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C Raw Case Data Report" sheetId="1" r:id="rId1"/>
  </sheets>
  <calcPr calcId="124519" fullCalcOnLoad="1"/>
</workbook>
</file>

<file path=xl/sharedStrings.xml><?xml version="1.0" encoding="utf-8"?>
<sst xmlns="http://schemas.openxmlformats.org/spreadsheetml/2006/main" count="134288" uniqueCount="25336">
  <si>
    <t>Hyperlinked Case #</t>
  </si>
  <si>
    <t>Primary Advocate</t>
  </si>
  <si>
    <t>Date Opened</t>
  </si>
  <si>
    <t>Date Closed</t>
  </si>
  <si>
    <t>Client First Name</t>
  </si>
  <si>
    <t>Client Last Name</t>
  </si>
  <si>
    <t>Street Address</t>
  </si>
  <si>
    <t>Apt#/Suite#</t>
  </si>
  <si>
    <t>City</t>
  </si>
  <si>
    <t>Zip Code</t>
  </si>
  <si>
    <t>HRA Release?</t>
  </si>
  <si>
    <t>Gen Case Index Number</t>
  </si>
  <si>
    <t>Housing Type Of Case</t>
  </si>
  <si>
    <t>Housing Level of Service</t>
  </si>
  <si>
    <t>Close Reason</t>
  </si>
  <si>
    <t>Primary Funding Code</t>
  </si>
  <si>
    <t>Housing Building Case?</t>
  </si>
  <si>
    <t>Secondary Funding Codes</t>
  </si>
  <si>
    <t>Legal Problem Code</t>
  </si>
  <si>
    <t>Housing Posture of Case on Eligibility Date</t>
  </si>
  <si>
    <t>HAL Eligibility Date</t>
  </si>
  <si>
    <t>Housing Total Monthly Rent</t>
  </si>
  <si>
    <t>Assigned Branch/CC</t>
  </si>
  <si>
    <t>Referral Source</t>
  </si>
  <si>
    <t>IOLA Outcome</t>
  </si>
  <si>
    <t>Date of Birth</t>
  </si>
  <si>
    <t>Gen Pub Assist Case Number</t>
  </si>
  <si>
    <t>Social Security #</t>
  </si>
  <si>
    <t>Housing Number Of Units In Building</t>
  </si>
  <si>
    <t>Housing Form Of Regulation</t>
  </si>
  <si>
    <t>Housing Subsidy Type</t>
  </si>
  <si>
    <t>Housing Years Living In Apartment</t>
  </si>
  <si>
    <t>Number of People 18 and Over</t>
  </si>
  <si>
    <t>Number of People under 18</t>
  </si>
  <si>
    <t>Percentage of Poverty</t>
  </si>
  <si>
    <t>Housing Date Of Waiver Approval</t>
  </si>
  <si>
    <t>Housing TRC HRA Waiver Categories</t>
  </si>
  <si>
    <t>Language</t>
  </si>
  <si>
    <t xml:space="preserve">Total Annual Income </t>
  </si>
  <si>
    <t>Housing Funding Note</t>
  </si>
  <si>
    <t>Housing Activity Indicators</t>
  </si>
  <si>
    <t>Housing Services Rendered to Client</t>
  </si>
  <si>
    <t>Housing Outcome</t>
  </si>
  <si>
    <t>Housing Outcome Date</t>
  </si>
  <si>
    <t>Total Time For Case</t>
  </si>
  <si>
    <t>Service Date</t>
  </si>
  <si>
    <t>Caseworker Name</t>
  </si>
  <si>
    <t>Housing Income Verification</t>
  </si>
  <si>
    <t>Housing Signed DHCI Form</t>
  </si>
  <si>
    <t>Mancias, Fernando</t>
  </si>
  <si>
    <t>Gennari, Regina</t>
  </si>
  <si>
    <t>Norton, Carolyn</t>
  </si>
  <si>
    <t>Mbame, Etondi</t>
  </si>
  <si>
    <t>Shearer, Diane</t>
  </si>
  <si>
    <t>Eisom, Stanley</t>
  </si>
  <si>
    <t>James, Lelia</t>
  </si>
  <si>
    <t>Crisona, Kathryn</t>
  </si>
  <si>
    <t>Pettit, Stephanie</t>
  </si>
  <si>
    <t>Gonzalez, Migdalia</t>
  </si>
  <si>
    <t>Lam, Kevin</t>
  </si>
  <si>
    <t>Kalum, Nicole</t>
  </si>
  <si>
    <t>Nadeau-Rifkind, Al</t>
  </si>
  <si>
    <t>Hammersmith, Amy</t>
  </si>
  <si>
    <t>Barreda, Catherine</t>
  </si>
  <si>
    <t>Bromberg, Iris</t>
  </si>
  <si>
    <t>Bowman, Cathy</t>
  </si>
  <si>
    <t>St. Louis, Bianca</t>
  </si>
  <si>
    <t>Succop, Steven</t>
  </si>
  <si>
    <t>Ascher, Ann</t>
  </si>
  <si>
    <t>McDonald, John</t>
  </si>
  <si>
    <t>Ansari, Saif</t>
  </si>
  <si>
    <t>Laureano, Luz</t>
  </si>
  <si>
    <t>Gathing, Vance</t>
  </si>
  <si>
    <t>Solivan, Jackeline</t>
  </si>
  <si>
    <t>Barrett, Samantha</t>
  </si>
  <si>
    <t>Belhomme, Wilesca</t>
  </si>
  <si>
    <t>McCormick, James</t>
  </si>
  <si>
    <t>Elmore, Josh</t>
  </si>
  <si>
    <t>Ukegbu, Ezi</t>
  </si>
  <si>
    <t>Nimis, Roland</t>
  </si>
  <si>
    <t>Herrmann, Neil</t>
  </si>
  <si>
    <t>Massey, Randi</t>
  </si>
  <si>
    <t>Greene, Janelle</t>
  </si>
  <si>
    <t>Chan, Vincce</t>
  </si>
  <si>
    <t>Chen, Eugene</t>
  </si>
  <si>
    <t>Maltezos, Alexander</t>
  </si>
  <si>
    <t>Silliman, Stacey</t>
  </si>
  <si>
    <t>Hong, Connie</t>
  </si>
  <si>
    <t>Nachman, Fraidy</t>
  </si>
  <si>
    <t>Caldwell-Kuru, Hazel</t>
  </si>
  <si>
    <t>Schafler, Eliza</t>
  </si>
  <si>
    <t>Villalobos, Tanya</t>
  </si>
  <si>
    <t>Feliz, Oswald</t>
  </si>
  <si>
    <t>Samuel, Somalia</t>
  </si>
  <si>
    <t>Bateman, Steven</t>
  </si>
  <si>
    <t>Fischman, Jean</t>
  </si>
  <si>
    <t>Osei, Dionne</t>
  </si>
  <si>
    <t>Mulles, Carlos</t>
  </si>
  <si>
    <t>McCowen, Tamella</t>
  </si>
  <si>
    <t>Pozo, Caridad</t>
  </si>
  <si>
    <t>Gonzalez, Atenedoro</t>
  </si>
  <si>
    <t>Vaz, Marie</t>
  </si>
  <si>
    <t>Ocana, Johanna</t>
  </si>
  <si>
    <t>Wong, Humbert</t>
  </si>
  <si>
    <t>Heller, Steven</t>
  </si>
  <si>
    <t>Honan, Thomas</t>
  </si>
  <si>
    <t>Miller, Thomas</t>
  </si>
  <si>
    <t>Roman, Melissa</t>
  </si>
  <si>
    <t>Cowen, Lindsay</t>
  </si>
  <si>
    <t>Pepe, Lailah</t>
  </si>
  <si>
    <t>Jacobs, Alex</t>
  </si>
  <si>
    <t>Rosen, David</t>
  </si>
  <si>
    <t>Catuira, Rochelle</t>
  </si>
  <si>
    <t>Ijaz, Kulsoom</t>
  </si>
  <si>
    <t>Lebro-Lopez, Wanda</t>
  </si>
  <si>
    <t>Alvarez, Adriana</t>
  </si>
  <si>
    <t>Ma, Chiansan</t>
  </si>
  <si>
    <t>Golden, Tashanna</t>
  </si>
  <si>
    <t>Garcia, Alexandra</t>
  </si>
  <si>
    <t>Cappellini, Bianca</t>
  </si>
  <si>
    <t>Cisneros, Marisol</t>
  </si>
  <si>
    <t>Douglas, Tanya</t>
  </si>
  <si>
    <t>Mui, Ernie</t>
  </si>
  <si>
    <t>Corsaro, Veronica</t>
  </si>
  <si>
    <t>Flores, Irene</t>
  </si>
  <si>
    <t>Breakstone, Chelsea</t>
  </si>
  <si>
    <t>Lowery, Liam</t>
  </si>
  <si>
    <t>Castronovo, Julian</t>
  </si>
  <si>
    <t>Newton, Jack</t>
  </si>
  <si>
    <t>Alba, Sarah</t>
  </si>
  <si>
    <t>Licharson, Tom</t>
  </si>
  <si>
    <t>Barkley, Daniel</t>
  </si>
  <si>
    <t>Contreras, Gatsby</t>
  </si>
  <si>
    <t>Johnson, Chantal</t>
  </si>
  <si>
    <t>Scott, Samuel</t>
  </si>
  <si>
    <t>Twersky, Jonathan</t>
  </si>
  <si>
    <t>Schiff, Logan</t>
  </si>
  <si>
    <t>Garcia, Keiannis</t>
  </si>
  <si>
    <t>Diaz, Lino</t>
  </si>
  <si>
    <t>Zabizhin, Albert</t>
  </si>
  <si>
    <t>Taylor, Mark</t>
  </si>
  <si>
    <t>Sandoval, Sandra</t>
  </si>
  <si>
    <t>Tongo, Salima</t>
  </si>
  <si>
    <t>Cruz-Perez, Javier</t>
  </si>
  <si>
    <t>Hammond, Robert</t>
  </si>
  <si>
    <t>Encarnacion-Badru, Bea</t>
  </si>
  <si>
    <t>Roussos, Katie</t>
  </si>
  <si>
    <t>Salas, Emma</t>
  </si>
  <si>
    <t>Montoute, John</t>
  </si>
  <si>
    <t>Kelly, Dawn</t>
  </si>
  <si>
    <t>Dolin, Brett</t>
  </si>
  <si>
    <t>Lee, Jooyeon</t>
  </si>
  <si>
    <t>Jackson, Chavette</t>
  </si>
  <si>
    <t>Velasquez, Diana</t>
  </si>
  <si>
    <t>De Silva, Natasia</t>
  </si>
  <si>
    <t>Katnani, Samar</t>
  </si>
  <si>
    <t>Sun, Dao</t>
  </si>
  <si>
    <t>Brutus, Jean-Pierre</t>
  </si>
  <si>
    <t>Telson, Sarah</t>
  </si>
  <si>
    <t>Sanchez, Richard</t>
  </si>
  <si>
    <t>Edwards, Patrice</t>
  </si>
  <si>
    <t>Anunkor, Ifeoma</t>
  </si>
  <si>
    <t>Denzer-Torres, Pamela</t>
  </si>
  <si>
    <t>Katz, Cindy</t>
  </si>
  <si>
    <t>Puleo Jr, Michael</t>
  </si>
  <si>
    <t>Rave, Helen</t>
  </si>
  <si>
    <t>Falco, Fara</t>
  </si>
  <si>
    <t>Hoque, Shatti</t>
  </si>
  <si>
    <t>Burns, Erin</t>
  </si>
  <si>
    <t>Nilsson, Erik</t>
  </si>
  <si>
    <t>Latterner, Matt</t>
  </si>
  <si>
    <t>Rubin, Jenn</t>
  </si>
  <si>
    <t>Mottley, Darlene</t>
  </si>
  <si>
    <t>Granfield, Rachel</t>
  </si>
  <si>
    <t>Goncharov-Cruickshnk, Natalie</t>
  </si>
  <si>
    <t>Vega, Rita</t>
  </si>
  <si>
    <t>Ortiz, Andrew</t>
  </si>
  <si>
    <t>Ross, Jasmine</t>
  </si>
  <si>
    <t>Briggs, John</t>
  </si>
  <si>
    <t>Saywack, Priam</t>
  </si>
  <si>
    <t>Isaias, Bianca</t>
  </si>
  <si>
    <t>Hecht-Felella, Laura</t>
  </si>
  <si>
    <t>Englard, Rubin</t>
  </si>
  <si>
    <t>DeLong, Sarah</t>
  </si>
  <si>
    <t>Betances, Gabriella</t>
  </si>
  <si>
    <t>Tan, Andrea</t>
  </si>
  <si>
    <t>Guadalupe, Marilyn</t>
  </si>
  <si>
    <t>Costa, Stephanie</t>
  </si>
  <si>
    <t>Sharma, Sagar</t>
  </si>
  <si>
    <t>Vujica, Visnja</t>
  </si>
  <si>
    <t>Kelly, Kitanya</t>
  </si>
  <si>
    <t>Pangonis, Dustin</t>
  </si>
  <si>
    <t>Gonzalez, Gabriela</t>
  </si>
  <si>
    <t>MacRae, John</t>
  </si>
  <si>
    <t>He, Ricky</t>
  </si>
  <si>
    <t>Carlier, Milton</t>
  </si>
  <si>
    <t>Chew, Thomas</t>
  </si>
  <si>
    <t>Vale, Yvonne</t>
  </si>
  <si>
    <t>McHugh Mills, Maura</t>
  </si>
  <si>
    <t>Ricart, Janet</t>
  </si>
  <si>
    <t>Landry-Reyes, Jane</t>
  </si>
  <si>
    <t>Fukuda, Noriko</t>
  </si>
  <si>
    <t>Lin, Tina</t>
  </si>
  <si>
    <t>Hardy, Le`Shera</t>
  </si>
  <si>
    <t>Rhee, Bohee</t>
  </si>
  <si>
    <t>Delgadillo, Omar</t>
  </si>
  <si>
    <t>Black, Rosalind</t>
  </si>
  <si>
    <t>Shah, Ami</t>
  </si>
  <si>
    <t>Treadwell, Nathan</t>
  </si>
  <si>
    <t>Santos, Marisol</t>
  </si>
  <si>
    <t>Watson, Michael</t>
  </si>
  <si>
    <t>Patel, Mona</t>
  </si>
  <si>
    <t>Xie, Vivian</t>
  </si>
  <si>
    <t>Farrell, Emily</t>
  </si>
  <si>
    <t>Bailey, Michael</t>
  </si>
  <si>
    <t>Allen, Sharette</t>
  </si>
  <si>
    <t>Porcelli, Ronald</t>
  </si>
  <si>
    <t>Spencer, Eleanor</t>
  </si>
  <si>
    <t>Braudy, Erica</t>
  </si>
  <si>
    <t>Mercedes, Jannelys</t>
  </si>
  <si>
    <t>Yamasaki, Emily Woo</t>
  </si>
  <si>
    <t>Bauer, Kai</t>
  </si>
  <si>
    <t>Frizell, Catherine</t>
  </si>
  <si>
    <t>Evers, Erin</t>
  </si>
  <si>
    <t>Marchena, Ivan</t>
  </si>
  <si>
    <t>Umoke, Jacob</t>
  </si>
  <si>
    <t>Reardon, Elizabeth</t>
  </si>
  <si>
    <t>Carwin, Mikailla</t>
  </si>
  <si>
    <t>Drumm, Kristen</t>
  </si>
  <si>
    <t>Sanderman, Robert</t>
  </si>
  <si>
    <t>Rookwood, Shardae</t>
  </si>
  <si>
    <t>Almanzar, Milagros</t>
  </si>
  <si>
    <t>Gonzalez-Munoz, Rossana</t>
  </si>
  <si>
    <t>Joly, Coco</t>
  </si>
  <si>
    <t>Gonzalez, Matias</t>
  </si>
  <si>
    <t>Johnson, Emelia</t>
  </si>
  <si>
    <t>Christian, Fitzroy</t>
  </si>
  <si>
    <t>Santana, Bridgette</t>
  </si>
  <si>
    <t>Fuller-Bennett, Reuben</t>
  </si>
  <si>
    <t>Hernandez, Karen</t>
  </si>
  <si>
    <t>James, Natalie</t>
  </si>
  <si>
    <t>Batten, Michael</t>
  </si>
  <si>
    <t>Basu, Shantonu</t>
  </si>
  <si>
    <t>Lohr-Schmidt, Ilana</t>
  </si>
  <si>
    <t>Surette, Gibb</t>
  </si>
  <si>
    <t>Castillo, Angel</t>
  </si>
  <si>
    <t>Odoemene, Udoka</t>
  </si>
  <si>
    <t>Freeman, Daniel</t>
  </si>
  <si>
    <t>Tadepalli, Ashwin</t>
  </si>
  <si>
    <t>Hao, Lindsay</t>
  </si>
  <si>
    <t>DeVolld, Angela</t>
  </si>
  <si>
    <t>Figaro, Nakesha</t>
  </si>
  <si>
    <t>Abbas, Sayeda</t>
  </si>
  <si>
    <t>Wilkes, Nicole</t>
  </si>
  <si>
    <t>Loxley, Oliver</t>
  </si>
  <si>
    <t>Reed, Jessica</t>
  </si>
  <si>
    <t>Smith, Sara</t>
  </si>
  <si>
    <t>Navarro, Norey</t>
  </si>
  <si>
    <t>Stephenson, Anne</t>
  </si>
  <si>
    <t>Figueroa, Vianca</t>
  </si>
  <si>
    <t>Chen, Alan</t>
  </si>
  <si>
    <t>Morgan, Rose</t>
  </si>
  <si>
    <t>Carter, Corinthia</t>
  </si>
  <si>
    <t>Hernandez, Marisol</t>
  </si>
  <si>
    <t>Martinez-Gunter, Maribel</t>
  </si>
  <si>
    <t>Henriquez, Luis</t>
  </si>
  <si>
    <t>Kraner, Natalie</t>
  </si>
  <si>
    <t>Ginsberg, Irene</t>
  </si>
  <si>
    <t>Aktar, Shabhia</t>
  </si>
  <si>
    <t>Pepitone, Dan</t>
  </si>
  <si>
    <t>Josephson, Edward</t>
  </si>
  <si>
    <t>Goldberg, Heather</t>
  </si>
  <si>
    <t>Lynch, Megan</t>
  </si>
  <si>
    <t>Price, Adriana</t>
  </si>
  <si>
    <t>Patel, Roopal</t>
  </si>
  <si>
    <t>Geha, Nada</t>
  </si>
  <si>
    <t>Molnar, Shandanette</t>
  </si>
  <si>
    <t>Torres, Jasmin</t>
  </si>
  <si>
    <t>Cepeda, Jeanette</t>
  </si>
  <si>
    <t>Murray, Pat</t>
  </si>
  <si>
    <t>Kramer, Kramer</t>
  </si>
  <si>
    <t>Stevens, Jean</t>
  </si>
  <si>
    <t>Gardner III, George</t>
  </si>
  <si>
    <t>Alajbegovic, Andrea</t>
  </si>
  <si>
    <t>Leroux, Paul</t>
  </si>
  <si>
    <t>Sumerall, Iesha</t>
  </si>
  <si>
    <t>Fitzgerald, Mario</t>
  </si>
  <si>
    <t>St. Marie, Monique</t>
  </si>
  <si>
    <t>Haarmann, Landry</t>
  </si>
  <si>
    <t>Atuegbu, Chidera</t>
  </si>
  <si>
    <t>Clifford, Mun</t>
  </si>
  <si>
    <t>Pathiyil, Neelu</t>
  </si>
  <si>
    <t>Bernardez, Florencita</t>
  </si>
  <si>
    <t>Banks, Melissa</t>
  </si>
  <si>
    <t>Ramroop, Nikki</t>
  </si>
  <si>
    <t>Kellogg, Martha</t>
  </si>
  <si>
    <t>Faliks, Sarah</t>
  </si>
  <si>
    <t>Castro, Cristina</t>
  </si>
  <si>
    <t>Goyzueta, Anna</t>
  </si>
  <si>
    <t>Rahman, Urooj</t>
  </si>
  <si>
    <t>Roberts, Jonathan</t>
  </si>
  <si>
    <t>Laffer, Tara</t>
  </si>
  <si>
    <t>Garland, Shelby</t>
  </si>
  <si>
    <t>Baer, Emily</t>
  </si>
  <si>
    <t>Garcia, Kristine</t>
  </si>
  <si>
    <t>Spencer, Amelia</t>
  </si>
  <si>
    <t>McLinn, Heather</t>
  </si>
  <si>
    <t>Guillaume, Naura</t>
  </si>
  <si>
    <t>Dias, Marika</t>
  </si>
  <si>
    <t>Labossiere, Samantha</t>
  </si>
  <si>
    <t>Caulkins, Luther</t>
  </si>
  <si>
    <t>Gokhale, Aparna</t>
  </si>
  <si>
    <t>Gonzalez, Ana</t>
  </si>
  <si>
    <t>Ortiz, Matthew</t>
  </si>
  <si>
    <t>Dittakavi, Archana</t>
  </si>
  <si>
    <t>Frierson, Jerome</t>
  </si>
  <si>
    <t>Deolarte, Stephanie</t>
  </si>
  <si>
    <t>Drimal, Alex</t>
  </si>
  <si>
    <t>Crowder, Jasmin</t>
  </si>
  <si>
    <t>Kook, Heejung</t>
  </si>
  <si>
    <t>Kulig, Jessica</t>
  </si>
  <si>
    <t>Lamb, Christopher</t>
  </si>
  <si>
    <t>Earisman, Peggy</t>
  </si>
  <si>
    <t>Restrepo-Serrano, Francois</t>
  </si>
  <si>
    <t>Bash, Rachel</t>
  </si>
  <si>
    <t>McCune, Mary</t>
  </si>
  <si>
    <t>Rosner, Julia</t>
  </si>
  <si>
    <t>Amjad, Robia</t>
  </si>
  <si>
    <t>Hanmer, Dorothy</t>
  </si>
  <si>
    <t>05/10/2019</t>
  </si>
  <si>
    <t>06/04/2019</t>
  </si>
  <si>
    <t>05/16/2019</t>
  </si>
  <si>
    <t>07/09/2019</t>
  </si>
  <si>
    <t>03/29/2019</t>
  </si>
  <si>
    <t>01/24/2019</t>
  </si>
  <si>
    <t>08/09/2018</t>
  </si>
  <si>
    <t>05/23/2019</t>
  </si>
  <si>
    <t>05/20/2019</t>
  </si>
  <si>
    <t>07/08/2019</t>
  </si>
  <si>
    <t>03/22/2019</t>
  </si>
  <si>
    <t>03/13/2019</t>
  </si>
  <si>
    <t>12/20/2018</t>
  </si>
  <si>
    <t>05/03/2019</t>
  </si>
  <si>
    <t>06/20/2019</t>
  </si>
  <si>
    <t>10/15/2018</t>
  </si>
  <si>
    <t>07/15/2019</t>
  </si>
  <si>
    <t>06/24/2019</t>
  </si>
  <si>
    <t>06/07/2019</t>
  </si>
  <si>
    <t>05/22/2019</t>
  </si>
  <si>
    <t>06/10/2019</t>
  </si>
  <si>
    <t>11/21/2017</t>
  </si>
  <si>
    <t>05/28/2019</t>
  </si>
  <si>
    <t>12/19/2018</t>
  </si>
  <si>
    <t>02/06/2019</t>
  </si>
  <si>
    <t>08/08/2019</t>
  </si>
  <si>
    <t>07/31/2019</t>
  </si>
  <si>
    <t>03/19/2019</t>
  </si>
  <si>
    <t>03/18/2019</t>
  </si>
  <si>
    <t>02/27/2019</t>
  </si>
  <si>
    <t>02/04/2019</t>
  </si>
  <si>
    <t>04/30/2019</t>
  </si>
  <si>
    <t>05/09/2019</t>
  </si>
  <si>
    <t>06/13/2019</t>
  </si>
  <si>
    <t>05/07/2019</t>
  </si>
  <si>
    <t>12/01/2016</t>
  </si>
  <si>
    <t>07/12/2019</t>
  </si>
  <si>
    <t>08/13/2019</t>
  </si>
  <si>
    <t>04/23/2018</t>
  </si>
  <si>
    <t>08/14/2019</t>
  </si>
  <si>
    <t>05/13/2019</t>
  </si>
  <si>
    <t>05/15/2019</t>
  </si>
  <si>
    <t>06/18/2019</t>
  </si>
  <si>
    <t>08/26/2019</t>
  </si>
  <si>
    <t>08/05/2019</t>
  </si>
  <si>
    <t>03/08/2018</t>
  </si>
  <si>
    <t>08/27/2019</t>
  </si>
  <si>
    <t>03/25/2019</t>
  </si>
  <si>
    <t>08/20/2019</t>
  </si>
  <si>
    <t>07/02/2019</t>
  </si>
  <si>
    <t>08/12/2019</t>
  </si>
  <si>
    <t>08/02/2019</t>
  </si>
  <si>
    <t>03/23/2018</t>
  </si>
  <si>
    <t>09/28/2017</t>
  </si>
  <si>
    <t>08/02/2018</t>
  </si>
  <si>
    <t>03/22/2018</t>
  </si>
  <si>
    <t>02/09/2018</t>
  </si>
  <si>
    <t>10/16/2018</t>
  </si>
  <si>
    <t>11/28/2017</t>
  </si>
  <si>
    <t>07/25/2018</t>
  </si>
  <si>
    <t>04/30/2018</t>
  </si>
  <si>
    <t>09/18/2018</t>
  </si>
  <si>
    <t>05/16/2018</t>
  </si>
  <si>
    <t>07/23/2018</t>
  </si>
  <si>
    <t>09/24/2018</t>
  </si>
  <si>
    <t>01/11/2018</t>
  </si>
  <si>
    <t>01/25/2018</t>
  </si>
  <si>
    <t>01/17/2018</t>
  </si>
  <si>
    <t>02/16/2018</t>
  </si>
  <si>
    <t>12/10/2018</t>
  </si>
  <si>
    <t>03/14/2018</t>
  </si>
  <si>
    <t>09/11/2018</t>
  </si>
  <si>
    <t>01/16/2018</t>
  </si>
  <si>
    <t>08/10/2018</t>
  </si>
  <si>
    <t>10/10/2018</t>
  </si>
  <si>
    <t>09/21/2017</t>
  </si>
  <si>
    <t>12/12/2018</t>
  </si>
  <si>
    <t>08/14/2017</t>
  </si>
  <si>
    <t>09/10/2018</t>
  </si>
  <si>
    <t>09/14/2017</t>
  </si>
  <si>
    <t>08/11/2017</t>
  </si>
  <si>
    <t>09/03/2019</t>
  </si>
  <si>
    <t>05/01/2019</t>
  </si>
  <si>
    <t>09/11/2019</t>
  </si>
  <si>
    <t>01/02/2018</t>
  </si>
  <si>
    <t>01/10/2019</t>
  </si>
  <si>
    <t>04/04/2019</t>
  </si>
  <si>
    <t>04/09/2019</t>
  </si>
  <si>
    <t>11/21/2018</t>
  </si>
  <si>
    <t>06/15/2018</t>
  </si>
  <si>
    <t>01/02/2019</t>
  </si>
  <si>
    <t>10/02/2018</t>
  </si>
  <si>
    <t>05/21/2019</t>
  </si>
  <si>
    <t>06/07/2018</t>
  </si>
  <si>
    <t>05/15/2017</t>
  </si>
  <si>
    <t>01/31/2019</t>
  </si>
  <si>
    <t>06/06/2018</t>
  </si>
  <si>
    <t>06/27/2018</t>
  </si>
  <si>
    <t>06/26/2018</t>
  </si>
  <si>
    <t>06/04/2018</t>
  </si>
  <si>
    <t>03/05/2018</t>
  </si>
  <si>
    <t>06/20/2018</t>
  </si>
  <si>
    <t>06/11/2018</t>
  </si>
  <si>
    <t>04/05/2019</t>
  </si>
  <si>
    <t>10/23/2018</t>
  </si>
  <si>
    <t>07/09/2018</t>
  </si>
  <si>
    <t>04/26/2018</t>
  </si>
  <si>
    <t>01/03/2018</t>
  </si>
  <si>
    <t>05/24/2018</t>
  </si>
  <si>
    <t>08/30/2018</t>
  </si>
  <si>
    <t>10/31/2018</t>
  </si>
  <si>
    <t>10/19/2018</t>
  </si>
  <si>
    <t>11/08/2018</t>
  </si>
  <si>
    <t>09/12/2018</t>
  </si>
  <si>
    <t>12/04/2018</t>
  </si>
  <si>
    <t>09/28/2018</t>
  </si>
  <si>
    <t>09/25/2018</t>
  </si>
  <si>
    <t>10/18/2018</t>
  </si>
  <si>
    <t>09/27/2018</t>
  </si>
  <si>
    <t>10/09/2018</t>
  </si>
  <si>
    <t>09/05/2018</t>
  </si>
  <si>
    <t>10/04/2018</t>
  </si>
  <si>
    <t>12/24/2018</t>
  </si>
  <si>
    <t>09/17/2018</t>
  </si>
  <si>
    <t>11/01/2018</t>
  </si>
  <si>
    <t>10/12/2018</t>
  </si>
  <si>
    <t>08/23/2019</t>
  </si>
  <si>
    <t>07/17/2019</t>
  </si>
  <si>
    <t>05/12/2017</t>
  </si>
  <si>
    <t>08/22/2019</t>
  </si>
  <si>
    <t>06/05/2019</t>
  </si>
  <si>
    <t>10/02/2019</t>
  </si>
  <si>
    <t>07/26/2019</t>
  </si>
  <si>
    <t>09/09/2019</t>
  </si>
  <si>
    <t>09/13/2019</t>
  </si>
  <si>
    <t>08/28/2019</t>
  </si>
  <si>
    <t>08/15/2019</t>
  </si>
  <si>
    <t>08/29/2019</t>
  </si>
  <si>
    <t>10/07/2019</t>
  </si>
  <si>
    <t>09/18/2019</t>
  </si>
  <si>
    <t>06/25/2019</t>
  </si>
  <si>
    <t>10/24/2019</t>
  </si>
  <si>
    <t>09/19/2019</t>
  </si>
  <si>
    <t>10/22/2019</t>
  </si>
  <si>
    <t>10/18/2019</t>
  </si>
  <si>
    <t>07/03/2019</t>
  </si>
  <si>
    <t>10/03/2019</t>
  </si>
  <si>
    <t>11/06/2019</t>
  </si>
  <si>
    <t>11/04/2019</t>
  </si>
  <si>
    <t>11/15/2019</t>
  </si>
  <si>
    <t>12/27/2018</t>
  </si>
  <si>
    <t>07/18/2019</t>
  </si>
  <si>
    <t>12/31/2018</t>
  </si>
  <si>
    <t>01/03/2019</t>
  </si>
  <si>
    <t>10/31/2019</t>
  </si>
  <si>
    <t>11/01/2019</t>
  </si>
  <si>
    <t>08/01/2019</t>
  </si>
  <si>
    <t>10/08/2019</t>
  </si>
  <si>
    <t>06/06/2019</t>
  </si>
  <si>
    <t>09/12/2019</t>
  </si>
  <si>
    <t>10/21/2019</t>
  </si>
  <si>
    <t>11/08/2019</t>
  </si>
  <si>
    <t>11/18/2019</t>
  </si>
  <si>
    <t>04/11/2019</t>
  </si>
  <si>
    <t>07/11/2019</t>
  </si>
  <si>
    <t>03/01/2017</t>
  </si>
  <si>
    <t>11/26/2019</t>
  </si>
  <si>
    <t>07/24/2019</t>
  </si>
  <si>
    <t>08/30/2019</t>
  </si>
  <si>
    <t>06/14/2019</t>
  </si>
  <si>
    <t>02/05/2019</t>
  </si>
  <si>
    <t>07/25/2019</t>
  </si>
  <si>
    <t>01/23/2019</t>
  </si>
  <si>
    <t>04/17/2019</t>
  </si>
  <si>
    <t>04/25/2019</t>
  </si>
  <si>
    <t>09/17/2019</t>
  </si>
  <si>
    <t>10/10/2019</t>
  </si>
  <si>
    <t>11/14/2019</t>
  </si>
  <si>
    <t>02/28/2016</t>
  </si>
  <si>
    <t>09/24/2019</t>
  </si>
  <si>
    <t>11/25/2019</t>
  </si>
  <si>
    <t>04/29/2019</t>
  </si>
  <si>
    <t>10/04/2019</t>
  </si>
  <si>
    <t>05/06/2019</t>
  </si>
  <si>
    <t>01/29/2019</t>
  </si>
  <si>
    <t>10/06/2017</t>
  </si>
  <si>
    <t>10/30/2019</t>
  </si>
  <si>
    <t>11/22/2019</t>
  </si>
  <si>
    <t>06/17/2019</t>
  </si>
  <si>
    <t>05/02/2019</t>
  </si>
  <si>
    <t>09/16/2019</t>
  </si>
  <si>
    <t>07/22/2019</t>
  </si>
  <si>
    <t>11/21/2019</t>
  </si>
  <si>
    <t>06/28/2019</t>
  </si>
  <si>
    <t>12/17/2018</t>
  </si>
  <si>
    <t>08/21/2019</t>
  </si>
  <si>
    <t>02/14/2018</t>
  </si>
  <si>
    <t>10/09/2019</t>
  </si>
  <si>
    <t>06/19/2019</t>
  </si>
  <si>
    <t>09/20/2019</t>
  </si>
  <si>
    <t>04/23/2019</t>
  </si>
  <si>
    <t>05/29/2019</t>
  </si>
  <si>
    <t>03/27/2017</t>
  </si>
  <si>
    <t>01/12/2018</t>
  </si>
  <si>
    <t>11/07/2019</t>
  </si>
  <si>
    <t>02/19/2019</t>
  </si>
  <si>
    <t>08/23/2016</t>
  </si>
  <si>
    <t>06/18/2018</t>
  </si>
  <si>
    <t>11/20/2019</t>
  </si>
  <si>
    <t>06/12/2019</t>
  </si>
  <si>
    <t>11/13/2019</t>
  </si>
  <si>
    <t>09/23/2019</t>
  </si>
  <si>
    <t>02/28/2019</t>
  </si>
  <si>
    <t>01/22/2019</t>
  </si>
  <si>
    <t>05/14/2019</t>
  </si>
  <si>
    <t>01/07/2019</t>
  </si>
  <si>
    <t>07/01/2019</t>
  </si>
  <si>
    <t>01/22/2018</t>
  </si>
  <si>
    <t>03/06/2019</t>
  </si>
  <si>
    <t>11/15/2018</t>
  </si>
  <si>
    <t>01/14/2019</t>
  </si>
  <si>
    <t>03/08/2019</t>
  </si>
  <si>
    <t>10/16/2019</t>
  </si>
  <si>
    <t>02/13/2019</t>
  </si>
  <si>
    <t>07/30/2019</t>
  </si>
  <si>
    <t>03/29/2017</t>
  </si>
  <si>
    <t>07/23/2019</t>
  </si>
  <si>
    <t>10/26/2018</t>
  </si>
  <si>
    <t>06/13/2018</t>
  </si>
  <si>
    <t>08/28/2018</t>
  </si>
  <si>
    <t>10/17/2019</t>
  </si>
  <si>
    <t>04/04/2018</t>
  </si>
  <si>
    <t>02/02/2017</t>
  </si>
  <si>
    <t>08/15/2016</t>
  </si>
  <si>
    <t>10/10/2017</t>
  </si>
  <si>
    <t>08/07/2019</t>
  </si>
  <si>
    <t>10/02/2017</t>
  </si>
  <si>
    <t>04/26/2016</t>
  </si>
  <si>
    <t>10/11/2016</t>
  </si>
  <si>
    <t>12/04/2017</t>
  </si>
  <si>
    <t>01/13/2017</t>
  </si>
  <si>
    <t>04/12/2018</t>
  </si>
  <si>
    <t>10/29/2019</t>
  </si>
  <si>
    <t>07/13/2017</t>
  </si>
  <si>
    <t>01/04/2019</t>
  </si>
  <si>
    <t>10/25/2019</t>
  </si>
  <si>
    <t>02/21/2019</t>
  </si>
  <si>
    <t>08/08/2017</t>
  </si>
  <si>
    <t>01/18/2019</t>
  </si>
  <si>
    <t>10/23/2019</t>
  </si>
  <si>
    <t>05/30/2018</t>
  </si>
  <si>
    <t>11/12/2019</t>
  </si>
  <si>
    <t>12/05/2016</t>
  </si>
  <si>
    <t>07/17/2018</t>
  </si>
  <si>
    <t>08/11/2016</t>
  </si>
  <si>
    <t>01/16/2019</t>
  </si>
  <si>
    <t>09/04/2019</t>
  </si>
  <si>
    <t>10/15/2019</t>
  </si>
  <si>
    <t>07/12/2016</t>
  </si>
  <si>
    <t>01/28/2019</t>
  </si>
  <si>
    <t>09/10/2019</t>
  </si>
  <si>
    <t>07/19/2018</t>
  </si>
  <si>
    <t>12/13/2018</t>
  </si>
  <si>
    <t>11/19/2019</t>
  </si>
  <si>
    <t>07/16/2019</t>
  </si>
  <si>
    <t>03/26/2019</t>
  </si>
  <si>
    <t>05/30/2019</t>
  </si>
  <si>
    <t>02/22/2019</t>
  </si>
  <si>
    <t>08/02/2016</t>
  </si>
  <si>
    <t>03/16/2018</t>
  </si>
  <si>
    <t>11/29/2017</t>
  </si>
  <si>
    <t>12/05/2018</t>
  </si>
  <si>
    <t>09/30/2019</t>
  </si>
  <si>
    <t>09/25/2019</t>
  </si>
  <si>
    <t>10/28/2019</t>
  </si>
  <si>
    <t>10/01/2019</t>
  </si>
  <si>
    <t>08/24/2018</t>
  </si>
  <si>
    <t>05/25/2016</t>
  </si>
  <si>
    <t>07/10/2019</t>
  </si>
  <si>
    <t>06/26/2019</t>
  </si>
  <si>
    <t>11/16/2018</t>
  </si>
  <si>
    <t>04/26/2019</t>
  </si>
  <si>
    <t>04/18/2019</t>
  </si>
  <si>
    <t>05/24/2019</t>
  </si>
  <si>
    <t>03/21/2019</t>
  </si>
  <si>
    <t>02/01/2017</t>
  </si>
  <si>
    <t>04/20/2018</t>
  </si>
  <si>
    <t>05/02/2018</t>
  </si>
  <si>
    <t>04/16/2019</t>
  </si>
  <si>
    <t>07/29/2019</t>
  </si>
  <si>
    <t>07/19/2019</t>
  </si>
  <si>
    <t>08/06/2019</t>
  </si>
  <si>
    <t>07/05/2019</t>
  </si>
  <si>
    <t>02/27/2017</t>
  </si>
  <si>
    <t>11/14/2018</t>
  </si>
  <si>
    <t>09/19/2018</t>
  </si>
  <si>
    <t>03/24/2017</t>
  </si>
  <si>
    <t>08/09/2019</t>
  </si>
  <si>
    <t>11/03/2016</t>
  </si>
  <si>
    <t>04/10/2018</t>
  </si>
  <si>
    <t>03/12/2019</t>
  </si>
  <si>
    <t>08/16/2019</t>
  </si>
  <si>
    <t>06/27/2019</t>
  </si>
  <si>
    <t>01/15/2019</t>
  </si>
  <si>
    <t>08/19/2019</t>
  </si>
  <si>
    <t>12/28/2017</t>
  </si>
  <si>
    <t>08/23/2018</t>
  </si>
  <si>
    <t>11/27/2018</t>
  </si>
  <si>
    <t>06/14/2018</t>
  </si>
  <si>
    <t>04/03/2018</t>
  </si>
  <si>
    <t>11/30/2018</t>
  </si>
  <si>
    <t>09/05/2019</t>
  </si>
  <si>
    <t>09/06/2019</t>
  </si>
  <si>
    <t>09/20/2018</t>
  </si>
  <si>
    <t>04/01/2019</t>
  </si>
  <si>
    <t>09/26/2019</t>
  </si>
  <si>
    <t>10/11/2019</t>
  </si>
  <si>
    <t>02/16/2016</t>
  </si>
  <si>
    <t>05/29/2015</t>
  </si>
  <si>
    <t>10/29/2018</t>
  </si>
  <si>
    <t>06/03/2019</t>
  </si>
  <si>
    <t>05/18/2018</t>
  </si>
  <si>
    <t>12/08/2015</t>
  </si>
  <si>
    <t>03/21/2018</t>
  </si>
  <si>
    <t>02/27/2018</t>
  </si>
  <si>
    <t>11/27/2019</t>
  </si>
  <si>
    <t>11/23/2019</t>
  </si>
  <si>
    <t>04/12/2019</t>
  </si>
  <si>
    <t>05/27/2019</t>
  </si>
  <si>
    <t>04/22/2019</t>
  </si>
  <si>
    <t>06/21/2019</t>
  </si>
  <si>
    <t>04/08/2019</t>
  </si>
  <si>
    <t>08/11/2019</t>
  </si>
  <si>
    <t>09/21/2019</t>
  </si>
  <si>
    <t>09/27/2019</t>
  </si>
  <si>
    <t>01/11/2019</t>
  </si>
  <si>
    <t>05/31/2019</t>
  </si>
  <si>
    <t>03/28/2019</t>
  </si>
  <si>
    <t>11/28/2018</t>
  </si>
  <si>
    <t>11/19/2018</t>
  </si>
  <si>
    <t>12/06/2018</t>
  </si>
  <si>
    <t>08/27/2018</t>
  </si>
  <si>
    <t>03/28/2018</t>
  </si>
  <si>
    <t>05/23/2016</t>
  </si>
  <si>
    <t>01/23/2018</t>
  </si>
  <si>
    <t>01/26/2018</t>
  </si>
  <si>
    <t>01/29/2018</t>
  </si>
  <si>
    <t>02/08/2019</t>
  </si>
  <si>
    <t>04/10/2019</t>
  </si>
  <si>
    <t>08/21/2018</t>
  </si>
  <si>
    <t>08/16/2017</t>
  </si>
  <si>
    <t>05/08/2019</t>
  </si>
  <si>
    <t>02/05/2018</t>
  </si>
  <si>
    <t>09/21/2018</t>
  </si>
  <si>
    <t>02/07/2019</t>
  </si>
  <si>
    <t>08/25/2015</t>
  </si>
  <si>
    <t>08/24/2016</t>
  </si>
  <si>
    <t>11/10/2019</t>
  </si>
  <si>
    <t>01/01/2018</t>
  </si>
  <si>
    <t>06/13/2017</t>
  </si>
  <si>
    <t>03/21/2017</t>
  </si>
  <si>
    <t>02/01/2019</t>
  </si>
  <si>
    <t>03/15/2019</t>
  </si>
  <si>
    <t>03/30/2016</t>
  </si>
  <si>
    <t>11/26/2018</t>
  </si>
  <si>
    <t>12/10/2013</t>
  </si>
  <si>
    <t>06/01/2018</t>
  </si>
  <si>
    <t>03/09/2018</t>
  </si>
  <si>
    <t>08/10/2017</t>
  </si>
  <si>
    <t>07/26/2017</t>
  </si>
  <si>
    <t>01/21/2012</t>
  </si>
  <si>
    <t>12/12/2016</t>
  </si>
  <si>
    <t>11/29/2016</t>
  </si>
  <si>
    <t>03/05/2019</t>
  </si>
  <si>
    <t>11/24/2019</t>
  </si>
  <si>
    <t>04/26/2017</t>
  </si>
  <si>
    <t>10/05/2018</t>
  </si>
  <si>
    <t>08/13/2018</t>
  </si>
  <si>
    <t>07/13/2015</t>
  </si>
  <si>
    <t>02/26/2019</t>
  </si>
  <si>
    <t>06/18/2015</t>
  </si>
  <si>
    <t>08/16/2018</t>
  </si>
  <si>
    <t>08/07/2017</t>
  </si>
  <si>
    <t>08/10/2016</t>
  </si>
  <si>
    <t>03/06/2018</t>
  </si>
  <si>
    <t>03/15/2018</t>
  </si>
  <si>
    <t>10/01/2018</t>
  </si>
  <si>
    <t>04/17/2017</t>
  </si>
  <si>
    <t>05/08/2016</t>
  </si>
  <si>
    <t>07/20/2016</t>
  </si>
  <si>
    <t>04/13/2017</t>
  </si>
  <si>
    <t>12/03/2018</t>
  </si>
  <si>
    <t>10/31/2017</t>
  </si>
  <si>
    <t>11/06/2017</t>
  </si>
  <si>
    <t>09/22/2016</t>
  </si>
  <si>
    <t>06/30/2016</t>
  </si>
  <si>
    <t>05/21/2018</t>
  </si>
  <si>
    <t>10/11/2018</t>
  </si>
  <si>
    <t>07/06/2018</t>
  </si>
  <si>
    <t>05/01/2018</t>
  </si>
  <si>
    <t>04/03/2019</t>
  </si>
  <si>
    <t>11/13/2018</t>
  </si>
  <si>
    <t>05/26/2016</t>
  </si>
  <si>
    <t>03/11/2016</t>
  </si>
  <si>
    <t>10/20/2019</t>
  </si>
  <si>
    <t>01/17/2019</t>
  </si>
  <si>
    <t>11/20/2017</t>
  </si>
  <si>
    <t>08/06/2018</t>
  </si>
  <si>
    <t>06/05/2018</t>
  </si>
  <si>
    <t>12/27/2016</t>
  </si>
  <si>
    <t>05/07/2016</t>
  </si>
  <si>
    <t>06/12/2015</t>
  </si>
  <si>
    <t>11/09/2017</t>
  </si>
  <si>
    <t>01/30/2017</t>
  </si>
  <si>
    <t>06/04/2017</t>
  </si>
  <si>
    <t>02/17/2016</t>
  </si>
  <si>
    <t>12/18/2018</t>
  </si>
  <si>
    <t>08/14/2015</t>
  </si>
  <si>
    <t>07/21/2017</t>
  </si>
  <si>
    <t>02/11/2019</t>
  </si>
  <si>
    <t>11/29/2018</t>
  </si>
  <si>
    <t>03/26/2018</t>
  </si>
  <si>
    <t>03/07/2019</t>
  </si>
  <si>
    <t>12/29/2015</t>
  </si>
  <si>
    <t>03/29/2018</t>
  </si>
  <si>
    <t>03/14/2019</t>
  </si>
  <si>
    <t>10/26/2015</t>
  </si>
  <si>
    <t>03/27/2019</t>
  </si>
  <si>
    <t>04/09/2018</t>
  </si>
  <si>
    <t>04/15/2019</t>
  </si>
  <si>
    <t>03/30/2018</t>
  </si>
  <si>
    <t>09/19/2017</t>
  </si>
  <si>
    <t>02/26/2018</t>
  </si>
  <si>
    <t>07/12/2018</t>
  </si>
  <si>
    <t>02/11/2015</t>
  </si>
  <si>
    <t>07/06/2017</t>
  </si>
  <si>
    <t>03/07/2018</t>
  </si>
  <si>
    <t>04/18/2017</t>
  </si>
  <si>
    <t>08/04/2019</t>
  </si>
  <si>
    <t>10/27/2019</t>
  </si>
  <si>
    <t>02/25/2019</t>
  </si>
  <si>
    <t>11/09/2019</t>
  </si>
  <si>
    <t>08/28/2017</t>
  </si>
  <si>
    <t>01/09/2019</t>
  </si>
  <si>
    <t>04/19/2019</t>
  </si>
  <si>
    <t>10/28/2013</t>
  </si>
  <si>
    <t>12/08/2016</t>
  </si>
  <si>
    <t>07/25/2017</t>
  </si>
  <si>
    <t>09/01/2017</t>
  </si>
  <si>
    <t>02/07/2014</t>
  </si>
  <si>
    <t>09/26/2014</t>
  </si>
  <si>
    <t>08/15/2018</t>
  </si>
  <si>
    <t>08/21/2017</t>
  </si>
  <si>
    <t>06/03/2014</t>
  </si>
  <si>
    <t>07/10/2018</t>
  </si>
  <si>
    <t>12/28/2018</t>
  </si>
  <si>
    <t>07/18/2018</t>
  </si>
  <si>
    <t>08/08/2018</t>
  </si>
  <si>
    <t>10/25/2018</t>
  </si>
  <si>
    <t>09/15/2017</t>
  </si>
  <si>
    <t>01/08/2019</t>
  </si>
  <si>
    <t>10/18/2017</t>
  </si>
  <si>
    <t>06/19/2018</t>
  </si>
  <si>
    <t>02/23/2015</t>
  </si>
  <si>
    <t>09/26/2017</t>
  </si>
  <si>
    <t>12/07/2018</t>
  </si>
  <si>
    <t>04/17/2018</t>
  </si>
  <si>
    <t>03/08/2017</t>
  </si>
  <si>
    <t>04/20/2017</t>
  </si>
  <si>
    <t>06/16/2017</t>
  </si>
  <si>
    <t>04/17/2015</t>
  </si>
  <si>
    <t>01/05/2018</t>
  </si>
  <si>
    <t>05/13/2015</t>
  </si>
  <si>
    <t>04/24/2017</t>
  </si>
  <si>
    <t>06/21/2017</t>
  </si>
  <si>
    <t>02/18/2015</t>
  </si>
  <si>
    <t>04/11/2016</t>
  </si>
  <si>
    <t>03/25/2015</t>
  </si>
  <si>
    <t>05/08/2018</t>
  </si>
  <si>
    <t>12/11/2017</t>
  </si>
  <si>
    <t>04/18/2018</t>
  </si>
  <si>
    <t>06/26/2015</t>
  </si>
  <si>
    <t>06/26/2017</t>
  </si>
  <si>
    <t>10/24/2018</t>
  </si>
  <si>
    <t>10/30/2018</t>
  </si>
  <si>
    <t>08/29/2018</t>
  </si>
  <si>
    <t>10/03/2018</t>
  </si>
  <si>
    <t>06/13/2016</t>
  </si>
  <si>
    <t>03/06/2015</t>
  </si>
  <si>
    <t>11/20/2018</t>
  </si>
  <si>
    <t>09/13/2017</t>
  </si>
  <si>
    <t>10/17/2018</t>
  </si>
  <si>
    <t>09/30/2015</t>
  </si>
  <si>
    <t>12/22/2016</t>
  </si>
  <si>
    <t>04/19/2013</t>
  </si>
  <si>
    <t>03/18/2018</t>
  </si>
  <si>
    <t>10/23/2017</t>
  </si>
  <si>
    <t>05/30/2017</t>
  </si>
  <si>
    <t>04/13/2018</t>
  </si>
  <si>
    <t>11/14/2017</t>
  </si>
  <si>
    <t>02/14/2019</t>
  </si>
  <si>
    <t>12/26/2018</t>
  </si>
  <si>
    <t>04/24/2019</t>
  </si>
  <si>
    <t>01/30/2019</t>
  </si>
  <si>
    <t>03/04/2019</t>
  </si>
  <si>
    <t>09/07/2019</t>
  </si>
  <si>
    <t>05/17/2019</t>
  </si>
  <si>
    <t>05/04/2018</t>
  </si>
  <si>
    <t>12/07/2017</t>
  </si>
  <si>
    <t>06/01/2017</t>
  </si>
  <si>
    <t>09/26/2018</t>
  </si>
  <si>
    <t>08/23/2017</t>
  </si>
  <si>
    <t>01/21/2015</t>
  </si>
  <si>
    <t>08/31/2018</t>
  </si>
  <si>
    <t>03/30/2015</t>
  </si>
  <si>
    <t>10/09/2008</t>
  </si>
  <si>
    <t>09/09/2014</t>
  </si>
  <si>
    <t>01/10/2018</t>
  </si>
  <si>
    <t>08/21/2014</t>
  </si>
  <si>
    <t>11/20/2013</t>
  </si>
  <si>
    <t>11/02/2011</t>
  </si>
  <si>
    <t>05/17/2018</t>
  </si>
  <si>
    <t>07/30/2018</t>
  </si>
  <si>
    <t>03/31/2015</t>
  </si>
  <si>
    <t>09/27/2017</t>
  </si>
  <si>
    <t>11/01/2016</t>
  </si>
  <si>
    <t>06/17/2016</t>
  </si>
  <si>
    <t>03/18/2014</t>
  </si>
  <si>
    <t>04/06/2015</t>
  </si>
  <si>
    <t>07/27/2018</t>
  </si>
  <si>
    <t>04/02/2019</t>
  </si>
  <si>
    <t>02/21/2018</t>
  </si>
  <si>
    <t>09/04/2018</t>
  </si>
  <si>
    <t>07/11/2017</t>
  </si>
  <si>
    <t>10/03/2017</t>
  </si>
  <si>
    <t>07/13/2018</t>
  </si>
  <si>
    <t>06/09/2019</t>
  </si>
  <si>
    <t>08/22/2018</t>
  </si>
  <si>
    <t>08/31/2017</t>
  </si>
  <si>
    <t>08/01/2018</t>
  </si>
  <si>
    <t>07/11/2018</t>
  </si>
  <si>
    <t>03/20/2019</t>
  </si>
  <si>
    <t>04/25/2018</t>
  </si>
  <si>
    <t>07/21/2009</t>
  </si>
  <si>
    <t>05/16/2017</t>
  </si>
  <si>
    <t>04/24/2018</t>
  </si>
  <si>
    <t>07/20/2017</t>
  </si>
  <si>
    <t>06/15/2017</t>
  </si>
  <si>
    <t>02/15/2019</t>
  </si>
  <si>
    <t>03/01/2019</t>
  </si>
  <si>
    <t>08/18/2016</t>
  </si>
  <si>
    <t>07/31/2017</t>
  </si>
  <si>
    <t>09/19/2016</t>
  </si>
  <si>
    <t>01/11/2016</t>
  </si>
  <si>
    <t>09/28/2016</t>
  </si>
  <si>
    <t>04/27/2016</t>
  </si>
  <si>
    <t>07/01/2016</t>
  </si>
  <si>
    <t>03/02/2016</t>
  </si>
  <si>
    <t>05/26/2015</t>
  </si>
  <si>
    <t>08/19/2015</t>
  </si>
  <si>
    <t>05/02/2017</t>
  </si>
  <si>
    <t>06/19/2017</t>
  </si>
  <si>
    <t>09/01/2015</t>
  </si>
  <si>
    <t>02/02/2016</t>
  </si>
  <si>
    <t>10/27/2015</t>
  </si>
  <si>
    <t>11/25/2016</t>
  </si>
  <si>
    <t>04/16/2015</t>
  </si>
  <si>
    <t>02/16/2017</t>
  </si>
  <si>
    <t>11/01/2017</t>
  </si>
  <si>
    <t>08/30/2016</t>
  </si>
  <si>
    <t>03/09/2016</t>
  </si>
  <si>
    <t>11/16/2015</t>
  </si>
  <si>
    <t>05/18/2015</t>
  </si>
  <si>
    <t>10/06/2014</t>
  </si>
  <si>
    <t>03/03/2016</t>
  </si>
  <si>
    <t>01/06/2017</t>
  </si>
  <si>
    <t>09/02/2015</t>
  </si>
  <si>
    <t>05/03/2016</t>
  </si>
  <si>
    <t>05/31/2017</t>
  </si>
  <si>
    <t>10/07/2016</t>
  </si>
  <si>
    <t>10/01/2015</t>
  </si>
  <si>
    <t>12/13/2016</t>
  </si>
  <si>
    <t>01/19/2016</t>
  </si>
  <si>
    <t>12/30/2015</t>
  </si>
  <si>
    <t>10/06/2015</t>
  </si>
  <si>
    <t>02/03/2016</t>
  </si>
  <si>
    <t>09/22/2014</t>
  </si>
  <si>
    <t>02/08/2016</t>
  </si>
  <si>
    <t>10/06/2016</t>
  </si>
  <si>
    <t>04/05/2017</t>
  </si>
  <si>
    <t>10/05/2015</t>
  </si>
  <si>
    <t>03/24/2015</t>
  </si>
  <si>
    <t>04/20/2016</t>
  </si>
  <si>
    <t>06/27/2016</t>
  </si>
  <si>
    <t>02/09/2016</t>
  </si>
  <si>
    <t>08/01/2017</t>
  </si>
  <si>
    <t>02/18/2016</t>
  </si>
  <si>
    <t>07/14/2015</t>
  </si>
  <si>
    <t>12/21/2015</t>
  </si>
  <si>
    <t>09/29/2015</t>
  </si>
  <si>
    <t>10/27/2016</t>
  </si>
  <si>
    <t>11/30/2015</t>
  </si>
  <si>
    <t>01/04/2016</t>
  </si>
  <si>
    <t>01/25/2016</t>
  </si>
  <si>
    <t>05/17/2017</t>
  </si>
  <si>
    <t>12/15/2015</t>
  </si>
  <si>
    <t>03/13/2015</t>
  </si>
  <si>
    <t>01/20/2016</t>
  </si>
  <si>
    <t>11/14/2016</t>
  </si>
  <si>
    <t>09/21/2016</t>
  </si>
  <si>
    <t>03/31/2016</t>
  </si>
  <si>
    <t>02/07/2016</t>
  </si>
  <si>
    <t>01/28/2016</t>
  </si>
  <si>
    <t>10/17/2016</t>
  </si>
  <si>
    <t>06/14/2016</t>
  </si>
  <si>
    <t>10/31/2016</t>
  </si>
  <si>
    <t>11/10/2015</t>
  </si>
  <si>
    <t>04/07/2017</t>
  </si>
  <si>
    <t>03/23/2017</t>
  </si>
  <si>
    <t>12/04/2015</t>
  </si>
  <si>
    <t>03/06/2017</t>
  </si>
  <si>
    <t>02/15/2017</t>
  </si>
  <si>
    <t>04/04/2016</t>
  </si>
  <si>
    <t>04/25/2016</t>
  </si>
  <si>
    <t>08/03/2016</t>
  </si>
  <si>
    <t>06/12/2012</t>
  </si>
  <si>
    <t>12/15/2016</t>
  </si>
  <si>
    <t>12/02/2015</t>
  </si>
  <si>
    <t>06/07/2017</t>
  </si>
  <si>
    <t>03/10/2014</t>
  </si>
  <si>
    <t>04/03/2017</t>
  </si>
  <si>
    <t>06/09/2014</t>
  </si>
  <si>
    <t>03/17/2014</t>
  </si>
  <si>
    <t>05/05/2017</t>
  </si>
  <si>
    <t>09/10/2014</t>
  </si>
  <si>
    <t>02/14/2017</t>
  </si>
  <si>
    <t>03/15/2017</t>
  </si>
  <si>
    <t>09/12/2014</t>
  </si>
  <si>
    <t>06/12/2014</t>
  </si>
  <si>
    <t>04/08/2015</t>
  </si>
  <si>
    <t>01/23/2015</t>
  </si>
  <si>
    <t>03/28/2014</t>
  </si>
  <si>
    <t>02/04/2016</t>
  </si>
  <si>
    <t>06/14/2017</t>
  </si>
  <si>
    <t>05/19/2017</t>
  </si>
  <si>
    <t>09/16/2016</t>
  </si>
  <si>
    <t>01/08/2016</t>
  </si>
  <si>
    <t>07/28/2015</t>
  </si>
  <si>
    <t>03/11/2015</t>
  </si>
  <si>
    <t>08/31/2016</t>
  </si>
  <si>
    <t>06/11/2015</t>
  </si>
  <si>
    <t>12/08/2014</t>
  </si>
  <si>
    <t>10/13/2017</t>
  </si>
  <si>
    <t>06/20/2017</t>
  </si>
  <si>
    <t>11/10/2016</t>
  </si>
  <si>
    <t>05/06/2016</t>
  </si>
  <si>
    <t>03/25/2016</t>
  </si>
  <si>
    <t>06/24/2011</t>
  </si>
  <si>
    <t>11/18/2016</t>
  </si>
  <si>
    <t>07/19/2016</t>
  </si>
  <si>
    <t>02/19/2015</t>
  </si>
  <si>
    <t>07/31/2015</t>
  </si>
  <si>
    <t>10/20/2015</t>
  </si>
  <si>
    <t>03/21/2016</t>
  </si>
  <si>
    <t>03/18/2016</t>
  </si>
  <si>
    <t>07/09/2015</t>
  </si>
  <si>
    <t>09/11/2014</t>
  </si>
  <si>
    <t>09/15/2015</t>
  </si>
  <si>
    <t>09/29/2017</t>
  </si>
  <si>
    <t>07/31/2018</t>
  </si>
  <si>
    <t>03/11/2019</t>
  </si>
  <si>
    <t>07/24/2018</t>
  </si>
  <si>
    <t>05/15/2018</t>
  </si>
  <si>
    <t>05/11/2016</t>
  </si>
  <si>
    <t>07/07/2015</t>
  </si>
  <si>
    <t>11/21/2014</t>
  </si>
  <si>
    <t>07/31/2014</t>
  </si>
  <si>
    <t>11/12/2013</t>
  </si>
  <si>
    <t>12/01/2015</t>
  </si>
  <si>
    <t>09/06/2016</t>
  </si>
  <si>
    <t>09/01/2016</t>
  </si>
  <si>
    <t>09/23/2016</t>
  </si>
  <si>
    <t>03/22/2014</t>
  </si>
  <si>
    <t>10/13/2016</t>
  </si>
  <si>
    <t>08/18/2019</t>
  </si>
  <si>
    <t>09/02/2019</t>
  </si>
  <si>
    <t>09/15/2019</t>
  </si>
  <si>
    <t>11/02/2019</t>
  </si>
  <si>
    <t>11/03/2019</t>
  </si>
  <si>
    <t>09/28/2019</t>
  </si>
  <si>
    <t>09/29/2019</t>
  </si>
  <si>
    <t>10/14/2019</t>
  </si>
  <si>
    <t>11/11/2019</t>
  </si>
  <si>
    <t>11/05/2019</t>
  </si>
  <si>
    <t>JUANA</t>
  </si>
  <si>
    <t>Jacqueline</t>
  </si>
  <si>
    <t>Maria</t>
  </si>
  <si>
    <t>Khamion</t>
  </si>
  <si>
    <t>Millicent</t>
  </si>
  <si>
    <t>Thelma</t>
  </si>
  <si>
    <t>Sarah</t>
  </si>
  <si>
    <t>Barbara</t>
  </si>
  <si>
    <t>America</t>
  </si>
  <si>
    <t>David</t>
  </si>
  <si>
    <t>Lucia</t>
  </si>
  <si>
    <t>William</t>
  </si>
  <si>
    <t>Thomas</t>
  </si>
  <si>
    <t>Bryant</t>
  </si>
  <si>
    <t>Frankie</t>
  </si>
  <si>
    <t>Thoraia</t>
  </si>
  <si>
    <t>Joyce</t>
  </si>
  <si>
    <t>Ru Yao</t>
  </si>
  <si>
    <t>Ruth</t>
  </si>
  <si>
    <t>Hoagxoa</t>
  </si>
  <si>
    <t>Angela</t>
  </si>
  <si>
    <t>Sandy</t>
  </si>
  <si>
    <t>Beverly</t>
  </si>
  <si>
    <t>Nube</t>
  </si>
  <si>
    <t>Paul</t>
  </si>
  <si>
    <t>John</t>
  </si>
  <si>
    <t>Lotus</t>
  </si>
  <si>
    <t>Stefanie</t>
  </si>
  <si>
    <t>Judith</t>
  </si>
  <si>
    <t>Tomische</t>
  </si>
  <si>
    <t>Hasha</t>
  </si>
  <si>
    <t>Christine</t>
  </si>
  <si>
    <t>Roberta</t>
  </si>
  <si>
    <t>Richard</t>
  </si>
  <si>
    <t>Anthony</t>
  </si>
  <si>
    <t>Kiera</t>
  </si>
  <si>
    <t>Josephine</t>
  </si>
  <si>
    <t>Jin</t>
  </si>
  <si>
    <t>Amelia</t>
  </si>
  <si>
    <t>Francisca</t>
  </si>
  <si>
    <t>Marc</t>
  </si>
  <si>
    <t>Fernando</t>
  </si>
  <si>
    <t>Helen</t>
  </si>
  <si>
    <t>Willie</t>
  </si>
  <si>
    <t>Francis</t>
  </si>
  <si>
    <t>Brenda</t>
  </si>
  <si>
    <t>Wendy</t>
  </si>
  <si>
    <t>Donna</t>
  </si>
  <si>
    <t>Virginia</t>
  </si>
  <si>
    <t>Ashok</t>
  </si>
  <si>
    <t>Freya</t>
  </si>
  <si>
    <t>Darrell</t>
  </si>
  <si>
    <t>Rose</t>
  </si>
  <si>
    <t>Jesusa</t>
  </si>
  <si>
    <t>Mare</t>
  </si>
  <si>
    <t>Cristobal</t>
  </si>
  <si>
    <t>Randy</t>
  </si>
  <si>
    <t>Monique</t>
  </si>
  <si>
    <t>Melissa</t>
  </si>
  <si>
    <t>Shyday</t>
  </si>
  <si>
    <t>Shauntice</t>
  </si>
  <si>
    <t>Eric</t>
  </si>
  <si>
    <t>Faith</t>
  </si>
  <si>
    <t>Jeanette</t>
  </si>
  <si>
    <t>Amanda</t>
  </si>
  <si>
    <t>Leonard</t>
  </si>
  <si>
    <t>Denise</t>
  </si>
  <si>
    <t>Elsa</t>
  </si>
  <si>
    <t>Qianzhong</t>
  </si>
  <si>
    <t>Edward</t>
  </si>
  <si>
    <t>Ahmed</t>
  </si>
  <si>
    <t>Rontigus</t>
  </si>
  <si>
    <t>Osei</t>
  </si>
  <si>
    <t>Eva</t>
  </si>
  <si>
    <t>Andres</t>
  </si>
  <si>
    <t>Vavrasad</t>
  </si>
  <si>
    <t>Shauna</t>
  </si>
  <si>
    <t>Yu</t>
  </si>
  <si>
    <t>Joshua</t>
  </si>
  <si>
    <t>Aline</t>
  </si>
  <si>
    <t>Judy</t>
  </si>
  <si>
    <t>Mary</t>
  </si>
  <si>
    <t>Tharanthi</t>
  </si>
  <si>
    <t>Margaret</t>
  </si>
  <si>
    <t>Nemesio</t>
  </si>
  <si>
    <t>Roberto</t>
  </si>
  <si>
    <t>Ash</t>
  </si>
  <si>
    <t>Angelica</t>
  </si>
  <si>
    <t>Carol</t>
  </si>
  <si>
    <t>Magdalen</t>
  </si>
  <si>
    <t>Annette</t>
  </si>
  <si>
    <t>Joseph</t>
  </si>
  <si>
    <t>Irina</t>
  </si>
  <si>
    <t>Ilya</t>
  </si>
  <si>
    <t>Jasmine</t>
  </si>
  <si>
    <t>Abigail</t>
  </si>
  <si>
    <t>Dennis</t>
  </si>
  <si>
    <t>Antoinette</t>
  </si>
  <si>
    <t>Shakeel</t>
  </si>
  <si>
    <t>Rochelle</t>
  </si>
  <si>
    <t>Dominga</t>
  </si>
  <si>
    <t>Tarmen</t>
  </si>
  <si>
    <t>Evelyn</t>
  </si>
  <si>
    <t>Zenaida</t>
  </si>
  <si>
    <t>Juana</t>
  </si>
  <si>
    <t>Sergey</t>
  </si>
  <si>
    <t>Lei</t>
  </si>
  <si>
    <t>Bernice</t>
  </si>
  <si>
    <t>Patrick</t>
  </si>
  <si>
    <t>Kevin</t>
  </si>
  <si>
    <t>Rickie</t>
  </si>
  <si>
    <t>Rebecca</t>
  </si>
  <si>
    <t>Victoria</t>
  </si>
  <si>
    <t>Iquo</t>
  </si>
  <si>
    <t>Arlene</t>
  </si>
  <si>
    <t>Tyquanna</t>
  </si>
  <si>
    <t>Keith</t>
  </si>
  <si>
    <t>Yvette</t>
  </si>
  <si>
    <t>Paulette</t>
  </si>
  <si>
    <t>Shannel</t>
  </si>
  <si>
    <t>Roselaine</t>
  </si>
  <si>
    <t>Elizabeth</t>
  </si>
  <si>
    <t>Deborah</t>
  </si>
  <si>
    <t>Ricardo</t>
  </si>
  <si>
    <t>Shema</t>
  </si>
  <si>
    <t>Yajuan</t>
  </si>
  <si>
    <t>Quiante</t>
  </si>
  <si>
    <t>Carla</t>
  </si>
  <si>
    <t>Cecilia</t>
  </si>
  <si>
    <t>Jerome</t>
  </si>
  <si>
    <t>Craig</t>
  </si>
  <si>
    <t>Arleny</t>
  </si>
  <si>
    <t>Geri</t>
  </si>
  <si>
    <t>virgen</t>
  </si>
  <si>
    <t>Hadassah</t>
  </si>
  <si>
    <t>Tabitha</t>
  </si>
  <si>
    <t>Whit</t>
  </si>
  <si>
    <t>Elizaberh</t>
  </si>
  <si>
    <t>Tawana</t>
  </si>
  <si>
    <t>Damaris</t>
  </si>
  <si>
    <t>Isabel</t>
  </si>
  <si>
    <t>Hanseok</t>
  </si>
  <si>
    <t>Steven</t>
  </si>
  <si>
    <t>Josefa</t>
  </si>
  <si>
    <t>Baleria</t>
  </si>
  <si>
    <t>Daniel</t>
  </si>
  <si>
    <t>Marina</t>
  </si>
  <si>
    <t>Nicole</t>
  </si>
  <si>
    <t>Larry</t>
  </si>
  <si>
    <t>Lora</t>
  </si>
  <si>
    <t>Bozana</t>
  </si>
  <si>
    <t>Erwin</t>
  </si>
  <si>
    <t>Delmar</t>
  </si>
  <si>
    <t>Stephanie</t>
  </si>
  <si>
    <t>Tony</t>
  </si>
  <si>
    <t>Roman</t>
  </si>
  <si>
    <t>Umatorn</t>
  </si>
  <si>
    <t>Emmanuela</t>
  </si>
  <si>
    <t>Michael</t>
  </si>
  <si>
    <t>Betty</t>
  </si>
  <si>
    <t>Ugene</t>
  </si>
  <si>
    <t>Lorinda</t>
  </si>
  <si>
    <t>Bernarda</t>
  </si>
  <si>
    <t>Tanzea</t>
  </si>
  <si>
    <t>Charimar</t>
  </si>
  <si>
    <t>Lalla</t>
  </si>
  <si>
    <t>Raul</t>
  </si>
  <si>
    <t>Santa</t>
  </si>
  <si>
    <t>Felicita</t>
  </si>
  <si>
    <t>Ramrajie</t>
  </si>
  <si>
    <t>Wenhua</t>
  </si>
  <si>
    <t>Gregory</t>
  </si>
  <si>
    <t>Lu</t>
  </si>
  <si>
    <t>Orquidea</t>
  </si>
  <si>
    <t>Valentina</t>
  </si>
  <si>
    <t>Dana</t>
  </si>
  <si>
    <t>Jehiah</t>
  </si>
  <si>
    <t>Hyudie</t>
  </si>
  <si>
    <t>Clarence</t>
  </si>
  <si>
    <t>Shevia</t>
  </si>
  <si>
    <t>Chiquita</t>
  </si>
  <si>
    <t>Lauren</t>
  </si>
  <si>
    <t>Violet</t>
  </si>
  <si>
    <t>Julia</t>
  </si>
  <si>
    <t>Muthana</t>
  </si>
  <si>
    <t>Mikea</t>
  </si>
  <si>
    <t>Teresa</t>
  </si>
  <si>
    <t>Nelson</t>
  </si>
  <si>
    <t>Miguel</t>
  </si>
  <si>
    <t>Reynaldo</t>
  </si>
  <si>
    <t>Ricki</t>
  </si>
  <si>
    <t>Gabby</t>
  </si>
  <si>
    <t>Gina</t>
  </si>
  <si>
    <t>Karen</t>
  </si>
  <si>
    <t>Samson</t>
  </si>
  <si>
    <t>Patricia</t>
  </si>
  <si>
    <t>Stacey</t>
  </si>
  <si>
    <t>Roger</t>
  </si>
  <si>
    <t>Carolina</t>
  </si>
  <si>
    <t>Marlene</t>
  </si>
  <si>
    <t>Armando</t>
  </si>
  <si>
    <t>Juan</t>
  </si>
  <si>
    <t>Zhijian</t>
  </si>
  <si>
    <t>Yefed</t>
  </si>
  <si>
    <t>Young</t>
  </si>
  <si>
    <t>Jessica</t>
  </si>
  <si>
    <t>Tylaina</t>
  </si>
  <si>
    <t>Sara</t>
  </si>
  <si>
    <t>Kasheen</t>
  </si>
  <si>
    <t>Sabrina</t>
  </si>
  <si>
    <t>Mark</t>
  </si>
  <si>
    <t>Zaine</t>
  </si>
  <si>
    <t>Nelly</t>
  </si>
  <si>
    <t>April</t>
  </si>
  <si>
    <t>Tyeissha</t>
  </si>
  <si>
    <t>Kafele</t>
  </si>
  <si>
    <t>Kay</t>
  </si>
  <si>
    <t>Tyrone</t>
  </si>
  <si>
    <t>Robert</t>
  </si>
  <si>
    <t>Christina</t>
  </si>
  <si>
    <t>Kimberly</t>
  </si>
  <si>
    <t>Sandra</t>
  </si>
  <si>
    <t>Jennifer</t>
  </si>
  <si>
    <t>Xiomara</t>
  </si>
  <si>
    <t>Gloria</t>
  </si>
  <si>
    <t>Catherine</t>
  </si>
  <si>
    <t>Jose</t>
  </si>
  <si>
    <t>Anthia</t>
  </si>
  <si>
    <t>Charmaine</t>
  </si>
  <si>
    <t>Haleem</t>
  </si>
  <si>
    <t>Shear</t>
  </si>
  <si>
    <t>Martin</t>
  </si>
  <si>
    <t>Michele</t>
  </si>
  <si>
    <t>Cynthia</t>
  </si>
  <si>
    <t>Richelle</t>
  </si>
  <si>
    <t>Luz</t>
  </si>
  <si>
    <t>Blanca</t>
  </si>
  <si>
    <t>Celina</t>
  </si>
  <si>
    <t>Ingrid</t>
  </si>
  <si>
    <t>Nereida</t>
  </si>
  <si>
    <t>Aurea</t>
  </si>
  <si>
    <t>George</t>
  </si>
  <si>
    <t>Herbert</t>
  </si>
  <si>
    <t>Abdelhakim</t>
  </si>
  <si>
    <t>Ann</t>
  </si>
  <si>
    <t>Rafaela</t>
  </si>
  <si>
    <t>Diane</t>
  </si>
  <si>
    <t>Julio</t>
  </si>
  <si>
    <t>Anita</t>
  </si>
  <si>
    <t>James</t>
  </si>
  <si>
    <t>Wanda</t>
  </si>
  <si>
    <t>Sonia</t>
  </si>
  <si>
    <t>Gerarda</t>
  </si>
  <si>
    <t>Jean</t>
  </si>
  <si>
    <t>Shirley</t>
  </si>
  <si>
    <t>Elba</t>
  </si>
  <si>
    <t>Walter</t>
  </si>
  <si>
    <t>Haja</t>
  </si>
  <si>
    <t>Frances</t>
  </si>
  <si>
    <t>Jenny</t>
  </si>
  <si>
    <t>Alfonzo</t>
  </si>
  <si>
    <t>Virner</t>
  </si>
  <si>
    <t>Nathaniel</t>
  </si>
  <si>
    <t>Adia</t>
  </si>
  <si>
    <t>Nilda</t>
  </si>
  <si>
    <t>Lucinda</t>
  </si>
  <si>
    <t>Haydee</t>
  </si>
  <si>
    <t>Wieslawa</t>
  </si>
  <si>
    <t>Vernisa</t>
  </si>
  <si>
    <t>Claudia</t>
  </si>
  <si>
    <t>Saphire</t>
  </si>
  <si>
    <t>Margarita</t>
  </si>
  <si>
    <t>Theodore</t>
  </si>
  <si>
    <t>Robin</t>
  </si>
  <si>
    <t>Orlando</t>
  </si>
  <si>
    <t>Lionel</t>
  </si>
  <si>
    <t>Melvin</t>
  </si>
  <si>
    <t>Claribel</t>
  </si>
  <si>
    <t>Raymond</t>
  </si>
  <si>
    <t>Aaron</t>
  </si>
  <si>
    <t>Jovan</t>
  </si>
  <si>
    <t>Benigna</t>
  </si>
  <si>
    <t>Kiara</t>
  </si>
  <si>
    <t>Lynn</t>
  </si>
  <si>
    <t>Gladys</t>
  </si>
  <si>
    <t>Filomeno</t>
  </si>
  <si>
    <t>Miriam</t>
  </si>
  <si>
    <t>Elbia</t>
  </si>
  <si>
    <t>Theodora</t>
  </si>
  <si>
    <t>Milira</t>
  </si>
  <si>
    <t>Dolores</t>
  </si>
  <si>
    <t>Lilian</t>
  </si>
  <si>
    <t>Natale</t>
  </si>
  <si>
    <t>Victor</t>
  </si>
  <si>
    <t>Marinelda</t>
  </si>
  <si>
    <t>Kenzie</t>
  </si>
  <si>
    <t>Norma</t>
  </si>
  <si>
    <t>Ana</t>
  </si>
  <si>
    <t>Oscar</t>
  </si>
  <si>
    <t>Letty</t>
  </si>
  <si>
    <t>Sharon</t>
  </si>
  <si>
    <t>Tracy</t>
  </si>
  <si>
    <t>Cora</t>
  </si>
  <si>
    <t>Rena</t>
  </si>
  <si>
    <t>Wei Li</t>
  </si>
  <si>
    <t>Martha</t>
  </si>
  <si>
    <t>Rosa</t>
  </si>
  <si>
    <t>Luis</t>
  </si>
  <si>
    <t>Felicia</t>
  </si>
  <si>
    <t>Francine</t>
  </si>
  <si>
    <t>Yelisa</t>
  </si>
  <si>
    <t>Pamela</t>
  </si>
  <si>
    <t>Lavorn</t>
  </si>
  <si>
    <t>Emanuel</t>
  </si>
  <si>
    <t>Lisa</t>
  </si>
  <si>
    <t>Stephen</t>
  </si>
  <si>
    <t>Angel</t>
  </si>
  <si>
    <t>Shaquanna</t>
  </si>
  <si>
    <t>Simone</t>
  </si>
  <si>
    <t>Wigcelia</t>
  </si>
  <si>
    <t>Riva</t>
  </si>
  <si>
    <t>Carlton</t>
  </si>
  <si>
    <t>Eve</t>
  </si>
  <si>
    <t>Estrella</t>
  </si>
  <si>
    <t>Cesar</t>
  </si>
  <si>
    <t>Ignacio Antonio</t>
  </si>
  <si>
    <t>Josette</t>
  </si>
  <si>
    <t>Marisol</t>
  </si>
  <si>
    <t>Ellexcion</t>
  </si>
  <si>
    <t>Colin</t>
  </si>
  <si>
    <t>Rachel</t>
  </si>
  <si>
    <t>Rafael</t>
  </si>
  <si>
    <t>Xavier</t>
  </si>
  <si>
    <t>Emma</t>
  </si>
  <si>
    <t>Kerry</t>
  </si>
  <si>
    <t>Debora</t>
  </si>
  <si>
    <t>Yolanda</t>
  </si>
  <si>
    <t>Alvira</t>
  </si>
  <si>
    <t>Pedro</t>
  </si>
  <si>
    <t>Mari</t>
  </si>
  <si>
    <t>Xiaocao</t>
  </si>
  <si>
    <t>Glenda</t>
  </si>
  <si>
    <t>Ioannis</t>
  </si>
  <si>
    <t>Adeel</t>
  </si>
  <si>
    <t>Cameal</t>
  </si>
  <si>
    <t>Jenice</t>
  </si>
  <si>
    <t>Kecotte</t>
  </si>
  <si>
    <t>Danuzia</t>
  </si>
  <si>
    <t>Federico</t>
  </si>
  <si>
    <t>Carmen</t>
  </si>
  <si>
    <t>Merry</t>
  </si>
  <si>
    <t>Felix</t>
  </si>
  <si>
    <t>Allen</t>
  </si>
  <si>
    <t>Yacinthe</t>
  </si>
  <si>
    <t>Leroy</t>
  </si>
  <si>
    <t>Maribel</t>
  </si>
  <si>
    <t>Stashana</t>
  </si>
  <si>
    <t>Laimah</t>
  </si>
  <si>
    <t>Lorraine</t>
  </si>
  <si>
    <t>Auldith</t>
  </si>
  <si>
    <t>Yessenia</t>
  </si>
  <si>
    <t>Malvia</t>
  </si>
  <si>
    <t>Shannon</t>
  </si>
  <si>
    <t>Glendo</t>
  </si>
  <si>
    <t>Enaya</t>
  </si>
  <si>
    <t>Mincey</t>
  </si>
  <si>
    <t>Araceli</t>
  </si>
  <si>
    <t>Lydia</t>
  </si>
  <si>
    <t>Dominique</t>
  </si>
  <si>
    <t>Ronald</t>
  </si>
  <si>
    <t>Emily</t>
  </si>
  <si>
    <t>Marian</t>
  </si>
  <si>
    <t>Johnson</t>
  </si>
  <si>
    <t>Gabriel</t>
  </si>
  <si>
    <t>Leon</t>
  </si>
  <si>
    <t>Lorna</t>
  </si>
  <si>
    <t>Yvonne</t>
  </si>
  <si>
    <t>Maksim</t>
  </si>
  <si>
    <t>Glenda Zuly</t>
  </si>
  <si>
    <t>Tulip Lamone</t>
  </si>
  <si>
    <t>MIa</t>
  </si>
  <si>
    <t>Nancy</t>
  </si>
  <si>
    <t>Penny</t>
  </si>
  <si>
    <t>Eduardo</t>
  </si>
  <si>
    <t>Laura</t>
  </si>
  <si>
    <t>Jeanne</t>
  </si>
  <si>
    <t>Dawn</t>
  </si>
  <si>
    <t>Sadie</t>
  </si>
  <si>
    <t>Belinda</t>
  </si>
  <si>
    <t>Joy</t>
  </si>
  <si>
    <t>Mariano</t>
  </si>
  <si>
    <t>Racquel</t>
  </si>
  <si>
    <t>Lucero</t>
  </si>
  <si>
    <t>Valerie</t>
  </si>
  <si>
    <t>Latoya</t>
  </si>
  <si>
    <t>Halimeh</t>
  </si>
  <si>
    <t>Alejandra</t>
  </si>
  <si>
    <t>Paula</t>
  </si>
  <si>
    <t>Shiba</t>
  </si>
  <si>
    <t>Liza</t>
  </si>
  <si>
    <t>Danielle</t>
  </si>
  <si>
    <t>Saabirah</t>
  </si>
  <si>
    <t>Regina</t>
  </si>
  <si>
    <t>Marilyn</t>
  </si>
  <si>
    <t>Sana</t>
  </si>
  <si>
    <t>Erica Gomez</t>
  </si>
  <si>
    <t>Leidy Yesenia Escandon</t>
  </si>
  <si>
    <t>Kim</t>
  </si>
  <si>
    <t>Peta</t>
  </si>
  <si>
    <t>Felipa</t>
  </si>
  <si>
    <t>Jenneha</t>
  </si>
  <si>
    <t>Aneicia</t>
  </si>
  <si>
    <t>Raisa</t>
  </si>
  <si>
    <t>Estela</t>
  </si>
  <si>
    <t>Otasowie</t>
  </si>
  <si>
    <t>Marquise</t>
  </si>
  <si>
    <t>Jeannette</t>
  </si>
  <si>
    <t>Rita</t>
  </si>
  <si>
    <t>Selena</t>
  </si>
  <si>
    <t>Mylah</t>
  </si>
  <si>
    <t>Lissa</t>
  </si>
  <si>
    <t>Alina</t>
  </si>
  <si>
    <t>Nikitia</t>
  </si>
  <si>
    <t>Alma</t>
  </si>
  <si>
    <t>Justina</t>
  </si>
  <si>
    <t>Tiara</t>
  </si>
  <si>
    <t>Marien</t>
  </si>
  <si>
    <t>Megnal</t>
  </si>
  <si>
    <t>Sylvia</t>
  </si>
  <si>
    <t>Natalie</t>
  </si>
  <si>
    <t>Louis</t>
  </si>
  <si>
    <t>Magdalia</t>
  </si>
  <si>
    <t>Socorro</t>
  </si>
  <si>
    <t>Eli</t>
  </si>
  <si>
    <t>Suzie</t>
  </si>
  <si>
    <t>Valerine</t>
  </si>
  <si>
    <t>Arinola</t>
  </si>
  <si>
    <t>Massa</t>
  </si>
  <si>
    <t>Lucy</t>
  </si>
  <si>
    <t>Christopher</t>
  </si>
  <si>
    <t>Daniela</t>
  </si>
  <si>
    <t>Corrine</t>
  </si>
  <si>
    <t>Dale</t>
  </si>
  <si>
    <t>Aquanetta</t>
  </si>
  <si>
    <t>Devora-Orit</t>
  </si>
  <si>
    <t>Felia</t>
  </si>
  <si>
    <t>Roma</t>
  </si>
  <si>
    <t>Migdalia</t>
  </si>
  <si>
    <t>Roxanne</t>
  </si>
  <si>
    <t>Joachim</t>
  </si>
  <si>
    <t>Akira</t>
  </si>
  <si>
    <t>Candice</t>
  </si>
  <si>
    <t>Abielene</t>
  </si>
  <si>
    <t>Andrej</t>
  </si>
  <si>
    <t>Valicia</t>
  </si>
  <si>
    <t>Eula</t>
  </si>
  <si>
    <t>Gino</t>
  </si>
  <si>
    <t>Hamdaani</t>
  </si>
  <si>
    <t>Nijha</t>
  </si>
  <si>
    <t>Francisaca</t>
  </si>
  <si>
    <t>Calvin</t>
  </si>
  <si>
    <t>Kin Sau</t>
  </si>
  <si>
    <t>Toby</t>
  </si>
  <si>
    <t>Sharena</t>
  </si>
  <si>
    <t>Marcia</t>
  </si>
  <si>
    <t>Kneysha</t>
  </si>
  <si>
    <t>Soribel</t>
  </si>
  <si>
    <t>Whitney</t>
  </si>
  <si>
    <t>Shakirah</t>
  </si>
  <si>
    <t>Elsie</t>
  </si>
  <si>
    <t>Hermilyn</t>
  </si>
  <si>
    <t>Gordon</t>
  </si>
  <si>
    <t>Albert</t>
  </si>
  <si>
    <t>Olga</t>
  </si>
  <si>
    <t>Bernandino</t>
  </si>
  <si>
    <t>Octavio</t>
  </si>
  <si>
    <t>Ridwane</t>
  </si>
  <si>
    <t>Leidy</t>
  </si>
  <si>
    <t>Tanya</t>
  </si>
  <si>
    <t>Samuel</t>
  </si>
  <si>
    <t>Shelly Ann</t>
  </si>
  <si>
    <t>Mabel</t>
  </si>
  <si>
    <t>Ildin</t>
  </si>
  <si>
    <t>Renee</t>
  </si>
  <si>
    <t>Celenio</t>
  </si>
  <si>
    <t>Brender</t>
  </si>
  <si>
    <t>Redis</t>
  </si>
  <si>
    <t>Waanibe</t>
  </si>
  <si>
    <t>Bonnie</t>
  </si>
  <si>
    <t>Matthew</t>
  </si>
  <si>
    <t>Eloisa</t>
  </si>
  <si>
    <t>Kyla</t>
  </si>
  <si>
    <t>Merisca</t>
  </si>
  <si>
    <t>Md</t>
  </si>
  <si>
    <t>Elvida</t>
  </si>
  <si>
    <t>LUCRETIA</t>
  </si>
  <si>
    <t>Sondra</t>
  </si>
  <si>
    <t>Abeda</t>
  </si>
  <si>
    <t>Katy</t>
  </si>
  <si>
    <t>Gautam</t>
  </si>
  <si>
    <t>Ramona</t>
  </si>
  <si>
    <t>Raquel</t>
  </si>
  <si>
    <t>Yukie</t>
  </si>
  <si>
    <t>Amy</t>
  </si>
  <si>
    <t>Cristal</t>
  </si>
  <si>
    <t>Charles</t>
  </si>
  <si>
    <t>Sajjad</t>
  </si>
  <si>
    <t>Daelee</t>
  </si>
  <si>
    <t>Bart</t>
  </si>
  <si>
    <t>Dane</t>
  </si>
  <si>
    <t>Jodi</t>
  </si>
  <si>
    <t>Tonia</t>
  </si>
  <si>
    <t>Bukola</t>
  </si>
  <si>
    <t>Lourdes</t>
  </si>
  <si>
    <t>Erasmo</t>
  </si>
  <si>
    <t>Ruby</t>
  </si>
  <si>
    <t>Eulalia</t>
  </si>
  <si>
    <t>Ivan</t>
  </si>
  <si>
    <t>Rossmery</t>
  </si>
  <si>
    <t>Colleen</t>
  </si>
  <si>
    <t>Clyde</t>
  </si>
  <si>
    <t>Celia</t>
  </si>
  <si>
    <t>Madeline</t>
  </si>
  <si>
    <t>Delores</t>
  </si>
  <si>
    <t>Shemaine</t>
  </si>
  <si>
    <t>Joe</t>
  </si>
  <si>
    <t>Vilma</t>
  </si>
  <si>
    <t>Monica</t>
  </si>
  <si>
    <t>Lovado</t>
  </si>
  <si>
    <t>Cindy</t>
  </si>
  <si>
    <t>Sebastian</t>
  </si>
  <si>
    <t>Tiffany</t>
  </si>
  <si>
    <t>Frantonya</t>
  </si>
  <si>
    <t>Cassandra</t>
  </si>
  <si>
    <t>Esther</t>
  </si>
  <si>
    <t>Mariana</t>
  </si>
  <si>
    <t>Scears</t>
  </si>
  <si>
    <t>Metania</t>
  </si>
  <si>
    <t>Yuriy</t>
  </si>
  <si>
    <t>Zhen Guang</t>
  </si>
  <si>
    <t>Ruben</t>
  </si>
  <si>
    <t>Natividad</t>
  </si>
  <si>
    <t>Abdul</t>
  </si>
  <si>
    <t>Stann</t>
  </si>
  <si>
    <t>Talitha</t>
  </si>
  <si>
    <t>Lourenco</t>
  </si>
  <si>
    <t>Otha</t>
  </si>
  <si>
    <t>Heather</t>
  </si>
  <si>
    <t>Kameeka</t>
  </si>
  <si>
    <t>Nichole</t>
  </si>
  <si>
    <t>Rodriene</t>
  </si>
  <si>
    <t>Franklin</t>
  </si>
  <si>
    <t>Oumaima</t>
  </si>
  <si>
    <t>Ferney</t>
  </si>
  <si>
    <t>Elva</t>
  </si>
  <si>
    <t>Kenia</t>
  </si>
  <si>
    <t>Ernest</t>
  </si>
  <si>
    <t>Ramon</t>
  </si>
  <si>
    <t>Hongjie</t>
  </si>
  <si>
    <t>Rosalind</t>
  </si>
  <si>
    <t>Ofelia</t>
  </si>
  <si>
    <t>Marie</t>
  </si>
  <si>
    <t>Wandy</t>
  </si>
  <si>
    <t>Xenia</t>
  </si>
  <si>
    <t>Asuncion</t>
  </si>
  <si>
    <t>Harry</t>
  </si>
  <si>
    <t>Jane</t>
  </si>
  <si>
    <t>Phyllis</t>
  </si>
  <si>
    <t>Blu</t>
  </si>
  <si>
    <t>Malisha</t>
  </si>
  <si>
    <t>Ron</t>
  </si>
  <si>
    <t>Asia</t>
  </si>
  <si>
    <t>Milagro</t>
  </si>
  <si>
    <t>Aquilina</t>
  </si>
  <si>
    <t>Oluwatosin</t>
  </si>
  <si>
    <t>Crystal</t>
  </si>
  <si>
    <t>Frederica</t>
  </si>
  <si>
    <t>Cielo</t>
  </si>
  <si>
    <t>Daisy</t>
  </si>
  <si>
    <t>Aracelis</t>
  </si>
  <si>
    <t>Vere</t>
  </si>
  <si>
    <t>Zul-qarnain</t>
  </si>
  <si>
    <t>Yara</t>
  </si>
  <si>
    <t>Solomon</t>
  </si>
  <si>
    <t>Mayra</t>
  </si>
  <si>
    <t>Carmel</t>
  </si>
  <si>
    <t>Towanda</t>
  </si>
  <si>
    <t>Michelle</t>
  </si>
  <si>
    <t>Julisa</t>
  </si>
  <si>
    <t>Jhana</t>
  </si>
  <si>
    <t>Vicenta</t>
  </si>
  <si>
    <t>Iraida</t>
  </si>
  <si>
    <t>Gwendolyn</t>
  </si>
  <si>
    <t>Ralph</t>
  </si>
  <si>
    <t>Tameca</t>
  </si>
  <si>
    <t>Edgar</t>
  </si>
  <si>
    <t>Lillian</t>
  </si>
  <si>
    <t>Antonio</t>
  </si>
  <si>
    <t>Tracey</t>
  </si>
  <si>
    <t>Yuberkis</t>
  </si>
  <si>
    <t>Quantika</t>
  </si>
  <si>
    <t>Khmari</t>
  </si>
  <si>
    <t>Reyna</t>
  </si>
  <si>
    <t>Phil</t>
  </si>
  <si>
    <t>Denie</t>
  </si>
  <si>
    <t>Florence</t>
  </si>
  <si>
    <t>Tumininu</t>
  </si>
  <si>
    <t>Avian</t>
  </si>
  <si>
    <t>Mayleen</t>
  </si>
  <si>
    <t>Jere</t>
  </si>
  <si>
    <t>Samantha</t>
  </si>
  <si>
    <t>Donald</t>
  </si>
  <si>
    <t>Soto</t>
  </si>
  <si>
    <t>Pierre</t>
  </si>
  <si>
    <t>Reginald</t>
  </si>
  <si>
    <t>Aleysi</t>
  </si>
  <si>
    <t>Frank</t>
  </si>
  <si>
    <t>Caridad</t>
  </si>
  <si>
    <t>Anselma</t>
  </si>
  <si>
    <t>Kathleen</t>
  </si>
  <si>
    <t>Yojanna</t>
  </si>
  <si>
    <t>Joan</t>
  </si>
  <si>
    <t>Shamark</t>
  </si>
  <si>
    <t>Hendrick</t>
  </si>
  <si>
    <t>Geraldine</t>
  </si>
  <si>
    <t>Shah</t>
  </si>
  <si>
    <t>Otilio</t>
  </si>
  <si>
    <t>Carlos</t>
  </si>
  <si>
    <t>Dusley</t>
  </si>
  <si>
    <t>Linda</t>
  </si>
  <si>
    <t>Veronica</t>
  </si>
  <si>
    <t>Fang</t>
  </si>
  <si>
    <t>Chastity</t>
  </si>
  <si>
    <t>Benita</t>
  </si>
  <si>
    <t>Alvin</t>
  </si>
  <si>
    <t>Melanie</t>
  </si>
  <si>
    <t>Ena</t>
  </si>
  <si>
    <t>Ernestine</t>
  </si>
  <si>
    <t>Ashley</t>
  </si>
  <si>
    <t>Tiffani</t>
  </si>
  <si>
    <t>Juanita</t>
  </si>
  <si>
    <t>Marcos</t>
  </si>
  <si>
    <t>Gabino</t>
  </si>
  <si>
    <t>Hernando</t>
  </si>
  <si>
    <t>Daysi</t>
  </si>
  <si>
    <t>Latanya</t>
  </si>
  <si>
    <t>Jardi</t>
  </si>
  <si>
    <t>Mildred</t>
  </si>
  <si>
    <t>Modesta</t>
  </si>
  <si>
    <t>Josefina</t>
  </si>
  <si>
    <t>Fredman</t>
  </si>
  <si>
    <t>Violanda</t>
  </si>
  <si>
    <t>Zoraida</t>
  </si>
  <si>
    <t>Dalmar</t>
  </si>
  <si>
    <t>Clive</t>
  </si>
  <si>
    <t>Karla</t>
  </si>
  <si>
    <t>Hesham</t>
  </si>
  <si>
    <t>Destiny</t>
  </si>
  <si>
    <t>Donell</t>
  </si>
  <si>
    <t>Michiko</t>
  </si>
  <si>
    <t>Dorothy</t>
  </si>
  <si>
    <t>Stevenson</t>
  </si>
  <si>
    <t>Sean</t>
  </si>
  <si>
    <t>Francia</t>
  </si>
  <si>
    <t>Graciela</t>
  </si>
  <si>
    <t>Jonathan</t>
  </si>
  <si>
    <t>Cherly</t>
  </si>
  <si>
    <t>Jorge</t>
  </si>
  <si>
    <t>Beatriz</t>
  </si>
  <si>
    <t>Alicia</t>
  </si>
  <si>
    <t>Neri</t>
  </si>
  <si>
    <t>Raphel</t>
  </si>
  <si>
    <t>Flavia</t>
  </si>
  <si>
    <t>Erica</t>
  </si>
  <si>
    <t>Nikita</t>
  </si>
  <si>
    <t>Loretta</t>
  </si>
  <si>
    <t>Karyn</t>
  </si>
  <si>
    <t>Daina</t>
  </si>
  <si>
    <t>Mahbub</t>
  </si>
  <si>
    <t>Monirul</t>
  </si>
  <si>
    <t>Vera</t>
  </si>
  <si>
    <t>Kyianna</t>
  </si>
  <si>
    <t>Gabriella</t>
  </si>
  <si>
    <t>Alexander</t>
  </si>
  <si>
    <t>Danesha</t>
  </si>
  <si>
    <t>Maurenee</t>
  </si>
  <si>
    <t>Ted</t>
  </si>
  <si>
    <t>Manuelita</t>
  </si>
  <si>
    <t>Zulma</t>
  </si>
  <si>
    <t>Rob</t>
  </si>
  <si>
    <t>Vincent</t>
  </si>
  <si>
    <t>Mehira</t>
  </si>
  <si>
    <t>Mireya</t>
  </si>
  <si>
    <t>Lakisha</t>
  </si>
  <si>
    <t>Andrew</t>
  </si>
  <si>
    <t>Vicente</t>
  </si>
  <si>
    <t>Hope</t>
  </si>
  <si>
    <t>Digna</t>
  </si>
  <si>
    <t>Waquar</t>
  </si>
  <si>
    <t>Natacha</t>
  </si>
  <si>
    <t>Fatima</t>
  </si>
  <si>
    <t>Susana</t>
  </si>
  <si>
    <t>Luisa</t>
  </si>
  <si>
    <t>Lola</t>
  </si>
  <si>
    <t>Yesenia</t>
  </si>
  <si>
    <t>Rosalia</t>
  </si>
  <si>
    <t>Magino</t>
  </si>
  <si>
    <t>Morris</t>
  </si>
  <si>
    <t>Krystyna</t>
  </si>
  <si>
    <t>Yomaira</t>
  </si>
  <si>
    <t>Narcisa</t>
  </si>
  <si>
    <t>Venice</t>
  </si>
  <si>
    <t>Desmond</t>
  </si>
  <si>
    <t>Eugene</t>
  </si>
  <si>
    <t>Marian Valdez</t>
  </si>
  <si>
    <t>Rachael</t>
  </si>
  <si>
    <t>Janice</t>
  </si>
  <si>
    <t>Tamika</t>
  </si>
  <si>
    <t>Todd</t>
  </si>
  <si>
    <t>Agnes</t>
  </si>
  <si>
    <t>Yuverky</t>
  </si>
  <si>
    <t>Edith</t>
  </si>
  <si>
    <t>Johny</t>
  </si>
  <si>
    <t>Evita</t>
  </si>
  <si>
    <t>Esperanza</t>
  </si>
  <si>
    <t>Desra</t>
  </si>
  <si>
    <t>Leslie</t>
  </si>
  <si>
    <t>Vivian</t>
  </si>
  <si>
    <t>Inocencio</t>
  </si>
  <si>
    <t>Trilbie</t>
  </si>
  <si>
    <t>Maritza</t>
  </si>
  <si>
    <t>Jessie</t>
  </si>
  <si>
    <t>Clarice</t>
  </si>
  <si>
    <t>Jae</t>
  </si>
  <si>
    <t>Temistocles</t>
  </si>
  <si>
    <t>Beryl</t>
  </si>
  <si>
    <t>Aysha</t>
  </si>
  <si>
    <t>Johnathan</t>
  </si>
  <si>
    <t>Ariel</t>
  </si>
  <si>
    <t>Timothy</t>
  </si>
  <si>
    <t>Hosnahara</t>
  </si>
  <si>
    <t>Govchlya</t>
  </si>
  <si>
    <t>Murris</t>
  </si>
  <si>
    <t>Jorinda</t>
  </si>
  <si>
    <t>Ernesto</t>
  </si>
  <si>
    <t>Dazil</t>
  </si>
  <si>
    <t>Nedra</t>
  </si>
  <si>
    <t>Malana</t>
  </si>
  <si>
    <t>Gail</t>
  </si>
  <si>
    <t>Martiza</t>
  </si>
  <si>
    <t>Jenaire</t>
  </si>
  <si>
    <t>Marcel</t>
  </si>
  <si>
    <t>Loida</t>
  </si>
  <si>
    <t>Kieran</t>
  </si>
  <si>
    <t>Alyssa</t>
  </si>
  <si>
    <t>Wilmer</t>
  </si>
  <si>
    <t>Deidre</t>
  </si>
  <si>
    <t>Maleja</t>
  </si>
  <si>
    <t>Jermaine</t>
  </si>
  <si>
    <t>Maureen</t>
  </si>
  <si>
    <t>Daewoo</t>
  </si>
  <si>
    <t>Cathy</t>
  </si>
  <si>
    <t>Carrie</t>
  </si>
  <si>
    <t>Theresa</t>
  </si>
  <si>
    <t>Halima</t>
  </si>
  <si>
    <t>Dania</t>
  </si>
  <si>
    <t>Diana</t>
  </si>
  <si>
    <t>Adiel</t>
  </si>
  <si>
    <t>Jade</t>
  </si>
  <si>
    <t>Dulce</t>
  </si>
  <si>
    <t>Hazel</t>
  </si>
  <si>
    <t>Charisse</t>
  </si>
  <si>
    <t>Fossillon</t>
  </si>
  <si>
    <t>Bernadette</t>
  </si>
  <si>
    <t>Brette</t>
  </si>
  <si>
    <t>Norberto</t>
  </si>
  <si>
    <t>Dara</t>
  </si>
  <si>
    <t>Prestina</t>
  </si>
  <si>
    <t>Francisco</t>
  </si>
  <si>
    <t>Sherry</t>
  </si>
  <si>
    <t>Dian</t>
  </si>
  <si>
    <t>Ryanna</t>
  </si>
  <si>
    <t>Viela</t>
  </si>
  <si>
    <t>Liautaud</t>
  </si>
  <si>
    <t>Ramesh</t>
  </si>
  <si>
    <t>Kayla</t>
  </si>
  <si>
    <t>Takeisha</t>
  </si>
  <si>
    <t>Salisha</t>
  </si>
  <si>
    <t>Kenneshea</t>
  </si>
  <si>
    <t>Rhonda</t>
  </si>
  <si>
    <t>Jack</t>
  </si>
  <si>
    <t>Tiyanna</t>
  </si>
  <si>
    <t>Aracelly</t>
  </si>
  <si>
    <t>Gary</t>
  </si>
  <si>
    <t>Trent</t>
  </si>
  <si>
    <t>Herlin</t>
  </si>
  <si>
    <t>Mirely</t>
  </si>
  <si>
    <t>Therese</t>
  </si>
  <si>
    <t>Angellica</t>
  </si>
  <si>
    <t>Jaime</t>
  </si>
  <si>
    <t>Dawna</t>
  </si>
  <si>
    <t>Obiaba</t>
  </si>
  <si>
    <t>Arthur</t>
  </si>
  <si>
    <t>Dylan</t>
  </si>
  <si>
    <t>Zeribel</t>
  </si>
  <si>
    <t>Mercedes</t>
  </si>
  <si>
    <t>I</t>
  </si>
  <si>
    <t>Faruk</t>
  </si>
  <si>
    <t>Phon</t>
  </si>
  <si>
    <t>Teresita</t>
  </si>
  <si>
    <t>Nermine</t>
  </si>
  <si>
    <t>Sursattie</t>
  </si>
  <si>
    <t>Brian</t>
  </si>
  <si>
    <t>Marilu</t>
  </si>
  <si>
    <t>Hanirka</t>
  </si>
  <si>
    <t>Sidi</t>
  </si>
  <si>
    <t>Antoine</t>
  </si>
  <si>
    <t>Anderson</t>
  </si>
  <si>
    <t>Ada</t>
  </si>
  <si>
    <t>Olivia</t>
  </si>
  <si>
    <t>Sheila</t>
  </si>
  <si>
    <t>Armanda</t>
  </si>
  <si>
    <t>Moduju</t>
  </si>
  <si>
    <t>Deanna</t>
  </si>
  <si>
    <t>Carolyn</t>
  </si>
  <si>
    <t>In Sun</t>
  </si>
  <si>
    <t>Jacinto</t>
  </si>
  <si>
    <t>Debra</t>
  </si>
  <si>
    <t>Gisela</t>
  </si>
  <si>
    <t>Leonora</t>
  </si>
  <si>
    <t>Anna</t>
  </si>
  <si>
    <t>Katherine</t>
  </si>
  <si>
    <t>Altagracia</t>
  </si>
  <si>
    <t>Hector</t>
  </si>
  <si>
    <t>Magnolia</t>
  </si>
  <si>
    <t>Nedia</t>
  </si>
  <si>
    <t>Sheena</t>
  </si>
  <si>
    <t>Yadira</t>
  </si>
  <si>
    <t>Peter</t>
  </si>
  <si>
    <t>Sing Hang</t>
  </si>
  <si>
    <t>Quyen</t>
  </si>
  <si>
    <t>Latisha</t>
  </si>
  <si>
    <t>Suheylee</t>
  </si>
  <si>
    <t>Lawrence</t>
  </si>
  <si>
    <t>Nadine</t>
  </si>
  <si>
    <t>Edna</t>
  </si>
  <si>
    <t>Eulogia</t>
  </si>
  <si>
    <t>Vernice</t>
  </si>
  <si>
    <t>Marvilin</t>
  </si>
  <si>
    <t>Mario</t>
  </si>
  <si>
    <t>Francesca</t>
  </si>
  <si>
    <t>Georgette</t>
  </si>
  <si>
    <t>Ray</t>
  </si>
  <si>
    <t>Maude</t>
  </si>
  <si>
    <t>Rosita</t>
  </si>
  <si>
    <t>Gretelle</t>
  </si>
  <si>
    <t>Ryan</t>
  </si>
  <si>
    <t>Blondy</t>
  </si>
  <si>
    <t>Ziola</t>
  </si>
  <si>
    <t>Ivette</t>
  </si>
  <si>
    <t>Rosemae</t>
  </si>
  <si>
    <t>Shani</t>
  </si>
  <si>
    <t>Bridget</t>
  </si>
  <si>
    <t>Alex</t>
  </si>
  <si>
    <t>Hovac</t>
  </si>
  <si>
    <t>Alexandria</t>
  </si>
  <si>
    <t>Tomicka</t>
  </si>
  <si>
    <t>Janean</t>
  </si>
  <si>
    <t>Brendan</t>
  </si>
  <si>
    <t>Gael</t>
  </si>
  <si>
    <t>Howard</t>
  </si>
  <si>
    <t>Archie</t>
  </si>
  <si>
    <t>Bill</t>
  </si>
  <si>
    <t>Naomi</t>
  </si>
  <si>
    <t>Delia</t>
  </si>
  <si>
    <t>Myrna</t>
  </si>
  <si>
    <t>Selwyn</t>
  </si>
  <si>
    <t>Geneva</t>
  </si>
  <si>
    <t>Yahaira</t>
  </si>
  <si>
    <t>Kalven</t>
  </si>
  <si>
    <t>Nicholas</t>
  </si>
  <si>
    <t>Leonides</t>
  </si>
  <si>
    <t>Patrice</t>
  </si>
  <si>
    <t>Jerry</t>
  </si>
  <si>
    <t>Russell</t>
  </si>
  <si>
    <t>Mujahid</t>
  </si>
  <si>
    <t>Marva</t>
  </si>
  <si>
    <t>Cristina</t>
  </si>
  <si>
    <t>Hannah</t>
  </si>
  <si>
    <t>Jackie</t>
  </si>
  <si>
    <t>Zobeida</t>
  </si>
  <si>
    <t>Winston</t>
  </si>
  <si>
    <t>Tameka</t>
  </si>
  <si>
    <t>Nidia</t>
  </si>
  <si>
    <t>Barton</t>
  </si>
  <si>
    <t>Julie</t>
  </si>
  <si>
    <t>Latif</t>
  </si>
  <si>
    <t>Justin</t>
  </si>
  <si>
    <t>Onia</t>
  </si>
  <si>
    <t>Kezira</t>
  </si>
  <si>
    <t>Tshura</t>
  </si>
  <si>
    <t>Fanny</t>
  </si>
  <si>
    <t>Rosario</t>
  </si>
  <si>
    <t>Xinque</t>
  </si>
  <si>
    <t>Widisaberto</t>
  </si>
  <si>
    <t>Afra</t>
  </si>
  <si>
    <t>Alberto</t>
  </si>
  <si>
    <t>Sade</t>
  </si>
  <si>
    <t>Shernelle</t>
  </si>
  <si>
    <t>Rosemarie</t>
  </si>
  <si>
    <t>Chetree</t>
  </si>
  <si>
    <t>Doris</t>
  </si>
  <si>
    <t>Susie</t>
  </si>
  <si>
    <t>Janith</t>
  </si>
  <si>
    <t>Elicha</t>
  </si>
  <si>
    <t>Dionne</t>
  </si>
  <si>
    <t>Rosaly</t>
  </si>
  <si>
    <t>Austin</t>
  </si>
  <si>
    <t>Ymelda</t>
  </si>
  <si>
    <t>Deyaniris</t>
  </si>
  <si>
    <t>Kelvin</t>
  </si>
  <si>
    <t>Nina</t>
  </si>
  <si>
    <t>Guillermo</t>
  </si>
  <si>
    <t>Kelli</t>
  </si>
  <si>
    <t>Dianna</t>
  </si>
  <si>
    <t>Juanne</t>
  </si>
  <si>
    <t>Cristian</t>
  </si>
  <si>
    <t>Suzanne</t>
  </si>
  <si>
    <t>Dora</t>
  </si>
  <si>
    <t>Kenny</t>
  </si>
  <si>
    <t>Christian</t>
  </si>
  <si>
    <t>Marsha</t>
  </si>
  <si>
    <t>Maryline</t>
  </si>
  <si>
    <t>Nicolette</t>
  </si>
  <si>
    <t>Lovasia</t>
  </si>
  <si>
    <t>Ellen</t>
  </si>
  <si>
    <t>Sophia</t>
  </si>
  <si>
    <t>Sonya</t>
  </si>
  <si>
    <t>Savannah</t>
  </si>
  <si>
    <t>Takisha</t>
  </si>
  <si>
    <t>Mayi</t>
  </si>
  <si>
    <t>Shawn</t>
  </si>
  <si>
    <t>Gertrude</t>
  </si>
  <si>
    <t>Gemma</t>
  </si>
  <si>
    <t>Mattie</t>
  </si>
  <si>
    <t>Imelda</t>
  </si>
  <si>
    <t>Myra</t>
  </si>
  <si>
    <t>Flor</t>
  </si>
  <si>
    <t>Euginia</t>
  </si>
  <si>
    <t>Antonia</t>
  </si>
  <si>
    <t>Agatha</t>
  </si>
  <si>
    <t>Myriam</t>
  </si>
  <si>
    <t>Benanacio</t>
  </si>
  <si>
    <t>Tyeonna</t>
  </si>
  <si>
    <t>Jewel</t>
  </si>
  <si>
    <t>Ireen</t>
  </si>
  <si>
    <t>Phyliss</t>
  </si>
  <si>
    <t>Litz</t>
  </si>
  <si>
    <t>Marcella</t>
  </si>
  <si>
    <t>Mohammed</t>
  </si>
  <si>
    <t>Mitchell</t>
  </si>
  <si>
    <t>Keneeda</t>
  </si>
  <si>
    <t>Vaughn</t>
  </si>
  <si>
    <t>Kristen</t>
  </si>
  <si>
    <t>Dannielle</t>
  </si>
  <si>
    <t>Lucita</t>
  </si>
  <si>
    <t>Norkis</t>
  </si>
  <si>
    <t>Mariel</t>
  </si>
  <si>
    <t>Joaris</t>
  </si>
  <si>
    <t>Myranda</t>
  </si>
  <si>
    <t>Brannon</t>
  </si>
  <si>
    <t>Virgilio</t>
  </si>
  <si>
    <t>Jay</t>
  </si>
  <si>
    <t>Evangelista</t>
  </si>
  <si>
    <t>Lupita</t>
  </si>
  <si>
    <t>Kimmi</t>
  </si>
  <si>
    <t>Jeffrey</t>
  </si>
  <si>
    <t>Hossin</t>
  </si>
  <si>
    <t>Jhon</t>
  </si>
  <si>
    <t>Garcia</t>
  </si>
  <si>
    <t>Jesus</t>
  </si>
  <si>
    <t>Outmane</t>
  </si>
  <si>
    <t>Ousmane</t>
  </si>
  <si>
    <t>Eucarina</t>
  </si>
  <si>
    <t>Elena</t>
  </si>
  <si>
    <t>Bienvenido</t>
  </si>
  <si>
    <t>Angelique</t>
  </si>
  <si>
    <t>Belkis</t>
  </si>
  <si>
    <t>Becky</t>
  </si>
  <si>
    <t>Saul</t>
  </si>
  <si>
    <t>Marcela</t>
  </si>
  <si>
    <t>Jeremy</t>
  </si>
  <si>
    <t>Sucre</t>
  </si>
  <si>
    <t>Yaribel</t>
  </si>
  <si>
    <t>Lila</t>
  </si>
  <si>
    <t>Myrtle</t>
  </si>
  <si>
    <t>Heth</t>
  </si>
  <si>
    <t>Mikhail</t>
  </si>
  <si>
    <t>Isaac</t>
  </si>
  <si>
    <t>Anne</t>
  </si>
  <si>
    <t>Yiny</t>
  </si>
  <si>
    <t>Young Tae</t>
  </si>
  <si>
    <t>Raaheela</t>
  </si>
  <si>
    <t>Essence</t>
  </si>
  <si>
    <t>Trelane</t>
  </si>
  <si>
    <t>Annie</t>
  </si>
  <si>
    <t>Lisbeth</t>
  </si>
  <si>
    <t>Melody</t>
  </si>
  <si>
    <t>Chord Ling</t>
  </si>
  <si>
    <t>Venetta</t>
  </si>
  <si>
    <t>Viola</t>
  </si>
  <si>
    <t>Alfredo</t>
  </si>
  <si>
    <t>Joann</t>
  </si>
  <si>
    <t>Jamilah</t>
  </si>
  <si>
    <t>Shahnaz</t>
  </si>
  <si>
    <t>Lakya</t>
  </si>
  <si>
    <t>Ephemie</t>
  </si>
  <si>
    <t>Ed</t>
  </si>
  <si>
    <t>Ellison</t>
  </si>
  <si>
    <t>Il</t>
  </si>
  <si>
    <t>Charise</t>
  </si>
  <si>
    <t>Charmise</t>
  </si>
  <si>
    <t>Rigoberto</t>
  </si>
  <si>
    <t>Carl</t>
  </si>
  <si>
    <t>Aminata</t>
  </si>
  <si>
    <t>Mariama</t>
  </si>
  <si>
    <t>Fanta</t>
  </si>
  <si>
    <t>Alejandro</t>
  </si>
  <si>
    <t>Elvira</t>
  </si>
  <si>
    <t>Henrietta</t>
  </si>
  <si>
    <t>Isatu</t>
  </si>
  <si>
    <t>YRALDA</t>
  </si>
  <si>
    <t>Renauld</t>
  </si>
  <si>
    <t>Carloyn</t>
  </si>
  <si>
    <t>Erika</t>
  </si>
  <si>
    <t>Shamik</t>
  </si>
  <si>
    <t>Alka</t>
  </si>
  <si>
    <t>Alba</t>
  </si>
  <si>
    <t>Georgina</t>
  </si>
  <si>
    <t>Alan</t>
  </si>
  <si>
    <t>Janette</t>
  </si>
  <si>
    <t>Monisa</t>
  </si>
  <si>
    <t>Gracemarie</t>
  </si>
  <si>
    <t>Yocelyn</t>
  </si>
  <si>
    <t>Latice</t>
  </si>
  <si>
    <t>Darchelle</t>
  </si>
  <si>
    <t>Melba</t>
  </si>
  <si>
    <t>Naida</t>
  </si>
  <si>
    <t>Mallery</t>
  </si>
  <si>
    <t>Shakema</t>
  </si>
  <si>
    <t>Test</t>
  </si>
  <si>
    <t>Elisa</t>
  </si>
  <si>
    <t>Artriva</t>
  </si>
  <si>
    <t>Helene</t>
  </si>
  <si>
    <t>Nastassja</t>
  </si>
  <si>
    <t>Denice</t>
  </si>
  <si>
    <t>Jason</t>
  </si>
  <si>
    <t>Ladora</t>
  </si>
  <si>
    <t>Lubin</t>
  </si>
  <si>
    <t>Gabriela</t>
  </si>
  <si>
    <t>Sikhumbuzo</t>
  </si>
  <si>
    <t>Susalin</t>
  </si>
  <si>
    <t>Ovidian</t>
  </si>
  <si>
    <t>Luzelbi</t>
  </si>
  <si>
    <t>Charlotte</t>
  </si>
  <si>
    <t>Mariam</t>
  </si>
  <si>
    <t>Geraldina</t>
  </si>
  <si>
    <t>Pelagio</t>
  </si>
  <si>
    <t>Nuria</t>
  </si>
  <si>
    <t>Ibrahim</t>
  </si>
  <si>
    <t>Ampara</t>
  </si>
  <si>
    <t>Charlene</t>
  </si>
  <si>
    <t>Kathy</t>
  </si>
  <si>
    <t>Isi</t>
  </si>
  <si>
    <t>Keysha</t>
  </si>
  <si>
    <t>Dolore</t>
  </si>
  <si>
    <t>Hanan</t>
  </si>
  <si>
    <t>Mahranie</t>
  </si>
  <si>
    <t>Beth</t>
  </si>
  <si>
    <t>Darneice</t>
  </si>
  <si>
    <t>Collette</t>
  </si>
  <si>
    <t>Danny</t>
  </si>
  <si>
    <t>Baka</t>
  </si>
  <si>
    <t>Lucindia</t>
  </si>
  <si>
    <t>Abdulai</t>
  </si>
  <si>
    <t>Lakeshia</t>
  </si>
  <si>
    <t>Ventesa</t>
  </si>
  <si>
    <t>Bienvenida</t>
  </si>
  <si>
    <t>Morillo</t>
  </si>
  <si>
    <t>Zulema</t>
  </si>
  <si>
    <t>Silvia</t>
  </si>
  <si>
    <t>Florinda</t>
  </si>
  <si>
    <t>Malik</t>
  </si>
  <si>
    <t>Manuel</t>
  </si>
  <si>
    <t>Hussain</t>
  </si>
  <si>
    <t>Odette</t>
  </si>
  <si>
    <t>Rachelle</t>
  </si>
  <si>
    <t>Prakash</t>
  </si>
  <si>
    <t>Oida</t>
  </si>
  <si>
    <t>Beatrice</t>
  </si>
  <si>
    <t>Bernard</t>
  </si>
  <si>
    <t>Bassam</t>
  </si>
  <si>
    <t>Doretha</t>
  </si>
  <si>
    <t>Mariatou</t>
  </si>
  <si>
    <t>Gloribel</t>
  </si>
  <si>
    <t>Melania</t>
  </si>
  <si>
    <t>Shui Jin</t>
  </si>
  <si>
    <t>Livia</t>
  </si>
  <si>
    <t>Salahuddin</t>
  </si>
  <si>
    <t>Eddie</t>
  </si>
  <si>
    <t>Moses</t>
  </si>
  <si>
    <t>Ines</t>
  </si>
  <si>
    <t>Enrique</t>
  </si>
  <si>
    <t>Isha</t>
  </si>
  <si>
    <t>Carlina</t>
  </si>
  <si>
    <t>Harvey</t>
  </si>
  <si>
    <t>Rodolfo</t>
  </si>
  <si>
    <t>Freddy</t>
  </si>
  <si>
    <t>Millie</t>
  </si>
  <si>
    <t>Ivo</t>
  </si>
  <si>
    <t>Ibrahima</t>
  </si>
  <si>
    <t>Mamie</t>
  </si>
  <si>
    <t>Andrea</t>
  </si>
  <si>
    <t>En</t>
  </si>
  <si>
    <t>Haoua</t>
  </si>
  <si>
    <t>Diandre</t>
  </si>
  <si>
    <t>Esramo</t>
  </si>
  <si>
    <t>Ansar</t>
  </si>
  <si>
    <t>Tomika</t>
  </si>
  <si>
    <t>Hanika</t>
  </si>
  <si>
    <t>Arcides</t>
  </si>
  <si>
    <t>Jamal</t>
  </si>
  <si>
    <t>Janet</t>
  </si>
  <si>
    <t>Darryl</t>
  </si>
  <si>
    <t>Cherilyn</t>
  </si>
  <si>
    <t>Obed</t>
  </si>
  <si>
    <t>Yiraldy</t>
  </si>
  <si>
    <t>Andreen</t>
  </si>
  <si>
    <t>Rosalba</t>
  </si>
  <si>
    <t>Marisa</t>
  </si>
  <si>
    <t>Jacquelynn</t>
  </si>
  <si>
    <t>Domg</t>
  </si>
  <si>
    <t>Alara</t>
  </si>
  <si>
    <t>Latesha</t>
  </si>
  <si>
    <t>Amina</t>
  </si>
  <si>
    <t>Cheik</t>
  </si>
  <si>
    <t>Dalcio</t>
  </si>
  <si>
    <t>Rosanna</t>
  </si>
  <si>
    <t>Shpendi</t>
  </si>
  <si>
    <t>Rosalina</t>
  </si>
  <si>
    <t>Desiree</t>
  </si>
  <si>
    <t>Anila</t>
  </si>
  <si>
    <t>Trach</t>
  </si>
  <si>
    <t>La-Dawn</t>
  </si>
  <si>
    <t>Eloise</t>
  </si>
  <si>
    <t>Ajulet</t>
  </si>
  <si>
    <t>Julissa</t>
  </si>
  <si>
    <t>Rosa Marie</t>
  </si>
  <si>
    <t>Bweela</t>
  </si>
  <si>
    <t>Yaniris</t>
  </si>
  <si>
    <t>Letisha</t>
  </si>
  <si>
    <t>Heavenly</t>
  </si>
  <si>
    <t>Iyakka</t>
  </si>
  <si>
    <t>Tanachi</t>
  </si>
  <si>
    <t>Engels</t>
  </si>
  <si>
    <t>Nikcole</t>
  </si>
  <si>
    <t>Mayai</t>
  </si>
  <si>
    <t>Elaine</t>
  </si>
  <si>
    <t>Davika</t>
  </si>
  <si>
    <t>Janelle</t>
  </si>
  <si>
    <t>Coral</t>
  </si>
  <si>
    <t>Nemesia</t>
  </si>
  <si>
    <t>Tanja</t>
  </si>
  <si>
    <t>India</t>
  </si>
  <si>
    <t>Indra</t>
  </si>
  <si>
    <t>Thomisina</t>
  </si>
  <si>
    <t>Adam</t>
  </si>
  <si>
    <t>Qing Hai</t>
  </si>
  <si>
    <t>Shorok</t>
  </si>
  <si>
    <t>Alvaro</t>
  </si>
  <si>
    <t>Martina</t>
  </si>
  <si>
    <t>Xiu Hua</t>
  </si>
  <si>
    <t>Deshawn</t>
  </si>
  <si>
    <t>Connie</t>
  </si>
  <si>
    <t>Lateef</t>
  </si>
  <si>
    <t>Afiya</t>
  </si>
  <si>
    <t>Tanita</t>
  </si>
  <si>
    <t>Chanette</t>
  </si>
  <si>
    <t>Celestine</t>
  </si>
  <si>
    <t>Jokeyda</t>
  </si>
  <si>
    <t>Josheema</t>
  </si>
  <si>
    <t>Shatasha</t>
  </si>
  <si>
    <t>Dandio</t>
  </si>
  <si>
    <t>Salamata</t>
  </si>
  <si>
    <t>Jill</t>
  </si>
  <si>
    <t>Lee</t>
  </si>
  <si>
    <t>Farkunda</t>
  </si>
  <si>
    <t>Marleny</t>
  </si>
  <si>
    <t>Noah</t>
  </si>
  <si>
    <t>Bishaisth</t>
  </si>
  <si>
    <t>Sanjoy</t>
  </si>
  <si>
    <t>Alaina</t>
  </si>
  <si>
    <t>Selvyn</t>
  </si>
  <si>
    <t>Fatou</t>
  </si>
  <si>
    <t>Don</t>
  </si>
  <si>
    <t>Stanley</t>
  </si>
  <si>
    <t>Hagie</t>
  </si>
  <si>
    <t>Alice</t>
  </si>
  <si>
    <t>Matt</t>
  </si>
  <si>
    <t>Alton</t>
  </si>
  <si>
    <t>Nilma</t>
  </si>
  <si>
    <t>Sujeny</t>
  </si>
  <si>
    <t>Clara</t>
  </si>
  <si>
    <t>Dongqing</t>
  </si>
  <si>
    <t>Ervin</t>
  </si>
  <si>
    <t>cassandra</t>
  </si>
  <si>
    <t>Buthaynah</t>
  </si>
  <si>
    <t>Stardasha</t>
  </si>
  <si>
    <t>Grace</t>
  </si>
  <si>
    <t>Shelease</t>
  </si>
  <si>
    <t>Nana</t>
  </si>
  <si>
    <t>Lattina</t>
  </si>
  <si>
    <t>MIchelle</t>
  </si>
  <si>
    <t>Jules</t>
  </si>
  <si>
    <t>Suranyely</t>
  </si>
  <si>
    <t>Kwadwo</t>
  </si>
  <si>
    <t>Shanice</t>
  </si>
  <si>
    <t>Baboo</t>
  </si>
  <si>
    <t>Jamie</t>
  </si>
  <si>
    <t>Mandy</t>
  </si>
  <si>
    <t>Claude</t>
  </si>
  <si>
    <t>Duane</t>
  </si>
  <si>
    <t>Morenike</t>
  </si>
  <si>
    <t>Kara</t>
  </si>
  <si>
    <t>Natsumi</t>
  </si>
  <si>
    <t>Leoney</t>
  </si>
  <si>
    <t>Damien</t>
  </si>
  <si>
    <t>Ayaka</t>
  </si>
  <si>
    <t>Maurice</t>
  </si>
  <si>
    <t>Monesha</t>
  </si>
  <si>
    <t>Abay</t>
  </si>
  <si>
    <t>Candace</t>
  </si>
  <si>
    <t>Zahra</t>
  </si>
  <si>
    <t>Kwame</t>
  </si>
  <si>
    <t>Brigit</t>
  </si>
  <si>
    <t>Hermes</t>
  </si>
  <si>
    <t>Zeniph</t>
  </si>
  <si>
    <t>Yomaylin</t>
  </si>
  <si>
    <t>Nakia</t>
  </si>
  <si>
    <t>Caprice</t>
  </si>
  <si>
    <t>Wafaa</t>
  </si>
  <si>
    <t>Jaebets</t>
  </si>
  <si>
    <t>Jephtah</t>
  </si>
  <si>
    <t>Cherise</t>
  </si>
  <si>
    <t>Kamila</t>
  </si>
  <si>
    <t>Simone T.</t>
  </si>
  <si>
    <t>GILBERTO</t>
  </si>
  <si>
    <t>Jourdan</t>
  </si>
  <si>
    <t>Olympia</t>
  </si>
  <si>
    <t>Sasha</t>
  </si>
  <si>
    <t>Aurelio</t>
  </si>
  <si>
    <t>Bourema</t>
  </si>
  <si>
    <t>Vanessa</t>
  </si>
  <si>
    <t>Evaggelica</t>
  </si>
  <si>
    <t>Hailes</t>
  </si>
  <si>
    <t>josephine</t>
  </si>
  <si>
    <t>Chris</t>
  </si>
  <si>
    <t>Karolina</t>
  </si>
  <si>
    <t>Sherise</t>
  </si>
  <si>
    <t>Quincy</t>
  </si>
  <si>
    <t>Jesse</t>
  </si>
  <si>
    <t>Keenan</t>
  </si>
  <si>
    <t>Marissa</t>
  </si>
  <si>
    <t>Taearia</t>
  </si>
  <si>
    <t>Terry</t>
  </si>
  <si>
    <t>Genea</t>
  </si>
  <si>
    <t>Zainab</t>
  </si>
  <si>
    <t>Augustina</t>
  </si>
  <si>
    <t>Chaamel</t>
  </si>
  <si>
    <t>Chotarde</t>
  </si>
  <si>
    <t>Rimeyao</t>
  </si>
  <si>
    <t>Wilberforce</t>
  </si>
  <si>
    <t>Klarita</t>
  </si>
  <si>
    <t>Clifford</t>
  </si>
  <si>
    <t>Charley</t>
  </si>
  <si>
    <t>Ayodel</t>
  </si>
  <si>
    <t>Grisel</t>
  </si>
  <si>
    <t>Mazie</t>
  </si>
  <si>
    <t>Shawntiqua</t>
  </si>
  <si>
    <t>Rosalyn</t>
  </si>
  <si>
    <t>Drew</t>
  </si>
  <si>
    <t>Jaquelin</t>
  </si>
  <si>
    <t>Marjorie</t>
  </si>
  <si>
    <t>Evens</t>
  </si>
  <si>
    <t>Lucas</t>
  </si>
  <si>
    <t>Derek</t>
  </si>
  <si>
    <t>Kira</t>
  </si>
  <si>
    <t>Teara</t>
  </si>
  <si>
    <t>Daijuan</t>
  </si>
  <si>
    <t>Louise</t>
  </si>
  <si>
    <t>Nickesha</t>
  </si>
  <si>
    <t>Karah</t>
  </si>
  <si>
    <t>Melchezedek</t>
  </si>
  <si>
    <t>Mackenzie</t>
  </si>
  <si>
    <t>Darion</t>
  </si>
  <si>
    <t>Arabesky</t>
  </si>
  <si>
    <t>Rowland</t>
  </si>
  <si>
    <t>Javier</t>
  </si>
  <si>
    <t>Kunei</t>
  </si>
  <si>
    <t>Leons</t>
  </si>
  <si>
    <t>Joice</t>
  </si>
  <si>
    <t>Johana</t>
  </si>
  <si>
    <t>Shenecqua</t>
  </si>
  <si>
    <t>Issaka</t>
  </si>
  <si>
    <t>Yoong</t>
  </si>
  <si>
    <t>Gaye</t>
  </si>
  <si>
    <t>Yves</t>
  </si>
  <si>
    <t>Moutakilou</t>
  </si>
  <si>
    <t>Unique</t>
  </si>
  <si>
    <t>Mikael</t>
  </si>
  <si>
    <t>Bobby</t>
  </si>
  <si>
    <t>Juan Samuel</t>
  </si>
  <si>
    <t>Hemmer</t>
  </si>
  <si>
    <t>Melodie</t>
  </si>
  <si>
    <t>Yusuf</t>
  </si>
  <si>
    <t>Melinda</t>
  </si>
  <si>
    <t>Tristan</t>
  </si>
  <si>
    <t>Paris</t>
  </si>
  <si>
    <t>Bernise</t>
  </si>
  <si>
    <t>Rozina</t>
  </si>
  <si>
    <t>Keila</t>
  </si>
  <si>
    <t>Ronnie</t>
  </si>
  <si>
    <t>Thalasia</t>
  </si>
  <si>
    <t>Aurora</t>
  </si>
  <si>
    <t>Yashna</t>
  </si>
  <si>
    <t>Irene</t>
  </si>
  <si>
    <t>Ina</t>
  </si>
  <si>
    <t>Shruti</t>
  </si>
  <si>
    <t>Giselle</t>
  </si>
  <si>
    <t>Jacob</t>
  </si>
  <si>
    <t>Waseem</t>
  </si>
  <si>
    <t>Amirrah</t>
  </si>
  <si>
    <t>Tesha</t>
  </si>
  <si>
    <t>Barry</t>
  </si>
  <si>
    <t>Iesha</t>
  </si>
  <si>
    <t>Rene</t>
  </si>
  <si>
    <t>Brett</t>
  </si>
  <si>
    <t>Mikhael</t>
  </si>
  <si>
    <t>Kishia</t>
  </si>
  <si>
    <t>Emmanuel</t>
  </si>
  <si>
    <t>Gabrielle</t>
  </si>
  <si>
    <t>Alexcia</t>
  </si>
  <si>
    <t>Kelly</t>
  </si>
  <si>
    <t>Magdalena</t>
  </si>
  <si>
    <t>Fantasia</t>
  </si>
  <si>
    <t>Toinethia</t>
  </si>
  <si>
    <t>Mary Sue</t>
  </si>
  <si>
    <t>Jada</t>
  </si>
  <si>
    <t>Luigi</t>
  </si>
  <si>
    <t>Maryann</t>
  </si>
  <si>
    <t>Lakysha</t>
  </si>
  <si>
    <t>Lanet</t>
  </si>
  <si>
    <t>Myahdellese</t>
  </si>
  <si>
    <t>Evelia</t>
  </si>
  <si>
    <t>Trishina</t>
  </si>
  <si>
    <t>Sharmine</t>
  </si>
  <si>
    <t>Sipro</t>
  </si>
  <si>
    <t>Yasmin</t>
  </si>
  <si>
    <t>Tynisha</t>
  </si>
  <si>
    <t>Sheba</t>
  </si>
  <si>
    <t>Lou</t>
  </si>
  <si>
    <t>Naimah</t>
  </si>
  <si>
    <t>Giorgi</t>
  </si>
  <si>
    <t>Natalia</t>
  </si>
  <si>
    <t>Nerissa</t>
  </si>
  <si>
    <t>Shahlo</t>
  </si>
  <si>
    <t>Shelly</t>
  </si>
  <si>
    <t>Guy</t>
  </si>
  <si>
    <t>Mesha</t>
  </si>
  <si>
    <t>Rufelle</t>
  </si>
  <si>
    <t>Janay</t>
  </si>
  <si>
    <t>Aziemah</t>
  </si>
  <si>
    <t>Yevgeniya</t>
  </si>
  <si>
    <t>Renelda</t>
  </si>
  <si>
    <t>Lulumae</t>
  </si>
  <si>
    <t>Iqbal</t>
  </si>
  <si>
    <t>Tardrea</t>
  </si>
  <si>
    <t>Glorie</t>
  </si>
  <si>
    <t>Wildlyne</t>
  </si>
  <si>
    <t>Charaya</t>
  </si>
  <si>
    <t>Abu</t>
  </si>
  <si>
    <t>Zishe</t>
  </si>
  <si>
    <t>Aleksandr</t>
  </si>
  <si>
    <t>Marie Guileme</t>
  </si>
  <si>
    <t>Lookman</t>
  </si>
  <si>
    <t>Delisse</t>
  </si>
  <si>
    <t>Saleem</t>
  </si>
  <si>
    <t>Tariq</t>
  </si>
  <si>
    <t>Evelinda</t>
  </si>
  <si>
    <t>Darold</t>
  </si>
  <si>
    <t>Marcey</t>
  </si>
  <si>
    <t>Lakesia</t>
  </si>
  <si>
    <t>Anthonia</t>
  </si>
  <si>
    <t>Wilner</t>
  </si>
  <si>
    <t>Urooj</t>
  </si>
  <si>
    <t>Shirlnise</t>
  </si>
  <si>
    <t>Dewitt</t>
  </si>
  <si>
    <t>Fritz</t>
  </si>
  <si>
    <t>Tanisha</t>
  </si>
  <si>
    <t>Darnell</t>
  </si>
  <si>
    <t>Marta</t>
  </si>
  <si>
    <t>Sola</t>
  </si>
  <si>
    <t>Tyrell</t>
  </si>
  <si>
    <t>Moustafa</t>
  </si>
  <si>
    <t>Evguenia</t>
  </si>
  <si>
    <t>Shabana</t>
  </si>
  <si>
    <t>Darlene</t>
  </si>
  <si>
    <t>Tiasha</t>
  </si>
  <si>
    <t>Jaleth</t>
  </si>
  <si>
    <t>nakema</t>
  </si>
  <si>
    <t>Marat</t>
  </si>
  <si>
    <t>Gulcheckhra</t>
  </si>
  <si>
    <t>Ryneisha</t>
  </si>
  <si>
    <t>Elzbieta</t>
  </si>
  <si>
    <t>Briseida</t>
  </si>
  <si>
    <t>Fellicia</t>
  </si>
  <si>
    <t>Davit</t>
  </si>
  <si>
    <t>Chaim</t>
  </si>
  <si>
    <t>Susan</t>
  </si>
  <si>
    <t>Roselie</t>
  </si>
  <si>
    <t>Teodora</t>
  </si>
  <si>
    <t>Sparkle</t>
  </si>
  <si>
    <t>Iris</t>
  </si>
  <si>
    <t>Diamiond</t>
  </si>
  <si>
    <t>Liana</t>
  </si>
  <si>
    <t>Elexiss</t>
  </si>
  <si>
    <t>Edwin</t>
  </si>
  <si>
    <t>Leonor</t>
  </si>
  <si>
    <t>Elise</t>
  </si>
  <si>
    <t>Shirlonda</t>
  </si>
  <si>
    <t>Bernis</t>
  </si>
  <si>
    <t>Seneca</t>
  </si>
  <si>
    <t>Sharay</t>
  </si>
  <si>
    <t>Zyamina</t>
  </si>
  <si>
    <t>Harold</t>
  </si>
  <si>
    <t>Chanel</t>
  </si>
  <si>
    <t>Dulces</t>
  </si>
  <si>
    <t>Nachman</t>
  </si>
  <si>
    <t>Henrick</t>
  </si>
  <si>
    <t>Hulya</t>
  </si>
  <si>
    <t>Mairann</t>
  </si>
  <si>
    <t>Sada</t>
  </si>
  <si>
    <t>Nekisha</t>
  </si>
  <si>
    <t>Osbaldo</t>
  </si>
  <si>
    <t>Richardo</t>
  </si>
  <si>
    <t>Toni</t>
  </si>
  <si>
    <t>Magdaleno</t>
  </si>
  <si>
    <t>Guillermina</t>
  </si>
  <si>
    <t>Clinton</t>
  </si>
  <si>
    <t>Wayne</t>
  </si>
  <si>
    <t>Carson</t>
  </si>
  <si>
    <t>Muriel</t>
  </si>
  <si>
    <t>Ali</t>
  </si>
  <si>
    <t>Sharee</t>
  </si>
  <si>
    <t>Khadiga</t>
  </si>
  <si>
    <t>Elgiva</t>
  </si>
  <si>
    <t>Khadja</t>
  </si>
  <si>
    <t>Unis</t>
  </si>
  <si>
    <t>Heidi</t>
  </si>
  <si>
    <t>Terrence</t>
  </si>
  <si>
    <t>Ronilyn</t>
  </si>
  <si>
    <t>Leila</t>
  </si>
  <si>
    <t>Shontae</t>
  </si>
  <si>
    <t>Liesa</t>
  </si>
  <si>
    <t>Roland</t>
  </si>
  <si>
    <t>Zaida</t>
  </si>
  <si>
    <t>Bertha</t>
  </si>
  <si>
    <t>Tyrice</t>
  </si>
  <si>
    <t>Steve</t>
  </si>
  <si>
    <t>Cleo</t>
  </si>
  <si>
    <t>Davina</t>
  </si>
  <si>
    <t>Cozette</t>
  </si>
  <si>
    <t>Eileen</t>
  </si>
  <si>
    <t>Hernan</t>
  </si>
  <si>
    <t>Khaloud</t>
  </si>
  <si>
    <t>Hugette</t>
  </si>
  <si>
    <t>Regla</t>
  </si>
  <si>
    <t>Shahzad</t>
  </si>
  <si>
    <t>StacyAnn</t>
  </si>
  <si>
    <t>Keba</t>
  </si>
  <si>
    <t>Latishia</t>
  </si>
  <si>
    <t>Courtney</t>
  </si>
  <si>
    <t>Nieves</t>
  </si>
  <si>
    <t>Rosetta</t>
  </si>
  <si>
    <t>Valeria</t>
  </si>
  <si>
    <t>Dong</t>
  </si>
  <si>
    <t>Mohammad</t>
  </si>
  <si>
    <t>Deja</t>
  </si>
  <si>
    <t>Chynna</t>
  </si>
  <si>
    <t>Katerine</t>
  </si>
  <si>
    <t>Yoalia</t>
  </si>
  <si>
    <t>Amber</t>
  </si>
  <si>
    <t>Maritsa</t>
  </si>
  <si>
    <t>Neil</t>
  </si>
  <si>
    <t>Elsabasz</t>
  </si>
  <si>
    <t>Atifete</t>
  </si>
  <si>
    <t>Baojin</t>
  </si>
  <si>
    <t>Chuansong</t>
  </si>
  <si>
    <t>Larisa</t>
  </si>
  <si>
    <t>Efoe</t>
  </si>
  <si>
    <t>Karima</t>
  </si>
  <si>
    <t>Nikitta</t>
  </si>
  <si>
    <t>Haitham</t>
  </si>
  <si>
    <t>Paloma</t>
  </si>
  <si>
    <t>Kowsilia</t>
  </si>
  <si>
    <t>Alam</t>
  </si>
  <si>
    <t>Conrad</t>
  </si>
  <si>
    <t>Kathryn</t>
  </si>
  <si>
    <t>Asad</t>
  </si>
  <si>
    <t>Terri</t>
  </si>
  <si>
    <t>Zulfakar</t>
  </si>
  <si>
    <t>Ayesha</t>
  </si>
  <si>
    <t>Bibi</t>
  </si>
  <si>
    <t>Naima</t>
  </si>
  <si>
    <t>Kenneth</t>
  </si>
  <si>
    <t>Keisha</t>
  </si>
  <si>
    <t>Idris</t>
  </si>
  <si>
    <t>Basilia</t>
  </si>
  <si>
    <t>Curtis</t>
  </si>
  <si>
    <t>Deloris</t>
  </si>
  <si>
    <t>Ramiro</t>
  </si>
  <si>
    <t>Emelinda</t>
  </si>
  <si>
    <t>Rashida</t>
  </si>
  <si>
    <t>Beauze</t>
  </si>
  <si>
    <t>Alondra</t>
  </si>
  <si>
    <t>Zehava</t>
  </si>
  <si>
    <t>Benjamin</t>
  </si>
  <si>
    <t>Ann Dena</t>
  </si>
  <si>
    <t>Suhey</t>
  </si>
  <si>
    <t>Nigel</t>
  </si>
  <si>
    <t>Tatiana</t>
  </si>
  <si>
    <t>Ericka</t>
  </si>
  <si>
    <t>Deidrea</t>
  </si>
  <si>
    <t>Shouket</t>
  </si>
  <si>
    <t>Tagemattie</t>
  </si>
  <si>
    <t>Areli</t>
  </si>
  <si>
    <t>Huang</t>
  </si>
  <si>
    <t>Khalil</t>
  </si>
  <si>
    <t>Mahim</t>
  </si>
  <si>
    <t>Kerisha</t>
  </si>
  <si>
    <t>Philip</t>
  </si>
  <si>
    <t>Rajpattie</t>
  </si>
  <si>
    <t>Lysette</t>
  </si>
  <si>
    <t>Micah</t>
  </si>
  <si>
    <t>Boris</t>
  </si>
  <si>
    <t>Fahim</t>
  </si>
  <si>
    <t>Kareem</t>
  </si>
  <si>
    <t>Raimundo</t>
  </si>
  <si>
    <t>Shadira</t>
  </si>
  <si>
    <t>Mohamed</t>
  </si>
  <si>
    <t>Laroche</t>
  </si>
  <si>
    <t>Taneisha</t>
  </si>
  <si>
    <t>Sharefa</t>
  </si>
  <si>
    <t>Arij</t>
  </si>
  <si>
    <t>Saleh</t>
  </si>
  <si>
    <t>Teodaly</t>
  </si>
  <si>
    <t>Sharonda</t>
  </si>
  <si>
    <t>Preston</t>
  </si>
  <si>
    <t>Elida</t>
  </si>
  <si>
    <t>Elbin</t>
  </si>
  <si>
    <t>Zhiming</t>
  </si>
  <si>
    <t>Roseann</t>
  </si>
  <si>
    <t>Terae</t>
  </si>
  <si>
    <t>Feliciana</t>
  </si>
  <si>
    <t>Sharmila</t>
  </si>
  <si>
    <t>Nalini</t>
  </si>
  <si>
    <t>Ravi</t>
  </si>
  <si>
    <t>Pura</t>
  </si>
  <si>
    <t>Munir</t>
  </si>
  <si>
    <t>Janina</t>
  </si>
  <si>
    <t>Yip Wah</t>
  </si>
  <si>
    <t>Chenequa</t>
  </si>
  <si>
    <t>Sauquana</t>
  </si>
  <si>
    <t>Lencola</t>
  </si>
  <si>
    <t>Merrian</t>
  </si>
  <si>
    <t>Jamel</t>
  </si>
  <si>
    <t>Francella</t>
  </si>
  <si>
    <t>Majorie</t>
  </si>
  <si>
    <t>Villanzaca</t>
  </si>
  <si>
    <t>Reesa</t>
  </si>
  <si>
    <t>Nasgina</t>
  </si>
  <si>
    <t>Juliana</t>
  </si>
  <si>
    <t>Hank</t>
  </si>
  <si>
    <t>Iyanna</t>
  </si>
  <si>
    <t>Troy</t>
  </si>
  <si>
    <t>Nikyiah</t>
  </si>
  <si>
    <t>Jackelin</t>
  </si>
  <si>
    <t>Mushiev</t>
  </si>
  <si>
    <t>Liz</t>
  </si>
  <si>
    <t>Alissa</t>
  </si>
  <si>
    <t>Shameka</t>
  </si>
  <si>
    <t>Joanne</t>
  </si>
  <si>
    <t>Leanna</t>
  </si>
  <si>
    <t>Shiniqua</t>
  </si>
  <si>
    <t>Farzana</t>
  </si>
  <si>
    <t>Shawnette</t>
  </si>
  <si>
    <t>Jackeline</t>
  </si>
  <si>
    <t>Letitia</t>
  </si>
  <si>
    <t>LeShawn</t>
  </si>
  <si>
    <t>Beenu</t>
  </si>
  <si>
    <t>Mahawa</t>
  </si>
  <si>
    <t>Mirlande</t>
  </si>
  <si>
    <t>Leonardo</t>
  </si>
  <si>
    <t>Jaleesa</t>
  </si>
  <si>
    <t>Shawntell</t>
  </si>
  <si>
    <t>Dallas</t>
  </si>
  <si>
    <t>Ayman</t>
  </si>
  <si>
    <t>Elias</t>
  </si>
  <si>
    <t>Maryse</t>
  </si>
  <si>
    <t>Basmattie</t>
  </si>
  <si>
    <t>Bechzad</t>
  </si>
  <si>
    <t>Yudy</t>
  </si>
  <si>
    <t>Muhammad</t>
  </si>
  <si>
    <t>Tamara</t>
  </si>
  <si>
    <t>Alla</t>
  </si>
  <si>
    <t>Sintia</t>
  </si>
  <si>
    <t>Serena</t>
  </si>
  <si>
    <t>Norman</t>
  </si>
  <si>
    <t>Rolette</t>
  </si>
  <si>
    <t>Tudor</t>
  </si>
  <si>
    <t>Nettie</t>
  </si>
  <si>
    <t>Arturo</t>
  </si>
  <si>
    <t>Deneisha</t>
  </si>
  <si>
    <t>Cory</t>
  </si>
  <si>
    <t>Orline</t>
  </si>
  <si>
    <t>Elexa</t>
  </si>
  <si>
    <t>Zsuzsanna</t>
  </si>
  <si>
    <t>Garland</t>
  </si>
  <si>
    <t>Miliana</t>
  </si>
  <si>
    <t>Argenis</t>
  </si>
  <si>
    <t>Leelofar</t>
  </si>
  <si>
    <t>Aneris</t>
  </si>
  <si>
    <t>Annmarie</t>
  </si>
  <si>
    <t>Michaelle</t>
  </si>
  <si>
    <t>Eliana</t>
  </si>
  <si>
    <t>MD</t>
  </si>
  <si>
    <t>Katrina</t>
  </si>
  <si>
    <t>Devona</t>
  </si>
  <si>
    <t>Axel</t>
  </si>
  <si>
    <t>Kuntie</t>
  </si>
  <si>
    <t>Lanita</t>
  </si>
  <si>
    <t>Lanette</t>
  </si>
  <si>
    <t>Iftikhar</t>
  </si>
  <si>
    <t>Melida</t>
  </si>
  <si>
    <t>Tonesha</t>
  </si>
  <si>
    <t>Maazneen</t>
  </si>
  <si>
    <t>Earline</t>
  </si>
  <si>
    <t>Abdel</t>
  </si>
  <si>
    <t>Trina</t>
  </si>
  <si>
    <t>Compton</t>
  </si>
  <si>
    <t>Nizam</t>
  </si>
  <si>
    <t>Dilara</t>
  </si>
  <si>
    <t>Cassia</t>
  </si>
  <si>
    <t>Lori</t>
  </si>
  <si>
    <t>Dardai</t>
  </si>
  <si>
    <t>Loriana</t>
  </si>
  <si>
    <t>Rowson</t>
  </si>
  <si>
    <t>Grammatiki</t>
  </si>
  <si>
    <t>Adriana</t>
  </si>
  <si>
    <t>Israel</t>
  </si>
  <si>
    <t>Catalina</t>
  </si>
  <si>
    <t>Ahimo</t>
  </si>
  <si>
    <t>Khadijah</t>
  </si>
  <si>
    <t>Tasha</t>
  </si>
  <si>
    <t>Tabu</t>
  </si>
  <si>
    <t>Donisha</t>
  </si>
  <si>
    <t>Helena</t>
  </si>
  <si>
    <t>Shaniquewa</t>
  </si>
  <si>
    <t>Gilbert</t>
  </si>
  <si>
    <t>Lorena</t>
  </si>
  <si>
    <t>Sekou</t>
  </si>
  <si>
    <t>Jerali</t>
  </si>
  <si>
    <t>Shashi</t>
  </si>
  <si>
    <t>Eglan</t>
  </si>
  <si>
    <t>Milagros</t>
  </si>
  <si>
    <t>Fara</t>
  </si>
  <si>
    <t>Fode</t>
  </si>
  <si>
    <t>Jamar</t>
  </si>
  <si>
    <t>Adrielle</t>
  </si>
  <si>
    <t>Nilsia</t>
  </si>
  <si>
    <t>Aicha</t>
  </si>
  <si>
    <t>Metognisse</t>
  </si>
  <si>
    <t>Maleek</t>
  </si>
  <si>
    <t>Fransisco</t>
  </si>
  <si>
    <t>GLADYS</t>
  </si>
  <si>
    <t>Franciscos</t>
  </si>
  <si>
    <t>Santiago</t>
  </si>
  <si>
    <t>Perla</t>
  </si>
  <si>
    <t>Melanea</t>
  </si>
  <si>
    <t>Ivelisse</t>
  </si>
  <si>
    <t>Wilmarie</t>
  </si>
  <si>
    <t>Alisha</t>
  </si>
  <si>
    <t>Daouda</t>
  </si>
  <si>
    <t>Rudy</t>
  </si>
  <si>
    <t>Mahagony</t>
  </si>
  <si>
    <t>Yasmel</t>
  </si>
  <si>
    <t>Nykeeba</t>
  </si>
  <si>
    <t>Guetey</t>
  </si>
  <si>
    <t>Eladio</t>
  </si>
  <si>
    <t>Ami</t>
  </si>
  <si>
    <t>Harriel</t>
  </si>
  <si>
    <t>TYRONE</t>
  </si>
  <si>
    <t>Malonnie</t>
  </si>
  <si>
    <t>Adama</t>
  </si>
  <si>
    <t>Mariela</t>
  </si>
  <si>
    <t>Abril</t>
  </si>
  <si>
    <t>Kashay</t>
  </si>
  <si>
    <t>Erick</t>
  </si>
  <si>
    <t>Shakeema</t>
  </si>
  <si>
    <t>Andy</t>
  </si>
  <si>
    <t>SAFFIE</t>
  </si>
  <si>
    <t>Talema</t>
  </si>
  <si>
    <t>Donicia</t>
  </si>
  <si>
    <t>Fior</t>
  </si>
  <si>
    <t>Akia</t>
  </si>
  <si>
    <t>Diandrea</t>
  </si>
  <si>
    <t>Darilis</t>
  </si>
  <si>
    <t>Evelin</t>
  </si>
  <si>
    <t>Ilcy</t>
  </si>
  <si>
    <t>Eloiza</t>
  </si>
  <si>
    <t>Algenuen</t>
  </si>
  <si>
    <t>Winfield</t>
  </si>
  <si>
    <t>HA'SAAN</t>
  </si>
  <si>
    <t>Tirzah</t>
  </si>
  <si>
    <t>Gladis</t>
  </si>
  <si>
    <t>Perry</t>
  </si>
  <si>
    <t>Devin</t>
  </si>
  <si>
    <t>Doreen</t>
  </si>
  <si>
    <t>DiJon</t>
  </si>
  <si>
    <t>Julian</t>
  </si>
  <si>
    <t>Chenell</t>
  </si>
  <si>
    <t>JUANITA</t>
  </si>
  <si>
    <t>Yonathan</t>
  </si>
  <si>
    <t>Rabia</t>
  </si>
  <si>
    <t>Idalma</t>
  </si>
  <si>
    <t>Angelika</t>
  </si>
  <si>
    <t>Karisma</t>
  </si>
  <si>
    <t>Atla</t>
  </si>
  <si>
    <t>Boahemaa</t>
  </si>
  <si>
    <t>Angelic</t>
  </si>
  <si>
    <t>Freeman</t>
  </si>
  <si>
    <t>Conseuelo</t>
  </si>
  <si>
    <t>Musa</t>
  </si>
  <si>
    <t>Dahikiana</t>
  </si>
  <si>
    <t>Marcus</t>
  </si>
  <si>
    <t>Anastacia</t>
  </si>
  <si>
    <t>Shaunina</t>
  </si>
  <si>
    <t>Ratamanegr</t>
  </si>
  <si>
    <t>Cinthia</t>
  </si>
  <si>
    <t>Arcadia</t>
  </si>
  <si>
    <t>Chotsani</t>
  </si>
  <si>
    <t>Earnest</t>
  </si>
  <si>
    <t>Angelo</t>
  </si>
  <si>
    <t>Shanequa</t>
  </si>
  <si>
    <t>Niaja</t>
  </si>
  <si>
    <t>Taina</t>
  </si>
  <si>
    <t>Shonell</t>
  </si>
  <si>
    <t>Angie</t>
  </si>
  <si>
    <t>Shantell</t>
  </si>
  <si>
    <t>Venus</t>
  </si>
  <si>
    <t>Junie</t>
  </si>
  <si>
    <t>Jamorl</t>
  </si>
  <si>
    <t>Adrienne</t>
  </si>
  <si>
    <t>Romina</t>
  </si>
  <si>
    <t>Akil</t>
  </si>
  <si>
    <t>Yris</t>
  </si>
  <si>
    <t>Sherifa</t>
  </si>
  <si>
    <t>Flerida</t>
  </si>
  <si>
    <t>Judhilyn</t>
  </si>
  <si>
    <t>Stalyce</t>
  </si>
  <si>
    <t>Justice</t>
  </si>
  <si>
    <t>Yoanka</t>
  </si>
  <si>
    <t>VIVIAN</t>
  </si>
  <si>
    <t>Tasia</t>
  </si>
  <si>
    <t>Oumattie</t>
  </si>
  <si>
    <t>Blair</t>
  </si>
  <si>
    <t>Darling</t>
  </si>
  <si>
    <t>elizabeth</t>
  </si>
  <si>
    <t>LaToya</t>
  </si>
  <si>
    <t>Yajaira</t>
  </si>
  <si>
    <t>Johnny</t>
  </si>
  <si>
    <t>Annunciata</t>
  </si>
  <si>
    <t>Jeremiah</t>
  </si>
  <si>
    <t>Selina</t>
  </si>
  <si>
    <t>Freisi</t>
  </si>
  <si>
    <t>Rosanny</t>
  </si>
  <si>
    <t>Adera</t>
  </si>
  <si>
    <t>Zohorah</t>
  </si>
  <si>
    <t>Zotera</t>
  </si>
  <si>
    <t>Willeania</t>
  </si>
  <si>
    <t>Awilda</t>
  </si>
  <si>
    <t>CELINA</t>
  </si>
  <si>
    <t>Shakira</t>
  </si>
  <si>
    <t>Phillip</t>
  </si>
  <si>
    <t>Ebrunilda</t>
  </si>
  <si>
    <t>Ysnelly</t>
  </si>
  <si>
    <t>Millard</t>
  </si>
  <si>
    <t>Chakima</t>
  </si>
  <si>
    <t>Teshawna</t>
  </si>
  <si>
    <t>Shannarra</t>
  </si>
  <si>
    <t>Kissairis</t>
  </si>
  <si>
    <t>Anizamara</t>
  </si>
  <si>
    <t>Diomarys</t>
  </si>
  <si>
    <t>LOVADO</t>
  </si>
  <si>
    <t>Dahlia</t>
  </si>
  <si>
    <t>Sha Jahan</t>
  </si>
  <si>
    <t>Davon</t>
  </si>
  <si>
    <t>Aretta</t>
  </si>
  <si>
    <t>Laye</t>
  </si>
  <si>
    <t>Marcial</t>
  </si>
  <si>
    <t>Tomasina</t>
  </si>
  <si>
    <t>Inez</t>
  </si>
  <si>
    <t>Shaida</t>
  </si>
  <si>
    <t>Saran</t>
  </si>
  <si>
    <t>LaSharon</t>
  </si>
  <si>
    <t>Paola</t>
  </si>
  <si>
    <t>Rayshell</t>
  </si>
  <si>
    <t>Randolph</t>
  </si>
  <si>
    <t>Kenza</t>
  </si>
  <si>
    <t>Glendalee</t>
  </si>
  <si>
    <t>Krystal</t>
  </si>
  <si>
    <t>Hernande</t>
  </si>
  <si>
    <t>Olukunle</t>
  </si>
  <si>
    <t>Issha</t>
  </si>
  <si>
    <t>Aurelina</t>
  </si>
  <si>
    <t>Loveta</t>
  </si>
  <si>
    <t>Gregg</t>
  </si>
  <si>
    <t>Bradley</t>
  </si>
  <si>
    <t>Bernardo</t>
  </si>
  <si>
    <t>Martinique</t>
  </si>
  <si>
    <t>Derwood</t>
  </si>
  <si>
    <t>Vadim</t>
  </si>
  <si>
    <t>Siobhan</t>
  </si>
  <si>
    <t>Stacy</t>
  </si>
  <si>
    <t>Rebeca</t>
  </si>
  <si>
    <t>Tonya</t>
  </si>
  <si>
    <t>Laurette</t>
  </si>
  <si>
    <t>Tawanna</t>
  </si>
  <si>
    <t>Shaquana</t>
  </si>
  <si>
    <t>Suzhen</t>
  </si>
  <si>
    <t>Shasha</t>
  </si>
  <si>
    <t>Carman</t>
  </si>
  <si>
    <t>Lai Kheng</t>
  </si>
  <si>
    <t>Adelaida</t>
  </si>
  <si>
    <t>Leshell</t>
  </si>
  <si>
    <t>Shakeem</t>
  </si>
  <si>
    <t>Ayanna</t>
  </si>
  <si>
    <t>Janell</t>
  </si>
  <si>
    <t>Shanon</t>
  </si>
  <si>
    <t>Chao Jiang</t>
  </si>
  <si>
    <t>Arminda</t>
  </si>
  <si>
    <t>Tanique</t>
  </si>
  <si>
    <t>Cordy</t>
  </si>
  <si>
    <t>Danien</t>
  </si>
  <si>
    <t>Cheryl</t>
  </si>
  <si>
    <t>Alexandros</t>
  </si>
  <si>
    <t>Marcelino</t>
  </si>
  <si>
    <t>Bik</t>
  </si>
  <si>
    <t>Nurys</t>
  </si>
  <si>
    <t>Esau</t>
  </si>
  <si>
    <t>Anntoinette</t>
  </si>
  <si>
    <t>Travis</t>
  </si>
  <si>
    <t>Corey</t>
  </si>
  <si>
    <t>Alberta</t>
  </si>
  <si>
    <t>Ronnette</t>
  </si>
  <si>
    <t>Deameion</t>
  </si>
  <si>
    <t>Zakiya</t>
  </si>
  <si>
    <t>Geoffrey</t>
  </si>
  <si>
    <t>Patelle</t>
  </si>
  <si>
    <t>Daquwane</t>
  </si>
  <si>
    <t>Inocencia</t>
  </si>
  <si>
    <t>Jin Yu</t>
  </si>
  <si>
    <t>Berenica</t>
  </si>
  <si>
    <t>Scott</t>
  </si>
  <si>
    <t>Mollie</t>
  </si>
  <si>
    <t>Sabina</t>
  </si>
  <si>
    <t>Huijun</t>
  </si>
  <si>
    <t>Mei</t>
  </si>
  <si>
    <t>Marino</t>
  </si>
  <si>
    <t>Sybil</t>
  </si>
  <si>
    <t>Kwaiming</t>
  </si>
  <si>
    <t>Pearl</t>
  </si>
  <si>
    <t>Vetora</t>
  </si>
  <si>
    <t>Lai</t>
  </si>
  <si>
    <t>June</t>
  </si>
  <si>
    <t>Ethel</t>
  </si>
  <si>
    <t>Mareme</t>
  </si>
  <si>
    <t>Lilliana</t>
  </si>
  <si>
    <t>Zoraya</t>
  </si>
  <si>
    <t>Al</t>
  </si>
  <si>
    <t>Stason</t>
  </si>
  <si>
    <t>Quiriri</t>
  </si>
  <si>
    <t>Laqinza</t>
  </si>
  <si>
    <t>Pablo</t>
  </si>
  <si>
    <t>Anaja</t>
  </si>
  <si>
    <t>Jim</t>
  </si>
  <si>
    <t>Lucille</t>
  </si>
  <si>
    <t>Mei Fang</t>
  </si>
  <si>
    <t>Lap King</t>
  </si>
  <si>
    <t>Mamadou S</t>
  </si>
  <si>
    <t>Veda</t>
  </si>
  <si>
    <t>Jasmin</t>
  </si>
  <si>
    <t>Gamilah</t>
  </si>
  <si>
    <t>Xiu</t>
  </si>
  <si>
    <t>Taniqua</t>
  </si>
  <si>
    <t>Kenya</t>
  </si>
  <si>
    <t>Kouyate</t>
  </si>
  <si>
    <t>Dhaiana</t>
  </si>
  <si>
    <t>Hasanah</t>
  </si>
  <si>
    <t>Derrilynn</t>
  </si>
  <si>
    <t>Zoila</t>
  </si>
  <si>
    <t>Natasha</t>
  </si>
  <si>
    <t>Johanna</t>
  </si>
  <si>
    <t>Blake</t>
  </si>
  <si>
    <t>Marie Rose</t>
  </si>
  <si>
    <t>Willis</t>
  </si>
  <si>
    <t>Terrell</t>
  </si>
  <si>
    <t>Sam Nathan</t>
  </si>
  <si>
    <t>Alexis</t>
  </si>
  <si>
    <t>Bernadale</t>
  </si>
  <si>
    <t>Hermione</t>
  </si>
  <si>
    <t>Dekechres</t>
  </si>
  <si>
    <t>Kyon</t>
  </si>
  <si>
    <t>Lashanda</t>
  </si>
  <si>
    <t>Ilmi</t>
  </si>
  <si>
    <t>Clair</t>
  </si>
  <si>
    <t>Kechel</t>
  </si>
  <si>
    <t>Terrance</t>
  </si>
  <si>
    <t>Rosemary</t>
  </si>
  <si>
    <t>Taniesha</t>
  </si>
  <si>
    <t>Muhamed</t>
  </si>
  <si>
    <t>Angelia</t>
  </si>
  <si>
    <t>Anton</t>
  </si>
  <si>
    <t>Claire</t>
  </si>
  <si>
    <t>Joycelin</t>
  </si>
  <si>
    <t>Kulsuma</t>
  </si>
  <si>
    <t>Janicia</t>
  </si>
  <si>
    <t>Elder</t>
  </si>
  <si>
    <t>Hugh</t>
  </si>
  <si>
    <t>Agniman</t>
  </si>
  <si>
    <t>Myron</t>
  </si>
  <si>
    <t>Analisa</t>
  </si>
  <si>
    <t>Kadisha</t>
  </si>
  <si>
    <t>Dashawna</t>
  </si>
  <si>
    <t>Leorn</t>
  </si>
  <si>
    <t>Marthe</t>
  </si>
  <si>
    <t>Avesta</t>
  </si>
  <si>
    <t>Kenton</t>
  </si>
  <si>
    <t>Altagrace</t>
  </si>
  <si>
    <t>Allison</t>
  </si>
  <si>
    <t>Maya</t>
  </si>
  <si>
    <t>Shana</t>
  </si>
  <si>
    <t>Megan</t>
  </si>
  <si>
    <t>Veronique</t>
  </si>
  <si>
    <t>Lynette</t>
  </si>
  <si>
    <t>Lilly</t>
  </si>
  <si>
    <t>Madge</t>
  </si>
  <si>
    <t>Fallon</t>
  </si>
  <si>
    <t>Joey</t>
  </si>
  <si>
    <t>Sylvie</t>
  </si>
  <si>
    <t>Kamilah</t>
  </si>
  <si>
    <t>Latima</t>
  </si>
  <si>
    <t>Malkia</t>
  </si>
  <si>
    <t>Errol</t>
  </si>
  <si>
    <t>Demetrius</t>
  </si>
  <si>
    <t>Herby</t>
  </si>
  <si>
    <t>Chad</t>
  </si>
  <si>
    <t>Henry</t>
  </si>
  <si>
    <t>Amandla</t>
  </si>
  <si>
    <t>Ivorine</t>
  </si>
  <si>
    <t>Vernetta</t>
  </si>
  <si>
    <t>Tyshanda</t>
  </si>
  <si>
    <t>Iciline</t>
  </si>
  <si>
    <t>Shylika</t>
  </si>
  <si>
    <t>Cheri</t>
  </si>
  <si>
    <t>Chalette</t>
  </si>
  <si>
    <t>Larra</t>
  </si>
  <si>
    <t>Ludele</t>
  </si>
  <si>
    <t>Monifa</t>
  </si>
  <si>
    <t>Kaela</t>
  </si>
  <si>
    <t>Roseydi</t>
  </si>
  <si>
    <t>Robyn</t>
  </si>
  <si>
    <t>Deannie</t>
  </si>
  <si>
    <t>Fritznel</t>
  </si>
  <si>
    <t>Nakeva</t>
  </si>
  <si>
    <t>Athalia</t>
  </si>
  <si>
    <t>Alleyne</t>
  </si>
  <si>
    <t>Javeria</t>
  </si>
  <si>
    <t>Carole</t>
  </si>
  <si>
    <t>Ella</t>
  </si>
  <si>
    <t>Frederic</t>
  </si>
  <si>
    <t>Miguelina</t>
  </si>
  <si>
    <t>Shela</t>
  </si>
  <si>
    <t>Lakee</t>
  </si>
  <si>
    <t>Menard</t>
  </si>
  <si>
    <t>Esai</t>
  </si>
  <si>
    <t>Rondeann</t>
  </si>
  <si>
    <t>Tatyanna</t>
  </si>
  <si>
    <t>Ben</t>
  </si>
  <si>
    <t>Lakiya</t>
  </si>
  <si>
    <t>Vilna</t>
  </si>
  <si>
    <t>Candida</t>
  </si>
  <si>
    <t>Marvin</t>
  </si>
  <si>
    <t>Omayar</t>
  </si>
  <si>
    <t>Nikkita</t>
  </si>
  <si>
    <t>Hassan</t>
  </si>
  <si>
    <t>Hollister</t>
  </si>
  <si>
    <t>Tyshon</t>
  </si>
  <si>
    <t>Alhousseyn</t>
  </si>
  <si>
    <t>Karlene</t>
  </si>
  <si>
    <t>Ingird</t>
  </si>
  <si>
    <t>Glenn</t>
  </si>
  <si>
    <t>Shasta</t>
  </si>
  <si>
    <t>Farrah</t>
  </si>
  <si>
    <t>Kirk</t>
  </si>
  <si>
    <t>Cicley</t>
  </si>
  <si>
    <t>Proctor</t>
  </si>
  <si>
    <t>Richardine</t>
  </si>
  <si>
    <t>Kelville</t>
  </si>
  <si>
    <t>Carlain</t>
  </si>
  <si>
    <t>Gelean</t>
  </si>
  <si>
    <t>Evan</t>
  </si>
  <si>
    <t>Malika</t>
  </si>
  <si>
    <t>Nashaun</t>
  </si>
  <si>
    <t>Lloyd</t>
  </si>
  <si>
    <t>Antonette</t>
  </si>
  <si>
    <t>Shafi</t>
  </si>
  <si>
    <t>Traci</t>
  </si>
  <si>
    <t>Garry</t>
  </si>
  <si>
    <t>Bessie</t>
  </si>
  <si>
    <t>Philimina</t>
  </si>
  <si>
    <t>Jahanara</t>
  </si>
  <si>
    <t>Claudette</t>
  </si>
  <si>
    <t>Mohasson</t>
  </si>
  <si>
    <t>Nnamdi</t>
  </si>
  <si>
    <t>Baldwin</t>
  </si>
  <si>
    <t>Mireveline</t>
  </si>
  <si>
    <t>Tiyana</t>
  </si>
  <si>
    <t>Kour</t>
  </si>
  <si>
    <t>Tara</t>
  </si>
  <si>
    <t>Emvie</t>
  </si>
  <si>
    <t>Quinchi</t>
  </si>
  <si>
    <t>GLEINYS</t>
  </si>
  <si>
    <t>Cristela</t>
  </si>
  <si>
    <t>Nyasia</t>
  </si>
  <si>
    <t>Yaniri</t>
  </si>
  <si>
    <t>Natalize</t>
  </si>
  <si>
    <t>Warleidys</t>
  </si>
  <si>
    <t>Taywanna</t>
  </si>
  <si>
    <t>Yismeidy</t>
  </si>
  <si>
    <t>Laquaysha</t>
  </si>
  <si>
    <t>Gricelda</t>
  </si>
  <si>
    <t>Adamou</t>
  </si>
  <si>
    <t>Nouel</t>
  </si>
  <si>
    <t>Shoshanna</t>
  </si>
  <si>
    <t>Sachen</t>
  </si>
  <si>
    <t>LaShey</t>
  </si>
  <si>
    <t>Milady</t>
  </si>
  <si>
    <t>Taisha</t>
  </si>
  <si>
    <t>Banfaly</t>
  </si>
  <si>
    <t>Aileen</t>
  </si>
  <si>
    <t>JENNY</t>
  </si>
  <si>
    <t>Albizu</t>
  </si>
  <si>
    <t>Sueheily</t>
  </si>
  <si>
    <t>Adele</t>
  </si>
  <si>
    <t>Alexandra</t>
  </si>
  <si>
    <t>OLGA</t>
  </si>
  <si>
    <t>Dorothy Janet</t>
  </si>
  <si>
    <t>KAYLA</t>
  </si>
  <si>
    <t>TAWANNA</t>
  </si>
  <si>
    <t>Romualda</t>
  </si>
  <si>
    <t>Walid</t>
  </si>
  <si>
    <t>Estarlin</t>
  </si>
  <si>
    <t>Shiasia</t>
  </si>
  <si>
    <t>Enkeleyda</t>
  </si>
  <si>
    <t>Tammy</t>
  </si>
  <si>
    <t>Jorel</t>
  </si>
  <si>
    <t>Hellen</t>
  </si>
  <si>
    <t>Dwayne</t>
  </si>
  <si>
    <t>Osvaldo</t>
  </si>
  <si>
    <t>Lessie</t>
  </si>
  <si>
    <t>Tania</t>
  </si>
  <si>
    <t>Ladell</t>
  </si>
  <si>
    <t>Milton</t>
  </si>
  <si>
    <t>Indhira</t>
  </si>
  <si>
    <t>Sabur</t>
  </si>
  <si>
    <t>Roderick</t>
  </si>
  <si>
    <t>Alixon</t>
  </si>
  <si>
    <t>Patsy</t>
  </si>
  <si>
    <t>Cesarina</t>
  </si>
  <si>
    <t>Yiselt</t>
  </si>
  <si>
    <t>Ashish</t>
  </si>
  <si>
    <t>Merlyn</t>
  </si>
  <si>
    <t>Inosencia</t>
  </si>
  <si>
    <t>Luciana</t>
  </si>
  <si>
    <t>Ravel</t>
  </si>
  <si>
    <t>Karina</t>
  </si>
  <si>
    <t>Richamar</t>
  </si>
  <si>
    <t>Carttresse</t>
  </si>
  <si>
    <t>Shameika</t>
  </si>
  <si>
    <t>Aida</t>
  </si>
  <si>
    <t>Euriel</t>
  </si>
  <si>
    <t>Ashari</t>
  </si>
  <si>
    <t>MILAGROS</t>
  </si>
  <si>
    <t>Deslyn</t>
  </si>
  <si>
    <t>Junior</t>
  </si>
  <si>
    <t>Criseyda</t>
  </si>
  <si>
    <t>Jomo</t>
  </si>
  <si>
    <t>Yorkelis</t>
  </si>
  <si>
    <t>Soraya</t>
  </si>
  <si>
    <t>Rahimina</t>
  </si>
  <si>
    <t>Marlyne</t>
  </si>
  <si>
    <t>Damari</t>
  </si>
  <si>
    <t>Rossi</t>
  </si>
  <si>
    <t>Toroy</t>
  </si>
  <si>
    <t>Nathaly</t>
  </si>
  <si>
    <t>Lizzette</t>
  </si>
  <si>
    <t>Derrick</t>
  </si>
  <si>
    <t>ANGEL</t>
  </si>
  <si>
    <t>Tunisia</t>
  </si>
  <si>
    <t>Keyona</t>
  </si>
  <si>
    <t>Guadalupe</t>
  </si>
  <si>
    <t>Mariseli</t>
  </si>
  <si>
    <t>Sunilda</t>
  </si>
  <si>
    <t>Misty</t>
  </si>
  <si>
    <t>Lisette</t>
  </si>
  <si>
    <t>Rashaana</t>
  </si>
  <si>
    <t>Tane</t>
  </si>
  <si>
    <t>Karin</t>
  </si>
  <si>
    <t>Albania</t>
  </si>
  <si>
    <t>Douglas</t>
  </si>
  <si>
    <t>Debro</t>
  </si>
  <si>
    <t>Ubaldina</t>
  </si>
  <si>
    <t>YVONNE</t>
  </si>
  <si>
    <t>Providencia</t>
  </si>
  <si>
    <t>Ermind</t>
  </si>
  <si>
    <t>Sergio</t>
  </si>
  <si>
    <t>Sharkina</t>
  </si>
  <si>
    <t>Hilda</t>
  </si>
  <si>
    <t>Mai-Lan</t>
  </si>
  <si>
    <t>Siedah</t>
  </si>
  <si>
    <t>Sharina</t>
  </si>
  <si>
    <t>Shao</t>
  </si>
  <si>
    <t>Crimilda</t>
  </si>
  <si>
    <t>Solange</t>
  </si>
  <si>
    <t>Keyri</t>
  </si>
  <si>
    <t>Jinette</t>
  </si>
  <si>
    <t>Ivonne</t>
  </si>
  <si>
    <t>Ismailin</t>
  </si>
  <si>
    <t>Yinette</t>
  </si>
  <si>
    <t>Dekiya</t>
  </si>
  <si>
    <t>Sherica</t>
  </si>
  <si>
    <t>Mirna</t>
  </si>
  <si>
    <t>Hedilberto</t>
  </si>
  <si>
    <t>Sherine</t>
  </si>
  <si>
    <t>Janessa</t>
  </si>
  <si>
    <t>Moises</t>
  </si>
  <si>
    <t>Josian</t>
  </si>
  <si>
    <t>Habi</t>
  </si>
  <si>
    <t>Khalifa</t>
  </si>
  <si>
    <t>Cynteera</t>
  </si>
  <si>
    <t>Charlie</t>
  </si>
  <si>
    <t>Arnetha</t>
  </si>
  <si>
    <t>Cameron</t>
  </si>
  <si>
    <t>Evette</t>
  </si>
  <si>
    <t>Anesa</t>
  </si>
  <si>
    <t>Daneris</t>
  </si>
  <si>
    <t>Aleyssa</t>
  </si>
  <si>
    <t>Disha</t>
  </si>
  <si>
    <t>Arelis</t>
  </si>
  <si>
    <t>Vamuya</t>
  </si>
  <si>
    <t>Solany</t>
  </si>
  <si>
    <t>Yose</t>
  </si>
  <si>
    <t>Brandon</t>
  </si>
  <si>
    <t>Lassana</t>
  </si>
  <si>
    <t>Quianni</t>
  </si>
  <si>
    <t>Ming</t>
  </si>
  <si>
    <t>Elecia</t>
  </si>
  <si>
    <t>Lassani</t>
  </si>
  <si>
    <t>Larnise</t>
  </si>
  <si>
    <t>Khrystal</t>
  </si>
  <si>
    <t>Yasmin Martha</t>
  </si>
  <si>
    <t>Dahliah</t>
  </si>
  <si>
    <t>Dionna</t>
  </si>
  <si>
    <t>Yraida</t>
  </si>
  <si>
    <t>Joel</t>
  </si>
  <si>
    <t>ANA</t>
  </si>
  <si>
    <t>Balvara</t>
  </si>
  <si>
    <t>Brisa</t>
  </si>
  <si>
    <t>Marnie</t>
  </si>
  <si>
    <t>Torie</t>
  </si>
  <si>
    <t>Violeta</t>
  </si>
  <si>
    <t>Fili</t>
  </si>
  <si>
    <t>Devon</t>
  </si>
  <si>
    <t>Manny</t>
  </si>
  <si>
    <t>Nolma</t>
  </si>
  <si>
    <t>Junard</t>
  </si>
  <si>
    <t>Gerald</t>
  </si>
  <si>
    <t>Fiordaliza</t>
  </si>
  <si>
    <t>Edina</t>
  </si>
  <si>
    <t>Griselda</t>
  </si>
  <si>
    <t>Ibelka</t>
  </si>
  <si>
    <t>Velma</t>
  </si>
  <si>
    <t>Zaila</t>
  </si>
  <si>
    <t>Carlotta</t>
  </si>
  <si>
    <t>Urides</t>
  </si>
  <si>
    <t>REGINA</t>
  </si>
  <si>
    <t>Oliverio</t>
  </si>
  <si>
    <t>Ana Maria</t>
  </si>
  <si>
    <t>Lakeya</t>
  </si>
  <si>
    <t>Lesly</t>
  </si>
  <si>
    <t>Shameeker</t>
  </si>
  <si>
    <t>Mandjel</t>
  </si>
  <si>
    <t>Rahmell</t>
  </si>
  <si>
    <t>Laverne</t>
  </si>
  <si>
    <t>Maxima</t>
  </si>
  <si>
    <t>Jocelyn</t>
  </si>
  <si>
    <t>Grey</t>
  </si>
  <si>
    <t>Montgomery</t>
  </si>
  <si>
    <t>Adabelba</t>
  </si>
  <si>
    <t>Paticea</t>
  </si>
  <si>
    <t>Ian</t>
  </si>
  <si>
    <t>Treniece</t>
  </si>
  <si>
    <t>Roselyn</t>
  </si>
  <si>
    <t>C William</t>
  </si>
  <si>
    <t>Sunny</t>
  </si>
  <si>
    <t>Angelina</t>
  </si>
  <si>
    <t>Chungsoo</t>
  </si>
  <si>
    <t>Hezekiah</t>
  </si>
  <si>
    <t>Wilson</t>
  </si>
  <si>
    <t>Sylvester</t>
  </si>
  <si>
    <t>Albertina</t>
  </si>
  <si>
    <t>Alinca</t>
  </si>
  <si>
    <t>Marie-Angeline</t>
  </si>
  <si>
    <t>Kurell</t>
  </si>
  <si>
    <t>Aneudy</t>
  </si>
  <si>
    <t>Natosha</t>
  </si>
  <si>
    <t>Abdoulaye</t>
  </si>
  <si>
    <t>Ignacio</t>
  </si>
  <si>
    <t>Tammi</t>
  </si>
  <si>
    <t>Adrian</t>
  </si>
  <si>
    <t>Lovelle</t>
  </si>
  <si>
    <t>Isa</t>
  </si>
  <si>
    <t>Kaba</t>
  </si>
  <si>
    <t>Mouhamadou</t>
  </si>
  <si>
    <t>Eddison</t>
  </si>
  <si>
    <t>Shaundania</t>
  </si>
  <si>
    <t>Maxine</t>
  </si>
  <si>
    <t>Cherish</t>
  </si>
  <si>
    <t>Jazz</t>
  </si>
  <si>
    <t>Guerda</t>
  </si>
  <si>
    <t>Makeba</t>
  </si>
  <si>
    <t>Thomasina</t>
  </si>
  <si>
    <t>katie</t>
  </si>
  <si>
    <t>Dalia</t>
  </si>
  <si>
    <t>Aisha</t>
  </si>
  <si>
    <t>Woo Sik</t>
  </si>
  <si>
    <t>Zachary</t>
  </si>
  <si>
    <t>Diamila</t>
  </si>
  <si>
    <t>Emelina</t>
  </si>
  <si>
    <t>Celeste</t>
  </si>
  <si>
    <t>Yluminada</t>
  </si>
  <si>
    <t>Ancil</t>
  </si>
  <si>
    <t>Garrett</t>
  </si>
  <si>
    <t>Alisa</t>
  </si>
  <si>
    <t>Katrice</t>
  </si>
  <si>
    <t>Fabian</t>
  </si>
  <si>
    <t>Eneroliza</t>
  </si>
  <si>
    <t>Malakai</t>
  </si>
  <si>
    <t>Amarilis</t>
  </si>
  <si>
    <t>Tyree</t>
  </si>
  <si>
    <t>Kendra</t>
  </si>
  <si>
    <t>Fred</t>
  </si>
  <si>
    <t>Tricia</t>
  </si>
  <si>
    <t>Alon</t>
  </si>
  <si>
    <t>Raven</t>
  </si>
  <si>
    <t>Yvelisse</t>
  </si>
  <si>
    <t>Henrry</t>
  </si>
  <si>
    <t>Wilburn</t>
  </si>
  <si>
    <t>Saidina</t>
  </si>
  <si>
    <t>Mamou</t>
  </si>
  <si>
    <t>Deidrah</t>
  </si>
  <si>
    <t>Brittany</t>
  </si>
  <si>
    <t>Meg</t>
  </si>
  <si>
    <t>Shatera</t>
  </si>
  <si>
    <t>Elvis</t>
  </si>
  <si>
    <t>Liliana</t>
  </si>
  <si>
    <t>Marybeth</t>
  </si>
  <si>
    <t>Latrice</t>
  </si>
  <si>
    <t>Derrell</t>
  </si>
  <si>
    <t>Gillian</t>
  </si>
  <si>
    <t>Tafazzul</t>
  </si>
  <si>
    <t>Ofidia</t>
  </si>
  <si>
    <t>Nora</t>
  </si>
  <si>
    <t>Ysabel</t>
  </si>
  <si>
    <t>Patricia Ann</t>
  </si>
  <si>
    <t>Maricruz</t>
  </si>
  <si>
    <t>Leigha</t>
  </si>
  <si>
    <t>Charletta</t>
  </si>
  <si>
    <t>Amadou</t>
  </si>
  <si>
    <t>Lamont</t>
  </si>
  <si>
    <t>Tandeka</t>
  </si>
  <si>
    <t>Yolmarys</t>
  </si>
  <si>
    <t>Gus</t>
  </si>
  <si>
    <t>Talik</t>
  </si>
  <si>
    <t>Leopoldo</t>
  </si>
  <si>
    <t>Nandanie</t>
  </si>
  <si>
    <t>Firoz</t>
  </si>
  <si>
    <t>Ytalia</t>
  </si>
  <si>
    <t>Garth</t>
  </si>
  <si>
    <t>Bryana</t>
  </si>
  <si>
    <t>Tayanara</t>
  </si>
  <si>
    <t>Lavinia</t>
  </si>
  <si>
    <t>Prime-Rose</t>
  </si>
  <si>
    <t>Daneil</t>
  </si>
  <si>
    <t>Girleene</t>
  </si>
  <si>
    <t>Ashraf</t>
  </si>
  <si>
    <t>Laiza</t>
  </si>
  <si>
    <t>Abisola</t>
  </si>
  <si>
    <t>Pamella</t>
  </si>
  <si>
    <t>Rosa Lee</t>
  </si>
  <si>
    <t>Manoucheka</t>
  </si>
  <si>
    <t>Ebony</t>
  </si>
  <si>
    <t>Shateisha</t>
  </si>
  <si>
    <t>Indradai</t>
  </si>
  <si>
    <t>Jazzmeia</t>
  </si>
  <si>
    <t>Hanna</t>
  </si>
  <si>
    <t>Athena</t>
  </si>
  <si>
    <t>Candy</t>
  </si>
  <si>
    <t>Janie</t>
  </si>
  <si>
    <t>Chakema</t>
  </si>
  <si>
    <t>Keron</t>
  </si>
  <si>
    <t>Imtiyaz</t>
  </si>
  <si>
    <t>Adalis</t>
  </si>
  <si>
    <t>Anessa</t>
  </si>
  <si>
    <t>Natashia</t>
  </si>
  <si>
    <t>Bruce</t>
  </si>
  <si>
    <t>Zhane</t>
  </si>
  <si>
    <t>Cassilda</t>
  </si>
  <si>
    <t>Nishat</t>
  </si>
  <si>
    <t>Denis</t>
  </si>
  <si>
    <t>Esofina</t>
  </si>
  <si>
    <t>Sakeenia</t>
  </si>
  <si>
    <t>Hawa</t>
  </si>
  <si>
    <t>Zineb</t>
  </si>
  <si>
    <t>Havelet</t>
  </si>
  <si>
    <t>Kisha</t>
  </si>
  <si>
    <t>Kanika</t>
  </si>
  <si>
    <t>Shawntay</t>
  </si>
  <si>
    <t>Jacklyn</t>
  </si>
  <si>
    <t>Faaizah</t>
  </si>
  <si>
    <t>Daryl</t>
  </si>
  <si>
    <t>Shantelle</t>
  </si>
  <si>
    <t>Floyd</t>
  </si>
  <si>
    <t>Genesis</t>
  </si>
  <si>
    <t>Yphonise</t>
  </si>
  <si>
    <t>Renita</t>
  </si>
  <si>
    <t>Angenet</t>
  </si>
  <si>
    <t>Latasha</t>
  </si>
  <si>
    <t>Carlene</t>
  </si>
  <si>
    <t>Trevon</t>
  </si>
  <si>
    <t>Arup</t>
  </si>
  <si>
    <t>Nitinbhai</t>
  </si>
  <si>
    <t>Brittney</t>
  </si>
  <si>
    <t>Avril</t>
  </si>
  <si>
    <t>Fariha</t>
  </si>
  <si>
    <t>Kailani</t>
  </si>
  <si>
    <t>Charline</t>
  </si>
  <si>
    <t>Felicha</t>
  </si>
  <si>
    <t>Jogui</t>
  </si>
  <si>
    <t>Bano</t>
  </si>
  <si>
    <t>Anacelia</t>
  </si>
  <si>
    <t>Terrall</t>
  </si>
  <si>
    <t>Lachandra</t>
  </si>
  <si>
    <t>Itorobong</t>
  </si>
  <si>
    <t>Marietta</t>
  </si>
  <si>
    <t>Corina</t>
  </si>
  <si>
    <t>Dallan</t>
  </si>
  <si>
    <t>Bernal</t>
  </si>
  <si>
    <t>Jan</t>
  </si>
  <si>
    <t>Jully</t>
  </si>
  <si>
    <t>Giovanni</t>
  </si>
  <si>
    <t>Roy</t>
  </si>
  <si>
    <t>Raju</t>
  </si>
  <si>
    <t>Alfred</t>
  </si>
  <si>
    <t>Karline</t>
  </si>
  <si>
    <t>Aurelinda</t>
  </si>
  <si>
    <t>Atisha</t>
  </si>
  <si>
    <t>Norly</t>
  </si>
  <si>
    <t>Keanna</t>
  </si>
  <si>
    <t>Oswaldo</t>
  </si>
  <si>
    <t>Lizzie</t>
  </si>
  <si>
    <t>Dupe</t>
  </si>
  <si>
    <t>Dawne</t>
  </si>
  <si>
    <t>Desdemonna</t>
  </si>
  <si>
    <t>Kevon</t>
  </si>
  <si>
    <t>Shatawa</t>
  </si>
  <si>
    <t>Larissa</t>
  </si>
  <si>
    <t>Ashia</t>
  </si>
  <si>
    <t>Edwardo</t>
  </si>
  <si>
    <t>Belle</t>
  </si>
  <si>
    <t>Markel</t>
  </si>
  <si>
    <t>Lorline</t>
  </si>
  <si>
    <t>Cadene</t>
  </si>
  <si>
    <t>Jinaya</t>
  </si>
  <si>
    <t>Kerah</t>
  </si>
  <si>
    <t>Tina</t>
  </si>
  <si>
    <t>Cordelia</t>
  </si>
  <si>
    <t>Vida</t>
  </si>
  <si>
    <t>Mujidat</t>
  </si>
  <si>
    <t>Hafsatou</t>
  </si>
  <si>
    <t>Shanteny</t>
  </si>
  <si>
    <t>Shade</t>
  </si>
  <si>
    <t>Francheska</t>
  </si>
  <si>
    <t>Nikole</t>
  </si>
  <si>
    <t>Sofia</t>
  </si>
  <si>
    <t>Princess</t>
  </si>
  <si>
    <t>Coretta</t>
  </si>
  <si>
    <t>Sherman</t>
  </si>
  <si>
    <t>Vicky</t>
  </si>
  <si>
    <t>Kitora</t>
  </si>
  <si>
    <t>Semone</t>
  </si>
  <si>
    <t>Nykemia</t>
  </si>
  <si>
    <t>Md Ataul</t>
  </si>
  <si>
    <t>Ali-Ashraf</t>
  </si>
  <si>
    <t>Mar</t>
  </si>
  <si>
    <t>Yosuf</t>
  </si>
  <si>
    <t>Lucie</t>
  </si>
  <si>
    <t>Schlena</t>
  </si>
  <si>
    <t>Jabel</t>
  </si>
  <si>
    <t>Ianna</t>
  </si>
  <si>
    <t>Nestor</t>
  </si>
  <si>
    <t>Mariah</t>
  </si>
  <si>
    <t>Hedisa</t>
  </si>
  <si>
    <t>Wen Long</t>
  </si>
  <si>
    <t>Schnae</t>
  </si>
  <si>
    <t>Sunjana</t>
  </si>
  <si>
    <t>Smauel</t>
  </si>
  <si>
    <t>Hasina</t>
  </si>
  <si>
    <t>Viviana</t>
  </si>
  <si>
    <t>Nick</t>
  </si>
  <si>
    <t>Arleen</t>
  </si>
  <si>
    <t>Ani</t>
  </si>
  <si>
    <t>Shikha</t>
  </si>
  <si>
    <t>Fania</t>
  </si>
  <si>
    <t>Hildegard</t>
  </si>
  <si>
    <t>Soma</t>
  </si>
  <si>
    <t>Olive</t>
  </si>
  <si>
    <t>Glendon</t>
  </si>
  <si>
    <t>Lena</t>
  </si>
  <si>
    <t>Traian</t>
  </si>
  <si>
    <t>Akmal</t>
  </si>
  <si>
    <t>Mohd</t>
  </si>
  <si>
    <t>Mahmoudd</t>
  </si>
  <si>
    <t>Olester</t>
  </si>
  <si>
    <t>Md.</t>
  </si>
  <si>
    <t>Munah</t>
  </si>
  <si>
    <t>Zahed</t>
  </si>
  <si>
    <t>Shonta</t>
  </si>
  <si>
    <t>Andre</t>
  </si>
  <si>
    <t>Constanza</t>
  </si>
  <si>
    <t>Rosie</t>
  </si>
  <si>
    <t>Vidur</t>
  </si>
  <si>
    <t>Herman</t>
  </si>
  <si>
    <t>Silvio</t>
  </si>
  <si>
    <t>Ding Fen</t>
  </si>
  <si>
    <t>Keyonni</t>
  </si>
  <si>
    <t>Bobbi</t>
  </si>
  <si>
    <t>Rudolph</t>
  </si>
  <si>
    <t>Diomedes</t>
  </si>
  <si>
    <t>Tasheba</t>
  </si>
  <si>
    <t>Yan Jin</t>
  </si>
  <si>
    <t>Onelia</t>
  </si>
  <si>
    <t>Yim Ming</t>
  </si>
  <si>
    <t>Shao Lan</t>
  </si>
  <si>
    <t>Domingo</t>
  </si>
  <si>
    <t>Felipe</t>
  </si>
  <si>
    <t>Mateo</t>
  </si>
  <si>
    <t>Yim Kwong</t>
  </si>
  <si>
    <t>Alejandrina</t>
  </si>
  <si>
    <t>Lorenza</t>
  </si>
  <si>
    <t>Gallen</t>
  </si>
  <si>
    <t>Ai Fang</t>
  </si>
  <si>
    <t>Geraldo</t>
  </si>
  <si>
    <t>Lam Boe</t>
  </si>
  <si>
    <t>Depew</t>
  </si>
  <si>
    <t>Aionga</t>
  </si>
  <si>
    <t>Irma</t>
  </si>
  <si>
    <t>Makeda</t>
  </si>
  <si>
    <t>Kinya</t>
  </si>
  <si>
    <t>Leszek</t>
  </si>
  <si>
    <t>Fat</t>
  </si>
  <si>
    <t>Francois</t>
  </si>
  <si>
    <t>Lynden</t>
  </si>
  <si>
    <t>Emiliano</t>
  </si>
  <si>
    <t>Vidals</t>
  </si>
  <si>
    <t>Deroux</t>
  </si>
  <si>
    <t>​Robert</t>
  </si>
  <si>
    <t>Maggie</t>
  </si>
  <si>
    <t>Jazmin</t>
  </si>
  <si>
    <t>Priscilla</t>
  </si>
  <si>
    <t>Nereyda</t>
  </si>
  <si>
    <t>Kicha</t>
  </si>
  <si>
    <t>Tatyana</t>
  </si>
  <si>
    <t>Anuschka</t>
  </si>
  <si>
    <t>Anibal</t>
  </si>
  <si>
    <t>Virgen</t>
  </si>
  <si>
    <t>Nairoby</t>
  </si>
  <si>
    <t>Marty</t>
  </si>
  <si>
    <t>Norris</t>
  </si>
  <si>
    <t>Nashaka</t>
  </si>
  <si>
    <t>Wally</t>
  </si>
  <si>
    <t>MARTINEZ</t>
  </si>
  <si>
    <t>Rizzo</t>
  </si>
  <si>
    <t>Rodriguez</t>
  </si>
  <si>
    <t>pigott</t>
  </si>
  <si>
    <t>Spence</t>
  </si>
  <si>
    <t>Wilkerson</t>
  </si>
  <si>
    <t>Bing</t>
  </si>
  <si>
    <t>Reyes</t>
  </si>
  <si>
    <t>Lohmeier</t>
  </si>
  <si>
    <t>Moya</t>
  </si>
  <si>
    <t>Figueroa</t>
  </si>
  <si>
    <t>Kelley</t>
  </si>
  <si>
    <t>Barnes</t>
  </si>
  <si>
    <t>Blackwell</t>
  </si>
  <si>
    <t>Ishak</t>
  </si>
  <si>
    <t>Jacobs</t>
  </si>
  <si>
    <t>Rivera</t>
  </si>
  <si>
    <t>Wang</t>
  </si>
  <si>
    <t>Pichardo</t>
  </si>
  <si>
    <t>Creech</t>
  </si>
  <si>
    <t>Prude</t>
  </si>
  <si>
    <t>Del Pilar Ordonez</t>
  </si>
  <si>
    <t>Spielmann</t>
  </si>
  <si>
    <t>Barbarino</t>
  </si>
  <si>
    <t>Gutierrez</t>
  </si>
  <si>
    <t>Tran</t>
  </si>
  <si>
    <t>Alvarez</t>
  </si>
  <si>
    <t>Malone</t>
  </si>
  <si>
    <t>Hrapovich</t>
  </si>
  <si>
    <t>Carmona</t>
  </si>
  <si>
    <t>Klein</t>
  </si>
  <si>
    <t>Nicholson</t>
  </si>
  <si>
    <t>Lopez</t>
  </si>
  <si>
    <t>Piro</t>
  </si>
  <si>
    <t>Batista</t>
  </si>
  <si>
    <t>Adams</t>
  </si>
  <si>
    <t>Chen</t>
  </si>
  <si>
    <t>Prince</t>
  </si>
  <si>
    <t>Contreras</t>
  </si>
  <si>
    <t>Campbell</t>
  </si>
  <si>
    <t>van Lohuizen</t>
  </si>
  <si>
    <t>Borges</t>
  </si>
  <si>
    <t>Hamilton</t>
  </si>
  <si>
    <t>Benoit</t>
  </si>
  <si>
    <t>Stewart</t>
  </si>
  <si>
    <t>Pazmino</t>
  </si>
  <si>
    <t>Nihalani</t>
  </si>
  <si>
    <t>Casey</t>
  </si>
  <si>
    <t>Chalmers</t>
  </si>
  <si>
    <t>Moddle</t>
  </si>
  <si>
    <t>Figueros</t>
  </si>
  <si>
    <t>Escala</t>
  </si>
  <si>
    <t>Howell</t>
  </si>
  <si>
    <t>Rivers</t>
  </si>
  <si>
    <t>Rangel</t>
  </si>
  <si>
    <t>Gilliam</t>
  </si>
  <si>
    <t>Chambers</t>
  </si>
  <si>
    <t>Riggi</t>
  </si>
  <si>
    <t>Gray</t>
  </si>
  <si>
    <t>Valez</t>
  </si>
  <si>
    <t>Holmes</t>
  </si>
  <si>
    <t>Bancroft</t>
  </si>
  <si>
    <t>Foy</t>
  </si>
  <si>
    <t>Parebez</t>
  </si>
  <si>
    <t>Men</t>
  </si>
  <si>
    <t>Kasica</t>
  </si>
  <si>
    <t>Naffar</t>
  </si>
  <si>
    <t>Bright</t>
  </si>
  <si>
    <t>Bawuah</t>
  </si>
  <si>
    <t>Medina</t>
  </si>
  <si>
    <t>Sivananban</t>
  </si>
  <si>
    <t>Samms</t>
  </si>
  <si>
    <t>Han</t>
  </si>
  <si>
    <t>Elguera</t>
  </si>
  <si>
    <t>Weiss</t>
  </si>
  <si>
    <t>Kahawita</t>
  </si>
  <si>
    <t>Watson</t>
  </si>
  <si>
    <t>Dominguez</t>
  </si>
  <si>
    <t>Perez</t>
  </si>
  <si>
    <t>Caruana</t>
  </si>
  <si>
    <t>Falcon</t>
  </si>
  <si>
    <t>Nathan</t>
  </si>
  <si>
    <t>Colon</t>
  </si>
  <si>
    <t>Ruiz</t>
  </si>
  <si>
    <t>Cato</t>
  </si>
  <si>
    <t>Jacobsen</t>
  </si>
  <si>
    <t>D'Ambrosio</t>
  </si>
  <si>
    <t>Petevka-Martin</t>
  </si>
  <si>
    <t>Murray</t>
  </si>
  <si>
    <t>Ilyayev</t>
  </si>
  <si>
    <t>Becketts</t>
  </si>
  <si>
    <t>Aca</t>
  </si>
  <si>
    <t>Respes</t>
  </si>
  <si>
    <t>Buchanan</t>
  </si>
  <si>
    <t>Khan</t>
  </si>
  <si>
    <t>Horn</t>
  </si>
  <si>
    <t>Curwen</t>
  </si>
  <si>
    <t>Skeete</t>
  </si>
  <si>
    <t>Delvalle</t>
  </si>
  <si>
    <t>Conzaga</t>
  </si>
  <si>
    <t>Garushyants</t>
  </si>
  <si>
    <t>Xiao</t>
  </si>
  <si>
    <t>Pryce</t>
  </si>
  <si>
    <t>Potter</t>
  </si>
  <si>
    <t>Grant</t>
  </si>
  <si>
    <t>Rios</t>
  </si>
  <si>
    <t>Koujman</t>
  </si>
  <si>
    <t>Essien</t>
  </si>
  <si>
    <t>Sheik</t>
  </si>
  <si>
    <t>Quinones</t>
  </si>
  <si>
    <t>Edwards</t>
  </si>
  <si>
    <t>Britton</t>
  </si>
  <si>
    <t>Welsh</t>
  </si>
  <si>
    <t>Rhodes</t>
  </si>
  <si>
    <t>Pitter</t>
  </si>
  <si>
    <t>Lambacker</t>
  </si>
  <si>
    <t>McGinley</t>
  </si>
  <si>
    <t>Martinez</t>
  </si>
  <si>
    <t>Bryan</t>
  </si>
  <si>
    <t>Hua</t>
  </si>
  <si>
    <t>Chiddick</t>
  </si>
  <si>
    <t>Crayton</t>
  </si>
  <si>
    <t>Collins</t>
  </si>
  <si>
    <t>Jacobs-Athill</t>
  </si>
  <si>
    <t>Larrier</t>
  </si>
  <si>
    <t>Frias</t>
  </si>
  <si>
    <t>concepcion</t>
  </si>
  <si>
    <t>Szylit-Alpert</t>
  </si>
  <si>
    <t>Scipio</t>
  </si>
  <si>
    <t>Cohen</t>
  </si>
  <si>
    <t>Torres</t>
  </si>
  <si>
    <t>Llanos</t>
  </si>
  <si>
    <t>Song</t>
  </si>
  <si>
    <t>Wallace</t>
  </si>
  <si>
    <t>Myers</t>
  </si>
  <si>
    <t>Hughes</t>
  </si>
  <si>
    <t>Patillo</t>
  </si>
  <si>
    <t>Cruz</t>
  </si>
  <si>
    <t>Ramirez</t>
  </si>
  <si>
    <t>Salikram</t>
  </si>
  <si>
    <t>Gonzalez</t>
  </si>
  <si>
    <t>White</t>
  </si>
  <si>
    <t>Grubshteyn</t>
  </si>
  <si>
    <t>Brillantes</t>
  </si>
  <si>
    <t>Samudrala</t>
  </si>
  <si>
    <t>Alcindor</t>
  </si>
  <si>
    <t>Danastorg</t>
  </si>
  <si>
    <t>Ballard</t>
  </si>
  <si>
    <t>Mcallister</t>
  </si>
  <si>
    <t>Peguero</t>
  </si>
  <si>
    <t>Taylor</t>
  </si>
  <si>
    <t>Diaz</t>
  </si>
  <si>
    <t>Thera</t>
  </si>
  <si>
    <t>Perez Santiago</t>
  </si>
  <si>
    <t>Velez</t>
  </si>
  <si>
    <t>Ramlogan</t>
  </si>
  <si>
    <t>Shieh</t>
  </si>
  <si>
    <t>Moreno</t>
  </si>
  <si>
    <t>Hang</t>
  </si>
  <si>
    <t>Garcia- Marte</t>
  </si>
  <si>
    <t>Gordiyenko</t>
  </si>
  <si>
    <t>Harris</t>
  </si>
  <si>
    <t>Bray</t>
  </si>
  <si>
    <t>Wiley</t>
  </si>
  <si>
    <t>Brown</t>
  </si>
  <si>
    <t>Burke</t>
  </si>
  <si>
    <t>Coffey</t>
  </si>
  <si>
    <t>Rittenhour</t>
  </si>
  <si>
    <t>Lazarus</t>
  </si>
  <si>
    <t>Caraballo</t>
  </si>
  <si>
    <t>Andino</t>
  </si>
  <si>
    <t>Ramos</t>
  </si>
  <si>
    <t>Solis</t>
  </si>
  <si>
    <t>Morrison</t>
  </si>
  <si>
    <t>Tucker</t>
  </si>
  <si>
    <t>Suazo</t>
  </si>
  <si>
    <t>Dempsey</t>
  </si>
  <si>
    <t>Jefferson</t>
  </si>
  <si>
    <t>Blaize</t>
  </si>
  <si>
    <t>Franco</t>
  </si>
  <si>
    <t>McLendon</t>
  </si>
  <si>
    <t>Hurtado</t>
  </si>
  <si>
    <t>Morales</t>
  </si>
  <si>
    <t>Augustus</t>
  </si>
  <si>
    <t>Mejia</t>
  </si>
  <si>
    <t>Sanchez</t>
  </si>
  <si>
    <t>Cooke</t>
  </si>
  <si>
    <t>Buckner</t>
  </si>
  <si>
    <t>Milden</t>
  </si>
  <si>
    <t>Esberry</t>
  </si>
  <si>
    <t>Aliatis</t>
  </si>
  <si>
    <t>Arriaja</t>
  </si>
  <si>
    <t>Yepez</t>
  </si>
  <si>
    <t>Walker</t>
  </si>
  <si>
    <t>Spaulding</t>
  </si>
  <si>
    <t>Lytch</t>
  </si>
  <si>
    <t>Napoleoni</t>
  </si>
  <si>
    <t>Maldonado</t>
  </si>
  <si>
    <t>Miranda</t>
  </si>
  <si>
    <t>St. Cyr</t>
  </si>
  <si>
    <t>Mejias</t>
  </si>
  <si>
    <t>Muniz</t>
  </si>
  <si>
    <t>Morel</t>
  </si>
  <si>
    <t>De Jesus</t>
  </si>
  <si>
    <t>Slaven</t>
  </si>
  <si>
    <t>Mahdi</t>
  </si>
  <si>
    <t>Avory</t>
  </si>
  <si>
    <t>Turner</t>
  </si>
  <si>
    <t>Brown-Little</t>
  </si>
  <si>
    <t>Matyas</t>
  </si>
  <si>
    <t>Morgan</t>
  </si>
  <si>
    <t>Mahon</t>
  </si>
  <si>
    <t>Agosto</t>
  </si>
  <si>
    <t>Williams</t>
  </si>
  <si>
    <t>Petrov</t>
  </si>
  <si>
    <t>Ramos Paolino</t>
  </si>
  <si>
    <t>Ayala</t>
  </si>
  <si>
    <t>Ampuero</t>
  </si>
  <si>
    <t>Mouscardy</t>
  </si>
  <si>
    <t>Houmita</t>
  </si>
  <si>
    <t>Jackson</t>
  </si>
  <si>
    <t>Bowles</t>
  </si>
  <si>
    <t>Duran</t>
  </si>
  <si>
    <t>Gil</t>
  </si>
  <si>
    <t>Hernandez</t>
  </si>
  <si>
    <t>Palmer</t>
  </si>
  <si>
    <t>Fobbs</t>
  </si>
  <si>
    <t>Allende</t>
  </si>
  <si>
    <t>Alicea</t>
  </si>
  <si>
    <t>Pizarro</t>
  </si>
  <si>
    <t>Giaccone</t>
  </si>
  <si>
    <t>Claudio</t>
  </si>
  <si>
    <t>Holloway</t>
  </si>
  <si>
    <t>Poggi</t>
  </si>
  <si>
    <t>McCullough</t>
  </si>
  <si>
    <t>Trawalley</t>
  </si>
  <si>
    <t xml:space="preserve">Swindell </t>
  </si>
  <si>
    <t>Telassa</t>
  </si>
  <si>
    <t>McNeil</t>
  </si>
  <si>
    <t>Nadal</t>
  </si>
  <si>
    <t>Paige</t>
  </si>
  <si>
    <t>Bernardez</t>
  </si>
  <si>
    <t>Frazier</t>
  </si>
  <si>
    <t>Mines</t>
  </si>
  <si>
    <t>Quince</t>
  </si>
  <si>
    <t>Tripari</t>
  </si>
  <si>
    <t>Ners</t>
  </si>
  <si>
    <t>Bershadski</t>
  </si>
  <si>
    <t>Depass</t>
  </si>
  <si>
    <t>Disney</t>
  </si>
  <si>
    <t>Gurino</t>
  </si>
  <si>
    <t>Ellis</t>
  </si>
  <si>
    <t>Jones</t>
  </si>
  <si>
    <t>Abramova</t>
  </si>
  <si>
    <t>Ortiz</t>
  </si>
  <si>
    <t>Ellerby</t>
  </si>
  <si>
    <t>Burden</t>
  </si>
  <si>
    <t>Munoz</t>
  </si>
  <si>
    <t>Aristyl</t>
  </si>
  <si>
    <t>Cordero</t>
  </si>
  <si>
    <t>Savoury</t>
  </si>
  <si>
    <t>Gill</t>
  </si>
  <si>
    <t>Sacks</t>
  </si>
  <si>
    <t>Murillo</t>
  </si>
  <si>
    <t>Castro</t>
  </si>
  <si>
    <t>Arana-Clavel</t>
  </si>
  <si>
    <t>Mundy</t>
  </si>
  <si>
    <t>Cabral</t>
  </si>
  <si>
    <t>Livermon</t>
  </si>
  <si>
    <t>Robinson</t>
  </si>
  <si>
    <t>Paulino</t>
  </si>
  <si>
    <t>Leonza</t>
  </si>
  <si>
    <t>Buono</t>
  </si>
  <si>
    <t>Stcyr</t>
  </si>
  <si>
    <t>Price</t>
  </si>
  <si>
    <t>leonard</t>
  </si>
  <si>
    <t>Miner</t>
  </si>
  <si>
    <t>Cerdena</t>
  </si>
  <si>
    <t>Santana</t>
  </si>
  <si>
    <t>Rice</t>
  </si>
  <si>
    <t>Faulknor</t>
  </si>
  <si>
    <t>Mothershed</t>
  </si>
  <si>
    <t>Aronbayeva</t>
  </si>
  <si>
    <t>Pan</t>
  </si>
  <si>
    <t>Crespo</t>
  </si>
  <si>
    <t>Bland</t>
  </si>
  <si>
    <t>Aguilar</t>
  </si>
  <si>
    <t>Wimbush</t>
  </si>
  <si>
    <t>Squire Jackson</t>
  </si>
  <si>
    <t>Singleton</t>
  </si>
  <si>
    <t>Pilato</t>
  </si>
  <si>
    <t>Dunckley</t>
  </si>
  <si>
    <t>Fridman</t>
  </si>
  <si>
    <t>Ocasio</t>
  </si>
  <si>
    <t>Jimenez</t>
  </si>
  <si>
    <t>Santos</t>
  </si>
  <si>
    <t>Slaghter</t>
  </si>
  <si>
    <t>Kotok</t>
  </si>
  <si>
    <t>Polanco</t>
  </si>
  <si>
    <t>Jean-Pierre</t>
  </si>
  <si>
    <t>Woods</t>
  </si>
  <si>
    <t>Schwartz</t>
  </si>
  <si>
    <t>Avila Calderon</t>
  </si>
  <si>
    <t>Guzman</t>
  </si>
  <si>
    <t>Commissiong</t>
  </si>
  <si>
    <t>Valenzuela</t>
  </si>
  <si>
    <t>Echeverria</t>
  </si>
  <si>
    <t>Naula</t>
  </si>
  <si>
    <t>Edmond</t>
  </si>
  <si>
    <t>Caceres</t>
  </si>
  <si>
    <t>Govea</t>
  </si>
  <si>
    <t>Crawford</t>
  </si>
  <si>
    <t>McDonald</t>
  </si>
  <si>
    <t>Carusone</t>
  </si>
  <si>
    <t>Ortega</t>
  </si>
  <si>
    <t>Goronsky</t>
  </si>
  <si>
    <t>Palma</t>
  </si>
  <si>
    <t>Montoya</t>
  </si>
  <si>
    <t>Katounis</t>
  </si>
  <si>
    <t>Richardson</t>
  </si>
  <si>
    <t>Knightingale</t>
  </si>
  <si>
    <t>Fermin Mora</t>
  </si>
  <si>
    <t>Barrett</t>
  </si>
  <si>
    <t>Rondon</t>
  </si>
  <si>
    <t>Keil</t>
  </si>
  <si>
    <t>Taveras</t>
  </si>
  <si>
    <t>Swiller</t>
  </si>
  <si>
    <t>Celestin</t>
  </si>
  <si>
    <t>Jarrell</t>
  </si>
  <si>
    <t>Fontenote</t>
  </si>
  <si>
    <t>Franceschi</t>
  </si>
  <si>
    <t>Osman</t>
  </si>
  <si>
    <t>Acevedo</t>
  </si>
  <si>
    <t>Leighton</t>
  </si>
  <si>
    <t>Coronado</t>
  </si>
  <si>
    <t>Freckleton</t>
  </si>
  <si>
    <t>Moore-Jones</t>
  </si>
  <si>
    <t>Cateau</t>
  </si>
  <si>
    <t>De Leon</t>
  </si>
  <si>
    <t>Yorke</t>
  </si>
  <si>
    <t>Jordan</t>
  </si>
  <si>
    <t>Campozano</t>
  </si>
  <si>
    <t>Johannes</t>
  </si>
  <si>
    <t>Hodge</t>
  </si>
  <si>
    <t>Sutter</t>
  </si>
  <si>
    <t>Green</t>
  </si>
  <si>
    <t>Lambert</t>
  </si>
  <si>
    <t>Espinoza</t>
  </si>
  <si>
    <t>Delbridge</t>
  </si>
  <si>
    <t>Shchegolevsky</t>
  </si>
  <si>
    <t>Varriale</t>
  </si>
  <si>
    <t>King</t>
  </si>
  <si>
    <t>Jameson</t>
  </si>
  <si>
    <t>Vazquez</t>
  </si>
  <si>
    <t>Turley</t>
  </si>
  <si>
    <t>Ungar</t>
  </si>
  <si>
    <t>Smith</t>
  </si>
  <si>
    <t>Organ</t>
  </si>
  <si>
    <t>Frost</t>
  </si>
  <si>
    <t>Jamison-Jackson</t>
  </si>
  <si>
    <t>Waiters</t>
  </si>
  <si>
    <t>Vanwagoner</t>
  </si>
  <si>
    <t>Burgess</t>
  </si>
  <si>
    <t>Carbucia</t>
  </si>
  <si>
    <t>Shaw</t>
  </si>
  <si>
    <t>Abuzahrieh</t>
  </si>
  <si>
    <t>Levental</t>
  </si>
  <si>
    <t>Pacht</t>
  </si>
  <si>
    <t>Masako</t>
  </si>
  <si>
    <t>Isidoro</t>
  </si>
  <si>
    <t>Engesser</t>
  </si>
  <si>
    <t>Hailstalk</t>
  </si>
  <si>
    <t>Jaffery</t>
  </si>
  <si>
    <t>Uriel</t>
  </si>
  <si>
    <t>Suarez</t>
  </si>
  <si>
    <t>Boyko</t>
  </si>
  <si>
    <t>Joa</t>
  </si>
  <si>
    <t>Gay Campbell</t>
  </si>
  <si>
    <t>McLennan</t>
  </si>
  <si>
    <t>Willson</t>
  </si>
  <si>
    <t>Cooper</t>
  </si>
  <si>
    <t>Novak</t>
  </si>
  <si>
    <t>Navarro</t>
  </si>
  <si>
    <t>Olatidoye</t>
  </si>
  <si>
    <t>Jurado-Laboy</t>
  </si>
  <si>
    <t>Felton</t>
  </si>
  <si>
    <t>Falconi</t>
  </si>
  <si>
    <t>Morabito</t>
  </si>
  <si>
    <t>Paraez</t>
  </si>
  <si>
    <t>McShane</t>
  </si>
  <si>
    <t>Hojilla</t>
  </si>
  <si>
    <t>Ghalib</t>
  </si>
  <si>
    <t>Chaphe</t>
  </si>
  <si>
    <t>Levites</t>
  </si>
  <si>
    <t>Vargas</t>
  </si>
  <si>
    <t>Irizarry-Jacobs</t>
  </si>
  <si>
    <t>Palaez</t>
  </si>
  <si>
    <t>Shepherd</t>
  </si>
  <si>
    <t>Pizicas</t>
  </si>
  <si>
    <t>Medrano</t>
  </si>
  <si>
    <t>Decarmine</t>
  </si>
  <si>
    <t>Rosello</t>
  </si>
  <si>
    <t>Birney</t>
  </si>
  <si>
    <t>Rotger</t>
  </si>
  <si>
    <t>Portuondo</t>
  </si>
  <si>
    <t>Ross</t>
  </si>
  <si>
    <t>Brooks</t>
  </si>
  <si>
    <t>Swaray</t>
  </si>
  <si>
    <t>Nadeau</t>
  </si>
  <si>
    <t>Gibson</t>
  </si>
  <si>
    <t>Santero</t>
  </si>
  <si>
    <t>Ledesma</t>
  </si>
  <si>
    <t>Pagan</t>
  </si>
  <si>
    <t>Sneddon</t>
  </si>
  <si>
    <t>Hartley</t>
  </si>
  <si>
    <t>Ahfor</t>
  </si>
  <si>
    <t>Irizarry</t>
  </si>
  <si>
    <t>Guido</t>
  </si>
  <si>
    <t>Farrell</t>
  </si>
  <si>
    <t>Woodall</t>
  </si>
  <si>
    <t>Thompson</t>
  </si>
  <si>
    <t>Sepulveda</t>
  </si>
  <si>
    <t>Banks</t>
  </si>
  <si>
    <t>Espinal</t>
  </si>
  <si>
    <t>Carter</t>
  </si>
  <si>
    <t>Prescott</t>
  </si>
  <si>
    <t>Klewicki</t>
  </si>
  <si>
    <t>Ward</t>
  </si>
  <si>
    <t>Vlado</t>
  </si>
  <si>
    <t>Harley</t>
  </si>
  <si>
    <t>Davis</t>
  </si>
  <si>
    <t>Filion</t>
  </si>
  <si>
    <t>Doolen</t>
  </si>
  <si>
    <t>Wright</t>
  </si>
  <si>
    <t>Wong</t>
  </si>
  <si>
    <t>Somers</t>
  </si>
  <si>
    <t>Kevelier</t>
  </si>
  <si>
    <t>Moss</t>
  </si>
  <si>
    <t>Walsh</t>
  </si>
  <si>
    <t>Murphy</t>
  </si>
  <si>
    <t>Watkins</t>
  </si>
  <si>
    <t>Rosado</t>
  </si>
  <si>
    <t>Chavez</t>
  </si>
  <si>
    <t>Rush</t>
  </si>
  <si>
    <t>McQuilkin</t>
  </si>
  <si>
    <t>Duesbury</t>
  </si>
  <si>
    <t>Azanero</t>
  </si>
  <si>
    <t>Landa</t>
  </si>
  <si>
    <t>Subren</t>
  </si>
  <si>
    <t>Cantos</t>
  </si>
  <si>
    <t>Quezada</t>
  </si>
  <si>
    <t>Pareja</t>
  </si>
  <si>
    <t>Machioudi</t>
  </si>
  <si>
    <t>Sosa Salcedo</t>
  </si>
  <si>
    <t>Reeves</t>
  </si>
  <si>
    <t>Luciano</t>
  </si>
  <si>
    <t>Guerrero</t>
  </si>
  <si>
    <t>Hargett</t>
  </si>
  <si>
    <t>Resto</t>
  </si>
  <si>
    <t>Carbonell</t>
  </si>
  <si>
    <t>Scott-Biris</t>
  </si>
  <si>
    <t>Galvez</t>
  </si>
  <si>
    <t>Wynn</t>
  </si>
  <si>
    <t>Zhou</t>
  </si>
  <si>
    <t>Fernanadez</t>
  </si>
  <si>
    <t>Cornelius</t>
  </si>
  <si>
    <t>Sepuya</t>
  </si>
  <si>
    <t>Coleman</t>
  </si>
  <si>
    <t>Islam</t>
  </si>
  <si>
    <t>Handy</t>
  </si>
  <si>
    <t>De la Rosa</t>
  </si>
  <si>
    <t>DE ROSARIO</t>
  </si>
  <si>
    <t>Fagen</t>
  </si>
  <si>
    <t>Sultana</t>
  </si>
  <si>
    <t>Capell</t>
  </si>
  <si>
    <t>Rock</t>
  </si>
  <si>
    <t>England</t>
  </si>
  <si>
    <t>Choudhury</t>
  </si>
  <si>
    <t>McClendon</t>
  </si>
  <si>
    <t>St.Hill</t>
  </si>
  <si>
    <t>Knight</t>
  </si>
  <si>
    <t>Calderon</t>
  </si>
  <si>
    <t>Akbar</t>
  </si>
  <si>
    <t>Suissa</t>
  </si>
  <si>
    <t>Weche</t>
  </si>
  <si>
    <t>Halberstam</t>
  </si>
  <si>
    <t>Vecchione</t>
  </si>
  <si>
    <t>Hucey</t>
  </si>
  <si>
    <t>Makinde</t>
  </si>
  <si>
    <t>Baltazer</t>
  </si>
  <si>
    <t>Zarzuela</t>
  </si>
  <si>
    <t>Mendoza</t>
  </si>
  <si>
    <t>Lewis</t>
  </si>
  <si>
    <t>Gomez</t>
  </si>
  <si>
    <t>Pratt</t>
  </si>
  <si>
    <t>Reid</t>
  </si>
  <si>
    <t>Virella</t>
  </si>
  <si>
    <t>Mercado</t>
  </si>
  <si>
    <t>Creighton</t>
  </si>
  <si>
    <t>Mayo</t>
  </si>
  <si>
    <t>Dupree</t>
  </si>
  <si>
    <t>Tejada</t>
  </si>
  <si>
    <t>Robletto</t>
  </si>
  <si>
    <t>Pacheco</t>
  </si>
  <si>
    <t>Ebanks</t>
  </si>
  <si>
    <t>Nussbaum</t>
  </si>
  <si>
    <t>Danenhower</t>
  </si>
  <si>
    <t>Machuca</t>
  </si>
  <si>
    <t>Whyte</t>
  </si>
  <si>
    <t>Ruebenstahl</t>
  </si>
  <si>
    <t>Cardena</t>
  </si>
  <si>
    <t>Ruzzo</t>
  </si>
  <si>
    <t>Lyashchenko</t>
  </si>
  <si>
    <t>Iglesias</t>
  </si>
  <si>
    <t>Bell</t>
  </si>
  <si>
    <t>Salaman</t>
  </si>
  <si>
    <t>Valentine</t>
  </si>
  <si>
    <t>St. Louis</t>
  </si>
  <si>
    <t>Kinsey</t>
  </si>
  <si>
    <t>Almeida</t>
  </si>
  <si>
    <t>Vallejo</t>
  </si>
  <si>
    <t>Rolling</t>
  </si>
  <si>
    <t>Curley</t>
  </si>
  <si>
    <t>Pope</t>
  </si>
  <si>
    <t>Pickens</t>
  </si>
  <si>
    <t>Noel</t>
  </si>
  <si>
    <t>Mann</t>
  </si>
  <si>
    <t>Gaston-Alaoui</t>
  </si>
  <si>
    <t>Herrera</t>
  </si>
  <si>
    <t>DelCarmen</t>
  </si>
  <si>
    <t>Castanos</t>
  </si>
  <si>
    <t>Zou</t>
  </si>
  <si>
    <t>Riccobono</t>
  </si>
  <si>
    <t>Valentin</t>
  </si>
  <si>
    <t>Henriquez</t>
  </si>
  <si>
    <t>Almonor</t>
  </si>
  <si>
    <t>Werts</t>
  </si>
  <si>
    <t>Savattere</t>
  </si>
  <si>
    <t>Diamond</t>
  </si>
  <si>
    <t>Lyons</t>
  </si>
  <si>
    <t>Hill</t>
  </si>
  <si>
    <t>Paca</t>
  </si>
  <si>
    <t>Olabiwonnu</t>
  </si>
  <si>
    <t>Fiallos</t>
  </si>
  <si>
    <t>Stone</t>
  </si>
  <si>
    <t>Cornielle</t>
  </si>
  <si>
    <t>Bouley</t>
  </si>
  <si>
    <t>Clare</t>
  </si>
  <si>
    <t>Salinas</t>
  </si>
  <si>
    <t>Cano</t>
  </si>
  <si>
    <t>Tapia</t>
  </si>
  <si>
    <t>De Aza</t>
  </si>
  <si>
    <t>Christinis</t>
  </si>
  <si>
    <t>Lotmore</t>
  </si>
  <si>
    <t>Abdu-Shahid</t>
  </si>
  <si>
    <t>Bautista</t>
  </si>
  <si>
    <t>Fermin</t>
  </si>
  <si>
    <t>Sotiroff</t>
  </si>
  <si>
    <t>Moore</t>
  </si>
  <si>
    <t>Sosa</t>
  </si>
  <si>
    <t>Choy</t>
  </si>
  <si>
    <t>Sem-Adtorgenu</t>
  </si>
  <si>
    <t>Amankwah</t>
  </si>
  <si>
    <t>Weekes</t>
  </si>
  <si>
    <t>VArgas</t>
  </si>
  <si>
    <t>Franco-Delawrence</t>
  </si>
  <si>
    <t>Cuatle</t>
  </si>
  <si>
    <t>Best</t>
  </si>
  <si>
    <t>Brito</t>
  </si>
  <si>
    <t>Cumba</t>
  </si>
  <si>
    <t>Plowden</t>
  </si>
  <si>
    <t>Bishop</t>
  </si>
  <si>
    <t>Hichez Medina</t>
  </si>
  <si>
    <t>Fogarty</t>
  </si>
  <si>
    <t>Faulkner</t>
  </si>
  <si>
    <t>Newton</t>
  </si>
  <si>
    <t>Oropeza</t>
  </si>
  <si>
    <t>Settles</t>
  </si>
  <si>
    <t>Jalloh</t>
  </si>
  <si>
    <t>Adesanya</t>
  </si>
  <si>
    <t>Bailey</t>
  </si>
  <si>
    <t>Woolford</t>
  </si>
  <si>
    <t>Coletta</t>
  </si>
  <si>
    <t>Brea</t>
  </si>
  <si>
    <t>Holland Upsher</t>
  </si>
  <si>
    <t>Nazario</t>
  </si>
  <si>
    <t>Wikstrom</t>
  </si>
  <si>
    <t>Martillo Cruz</t>
  </si>
  <si>
    <t>Marcano</t>
  </si>
  <si>
    <t>Pena</t>
  </si>
  <si>
    <t>Pittman</t>
  </si>
  <si>
    <t>Woody</t>
  </si>
  <si>
    <t>Silva Sideris</t>
  </si>
  <si>
    <t>Sayers Joseph</t>
  </si>
  <si>
    <t>Banovich</t>
  </si>
  <si>
    <t>De Los Santos</t>
  </si>
  <si>
    <t>Steinmetz</t>
  </si>
  <si>
    <t>Bershadsky</t>
  </si>
  <si>
    <t>Burgas</t>
  </si>
  <si>
    <t>Marcol</t>
  </si>
  <si>
    <t>Haque</t>
  </si>
  <si>
    <t>Pastrana</t>
  </si>
  <si>
    <t>Shelton</t>
  </si>
  <si>
    <t>Seward</t>
  </si>
  <si>
    <t>Moronta</t>
  </si>
  <si>
    <t>Lin</t>
  </si>
  <si>
    <t>Camacho</t>
  </si>
  <si>
    <t>Flores</t>
  </si>
  <si>
    <t>Belches</t>
  </si>
  <si>
    <t>McCool</t>
  </si>
  <si>
    <t>Vanable</t>
  </si>
  <si>
    <t>Griffin</t>
  </si>
  <si>
    <t>Bennett</t>
  </si>
  <si>
    <t>Chung</t>
  </si>
  <si>
    <t>Williamson</t>
  </si>
  <si>
    <t>Merced</t>
  </si>
  <si>
    <t>Jolley</t>
  </si>
  <si>
    <t>Duncan</t>
  </si>
  <si>
    <t>Acosta</t>
  </si>
  <si>
    <t>Calcano</t>
  </si>
  <si>
    <t>Alcequier</t>
  </si>
  <si>
    <t>Arias</t>
  </si>
  <si>
    <t>Cheeks</t>
  </si>
  <si>
    <t>Inoa</t>
  </si>
  <si>
    <t>Bostick</t>
  </si>
  <si>
    <t>Soskind</t>
  </si>
  <si>
    <t>Pimentel</t>
  </si>
  <si>
    <t>Rivas</t>
  </si>
  <si>
    <t>Salgado</t>
  </si>
  <si>
    <t>Adjeyi</t>
  </si>
  <si>
    <t>Bermudez</t>
  </si>
  <si>
    <t>Carrasquillo</t>
  </si>
  <si>
    <t>Carrington</t>
  </si>
  <si>
    <t>Elharras</t>
  </si>
  <si>
    <t>Brazell</t>
  </si>
  <si>
    <t>Greene</t>
  </si>
  <si>
    <t>Cendena</t>
  </si>
  <si>
    <t>Nurse</t>
  </si>
  <si>
    <t>Quispe</t>
  </si>
  <si>
    <t>Almonte</t>
  </si>
  <si>
    <t>Levine</t>
  </si>
  <si>
    <t>Panama</t>
  </si>
  <si>
    <t>Lara</t>
  </si>
  <si>
    <t>Tavarez</t>
  </si>
  <si>
    <t>Tejeda</t>
  </si>
  <si>
    <t>Nunez</t>
  </si>
  <si>
    <t>Luna</t>
  </si>
  <si>
    <t>Gaines</t>
  </si>
  <si>
    <t>Ulloa</t>
  </si>
  <si>
    <t>Faison</t>
  </si>
  <si>
    <t>Matthews</t>
  </si>
  <si>
    <t>Cabrera</t>
  </si>
  <si>
    <t>Hilario</t>
  </si>
  <si>
    <t>Marrero</t>
  </si>
  <si>
    <t>Burnett</t>
  </si>
  <si>
    <t>Cousin</t>
  </si>
  <si>
    <t>Mancuso</t>
  </si>
  <si>
    <t>Gittens</t>
  </si>
  <si>
    <t>Cousins</t>
  </si>
  <si>
    <t>Sidorovich</t>
  </si>
  <si>
    <t>Deoleo</t>
  </si>
  <si>
    <t>Rodriguez Rodado</t>
  </si>
  <si>
    <t>Lemelin</t>
  </si>
  <si>
    <t>Gorham</t>
  </si>
  <si>
    <t>Marte</t>
  </si>
  <si>
    <t>Leibowitz</t>
  </si>
  <si>
    <t>Reynoso</t>
  </si>
  <si>
    <t>Stubbs</t>
  </si>
  <si>
    <t>Weiner</t>
  </si>
  <si>
    <t>Casteneda</t>
  </si>
  <si>
    <t>Cochran</t>
  </si>
  <si>
    <t>Suru</t>
  </si>
  <si>
    <t>Benitez</t>
  </si>
  <si>
    <t>Chowdhury</t>
  </si>
  <si>
    <t>Solano</t>
  </si>
  <si>
    <t>Piper</t>
  </si>
  <si>
    <t>Bossa -Venecia</t>
  </si>
  <si>
    <t>Montano</t>
  </si>
  <si>
    <t>Weinstein</t>
  </si>
  <si>
    <t>Bedoya</t>
  </si>
  <si>
    <t>Vaca</t>
  </si>
  <si>
    <t>Rosas-Mejia</t>
  </si>
  <si>
    <t>Adames</t>
  </si>
  <si>
    <t>Acosta-De la Cruz</t>
  </si>
  <si>
    <t>Romano</t>
  </si>
  <si>
    <t>Lane</t>
  </si>
  <si>
    <t>Bozek</t>
  </si>
  <si>
    <t>Soriano</t>
  </si>
  <si>
    <t>Thompson-Dean Bailey</t>
  </si>
  <si>
    <t>Sankar</t>
  </si>
  <si>
    <t>Korostyshevskiy</t>
  </si>
  <si>
    <t>Joakim</t>
  </si>
  <si>
    <t>Polito</t>
  </si>
  <si>
    <t>Hooks</t>
  </si>
  <si>
    <t>Tuitt</t>
  </si>
  <si>
    <t>Maillard</t>
  </si>
  <si>
    <t>Segal</t>
  </si>
  <si>
    <t>Zollo</t>
  </si>
  <si>
    <t>Hargrove</t>
  </si>
  <si>
    <t>Fallah</t>
  </si>
  <si>
    <t>Chase</t>
  </si>
  <si>
    <t>Saint Louis</t>
  </si>
  <si>
    <t>Bestman</t>
  </si>
  <si>
    <t>Lynch</t>
  </si>
  <si>
    <t>Maura</t>
  </si>
  <si>
    <t>Robateau</t>
  </si>
  <si>
    <t>McGhee</t>
  </si>
  <si>
    <t>Fernandez</t>
  </si>
  <si>
    <t>Clemencia</t>
  </si>
  <si>
    <t>Levandov</t>
  </si>
  <si>
    <t>Dejesus</t>
  </si>
  <si>
    <t>Gil Abreu</t>
  </si>
  <si>
    <t>Porro</t>
  </si>
  <si>
    <t>Lowery</t>
  </si>
  <si>
    <t>Khanam</t>
  </si>
  <si>
    <t>Manosalvas</t>
  </si>
  <si>
    <t>Manoslavas</t>
  </si>
  <si>
    <t>Munzer</t>
  </si>
  <si>
    <t>Akter</t>
  </si>
  <si>
    <t>Lumchan</t>
  </si>
  <si>
    <t>Stackhouse</t>
  </si>
  <si>
    <t>Bethea</t>
  </si>
  <si>
    <t>Swartzon</t>
  </si>
  <si>
    <t>Samios</t>
  </si>
  <si>
    <t>Haft</t>
  </si>
  <si>
    <t>Silverstein</t>
  </si>
  <si>
    <t>Tlatelpa</t>
  </si>
  <si>
    <t>Davila</t>
  </si>
  <si>
    <t>Reese</t>
  </si>
  <si>
    <t>Cervantes</t>
  </si>
  <si>
    <t>McCarthy</t>
  </si>
  <si>
    <t>Abreu</t>
  </si>
  <si>
    <t>Pestano</t>
  </si>
  <si>
    <t>Romero</t>
  </si>
  <si>
    <t>Carlucci</t>
  </si>
  <si>
    <t>Roche</t>
  </si>
  <si>
    <t>Hinds</t>
  </si>
  <si>
    <t>Donaldson</t>
  </si>
  <si>
    <t>Coronel</t>
  </si>
  <si>
    <t>Baker</t>
  </si>
  <si>
    <t>Stephens</t>
  </si>
  <si>
    <t>Randall</t>
  </si>
  <si>
    <t>Del Pilar Cabrera</t>
  </si>
  <si>
    <t>Lopes Malave</t>
  </si>
  <si>
    <t>Edwards-Joseph</t>
  </si>
  <si>
    <t>Fuller</t>
  </si>
  <si>
    <t>Wynns</t>
  </si>
  <si>
    <t>Ithier</t>
  </si>
  <si>
    <t>Despinosse</t>
  </si>
  <si>
    <t>Eshkenazi</t>
  </si>
  <si>
    <t>Briggs</t>
  </si>
  <si>
    <t>Dargan</t>
  </si>
  <si>
    <t>Hazell</t>
  </si>
  <si>
    <t>Fortuna</t>
  </si>
  <si>
    <t>Butler</t>
  </si>
  <si>
    <t>Sykes</t>
  </si>
  <si>
    <t>De Rojas</t>
  </si>
  <si>
    <t>Durandisse</t>
  </si>
  <si>
    <t>Romain</t>
  </si>
  <si>
    <t>Saravia</t>
  </si>
  <si>
    <t>Foster</t>
  </si>
  <si>
    <t>Morningstar</t>
  </si>
  <si>
    <t>Andujar</t>
  </si>
  <si>
    <t>Soukamneuth</t>
  </si>
  <si>
    <t>Rushmore</t>
  </si>
  <si>
    <t>Washington</t>
  </si>
  <si>
    <t>Solis Verdesoto</t>
  </si>
  <si>
    <t>Bogdanova</t>
  </si>
  <si>
    <t>Holder</t>
  </si>
  <si>
    <t>McDowell-Butts</t>
  </si>
  <si>
    <t>Fenton</t>
  </si>
  <si>
    <t>Delaine</t>
  </si>
  <si>
    <t>Colinet</t>
  </si>
  <si>
    <t>Herrera Avalos</t>
  </si>
  <si>
    <t>Shrestha</t>
  </si>
  <si>
    <t>Shifrin</t>
  </si>
  <si>
    <t>Walkes</t>
  </si>
  <si>
    <t>Allums</t>
  </si>
  <si>
    <t>Ciancimino</t>
  </si>
  <si>
    <t>Tarantola</t>
  </si>
  <si>
    <t>Grate</t>
  </si>
  <si>
    <t>Ganz</t>
  </si>
  <si>
    <t>Shoup</t>
  </si>
  <si>
    <t>Khatib</t>
  </si>
  <si>
    <t>de Souza-King</t>
  </si>
  <si>
    <t>Rahman</t>
  </si>
  <si>
    <t>Piedrahita</t>
  </si>
  <si>
    <t>Bragg</t>
  </si>
  <si>
    <t>Sumler</t>
  </si>
  <si>
    <t>Ofulue</t>
  </si>
  <si>
    <t>Conway</t>
  </si>
  <si>
    <t>Prado</t>
  </si>
  <si>
    <t>Owolabi</t>
  </si>
  <si>
    <t>Brathwaite</t>
  </si>
  <si>
    <t>Ahamed</t>
  </si>
  <si>
    <t>Quach</t>
  </si>
  <si>
    <t>Cardenas</t>
  </si>
  <si>
    <t>Manning</t>
  </si>
  <si>
    <t>Obie</t>
  </si>
  <si>
    <t>Villanueva</t>
  </si>
  <si>
    <t>Portella</t>
  </si>
  <si>
    <t>Boylan</t>
  </si>
  <si>
    <t>Hussein</t>
  </si>
  <si>
    <t>Dhanraj Smith</t>
  </si>
  <si>
    <t>Stuckey</t>
  </si>
  <si>
    <t>Shea</t>
  </si>
  <si>
    <t>Veras</t>
  </si>
  <si>
    <t>Segura</t>
  </si>
  <si>
    <t>Mojica</t>
  </si>
  <si>
    <t>Somorin</t>
  </si>
  <si>
    <t>Barlon</t>
  </si>
  <si>
    <t>Newkirk</t>
  </si>
  <si>
    <t>Patterson</t>
  </si>
  <si>
    <t>Cepeda</t>
  </si>
  <si>
    <t>Statuto</t>
  </si>
  <si>
    <t>Grayson</t>
  </si>
  <si>
    <t>Furs</t>
  </si>
  <si>
    <t>Brewer</t>
  </si>
  <si>
    <t>Middleton</t>
  </si>
  <si>
    <t>Adigun</t>
  </si>
  <si>
    <t>Lindsey</t>
  </si>
  <si>
    <t>Choe</t>
  </si>
  <si>
    <t>Huitzil Paleta</t>
  </si>
  <si>
    <t>Wells</t>
  </si>
  <si>
    <t>Daley</t>
  </si>
  <si>
    <t>Coello</t>
  </si>
  <si>
    <t>Speller</t>
  </si>
  <si>
    <t>Checo</t>
  </si>
  <si>
    <t>Rojas</t>
  </si>
  <si>
    <t>Marizan</t>
  </si>
  <si>
    <t>Fitzgerald</t>
  </si>
  <si>
    <t>Willmorth</t>
  </si>
  <si>
    <t>Smartt</t>
  </si>
  <si>
    <t>Avelino</t>
  </si>
  <si>
    <t>Aleman</t>
  </si>
  <si>
    <t>Ospina</t>
  </si>
  <si>
    <t>Salas</t>
  </si>
  <si>
    <t>Mullings</t>
  </si>
  <si>
    <t>Chan</t>
  </si>
  <si>
    <t>Hong</t>
  </si>
  <si>
    <t>Wojtylak</t>
  </si>
  <si>
    <t>Fragoso</t>
  </si>
  <si>
    <t>Moorer</t>
  </si>
  <si>
    <t>Jose Rosado</t>
  </si>
  <si>
    <t>Malu</t>
  </si>
  <si>
    <t>Dor</t>
  </si>
  <si>
    <t>Aponte</t>
  </si>
  <si>
    <t>Orta</t>
  </si>
  <si>
    <t>Ponce</t>
  </si>
  <si>
    <t>Bracy</t>
  </si>
  <si>
    <t>Osorio</t>
  </si>
  <si>
    <t>Poirier</t>
  </si>
  <si>
    <t>Meracdo</t>
  </si>
  <si>
    <t>Elvy</t>
  </si>
  <si>
    <t>Parker</t>
  </si>
  <si>
    <t>Blanc</t>
  </si>
  <si>
    <t>Trigueno</t>
  </si>
  <si>
    <t>Phillips</t>
  </si>
  <si>
    <t>Aquino</t>
  </si>
  <si>
    <t>Zarate</t>
  </si>
  <si>
    <t>Nuredin</t>
  </si>
  <si>
    <t>Sylvster</t>
  </si>
  <si>
    <t>Calise</t>
  </si>
  <si>
    <t>Durham</t>
  </si>
  <si>
    <t>Hayes</t>
  </si>
  <si>
    <t>Aristomene</t>
  </si>
  <si>
    <t>Heslin</t>
  </si>
  <si>
    <t>Hinton</t>
  </si>
  <si>
    <t>Black</t>
  </si>
  <si>
    <t>Gillen</t>
  </si>
  <si>
    <t>Buckley</t>
  </si>
  <si>
    <t>Nicolas</t>
  </si>
  <si>
    <t>Bean</t>
  </si>
  <si>
    <t>Ogutu</t>
  </si>
  <si>
    <t>Saun</t>
  </si>
  <si>
    <t>Palermo</t>
  </si>
  <si>
    <t>Espinosa</t>
  </si>
  <si>
    <t>Doesserie-Mitchell</t>
  </si>
  <si>
    <t>Hicks</t>
  </si>
  <si>
    <t>Singley</t>
  </si>
  <si>
    <t>Cumberbatch</t>
  </si>
  <si>
    <t>Matos</t>
  </si>
  <si>
    <t>Quespaz</t>
  </si>
  <si>
    <t>Varela</t>
  </si>
  <si>
    <t>Sweets</t>
  </si>
  <si>
    <t>Hayslett</t>
  </si>
  <si>
    <t>Wesley</t>
  </si>
  <si>
    <t>Baldayac</t>
  </si>
  <si>
    <t>Fletcher</t>
  </si>
  <si>
    <t>Bolanos</t>
  </si>
  <si>
    <t>Bowen Nichols</t>
  </si>
  <si>
    <t>Boasiako</t>
  </si>
  <si>
    <t>Licthmore</t>
  </si>
  <si>
    <t>Peng</t>
  </si>
  <si>
    <t>Salcedo</t>
  </si>
  <si>
    <t>Poteat</t>
  </si>
  <si>
    <t>Summers</t>
  </si>
  <si>
    <t>Spring</t>
  </si>
  <si>
    <t>Turner-Matos</t>
  </si>
  <si>
    <t>Resmin</t>
  </si>
  <si>
    <t>Kruglova</t>
  </si>
  <si>
    <t>Yancey</t>
  </si>
  <si>
    <t>Trujillo</t>
  </si>
  <si>
    <t>Feliciano</t>
  </si>
  <si>
    <t>Meza</t>
  </si>
  <si>
    <t>Bookman</t>
  </si>
  <si>
    <t>Valverde</t>
  </si>
  <si>
    <t>Laird</t>
  </si>
  <si>
    <t>Daux</t>
  </si>
  <si>
    <t>Silverio</t>
  </si>
  <si>
    <t>Cadet</t>
  </si>
  <si>
    <t>Sanders</t>
  </si>
  <si>
    <t>Payero</t>
  </si>
  <si>
    <t>Joubert</t>
  </si>
  <si>
    <t>Channa</t>
  </si>
  <si>
    <t>Sullivan</t>
  </si>
  <si>
    <t>Hogan</t>
  </si>
  <si>
    <t>Griffith</t>
  </si>
  <si>
    <t>Vogel</t>
  </si>
  <si>
    <t>Adlam</t>
  </si>
  <si>
    <t>Waithe</t>
  </si>
  <si>
    <t>Eady</t>
  </si>
  <si>
    <t>Rodgers</t>
  </si>
  <si>
    <t>Pineda</t>
  </si>
  <si>
    <t>Ajumobi-Obe</t>
  </si>
  <si>
    <t>Hierro</t>
  </si>
  <si>
    <t>Castaneda</t>
  </si>
  <si>
    <t>Lliguichuzhca</t>
  </si>
  <si>
    <t>Snipes</t>
  </si>
  <si>
    <t>Companzano</t>
  </si>
  <si>
    <t>Narcisse</t>
  </si>
  <si>
    <t>Laboy</t>
  </si>
  <si>
    <t>Gallagher</t>
  </si>
  <si>
    <t>Treitedny</t>
  </si>
  <si>
    <t>Cheuque</t>
  </si>
  <si>
    <t>Wilkinson</t>
  </si>
  <si>
    <t>Mendiola</t>
  </si>
  <si>
    <t>Nolan</t>
  </si>
  <si>
    <t>Cortorreal</t>
  </si>
  <si>
    <t>Toste</t>
  </si>
  <si>
    <t>Morain</t>
  </si>
  <si>
    <t>Browne</t>
  </si>
  <si>
    <t>Sandoval</t>
  </si>
  <si>
    <t>D'Orazio</t>
  </si>
  <si>
    <t>Sexton</t>
  </si>
  <si>
    <t>Lebron</t>
  </si>
  <si>
    <t>Genoves</t>
  </si>
  <si>
    <t>Schand</t>
  </si>
  <si>
    <t>McLawrence</t>
  </si>
  <si>
    <t>Christmas</t>
  </si>
  <si>
    <t>Barfield</t>
  </si>
  <si>
    <t>Matty</t>
  </si>
  <si>
    <t>Pacifico</t>
  </si>
  <si>
    <t>Burrows</t>
  </si>
  <si>
    <t>Estevez</t>
  </si>
  <si>
    <t>Cancel</t>
  </si>
  <si>
    <t>Mohorn</t>
  </si>
  <si>
    <t>Simon</t>
  </si>
  <si>
    <t>Seymore</t>
  </si>
  <si>
    <t>Santorelli</t>
  </si>
  <si>
    <t>Chavis</t>
  </si>
  <si>
    <t>Watt</t>
  </si>
  <si>
    <t>Bashar</t>
  </si>
  <si>
    <t>Spain</t>
  </si>
  <si>
    <t>Fripp</t>
  </si>
  <si>
    <t>Bush</t>
  </si>
  <si>
    <t>Oseid</t>
  </si>
  <si>
    <t>Mortimer</t>
  </si>
  <si>
    <t>Paeleus</t>
  </si>
  <si>
    <t>Nigg</t>
  </si>
  <si>
    <t>Devitt</t>
  </si>
  <si>
    <t>De Luna</t>
  </si>
  <si>
    <t>Lemson</t>
  </si>
  <si>
    <t>Carrasco</t>
  </si>
  <si>
    <t>Peralta</t>
  </si>
  <si>
    <t>Grullon Pena</t>
  </si>
  <si>
    <t>Mola</t>
  </si>
  <si>
    <t>Silva</t>
  </si>
  <si>
    <t>De Fran</t>
  </si>
  <si>
    <t>Gardner</t>
  </si>
  <si>
    <t>Almestica</t>
  </si>
  <si>
    <t>Tomala</t>
  </si>
  <si>
    <t>Chappell</t>
  </si>
  <si>
    <t>Musillo</t>
  </si>
  <si>
    <t>Huerta</t>
  </si>
  <si>
    <t>Khoudp</t>
  </si>
  <si>
    <t>Saavedra</t>
  </si>
  <si>
    <t>Enriquez</t>
  </si>
  <si>
    <t>Bouzid</t>
  </si>
  <si>
    <t>DelRio</t>
  </si>
  <si>
    <t>Salaam</t>
  </si>
  <si>
    <t>Jean-Simon</t>
  </si>
  <si>
    <t>Diatta</t>
  </si>
  <si>
    <t>Gonell</t>
  </si>
  <si>
    <t>Rolon</t>
  </si>
  <si>
    <t>Tsimaras</t>
  </si>
  <si>
    <t>Robles</t>
  </si>
  <si>
    <t>Toribio</t>
  </si>
  <si>
    <t>Urena</t>
  </si>
  <si>
    <t>Izquierdo</t>
  </si>
  <si>
    <t>Dobbelaere</t>
  </si>
  <si>
    <t>Augustin</t>
  </si>
  <si>
    <t>Leed</t>
  </si>
  <si>
    <t>Sudin</t>
  </si>
  <si>
    <t>Schaller</t>
  </si>
  <si>
    <t>Montes De Oca</t>
  </si>
  <si>
    <t>Evans</t>
  </si>
  <si>
    <t>Gaskin</t>
  </si>
  <si>
    <t>Kusiak Carey</t>
  </si>
  <si>
    <t>Westbrook</t>
  </si>
  <si>
    <t>Ifield</t>
  </si>
  <si>
    <t>Berrios</t>
  </si>
  <si>
    <t>Yakubov</t>
  </si>
  <si>
    <t>Cribillero</t>
  </si>
  <si>
    <t>Hunte</t>
  </si>
  <si>
    <t>Mims</t>
  </si>
  <si>
    <t>Santiesteban</t>
  </si>
  <si>
    <t>Polk</t>
  </si>
  <si>
    <t>Fields</t>
  </si>
  <si>
    <t>Mazara</t>
  </si>
  <si>
    <t>Quiroz</t>
  </si>
  <si>
    <t>Donoso</t>
  </si>
  <si>
    <t>Hidalgo</t>
  </si>
  <si>
    <t>Pinero</t>
  </si>
  <si>
    <t>Ma</t>
  </si>
  <si>
    <t>Bibins</t>
  </si>
  <si>
    <t>Mirla</t>
  </si>
  <si>
    <t>Dewale</t>
  </si>
  <si>
    <t>Byrd</t>
  </si>
  <si>
    <t>Burton</t>
  </si>
  <si>
    <t>Valle</t>
  </si>
  <si>
    <t>Ansbro-Saghirashvili</t>
  </si>
  <si>
    <t>Balletta</t>
  </si>
  <si>
    <t>Van Benschoten</t>
  </si>
  <si>
    <t>Blowe</t>
  </si>
  <si>
    <t>Bourjonny</t>
  </si>
  <si>
    <t>Mason</t>
  </si>
  <si>
    <t>Evans Joseph</t>
  </si>
  <si>
    <t>Roth</t>
  </si>
  <si>
    <t>Mcknight</t>
  </si>
  <si>
    <t>Doumbouya</t>
  </si>
  <si>
    <t>Camara</t>
  </si>
  <si>
    <t>Doumbia</t>
  </si>
  <si>
    <t>Ferrari</t>
  </si>
  <si>
    <t>Headrington</t>
  </si>
  <si>
    <t>Gyimah</t>
  </si>
  <si>
    <t>Bangura</t>
  </si>
  <si>
    <t>CRUZ</t>
  </si>
  <si>
    <t>Zeitler</t>
  </si>
  <si>
    <t>Manneh</t>
  </si>
  <si>
    <t>Amadeo</t>
  </si>
  <si>
    <t>Sham</t>
  </si>
  <si>
    <t>Beltre</t>
  </si>
  <si>
    <t>Collado</t>
  </si>
  <si>
    <t>Reyes Fernandez</t>
  </si>
  <si>
    <t>Covington</t>
  </si>
  <si>
    <t>carlesimo</t>
  </si>
  <si>
    <t>Cruz Lopez</t>
  </si>
  <si>
    <t>Santini</t>
  </si>
  <si>
    <t>Varbero</t>
  </si>
  <si>
    <t>Spencer</t>
  </si>
  <si>
    <t>Mascuzzio</t>
  </si>
  <si>
    <t>Jiggetts</t>
  </si>
  <si>
    <t>Febus</t>
  </si>
  <si>
    <t>Brunson</t>
  </si>
  <si>
    <t>Modesto</t>
  </si>
  <si>
    <t>Gaston</t>
  </si>
  <si>
    <t>Bannister</t>
  </si>
  <si>
    <t>Costa</t>
  </si>
  <si>
    <t>Ventura</t>
  </si>
  <si>
    <t>A Test</t>
  </si>
  <si>
    <t>Lugo</t>
  </si>
  <si>
    <t>Gowins</t>
  </si>
  <si>
    <t>Borrero</t>
  </si>
  <si>
    <t>Deleon</t>
  </si>
  <si>
    <t>Sharp</t>
  </si>
  <si>
    <t>Copeland</t>
  </si>
  <si>
    <t>Skinner</t>
  </si>
  <si>
    <t>Richards</t>
  </si>
  <si>
    <t>Wheeler</t>
  </si>
  <si>
    <t>Kunene</t>
  </si>
  <si>
    <t>Marti</t>
  </si>
  <si>
    <t>Canady</t>
  </si>
  <si>
    <t>Nater</t>
  </si>
  <si>
    <t>Jackman</t>
  </si>
  <si>
    <t>Basurto</t>
  </si>
  <si>
    <t>Matoes</t>
  </si>
  <si>
    <t>Dodard</t>
  </si>
  <si>
    <t>Nesbitt</t>
  </si>
  <si>
    <t>Izepia</t>
  </si>
  <si>
    <t>Kenneh</t>
  </si>
  <si>
    <t>Blyden</t>
  </si>
  <si>
    <t>Padilla</t>
  </si>
  <si>
    <t>Melendez</t>
  </si>
  <si>
    <t>Berra</t>
  </si>
  <si>
    <t>Sow</t>
  </si>
  <si>
    <t>Swain</t>
  </si>
  <si>
    <t>Colasso</t>
  </si>
  <si>
    <t>Caballero</t>
  </si>
  <si>
    <t>Reynolds</t>
  </si>
  <si>
    <t>Trotman</t>
  </si>
  <si>
    <t>Sawh</t>
  </si>
  <si>
    <t>Quiles</t>
  </si>
  <si>
    <t>Loumsby</t>
  </si>
  <si>
    <t>Vidal</t>
  </si>
  <si>
    <t>Badala</t>
  </si>
  <si>
    <t>Fernanders</t>
  </si>
  <si>
    <t>Kabba</t>
  </si>
  <si>
    <t>Pio</t>
  </si>
  <si>
    <t>Pitroipa</t>
  </si>
  <si>
    <t>Hewitt</t>
  </si>
  <si>
    <t>Paez</t>
  </si>
  <si>
    <t>Benacio</t>
  </si>
  <si>
    <t>Clerveau</t>
  </si>
  <si>
    <t>Salome</t>
  </si>
  <si>
    <t>Bonner</t>
  </si>
  <si>
    <t>Abuzaid</t>
  </si>
  <si>
    <t>Castano</t>
  </si>
  <si>
    <t>Serrano</t>
  </si>
  <si>
    <t>Hillman</t>
  </si>
  <si>
    <t>Saffore</t>
  </si>
  <si>
    <t>Stribling</t>
  </si>
  <si>
    <t>McCants</t>
  </si>
  <si>
    <t>watson</t>
  </si>
  <si>
    <t>Mozeb</t>
  </si>
  <si>
    <t>Harper</t>
  </si>
  <si>
    <t>McKenzie</t>
  </si>
  <si>
    <t>Jimenez Perez</t>
  </si>
  <si>
    <t>Henderson</t>
  </si>
  <si>
    <t>Diallo</t>
  </si>
  <si>
    <t>Castillo</t>
  </si>
  <si>
    <t>Linton</t>
  </si>
  <si>
    <t>Cuadrado</t>
  </si>
  <si>
    <t>Wallington</t>
  </si>
  <si>
    <t>Kee</t>
  </si>
  <si>
    <t>Dickey</t>
  </si>
  <si>
    <t>Chaparro</t>
  </si>
  <si>
    <t>Peacock</t>
  </si>
  <si>
    <t>Simo</t>
  </si>
  <si>
    <t>Dotson</t>
  </si>
  <si>
    <t>Wanko</t>
  </si>
  <si>
    <t>Lindo</t>
  </si>
  <si>
    <t>Sperraza</t>
  </si>
  <si>
    <t>Orlic</t>
  </si>
  <si>
    <t>Hovey</t>
  </si>
  <si>
    <t>Stevens</t>
  </si>
  <si>
    <t>Rosas</t>
  </si>
  <si>
    <t>Zhang</t>
  </si>
  <si>
    <t>Ouedraogo</t>
  </si>
  <si>
    <t>McNeill</t>
  </si>
  <si>
    <t>Zarsuela</t>
  </si>
  <si>
    <t>Larossa</t>
  </si>
  <si>
    <t>Bowen</t>
  </si>
  <si>
    <t>Parken</t>
  </si>
  <si>
    <t>Gual</t>
  </si>
  <si>
    <t>Kirama</t>
  </si>
  <si>
    <t>McKinnon</t>
  </si>
  <si>
    <t>Ashwood</t>
  </si>
  <si>
    <t>Delaney</t>
  </si>
  <si>
    <t>Denton</t>
  </si>
  <si>
    <t>Bamaca</t>
  </si>
  <si>
    <t>Berkeley</t>
  </si>
  <si>
    <t>Novas</t>
  </si>
  <si>
    <t>Pardo</t>
  </si>
  <si>
    <t>Dunn-Moodie</t>
  </si>
  <si>
    <t>Rollock</t>
  </si>
  <si>
    <t>Inciarrano</t>
  </si>
  <si>
    <t>Harris - Fenton</t>
  </si>
  <si>
    <t>Armstrong</t>
  </si>
  <si>
    <t>An</t>
  </si>
  <si>
    <t>Leget</t>
  </si>
  <si>
    <t>Soumahoro</t>
  </si>
  <si>
    <t>Seongbae</t>
  </si>
  <si>
    <t>Mata</t>
  </si>
  <si>
    <t>Lala</t>
  </si>
  <si>
    <t>Beckles</t>
  </si>
  <si>
    <t>McCall</t>
  </si>
  <si>
    <t>Pandya</t>
  </si>
  <si>
    <t>Phung</t>
  </si>
  <si>
    <t>Garcia-Carrazco</t>
  </si>
  <si>
    <t>Agard</t>
  </si>
  <si>
    <t>Samuels</t>
  </si>
  <si>
    <t>Wainwright</t>
  </si>
  <si>
    <t>Molina</t>
  </si>
  <si>
    <t>Marrone</t>
  </si>
  <si>
    <t>Rosquist</t>
  </si>
  <si>
    <t>Monegro</t>
  </si>
  <si>
    <t>Chavarria</t>
  </si>
  <si>
    <t>Cuesta-Guiffre</t>
  </si>
  <si>
    <t>Cherry-Donaldson</t>
  </si>
  <si>
    <t>Vicidomini</t>
  </si>
  <si>
    <t>Chatman</t>
  </si>
  <si>
    <t>Lino</t>
  </si>
  <si>
    <t>Steptoe</t>
  </si>
  <si>
    <t>Larson</t>
  </si>
  <si>
    <t>Blamo</t>
  </si>
  <si>
    <t>Estrada</t>
  </si>
  <si>
    <t>Sandiford</t>
  </si>
  <si>
    <t>Nassar</t>
  </si>
  <si>
    <t>Toussaint</t>
  </si>
  <si>
    <t>Wiggins</t>
  </si>
  <si>
    <t>Storms</t>
  </si>
  <si>
    <t>Ramdath</t>
  </si>
  <si>
    <t>Weber</t>
  </si>
  <si>
    <t>Bonilla</t>
  </si>
  <si>
    <t>Hairston</t>
  </si>
  <si>
    <t>Lisbon</t>
  </si>
  <si>
    <t>Ram</t>
  </si>
  <si>
    <t>Clemons</t>
  </si>
  <si>
    <t>Qiu</t>
  </si>
  <si>
    <t>Ye</t>
  </si>
  <si>
    <t>Pou</t>
  </si>
  <si>
    <t>Bueno</t>
  </si>
  <si>
    <t>Hinson</t>
  </si>
  <si>
    <t>Diakite</t>
  </si>
  <si>
    <t>Govan</t>
  </si>
  <si>
    <t>Kerwick</t>
  </si>
  <si>
    <t>Stephenson</t>
  </si>
  <si>
    <t>Sharpe</t>
  </si>
  <si>
    <t>Chin</t>
  </si>
  <si>
    <t>Sena</t>
  </si>
  <si>
    <t>Mease</t>
  </si>
  <si>
    <t>Alfuqaha</t>
  </si>
  <si>
    <t>Otero</t>
  </si>
  <si>
    <t>Ramos Ceballos</t>
  </si>
  <si>
    <t>Harryram</t>
  </si>
  <si>
    <t>Montanaro</t>
  </si>
  <si>
    <t>Fofana</t>
  </si>
  <si>
    <t>Hafeez</t>
  </si>
  <si>
    <t>MacNeil</t>
  </si>
  <si>
    <t>Simaha</t>
  </si>
  <si>
    <t>Vasquez</t>
  </si>
  <si>
    <t>Simmons</t>
  </si>
  <si>
    <t>Koufie</t>
  </si>
  <si>
    <t>Bond</t>
  </si>
  <si>
    <t>Fogarthy</t>
  </si>
  <si>
    <t>Cotter</t>
  </si>
  <si>
    <t>Quiros</t>
  </si>
  <si>
    <t>Lamberty</t>
  </si>
  <si>
    <t>Ogburn</t>
  </si>
  <si>
    <t>Allsop</t>
  </si>
  <si>
    <t>cline</t>
  </si>
  <si>
    <t>Gregoire</t>
  </si>
  <si>
    <t>Gatling</t>
  </si>
  <si>
    <t>Snype</t>
  </si>
  <si>
    <t>Frizzelle</t>
  </si>
  <si>
    <t>Boakye</t>
  </si>
  <si>
    <t>Harper-Vanrabenswaay</t>
  </si>
  <si>
    <t>Skloot</t>
  </si>
  <si>
    <t>Pesquera</t>
  </si>
  <si>
    <t>Okomeng</t>
  </si>
  <si>
    <t>Durante</t>
  </si>
  <si>
    <t>Singh</t>
  </si>
  <si>
    <t>Desormeaux</t>
  </si>
  <si>
    <t>Saturnin</t>
  </si>
  <si>
    <t>Bowens-Lamar</t>
  </si>
  <si>
    <t>Jarvis</t>
  </si>
  <si>
    <t>Matsushima</t>
  </si>
  <si>
    <t>Lake</t>
  </si>
  <si>
    <t>Mengist</t>
  </si>
  <si>
    <t>Vega-Rivera</t>
  </si>
  <si>
    <t>Semper</t>
  </si>
  <si>
    <t>Pennell</t>
  </si>
  <si>
    <t>Pascal</t>
  </si>
  <si>
    <t>Sanabria</t>
  </si>
  <si>
    <t>Bitter</t>
  </si>
  <si>
    <t>Myles</t>
  </si>
  <si>
    <t>Zambrano</t>
  </si>
  <si>
    <t>Coombs</t>
  </si>
  <si>
    <t>Camino</t>
  </si>
  <si>
    <t>McComish</t>
  </si>
  <si>
    <t>Feliz</t>
  </si>
  <si>
    <t>Long</t>
  </si>
  <si>
    <t>Deschamps Sanchez</t>
  </si>
  <si>
    <t>Abraham</t>
  </si>
  <si>
    <t>Elsabahy</t>
  </si>
  <si>
    <t>Jeanty</t>
  </si>
  <si>
    <t>Galarza</t>
  </si>
  <si>
    <t>Marshall</t>
  </si>
  <si>
    <t>Fray</t>
  </si>
  <si>
    <t>Theme</t>
  </si>
  <si>
    <t>Shokirova</t>
  </si>
  <si>
    <t>NARVAEZ</t>
  </si>
  <si>
    <t>Miller</t>
  </si>
  <si>
    <t>McCleese Douglas</t>
  </si>
  <si>
    <t>Plasencia</t>
  </si>
  <si>
    <t>Giordano</t>
  </si>
  <si>
    <t>Niambele</t>
  </si>
  <si>
    <t>Keating</t>
  </si>
  <si>
    <t>McCord</t>
  </si>
  <si>
    <t>Abskhairoun</t>
  </si>
  <si>
    <t>Perez Terrero</t>
  </si>
  <si>
    <t>Hutson</t>
  </si>
  <si>
    <t>Deriggs</t>
  </si>
  <si>
    <t>Maniere</t>
  </si>
  <si>
    <t>Giannpoulos</t>
  </si>
  <si>
    <t>glover</t>
  </si>
  <si>
    <t>Rotmanski</t>
  </si>
  <si>
    <t>Smart</t>
  </si>
  <si>
    <t>Egner</t>
  </si>
  <si>
    <t>Worthen</t>
  </si>
  <si>
    <t>Parris</t>
  </si>
  <si>
    <t>Hubbard</t>
  </si>
  <si>
    <t>Kennedy</t>
  </si>
  <si>
    <t>Lord</t>
  </si>
  <si>
    <t>Galindez</t>
  </si>
  <si>
    <t>Farouk</t>
  </si>
  <si>
    <t>Frimpoma</t>
  </si>
  <si>
    <t>Deas</t>
  </si>
  <si>
    <t>Michel</t>
  </si>
  <si>
    <t>Battle</t>
  </si>
  <si>
    <t>Faisael</t>
  </si>
  <si>
    <t>Vergara</t>
  </si>
  <si>
    <t>Agyedumwah</t>
  </si>
  <si>
    <t>Taylor Ianiro</t>
  </si>
  <si>
    <t>Yeboah</t>
  </si>
  <si>
    <t>Pearson</t>
  </si>
  <si>
    <t>Acheampong</t>
  </si>
  <si>
    <t>Groenwood</t>
  </si>
  <si>
    <t>Londo</t>
  </si>
  <si>
    <t>Limpy</t>
  </si>
  <si>
    <t>Anetor</t>
  </si>
  <si>
    <t>Saltos</t>
  </si>
  <si>
    <t>Jamison</t>
  </si>
  <si>
    <t>Kolar</t>
  </si>
  <si>
    <t>Goldston</t>
  </si>
  <si>
    <t>Gelarza</t>
  </si>
  <si>
    <t>Moon</t>
  </si>
  <si>
    <t>Prosper</t>
  </si>
  <si>
    <t>LaFleur</t>
  </si>
  <si>
    <t>Ovid</t>
  </si>
  <si>
    <t>Shapiro</t>
  </si>
  <si>
    <t>Berrezueta</t>
  </si>
  <si>
    <t>Boyle</t>
  </si>
  <si>
    <t>Connally-Fields</t>
  </si>
  <si>
    <t>Hibbert</t>
  </si>
  <si>
    <t>Romney</t>
  </si>
  <si>
    <t>Woodward</t>
  </si>
  <si>
    <t>diaz</t>
  </si>
  <si>
    <t>Hough</t>
  </si>
  <si>
    <t>Lalloo</t>
  </si>
  <si>
    <t>RIvera</t>
  </si>
  <si>
    <t>Takei</t>
  </si>
  <si>
    <t>Freddie Batte</t>
  </si>
  <si>
    <t>Avila</t>
  </si>
  <si>
    <t>Cole</t>
  </si>
  <si>
    <t>Paske</t>
  </si>
  <si>
    <t>Hwang</t>
  </si>
  <si>
    <t>Landau</t>
  </si>
  <si>
    <t>Melendez Lozada</t>
  </si>
  <si>
    <t>Spruill</t>
  </si>
  <si>
    <t>Valcourt</t>
  </si>
  <si>
    <t>Mumuni</t>
  </si>
  <si>
    <t>Phinazee</t>
  </si>
  <si>
    <t>Bonets</t>
  </si>
  <si>
    <t>Utte</t>
  </si>
  <si>
    <t>Murrary</t>
  </si>
  <si>
    <t>Ruffin</t>
  </si>
  <si>
    <t>Fontanez Martinez</t>
  </si>
  <si>
    <t>Lawson</t>
  </si>
  <si>
    <t>Gibbs Pratt</t>
  </si>
  <si>
    <t>Vick</t>
  </si>
  <si>
    <t>Casanova</t>
  </si>
  <si>
    <t>Cerkins</t>
  </si>
  <si>
    <t>Benson</t>
  </si>
  <si>
    <t>Mahoney</t>
  </si>
  <si>
    <t>Mayers</t>
  </si>
  <si>
    <t>Charbonier</t>
  </si>
  <si>
    <t>Dormeus</t>
  </si>
  <si>
    <t>Doherty</t>
  </si>
  <si>
    <t>Burgos</t>
  </si>
  <si>
    <t>Apaloo</t>
  </si>
  <si>
    <t>Pijuan</t>
  </si>
  <si>
    <t>Ealey</t>
  </si>
  <si>
    <t>Sawney</t>
  </si>
  <si>
    <t>Abubakar</t>
  </si>
  <si>
    <t>Padamsee</t>
  </si>
  <si>
    <t>Simpson</t>
  </si>
  <si>
    <t>Parekh</t>
  </si>
  <si>
    <t>Versailles</t>
  </si>
  <si>
    <t>Hodes</t>
  </si>
  <si>
    <t>Viegas</t>
  </si>
  <si>
    <t>Bratcher</t>
  </si>
  <si>
    <t>Quian</t>
  </si>
  <si>
    <t>Pugh</t>
  </si>
  <si>
    <t>Bazemore</t>
  </si>
  <si>
    <t>Matias</t>
  </si>
  <si>
    <t>Sabat</t>
  </si>
  <si>
    <t>Zero</t>
  </si>
  <si>
    <t>Errico</t>
  </si>
  <si>
    <t>Gerace</t>
  </si>
  <si>
    <t>Littman</t>
  </si>
  <si>
    <t>Shabt</t>
  </si>
  <si>
    <t>Chapman</t>
  </si>
  <si>
    <t>Aran</t>
  </si>
  <si>
    <t>Baldemor</t>
  </si>
  <si>
    <t>Gold</t>
  </si>
  <si>
    <t>Patora</t>
  </si>
  <si>
    <t>Nazon</t>
  </si>
  <si>
    <t>Cavaliere</t>
  </si>
  <si>
    <t>Dames</t>
  </si>
  <si>
    <t>DeSantis Dowd</t>
  </si>
  <si>
    <t>Braverman</t>
  </si>
  <si>
    <t>Albright</t>
  </si>
  <si>
    <t>Kruse</t>
  </si>
  <si>
    <t>Jonesw</t>
  </si>
  <si>
    <t>Hall</t>
  </si>
  <si>
    <t>Castillo Lino</t>
  </si>
  <si>
    <t>Sampson</t>
  </si>
  <si>
    <t>Banton</t>
  </si>
  <si>
    <t>Thom</t>
  </si>
  <si>
    <t>Mobley</t>
  </si>
  <si>
    <t>Yashayeva</t>
  </si>
  <si>
    <t>Pollard</t>
  </si>
  <si>
    <t>Collazo</t>
  </si>
  <si>
    <t>Extavour</t>
  </si>
  <si>
    <t>Kissoon</t>
  </si>
  <si>
    <t>Oliver</t>
  </si>
  <si>
    <t>Maduako</t>
  </si>
  <si>
    <t>Lenkovskaya</t>
  </si>
  <si>
    <t>Bekele</t>
  </si>
  <si>
    <t>Gentile</t>
  </si>
  <si>
    <t>Livingstone</t>
  </si>
  <si>
    <t>Palavandishvi</t>
  </si>
  <si>
    <t>Slater</t>
  </si>
  <si>
    <t>Theobald</t>
  </si>
  <si>
    <t>Sadieva</t>
  </si>
  <si>
    <t>Talley</t>
  </si>
  <si>
    <t>Higgins</t>
  </si>
  <si>
    <t>Fisher</t>
  </si>
  <si>
    <t>Gelman</t>
  </si>
  <si>
    <t>Packer</t>
  </si>
  <si>
    <t>Olivares</t>
  </si>
  <si>
    <t>McCree</t>
  </si>
  <si>
    <t>Lykhovetskaya</t>
  </si>
  <si>
    <t>Hakim</t>
  </si>
  <si>
    <t>Loadholt</t>
  </si>
  <si>
    <t>Moseley-Bell</t>
  </si>
  <si>
    <t>Brignolle</t>
  </si>
  <si>
    <t>Hardy</t>
  </si>
  <si>
    <t>Warren</t>
  </si>
  <si>
    <t>Jafar</t>
  </si>
  <si>
    <t>Heiman</t>
  </si>
  <si>
    <t>Jean Baptiste</t>
  </si>
  <si>
    <t>Zemlyanskiy</t>
  </si>
  <si>
    <t>Cerrato</t>
  </si>
  <si>
    <t>Elie</t>
  </si>
  <si>
    <t>Sulaimon</t>
  </si>
  <si>
    <t>Vicenty</t>
  </si>
  <si>
    <t>Avis</t>
  </si>
  <si>
    <t>El Saleh</t>
  </si>
  <si>
    <t>Cortez</t>
  </si>
  <si>
    <t>Holland</t>
  </si>
  <si>
    <t>Piccolo</t>
  </si>
  <si>
    <t>Leach</t>
  </si>
  <si>
    <t>Jennett</t>
  </si>
  <si>
    <t>Aguero</t>
  </si>
  <si>
    <t>Bellinger</t>
  </si>
  <si>
    <t>Dubresil</t>
  </si>
  <si>
    <t>Kokab</t>
  </si>
  <si>
    <t>Gough</t>
  </si>
  <si>
    <t>Juneau</t>
  </si>
  <si>
    <t>Bosquet</t>
  </si>
  <si>
    <t>Innerarity</t>
  </si>
  <si>
    <t>Rodrigues</t>
  </si>
  <si>
    <t>McCrorey</t>
  </si>
  <si>
    <t>English</t>
  </si>
  <si>
    <t>Dey</t>
  </si>
  <si>
    <t>Owens</t>
  </si>
  <si>
    <t>Hryhoruck</t>
  </si>
  <si>
    <t>Aqsa</t>
  </si>
  <si>
    <t>Forrest</t>
  </si>
  <si>
    <t>Canada</t>
  </si>
  <si>
    <t>Bain</t>
  </si>
  <si>
    <t>Caesar</t>
  </si>
  <si>
    <t>Gayle</t>
  </si>
  <si>
    <t>Costello</t>
  </si>
  <si>
    <t>james</t>
  </si>
  <si>
    <t>Markarian</t>
  </si>
  <si>
    <t>Lovelace</t>
  </si>
  <si>
    <t>Luffieva</t>
  </si>
  <si>
    <t>Gatewood</t>
  </si>
  <si>
    <t>Chaca</t>
  </si>
  <si>
    <t>Tyson</t>
  </si>
  <si>
    <t>Cisakowska</t>
  </si>
  <si>
    <t>Uddin</t>
  </si>
  <si>
    <t>South</t>
  </si>
  <si>
    <t>McWhirter</t>
  </si>
  <si>
    <t>Bellamy</t>
  </si>
  <si>
    <t>Colas</t>
  </si>
  <si>
    <t>Shermadini</t>
  </si>
  <si>
    <t>Carnesi</t>
  </si>
  <si>
    <t>Davilar</t>
  </si>
  <si>
    <t>Poitevien</t>
  </si>
  <si>
    <t>Lacey</t>
  </si>
  <si>
    <t>Deboue</t>
  </si>
  <si>
    <t>Balkhamishvili</t>
  </si>
  <si>
    <t>Oquendo</t>
  </si>
  <si>
    <t>Laspina</t>
  </si>
  <si>
    <t>Barlow</t>
  </si>
  <si>
    <t>Gabrielli</t>
  </si>
  <si>
    <t>Brailsford</t>
  </si>
  <si>
    <t>Amedee-Doctrine</t>
  </si>
  <si>
    <t>Astor</t>
  </si>
  <si>
    <t>Gorelik</t>
  </si>
  <si>
    <t>Casseus</t>
  </si>
  <si>
    <t>Orminaner</t>
  </si>
  <si>
    <t>Bertrand</t>
  </si>
  <si>
    <t>Vega</t>
  </si>
  <si>
    <t>Denizkusu</t>
  </si>
  <si>
    <t>Panos</t>
  </si>
  <si>
    <t>Wells-Manning</t>
  </si>
  <si>
    <t>Momin</t>
  </si>
  <si>
    <t>Caston</t>
  </si>
  <si>
    <t>Kuperman</t>
  </si>
  <si>
    <t>Wilson-Betesh</t>
  </si>
  <si>
    <t>Ombrellino</t>
  </si>
  <si>
    <t>Glover</t>
  </si>
  <si>
    <t>Heras</t>
  </si>
  <si>
    <t>Montiel</t>
  </si>
  <si>
    <t>Castellano</t>
  </si>
  <si>
    <t>Atencio</t>
  </si>
  <si>
    <t>Gadson</t>
  </si>
  <si>
    <t>Raiford</t>
  </si>
  <si>
    <t>Kaid</t>
  </si>
  <si>
    <t>Desmoulin</t>
  </si>
  <si>
    <t>Johnnie</t>
  </si>
  <si>
    <t>Tanksley</t>
  </si>
  <si>
    <t>Magnus</t>
  </si>
  <si>
    <t>Heim</t>
  </si>
  <si>
    <t>Graham</t>
  </si>
  <si>
    <t>Silbe</t>
  </si>
  <si>
    <t>McGriff</t>
  </si>
  <si>
    <t>Ingles</t>
  </si>
  <si>
    <t>Levy</t>
  </si>
  <si>
    <t>Savage</t>
  </si>
  <si>
    <t>Chaluisant</t>
  </si>
  <si>
    <t>Finch</t>
  </si>
  <si>
    <t>Nucci</t>
  </si>
  <si>
    <t>Skolnik</t>
  </si>
  <si>
    <t>Ciuro</t>
  </si>
  <si>
    <t>Peace</t>
  </si>
  <si>
    <t>DuSauzay</t>
  </si>
  <si>
    <t>Outley</t>
  </si>
  <si>
    <t>Layden</t>
  </si>
  <si>
    <t>Chauncey</t>
  </si>
  <si>
    <t>Negron</t>
  </si>
  <si>
    <t>Lantigua</t>
  </si>
  <si>
    <t>Khalid</t>
  </si>
  <si>
    <t>Oviedo</t>
  </si>
  <si>
    <t>Smith-Watson</t>
  </si>
  <si>
    <t>Cuello</t>
  </si>
  <si>
    <t>Silvera</t>
  </si>
  <si>
    <t>Roberson</t>
  </si>
  <si>
    <t>Posey</t>
  </si>
  <si>
    <t>Ricketts</t>
  </si>
  <si>
    <t>Cramer</t>
  </si>
  <si>
    <t>Kippes</t>
  </si>
  <si>
    <t>Ying</t>
  </si>
  <si>
    <t>Khanruzzaman</t>
  </si>
  <si>
    <t>Venture</t>
  </si>
  <si>
    <t>Kopelowitz</t>
  </si>
  <si>
    <t>Clarke</t>
  </si>
  <si>
    <t>Hutchinson</t>
  </si>
  <si>
    <t>Bartosiewicz</t>
  </si>
  <si>
    <t>Nixon</t>
  </si>
  <si>
    <t>Kuka</t>
  </si>
  <si>
    <t>Reid Rose</t>
  </si>
  <si>
    <t>Angulo</t>
  </si>
  <si>
    <t>Potjagailo</t>
  </si>
  <si>
    <t>Sassou</t>
  </si>
  <si>
    <t>Betancur</t>
  </si>
  <si>
    <t>Maine</t>
  </si>
  <si>
    <t>Beauford</t>
  </si>
  <si>
    <t>Cortes</t>
  </si>
  <si>
    <t>Nougal</t>
  </si>
  <si>
    <t>Rajkumar</t>
  </si>
  <si>
    <t>Rivera Tovar</t>
  </si>
  <si>
    <t>Fredericks</t>
  </si>
  <si>
    <t>Onofre</t>
  </si>
  <si>
    <t>Jenkins</t>
  </si>
  <si>
    <t>Mahmud</t>
  </si>
  <si>
    <t>Lopardo</t>
  </si>
  <si>
    <t>Lasker</t>
  </si>
  <si>
    <t>Orse</t>
  </si>
  <si>
    <t>Amerally</t>
  </si>
  <si>
    <t>Grubisin</t>
  </si>
  <si>
    <t>Brady</t>
  </si>
  <si>
    <t>Albertini</t>
  </si>
  <si>
    <t>AAlaam</t>
  </si>
  <si>
    <t>Haskins</t>
  </si>
  <si>
    <t>Maddicks</t>
  </si>
  <si>
    <t>Villa</t>
  </si>
  <si>
    <t>Pokedoff</t>
  </si>
  <si>
    <t>Banuchi</t>
  </si>
  <si>
    <t>Delgado</t>
  </si>
  <si>
    <t>Cubides</t>
  </si>
  <si>
    <t>Begum</t>
  </si>
  <si>
    <t>Sasaki</t>
  </si>
  <si>
    <t>Jacques</t>
  </si>
  <si>
    <t>Milla</t>
  </si>
  <si>
    <t>Guzman-Marquez</t>
  </si>
  <si>
    <t>Zelasco</t>
  </si>
  <si>
    <t>Jara</t>
  </si>
  <si>
    <t>McCleary</t>
  </si>
  <si>
    <t>Leyton</t>
  </si>
  <si>
    <t>Trozzi</t>
  </si>
  <si>
    <t>Montaque</t>
  </si>
  <si>
    <t>Tymczyszyn</t>
  </si>
  <si>
    <t>Malaev</t>
  </si>
  <si>
    <t>Njie</t>
  </si>
  <si>
    <t>Ferrer</t>
  </si>
  <si>
    <t>Getch</t>
  </si>
  <si>
    <t>Moskala</t>
  </si>
  <si>
    <t>Crisci</t>
  </si>
  <si>
    <t>Chudhary</t>
  </si>
  <si>
    <t>Parbhudyaul</t>
  </si>
  <si>
    <t>Jie Pan</t>
  </si>
  <si>
    <t>Baptiste</t>
  </si>
  <si>
    <t>Akhi</t>
  </si>
  <si>
    <t>Lasanta</t>
  </si>
  <si>
    <t>Sukhram</t>
  </si>
  <si>
    <t>Tow</t>
  </si>
  <si>
    <t>Genao</t>
  </si>
  <si>
    <t>Capers</t>
  </si>
  <si>
    <t>Niyazov</t>
  </si>
  <si>
    <t>Feroj</t>
  </si>
  <si>
    <t>Ramadan</t>
  </si>
  <si>
    <t>Melville</t>
  </si>
  <si>
    <t>Lewal</t>
  </si>
  <si>
    <t>Mousa</t>
  </si>
  <si>
    <t>Reyme</t>
  </si>
  <si>
    <t>Mathurin</t>
  </si>
  <si>
    <t>Anselm</t>
  </si>
  <si>
    <t>Ramirez Beltre</t>
  </si>
  <si>
    <t>McCoy</t>
  </si>
  <si>
    <t>Pierce</t>
  </si>
  <si>
    <t>Herron</t>
  </si>
  <si>
    <t>Gorman</t>
  </si>
  <si>
    <t>Arango</t>
  </si>
  <si>
    <t>Hilderbrandt</t>
  </si>
  <si>
    <t>Kuang</t>
  </si>
  <si>
    <t>DiPersia</t>
  </si>
  <si>
    <t>Salazar</t>
  </si>
  <si>
    <t>Wambach</t>
  </si>
  <si>
    <t>Soodoo</t>
  </si>
  <si>
    <t>Sukhdeo</t>
  </si>
  <si>
    <t>Saar</t>
  </si>
  <si>
    <t>Ahmad</t>
  </si>
  <si>
    <t>Luces</t>
  </si>
  <si>
    <t>Candia</t>
  </si>
  <si>
    <t>Hardnett</t>
  </si>
  <si>
    <t>Davis-June</t>
  </si>
  <si>
    <t>Pietrzak</t>
  </si>
  <si>
    <t>Harcum</t>
  </si>
  <si>
    <t>Ohlerich</t>
  </si>
  <si>
    <t>Ashby</t>
  </si>
  <si>
    <t>Harrisingh</t>
  </si>
  <si>
    <t>Mulabay</t>
  </si>
  <si>
    <t>Maxwell</t>
  </si>
  <si>
    <t>Cimma</t>
  </si>
  <si>
    <t>Betancourt</t>
  </si>
  <si>
    <t>Hoishman</t>
  </si>
  <si>
    <t>Meyers</t>
  </si>
  <si>
    <t>Mashriqui</t>
  </si>
  <si>
    <t>Kollar</t>
  </si>
  <si>
    <t>Salguero</t>
  </si>
  <si>
    <t>De Ricco</t>
  </si>
  <si>
    <t>Whitely</t>
  </si>
  <si>
    <t>Allicock-Orderson</t>
  </si>
  <si>
    <t>Behor</t>
  </si>
  <si>
    <t>Armogan</t>
  </si>
  <si>
    <t>Rojas Crisanto</t>
  </si>
  <si>
    <t>Vaillant</t>
  </si>
  <si>
    <t>Blackman</t>
  </si>
  <si>
    <t>Savastano</t>
  </si>
  <si>
    <t>Gaffoor</t>
  </si>
  <si>
    <t>Spinos</t>
  </si>
  <si>
    <t>Hunter</t>
  </si>
  <si>
    <t>Abozeid</t>
  </si>
  <si>
    <t>Speed</t>
  </si>
  <si>
    <t>Noriega</t>
  </si>
  <si>
    <t>Sobha</t>
  </si>
  <si>
    <t>Bravo</t>
  </si>
  <si>
    <t>DeLacruz</t>
  </si>
  <si>
    <t>Vaswani</t>
  </si>
  <si>
    <t>Sacko</t>
  </si>
  <si>
    <t>Belfomd</t>
  </si>
  <si>
    <t>Pointdujour</t>
  </si>
  <si>
    <t>LLanos</t>
  </si>
  <si>
    <t>Rivas Estevez</t>
  </si>
  <si>
    <t>Grullon</t>
  </si>
  <si>
    <t>Elsayed</t>
  </si>
  <si>
    <t>Tsahirides</t>
  </si>
  <si>
    <t>Impert</t>
  </si>
  <si>
    <t>Ramrathan</t>
  </si>
  <si>
    <t>Anwar</t>
  </si>
  <si>
    <t>Mughal</t>
  </si>
  <si>
    <t>Braunstein</t>
  </si>
  <si>
    <t>Leveridge</t>
  </si>
  <si>
    <t>Khaimova</t>
  </si>
  <si>
    <t>Duffer-Ordonez</t>
  </si>
  <si>
    <t>Yel</t>
  </si>
  <si>
    <t>Boyd-Lloyd</t>
  </si>
  <si>
    <t>Sundar</t>
  </si>
  <si>
    <t>Mercus</t>
  </si>
  <si>
    <t>Cartagena</t>
  </si>
  <si>
    <t>Graniela</t>
  </si>
  <si>
    <t>Xelo</t>
  </si>
  <si>
    <t>Fairclough</t>
  </si>
  <si>
    <t>Otten</t>
  </si>
  <si>
    <t>Fulwood</t>
  </si>
  <si>
    <t>Bullock</t>
  </si>
  <si>
    <t>Landi</t>
  </si>
  <si>
    <t>Riley</t>
  </si>
  <si>
    <t>Guambana</t>
  </si>
  <si>
    <t>Charlton</t>
  </si>
  <si>
    <t>Hidegfoldi</t>
  </si>
  <si>
    <t>Roberts</t>
  </si>
  <si>
    <t>Porras</t>
  </si>
  <si>
    <t>Mitrov</t>
  </si>
  <si>
    <t>Gaspar</t>
  </si>
  <si>
    <t>Factora</t>
  </si>
  <si>
    <t>Sheerinzada</t>
  </si>
  <si>
    <t>Largo</t>
  </si>
  <si>
    <t>Dhana</t>
  </si>
  <si>
    <t>Rashid</t>
  </si>
  <si>
    <t>Serevine-Louis</t>
  </si>
  <si>
    <t>Chang</t>
  </si>
  <si>
    <t>Tarazona</t>
  </si>
  <si>
    <t>KHAN</t>
  </si>
  <si>
    <t>Attis</t>
  </si>
  <si>
    <t>Chisolm</t>
  </si>
  <si>
    <t>Guevara</t>
  </si>
  <si>
    <t>Ragano</t>
  </si>
  <si>
    <t>Chiluiza</t>
  </si>
  <si>
    <t>Gonzalez Peralta</t>
  </si>
  <si>
    <t>Goldshine</t>
  </si>
  <si>
    <t>Madraveren</t>
  </si>
  <si>
    <t>Teekaram</t>
  </si>
  <si>
    <t>Kalo</t>
  </si>
  <si>
    <t>Clowney</t>
  </si>
  <si>
    <t>Javed</t>
  </si>
  <si>
    <t>Migues</t>
  </si>
  <si>
    <t>Cueto</t>
  </si>
  <si>
    <t>Rasool</t>
  </si>
  <si>
    <t>Villafuerte</t>
  </si>
  <si>
    <t>Trantham</t>
  </si>
  <si>
    <t>Wohad</t>
  </si>
  <si>
    <t>Zuleta</t>
  </si>
  <si>
    <t>Derenoncourt</t>
  </si>
  <si>
    <t>Saget</t>
  </si>
  <si>
    <t>Longren</t>
  </si>
  <si>
    <t>Ferguson</t>
  </si>
  <si>
    <t>Avalos</t>
  </si>
  <si>
    <t>McGuire</t>
  </si>
  <si>
    <t>Arias Molina</t>
  </si>
  <si>
    <t>Hampton</t>
  </si>
  <si>
    <t>Persaud</t>
  </si>
  <si>
    <t>Kilikci</t>
  </si>
  <si>
    <t>Lafebre</t>
  </si>
  <si>
    <t>Fantini</t>
  </si>
  <si>
    <t>Diomede</t>
  </si>
  <si>
    <t>Kawall</t>
  </si>
  <si>
    <t>Tineo</t>
  </si>
  <si>
    <t>Simbana</t>
  </si>
  <si>
    <t>Duchene</t>
  </si>
  <si>
    <t>Corcino</t>
  </si>
  <si>
    <t>Dadwah</t>
  </si>
  <si>
    <t>Joaquin</t>
  </si>
  <si>
    <t>Shanks</t>
  </si>
  <si>
    <t>Tsatsani</t>
  </si>
  <si>
    <t>Gerrero</t>
  </si>
  <si>
    <t>Brouineaud</t>
  </si>
  <si>
    <t>Zapata</t>
  </si>
  <si>
    <t>Dividowsky</t>
  </si>
  <si>
    <t>McGrane</t>
  </si>
  <si>
    <t>Quitto</t>
  </si>
  <si>
    <t>Poulson</t>
  </si>
  <si>
    <t>Lifton</t>
  </si>
  <si>
    <t>Colbourne</t>
  </si>
  <si>
    <t>Abdullah-Greene</t>
  </si>
  <si>
    <t>Holley</t>
  </si>
  <si>
    <t>Eremeyev</t>
  </si>
  <si>
    <t>Hampden</t>
  </si>
  <si>
    <t>Mills</t>
  </si>
  <si>
    <t>Dunbar</t>
  </si>
  <si>
    <t>Ricardi</t>
  </si>
  <si>
    <t>Del Valle</t>
  </si>
  <si>
    <t>Machado</t>
  </si>
  <si>
    <t>Nino</t>
  </si>
  <si>
    <t>FoFana</t>
  </si>
  <si>
    <t>Pachnanda</t>
  </si>
  <si>
    <t>Rincon</t>
  </si>
  <si>
    <t>Waring</t>
  </si>
  <si>
    <t>Conte</t>
  </si>
  <si>
    <t>Donzo</t>
  </si>
  <si>
    <t>Adorno</t>
  </si>
  <si>
    <t>Swaby</t>
  </si>
  <si>
    <t>Folly</t>
  </si>
  <si>
    <t>SEMIDEY</t>
  </si>
  <si>
    <t>Soilis</t>
  </si>
  <si>
    <t>Mensah</t>
  </si>
  <si>
    <t>Lapaix</t>
  </si>
  <si>
    <t>Montanez</t>
  </si>
  <si>
    <t>Cumberatch</t>
  </si>
  <si>
    <t>Kante</t>
  </si>
  <si>
    <t>Lazazzera</t>
  </si>
  <si>
    <t>Curran</t>
  </si>
  <si>
    <t>Stringfield</t>
  </si>
  <si>
    <t>Mendez</t>
  </si>
  <si>
    <t>Kake</t>
  </si>
  <si>
    <t>MILES</t>
  </si>
  <si>
    <t>Legette</t>
  </si>
  <si>
    <t>Cisse</t>
  </si>
  <si>
    <t>Ford</t>
  </si>
  <si>
    <t>Odom</t>
  </si>
  <si>
    <t>Laylock</t>
  </si>
  <si>
    <t>Estevez Bautista</t>
  </si>
  <si>
    <t>Everett</t>
  </si>
  <si>
    <t>Batiz</t>
  </si>
  <si>
    <t>Jaikaran</t>
  </si>
  <si>
    <t>JOBE</t>
  </si>
  <si>
    <t>Arciniegas</t>
  </si>
  <si>
    <t>Strickland</t>
  </si>
  <si>
    <t>Hunt</t>
  </si>
  <si>
    <t>Alonso</t>
  </si>
  <si>
    <t>Bonhomme</t>
  </si>
  <si>
    <t>Trimble</t>
  </si>
  <si>
    <t>Madison</t>
  </si>
  <si>
    <t>Demunn</t>
  </si>
  <si>
    <t>Liner</t>
  </si>
  <si>
    <t>MUHAMMAD</t>
  </si>
  <si>
    <t>Obi</t>
  </si>
  <si>
    <t>Hanley</t>
  </si>
  <si>
    <t>Quinn</t>
  </si>
  <si>
    <t>Flecha</t>
  </si>
  <si>
    <t>Thornton</t>
  </si>
  <si>
    <t>Gunz</t>
  </si>
  <si>
    <t>Ragin</t>
  </si>
  <si>
    <t>LAUREANO</t>
  </si>
  <si>
    <t>Dembele</t>
  </si>
  <si>
    <t>Auson</t>
  </si>
  <si>
    <t>Dikmane</t>
  </si>
  <si>
    <t>Pender</t>
  </si>
  <si>
    <t>Jeter</t>
  </si>
  <si>
    <t>Sarpong</t>
  </si>
  <si>
    <t>Downing</t>
  </si>
  <si>
    <t>Bohannon</t>
  </si>
  <si>
    <t>Tartt</t>
  </si>
  <si>
    <t>Washington Jones</t>
  </si>
  <si>
    <t>Gaya</t>
  </si>
  <si>
    <t>Hendricks</t>
  </si>
  <si>
    <t>Zeida</t>
  </si>
  <si>
    <t>Ubiles</t>
  </si>
  <si>
    <t>Andrades</t>
  </si>
  <si>
    <t>McCray</t>
  </si>
  <si>
    <t>Jonnson</t>
  </si>
  <si>
    <t>O' Connor</t>
  </si>
  <si>
    <t>Alfieri</t>
  </si>
  <si>
    <t>Cashman</t>
  </si>
  <si>
    <t>Tovar</t>
  </si>
  <si>
    <t>Fluellen</t>
  </si>
  <si>
    <t>Vega Holmes</t>
  </si>
  <si>
    <t>Silvestri</t>
  </si>
  <si>
    <t>McKinley</t>
  </si>
  <si>
    <t>Castellanos</t>
  </si>
  <si>
    <t>Grier</t>
  </si>
  <si>
    <t>Schofield</t>
  </si>
  <si>
    <t>Harrison</t>
  </si>
  <si>
    <t>Franks</t>
  </si>
  <si>
    <t>Laracuente Colon</t>
  </si>
  <si>
    <t>Curry</t>
  </si>
  <si>
    <t>Clark</t>
  </si>
  <si>
    <t>Cedeno</t>
  </si>
  <si>
    <t>Simmons Jr.</t>
  </si>
  <si>
    <t>Asencio</t>
  </si>
  <si>
    <t>REID</t>
  </si>
  <si>
    <t>Cruz Mejia</t>
  </si>
  <si>
    <t>Amador</t>
  </si>
  <si>
    <t>Justiniano</t>
  </si>
  <si>
    <t>Shand</t>
  </si>
  <si>
    <t>Read</t>
  </si>
  <si>
    <t>martinez</t>
  </si>
  <si>
    <t>Maggiolo</t>
  </si>
  <si>
    <t>Kwarteng</t>
  </si>
  <si>
    <t>Lajara</t>
  </si>
  <si>
    <t>Betances</t>
  </si>
  <si>
    <t>Briscoe</t>
  </si>
  <si>
    <t>Mack</t>
  </si>
  <si>
    <t>Montalvo</t>
  </si>
  <si>
    <t>Dematos</t>
  </si>
  <si>
    <t>Muñiz</t>
  </si>
  <si>
    <t>Minott</t>
  </si>
  <si>
    <t>Kendall</t>
  </si>
  <si>
    <t>Jiles</t>
  </si>
  <si>
    <t>Marks</t>
  </si>
  <si>
    <t>Toribio Hurtado</t>
  </si>
  <si>
    <t>McDaniel</t>
  </si>
  <si>
    <t>Espinal Rivera</t>
  </si>
  <si>
    <t>Ortiz Fulgencio</t>
  </si>
  <si>
    <t>Troche</t>
  </si>
  <si>
    <t>Almarante</t>
  </si>
  <si>
    <t>Gonzalez Henriquez</t>
  </si>
  <si>
    <t>WILLIAMS</t>
  </si>
  <si>
    <t>Yeadon</t>
  </si>
  <si>
    <t>Yeardon</t>
  </si>
  <si>
    <t>Amadis</t>
  </si>
  <si>
    <t>Waiters-Vinson</t>
  </si>
  <si>
    <t>Greenwald</t>
  </si>
  <si>
    <t>Suarez - Brice</t>
  </si>
  <si>
    <t>Cardwell</t>
  </si>
  <si>
    <t>Watters</t>
  </si>
  <si>
    <t>Clemente- De Leon</t>
  </si>
  <si>
    <t>Alvarado</t>
  </si>
  <si>
    <t>Dyer</t>
  </si>
  <si>
    <t>ADAMS</t>
  </si>
  <si>
    <t>Hopkins</t>
  </si>
  <si>
    <t>Miah</t>
  </si>
  <si>
    <t>Caldwell</t>
  </si>
  <si>
    <t>Ingram</t>
  </si>
  <si>
    <t>Dzaba</t>
  </si>
  <si>
    <t>Dixon</t>
  </si>
  <si>
    <t>Limardo</t>
  </si>
  <si>
    <t>motley</t>
  </si>
  <si>
    <t>Morales Jacobo</t>
  </si>
  <si>
    <t>De La Nunez</t>
  </si>
  <si>
    <t>Stukes</t>
  </si>
  <si>
    <t>Hatcher</t>
  </si>
  <si>
    <t>Prater</t>
  </si>
  <si>
    <t>Borden</t>
  </si>
  <si>
    <t>Brandy</t>
  </si>
  <si>
    <t>Mears</t>
  </si>
  <si>
    <t>Fals</t>
  </si>
  <si>
    <t>Wharton</t>
  </si>
  <si>
    <t>Venero</t>
  </si>
  <si>
    <t>Beriguete</t>
  </si>
  <si>
    <t>Marrero- Pagan</t>
  </si>
  <si>
    <t>Awe</t>
  </si>
  <si>
    <t>Alcantara</t>
  </si>
  <si>
    <t>Seda Dejesus</t>
  </si>
  <si>
    <t>McLeod</t>
  </si>
  <si>
    <t>Piecyhna</t>
  </si>
  <si>
    <t>Despommier</t>
  </si>
  <si>
    <t>Marquez</t>
  </si>
  <si>
    <t>Renneker</t>
  </si>
  <si>
    <t>Dergachev</t>
  </si>
  <si>
    <t>Fournier</t>
  </si>
  <si>
    <t>Parks</t>
  </si>
  <si>
    <t>Sheehan</t>
  </si>
  <si>
    <t>D'Arata</t>
  </si>
  <si>
    <t>Bowser</t>
  </si>
  <si>
    <t>Coppedge</t>
  </si>
  <si>
    <t>Corte Vasquez</t>
  </si>
  <si>
    <t>Yang</t>
  </si>
  <si>
    <t>Rodriguez Suero</t>
  </si>
  <si>
    <t>Ng</t>
  </si>
  <si>
    <t>Wills</t>
  </si>
  <si>
    <t>McFarlane</t>
  </si>
  <si>
    <t>Vazoumana Turner</t>
  </si>
  <si>
    <t>McAlister</t>
  </si>
  <si>
    <t>Cerease</t>
  </si>
  <si>
    <t>Wu</t>
  </si>
  <si>
    <t>Bronson</t>
  </si>
  <si>
    <t>Generlette</t>
  </si>
  <si>
    <t>Arroyo</t>
  </si>
  <si>
    <t>Whalen</t>
  </si>
  <si>
    <t>Drayton</t>
  </si>
  <si>
    <t>Karales</t>
  </si>
  <si>
    <t>Koster</t>
  </si>
  <si>
    <t>Cintron</t>
  </si>
  <si>
    <t>Poon Kwok</t>
  </si>
  <si>
    <t>Corporan</t>
  </si>
  <si>
    <t>German</t>
  </si>
  <si>
    <t>Fantauzzi</t>
  </si>
  <si>
    <t>Angrum</t>
  </si>
  <si>
    <t>Lark</t>
  </si>
  <si>
    <t>Queen</t>
  </si>
  <si>
    <t>Sado</t>
  </si>
  <si>
    <t>Beltran</t>
  </si>
  <si>
    <t>Wooten</t>
  </si>
  <si>
    <t>Lockett</t>
  </si>
  <si>
    <t>Moody</t>
  </si>
  <si>
    <t>Pattirane</t>
  </si>
  <si>
    <t>Haynes</t>
  </si>
  <si>
    <t>Berroa</t>
  </si>
  <si>
    <t>Rector</t>
  </si>
  <si>
    <t>Shimanovsky</t>
  </si>
  <si>
    <t>Fromkin</t>
  </si>
  <si>
    <t>De La Cruz</t>
  </si>
  <si>
    <t>Payton</t>
  </si>
  <si>
    <t>Fearon</t>
  </si>
  <si>
    <t>Puente</t>
  </si>
  <si>
    <t>Tirado</t>
  </si>
  <si>
    <t>Kluge</t>
  </si>
  <si>
    <t>Madero</t>
  </si>
  <si>
    <t>Weaver</t>
  </si>
  <si>
    <t>DelaRosa</t>
  </si>
  <si>
    <t>Neat</t>
  </si>
  <si>
    <t>Zheng</t>
  </si>
  <si>
    <t>Prentice</t>
  </si>
  <si>
    <t>Do</t>
  </si>
  <si>
    <t>Bates</t>
  </si>
  <si>
    <t>Seck</t>
  </si>
  <si>
    <t>Moreta</t>
  </si>
  <si>
    <t>Irick</t>
  </si>
  <si>
    <t>Danzy</t>
  </si>
  <si>
    <t>Sutton</t>
  </si>
  <si>
    <t>Garrido</t>
  </si>
  <si>
    <t>Curet</t>
  </si>
  <si>
    <t>Fouratt</t>
  </si>
  <si>
    <t>Bah</t>
  </si>
  <si>
    <t>Shabazz</t>
  </si>
  <si>
    <t>Brightbill</t>
  </si>
  <si>
    <t>Liu</t>
  </si>
  <si>
    <t>Nagy</t>
  </si>
  <si>
    <t>Johnson-Freeman</t>
  </si>
  <si>
    <t>Splunge</t>
  </si>
  <si>
    <t>Gaoussou</t>
  </si>
  <si>
    <t>Valdez</t>
  </si>
  <si>
    <t>Abdul-Mani</t>
  </si>
  <si>
    <t>Drammeh</t>
  </si>
  <si>
    <t>Moina</t>
  </si>
  <si>
    <t>Laing</t>
  </si>
  <si>
    <t>Josama</t>
  </si>
  <si>
    <t>Fleury</t>
  </si>
  <si>
    <t>Marksman</t>
  </si>
  <si>
    <t>Fleurimont</t>
  </si>
  <si>
    <t>Clearfield</t>
  </si>
  <si>
    <t>Toone</t>
  </si>
  <si>
    <t>Scotland</t>
  </si>
  <si>
    <t>Barrow</t>
  </si>
  <si>
    <t>Alberique</t>
  </si>
  <si>
    <t>Masney</t>
  </si>
  <si>
    <t>Gabriele</t>
  </si>
  <si>
    <t>Griggs</t>
  </si>
  <si>
    <t>Rogers</t>
  </si>
  <si>
    <t>Nazaire</t>
  </si>
  <si>
    <t>Kinoshi</t>
  </si>
  <si>
    <t>Luncheon</t>
  </si>
  <si>
    <t>Desse</t>
  </si>
  <si>
    <t>Harford</t>
  </si>
  <si>
    <t>Mehmedaj</t>
  </si>
  <si>
    <t>McDuffie</t>
  </si>
  <si>
    <t>Villafane</t>
  </si>
  <si>
    <t>Tye</t>
  </si>
  <si>
    <t>Conti</t>
  </si>
  <si>
    <t>Gimpilevich</t>
  </si>
  <si>
    <t>Dias</t>
  </si>
  <si>
    <t>Leon-Ramirez</t>
  </si>
  <si>
    <t>Aktav</t>
  </si>
  <si>
    <t>Rousseau</t>
  </si>
  <si>
    <t>Hyde</t>
  </si>
  <si>
    <t>Calhoun</t>
  </si>
  <si>
    <t>Merchant</t>
  </si>
  <si>
    <t>Livingston</t>
  </si>
  <si>
    <t>Legions</t>
  </si>
  <si>
    <t>Fowler</t>
  </si>
  <si>
    <t>Djekan</t>
  </si>
  <si>
    <t>Burstin</t>
  </si>
  <si>
    <t>Sumpter</t>
  </si>
  <si>
    <t>Roderiguez</t>
  </si>
  <si>
    <t>Ennis</t>
  </si>
  <si>
    <t>Braswell</t>
  </si>
  <si>
    <t>Awer</t>
  </si>
  <si>
    <t>Braz</t>
  </si>
  <si>
    <t>Romeo</t>
  </si>
  <si>
    <t>Conteh</t>
  </si>
  <si>
    <t>Grimmond</t>
  </si>
  <si>
    <t>Constantino</t>
  </si>
  <si>
    <t>Synsmir</t>
  </si>
  <si>
    <t>Nettles</t>
  </si>
  <si>
    <t>Andrews</t>
  </si>
  <si>
    <t>Sorhaindo</t>
  </si>
  <si>
    <t>Clerveaux</t>
  </si>
  <si>
    <t>Hastick</t>
  </si>
  <si>
    <t>St. Ellien</t>
  </si>
  <si>
    <t>Viviel</t>
  </si>
  <si>
    <t>McGee</t>
  </si>
  <si>
    <t>Small-Eligon</t>
  </si>
  <si>
    <t>Rocourt</t>
  </si>
  <si>
    <t>Savory</t>
  </si>
  <si>
    <t>Lafrese</t>
  </si>
  <si>
    <t>Roach</t>
  </si>
  <si>
    <t>Demmin</t>
  </si>
  <si>
    <t>Kirton</t>
  </si>
  <si>
    <t>Palacios</t>
  </si>
  <si>
    <t>Zambrana</t>
  </si>
  <si>
    <t>Saint-Albin</t>
  </si>
  <si>
    <t>Magliore</t>
  </si>
  <si>
    <t>Vines</t>
  </si>
  <si>
    <t>Wint</t>
  </si>
  <si>
    <t>Sanon</t>
  </si>
  <si>
    <t>Monroe</t>
  </si>
  <si>
    <t>Ellard</t>
  </si>
  <si>
    <t>Adamson</t>
  </si>
  <si>
    <t>Elcock</t>
  </si>
  <si>
    <t>Burrell</t>
  </si>
  <si>
    <t>Logan</t>
  </si>
  <si>
    <t>Crandall</t>
  </si>
  <si>
    <t>Kemp</t>
  </si>
  <si>
    <t>Tompkins</t>
  </si>
  <si>
    <t>Candelaria</t>
  </si>
  <si>
    <t>Bess</t>
  </si>
  <si>
    <t>Pollas</t>
  </si>
  <si>
    <t>Antioco</t>
  </si>
  <si>
    <t>Duncanson</t>
  </si>
  <si>
    <t>Merveille</t>
  </si>
  <si>
    <t>Cook</t>
  </si>
  <si>
    <t>Guerrier</t>
  </si>
  <si>
    <t>Edme</t>
  </si>
  <si>
    <t>Koudougnon</t>
  </si>
  <si>
    <t>Trotz</t>
  </si>
  <si>
    <t>Canty</t>
  </si>
  <si>
    <t>O'Bryan</t>
  </si>
  <si>
    <t>Pinkney</t>
  </si>
  <si>
    <t>McKinney</t>
  </si>
  <si>
    <t>Tillus</t>
  </si>
  <si>
    <t>Meyer</t>
  </si>
  <si>
    <t>Wood</t>
  </si>
  <si>
    <t>Pinkard</t>
  </si>
  <si>
    <t>Hankins</t>
  </si>
  <si>
    <t>McFowler</t>
  </si>
  <si>
    <t>Frederick</t>
  </si>
  <si>
    <t>Thomas Hinds</t>
  </si>
  <si>
    <t>Obago Sellenje</t>
  </si>
  <si>
    <t>Cantres</t>
  </si>
  <si>
    <t>Waite</t>
  </si>
  <si>
    <t>Gregory-Brown</t>
  </si>
  <si>
    <t>Flavius</t>
  </si>
  <si>
    <t>Strother</t>
  </si>
  <si>
    <t>Isaacs</t>
  </si>
  <si>
    <t>Vazquez- DeJesus</t>
  </si>
  <si>
    <t>Trinidad</t>
  </si>
  <si>
    <t>Bowe</t>
  </si>
  <si>
    <t>Kebbe</t>
  </si>
  <si>
    <t>Mayer</t>
  </si>
  <si>
    <t>McIntosh</t>
  </si>
  <si>
    <t>Hangula</t>
  </si>
  <si>
    <t>Cox</t>
  </si>
  <si>
    <t>Gentles</t>
  </si>
  <si>
    <t>Long Dyer</t>
  </si>
  <si>
    <t>Pyne</t>
  </si>
  <si>
    <t>Addo</t>
  </si>
  <si>
    <t>Moise</t>
  </si>
  <si>
    <t>Ogle</t>
  </si>
  <si>
    <t>Seales</t>
  </si>
  <si>
    <t>Limehouse</t>
  </si>
  <si>
    <t>Greenidge</t>
  </si>
  <si>
    <t>Atkins</t>
  </si>
  <si>
    <t>Consoro</t>
  </si>
  <si>
    <t>Sebro</t>
  </si>
  <si>
    <t>Degannes</t>
  </si>
  <si>
    <t>Colbert</t>
  </si>
  <si>
    <t>Georges</t>
  </si>
  <si>
    <t>Verret</t>
  </si>
  <si>
    <t>Fair</t>
  </si>
  <si>
    <t>Marriott</t>
  </si>
  <si>
    <t>ZZaman</t>
  </si>
  <si>
    <t>Jeffries</t>
  </si>
  <si>
    <t>Cunningham</t>
  </si>
  <si>
    <t>Favors</t>
  </si>
  <si>
    <t>Darcy</t>
  </si>
  <si>
    <t>Grosvenor</t>
  </si>
  <si>
    <t>McClean</t>
  </si>
  <si>
    <t>Plaismond</t>
  </si>
  <si>
    <t>Hendrickson</t>
  </si>
  <si>
    <t>Coleman Raybe</t>
  </si>
  <si>
    <t>Natalio</t>
  </si>
  <si>
    <t>McCutter</t>
  </si>
  <si>
    <t>Lightner</t>
  </si>
  <si>
    <t>Dokie</t>
  </si>
  <si>
    <t>Padillla</t>
  </si>
  <si>
    <t>Bravo Manuel</t>
  </si>
  <si>
    <t>Ayisi</t>
  </si>
  <si>
    <t>Jasso</t>
  </si>
  <si>
    <t>GONZALEZ</t>
  </si>
  <si>
    <t>Goldfeld</t>
  </si>
  <si>
    <t>Mirles</t>
  </si>
  <si>
    <t>Boyd</t>
  </si>
  <si>
    <t>Alvarez Eusebio</t>
  </si>
  <si>
    <t>Issa</t>
  </si>
  <si>
    <t>Cruz Torres</t>
  </si>
  <si>
    <t>Moumouni</t>
  </si>
  <si>
    <t>Lowe</t>
  </si>
  <si>
    <t>Ancrum</t>
  </si>
  <si>
    <t>Olivencia</t>
  </si>
  <si>
    <t>Mateen</t>
  </si>
  <si>
    <t>Zongo</t>
  </si>
  <si>
    <t>Boudier</t>
  </si>
  <si>
    <t>Brea Infante</t>
  </si>
  <si>
    <t>McLean</t>
  </si>
  <si>
    <t>Gavin</t>
  </si>
  <si>
    <t>Hutaf</t>
  </si>
  <si>
    <t>MITCHELL</t>
  </si>
  <si>
    <t>Medero</t>
  </si>
  <si>
    <t>NUNEZ,</t>
  </si>
  <si>
    <t>Forde</t>
  </si>
  <si>
    <t>Rossy</t>
  </si>
  <si>
    <t>Abbott</t>
  </si>
  <si>
    <t>Waters</t>
  </si>
  <si>
    <t>TORRES</t>
  </si>
  <si>
    <t>DAVIS</t>
  </si>
  <si>
    <t>Birkett-Burch</t>
  </si>
  <si>
    <t>Giron</t>
  </si>
  <si>
    <t>Bujaj</t>
  </si>
  <si>
    <t>Shubrick</t>
  </si>
  <si>
    <t>Maxell</t>
  </si>
  <si>
    <t>Samayoa</t>
  </si>
  <si>
    <t>Oliva</t>
  </si>
  <si>
    <t>Owusu Manu</t>
  </si>
  <si>
    <t>Ranger</t>
  </si>
  <si>
    <t>Correa</t>
  </si>
  <si>
    <t>Jackson Agee</t>
  </si>
  <si>
    <t>Lind</t>
  </si>
  <si>
    <t>Davies</t>
  </si>
  <si>
    <t>Cummins</t>
  </si>
  <si>
    <t>Arriaga</t>
  </si>
  <si>
    <t>Harrington</t>
  </si>
  <si>
    <t>Meador</t>
  </si>
  <si>
    <t>Quartey</t>
  </si>
  <si>
    <t>Khalifah</t>
  </si>
  <si>
    <t>Aswani</t>
  </si>
  <si>
    <t>Broadbelt</t>
  </si>
  <si>
    <t>Munroe</t>
  </si>
  <si>
    <t>Gomez Castillo</t>
  </si>
  <si>
    <t>Sierra</t>
  </si>
  <si>
    <t>Tellier</t>
  </si>
  <si>
    <t>Lincoln</t>
  </si>
  <si>
    <t>Molina-Duran</t>
  </si>
  <si>
    <t>Laguerre</t>
  </si>
  <si>
    <t>Toison</t>
  </si>
  <si>
    <t>Gadsden</t>
  </si>
  <si>
    <t>Hiris Gilley</t>
  </si>
  <si>
    <t>Hassalevris</t>
  </si>
  <si>
    <t>Baxter</t>
  </si>
  <si>
    <t>VASQUEZ</t>
  </si>
  <si>
    <t>Candelario</t>
  </si>
  <si>
    <t>Blanco</t>
  </si>
  <si>
    <t>Simmonds</t>
  </si>
  <si>
    <t>De la cruz</t>
  </si>
  <si>
    <t>Navas</t>
  </si>
  <si>
    <t>BaBa</t>
  </si>
  <si>
    <t>Disla</t>
  </si>
  <si>
    <t>Castillo Melo</t>
  </si>
  <si>
    <t>Daniels</t>
  </si>
  <si>
    <t>Asmal Barbecho</t>
  </si>
  <si>
    <t>Gallardo</t>
  </si>
  <si>
    <t>Natal</t>
  </si>
  <si>
    <t>ESTEFANY</t>
  </si>
  <si>
    <t>Nuesi</t>
  </si>
  <si>
    <t>Baez</t>
  </si>
  <si>
    <t>Mang</t>
  </si>
  <si>
    <t>Pressley</t>
  </si>
  <si>
    <t>Regins</t>
  </si>
  <si>
    <t>Barea</t>
  </si>
  <si>
    <t>Fuentes</t>
  </si>
  <si>
    <t>Reape</t>
  </si>
  <si>
    <t>Graves</t>
  </si>
  <si>
    <t>Crump</t>
  </si>
  <si>
    <t>Coley</t>
  </si>
  <si>
    <t>Wasson</t>
  </si>
  <si>
    <t>Holloman</t>
  </si>
  <si>
    <t>Taveras Rodriguez</t>
  </si>
  <si>
    <t>Hoare</t>
  </si>
  <si>
    <t>Ynfante</t>
  </si>
  <si>
    <t>Remy</t>
  </si>
  <si>
    <t>Spear</t>
  </si>
  <si>
    <t>Yensi</t>
  </si>
  <si>
    <t>Bunch</t>
  </si>
  <si>
    <t>ROSARIO</t>
  </si>
  <si>
    <t>Spagner</t>
  </si>
  <si>
    <t>Kong</t>
  </si>
  <si>
    <t>Sharwar</t>
  </si>
  <si>
    <t>Law</t>
  </si>
  <si>
    <t>Suber</t>
  </si>
  <si>
    <t>Donis</t>
  </si>
  <si>
    <t>Gross</t>
  </si>
  <si>
    <t>Narvaez</t>
  </si>
  <si>
    <t>Rentas</t>
  </si>
  <si>
    <t>Del Rosario Martinez</t>
  </si>
  <si>
    <t>Valerio</t>
  </si>
  <si>
    <t>Velasquez</t>
  </si>
  <si>
    <t>Siciliano</t>
  </si>
  <si>
    <t>Almanzar</t>
  </si>
  <si>
    <t>Aashar</t>
  </si>
  <si>
    <t>Zaten-Brea</t>
  </si>
  <si>
    <t>Carela</t>
  </si>
  <si>
    <t>Marmol</t>
  </si>
  <si>
    <t>Albino</t>
  </si>
  <si>
    <t>Demera</t>
  </si>
  <si>
    <t>Lomax</t>
  </si>
  <si>
    <t>Castillo-Hidalgo</t>
  </si>
  <si>
    <t>Limbardo</t>
  </si>
  <si>
    <t>Diaz Mendez</t>
  </si>
  <si>
    <t>Mansaray</t>
  </si>
  <si>
    <t>Thiam</t>
  </si>
  <si>
    <t>Davis-McMillian</t>
  </si>
  <si>
    <t>Caputo</t>
  </si>
  <si>
    <t>Belcher</t>
  </si>
  <si>
    <t>Pitchai</t>
  </si>
  <si>
    <t>Atwaroo</t>
  </si>
  <si>
    <t>Deveaux</t>
  </si>
  <si>
    <t>Manzueta</t>
  </si>
  <si>
    <t>Bieo</t>
  </si>
  <si>
    <t>Basora</t>
  </si>
  <si>
    <t>Mercedes Pena</t>
  </si>
  <si>
    <t>Duarte</t>
  </si>
  <si>
    <t>Cardoza</t>
  </si>
  <si>
    <t>Garzon</t>
  </si>
  <si>
    <t>Monell</t>
  </si>
  <si>
    <t>Gassama</t>
  </si>
  <si>
    <t>Powell</t>
  </si>
  <si>
    <t>Chacon</t>
  </si>
  <si>
    <t>Tsai</t>
  </si>
  <si>
    <t>Carty</t>
  </si>
  <si>
    <t>Konate</t>
  </si>
  <si>
    <t>Olivera</t>
  </si>
  <si>
    <t>De Reynoso</t>
  </si>
  <si>
    <t>Slowley</t>
  </si>
  <si>
    <t>Agostini</t>
  </si>
  <si>
    <t>DeJesus</t>
  </si>
  <si>
    <t>Ovalle</t>
  </si>
  <si>
    <t>Garrick</t>
  </si>
  <si>
    <t>Balbuena</t>
  </si>
  <si>
    <t>RODRIGUEZ</t>
  </si>
  <si>
    <t>DelaCruz</t>
  </si>
  <si>
    <t>Abadias</t>
  </si>
  <si>
    <t>Ginel</t>
  </si>
  <si>
    <t>Croffet</t>
  </si>
  <si>
    <t>Omage</t>
  </si>
  <si>
    <t>Lazo</t>
  </si>
  <si>
    <t>Parrot</t>
  </si>
  <si>
    <t>Petrie</t>
  </si>
  <si>
    <t>Urbaez</t>
  </si>
  <si>
    <t>Geronimo</t>
  </si>
  <si>
    <t>Encarnacion</t>
  </si>
  <si>
    <t>Duodo</t>
  </si>
  <si>
    <t>Appleton</t>
  </si>
  <si>
    <t>Carranza</t>
  </si>
  <si>
    <t>BELL</t>
  </si>
  <si>
    <t>Morante</t>
  </si>
  <si>
    <t>Corker</t>
  </si>
  <si>
    <t>Sanroh</t>
  </si>
  <si>
    <t>Vizcarrando</t>
  </si>
  <si>
    <t>Sweeting</t>
  </si>
  <si>
    <t>Lamberts</t>
  </si>
  <si>
    <t>McDuffy</t>
  </si>
  <si>
    <t>DeLaRosa</t>
  </si>
  <si>
    <t>Moncion</t>
  </si>
  <si>
    <t>Lugo-Rivera</t>
  </si>
  <si>
    <t>Campaigner</t>
  </si>
  <si>
    <t>Tavera</t>
  </si>
  <si>
    <t>Moore-Walters</t>
  </si>
  <si>
    <t>Connolly</t>
  </si>
  <si>
    <t>Allan</t>
  </si>
  <si>
    <t>Siguencia</t>
  </si>
  <si>
    <t>Girault</t>
  </si>
  <si>
    <t>DeLos Santos</t>
  </si>
  <si>
    <t>Fraser</t>
  </si>
  <si>
    <t>Cuffee</t>
  </si>
  <si>
    <t>Dailey</t>
  </si>
  <si>
    <t>Rountree</t>
  </si>
  <si>
    <t>Cheek</t>
  </si>
  <si>
    <t>Cosgrove</t>
  </si>
  <si>
    <t>Fonville</t>
  </si>
  <si>
    <t>Bridge</t>
  </si>
  <si>
    <t>Karim</t>
  </si>
  <si>
    <t>Hirsch</t>
  </si>
  <si>
    <t>Abdul-Fattaah</t>
  </si>
  <si>
    <t>Messner</t>
  </si>
  <si>
    <t>Mbacke</t>
  </si>
  <si>
    <t>Sainsbury</t>
  </si>
  <si>
    <t>Farris</t>
  </si>
  <si>
    <t>Me</t>
  </si>
  <si>
    <t>Ayuoo</t>
  </si>
  <si>
    <t>Occilien</t>
  </si>
  <si>
    <t>Pantaleon</t>
  </si>
  <si>
    <t>McCadney</t>
  </si>
  <si>
    <t>Tyler</t>
  </si>
  <si>
    <t>Avalone</t>
  </si>
  <si>
    <t>Finklea</t>
  </si>
  <si>
    <t>Staggers</t>
  </si>
  <si>
    <t>Rufino</t>
  </si>
  <si>
    <t>Sanjines</t>
  </si>
  <si>
    <t>Shaheed</t>
  </si>
  <si>
    <t>Campoverdi</t>
  </si>
  <si>
    <t>Husser</t>
  </si>
  <si>
    <t>Lett</t>
  </si>
  <si>
    <t>Gustin</t>
  </si>
  <si>
    <t>Mami</t>
  </si>
  <si>
    <t>Allford</t>
  </si>
  <si>
    <t>Beatty</t>
  </si>
  <si>
    <t>Backer</t>
  </si>
  <si>
    <t>Nova</t>
  </si>
  <si>
    <t>Furniel</t>
  </si>
  <si>
    <t>Aguirre</t>
  </si>
  <si>
    <t>Whitaker</t>
  </si>
  <si>
    <t>Wolesley</t>
  </si>
  <si>
    <t>Boone</t>
  </si>
  <si>
    <t>Bryson</t>
  </si>
  <si>
    <t>Villar</t>
  </si>
  <si>
    <t>Vos</t>
  </si>
  <si>
    <t>Carbajal</t>
  </si>
  <si>
    <t>Caso</t>
  </si>
  <si>
    <t>Coggins</t>
  </si>
  <si>
    <t>Deras</t>
  </si>
  <si>
    <t>Tiburcio</t>
  </si>
  <si>
    <t>Mota</t>
  </si>
  <si>
    <t>Booker</t>
  </si>
  <si>
    <t>Cockfield</t>
  </si>
  <si>
    <t>Amparo</t>
  </si>
  <si>
    <t>Collington</t>
  </si>
  <si>
    <t>Barashi</t>
  </si>
  <si>
    <t>Dzubey</t>
  </si>
  <si>
    <t>Goss</t>
  </si>
  <si>
    <t>Fogle - Adabanya</t>
  </si>
  <si>
    <t>Sarr</t>
  </si>
  <si>
    <t>Gakou</t>
  </si>
  <si>
    <t>Edgefield</t>
  </si>
  <si>
    <t>Cuma</t>
  </si>
  <si>
    <t>Porter</t>
  </si>
  <si>
    <t>Chisom</t>
  </si>
  <si>
    <t>Orourke</t>
  </si>
  <si>
    <t>Lunas</t>
  </si>
  <si>
    <t>Leak</t>
  </si>
  <si>
    <t>Damico</t>
  </si>
  <si>
    <t>Presley</t>
  </si>
  <si>
    <t>Suarrez</t>
  </si>
  <si>
    <t>Peek</t>
  </si>
  <si>
    <t>Legins</t>
  </si>
  <si>
    <t>Grove</t>
  </si>
  <si>
    <t>Goodine</t>
  </si>
  <si>
    <t>Barr</t>
  </si>
  <si>
    <t>Whitehead</t>
  </si>
  <si>
    <t>Kingsberry</t>
  </si>
  <si>
    <t>Falet</t>
  </si>
  <si>
    <t>Mance</t>
  </si>
  <si>
    <t>Paulin</t>
  </si>
  <si>
    <t>Moleah</t>
  </si>
  <si>
    <t>Epps</t>
  </si>
  <si>
    <t>Capriata</t>
  </si>
  <si>
    <t>Theodoro</t>
  </si>
  <si>
    <t>Pinckney</t>
  </si>
  <si>
    <t>Bonifacio</t>
  </si>
  <si>
    <t>Seaward</t>
  </si>
  <si>
    <t>Newland</t>
  </si>
  <si>
    <t>Voltaire</t>
  </si>
  <si>
    <t>Perdomo</t>
  </si>
  <si>
    <t>Mahadeo</t>
  </si>
  <si>
    <t>Chunara</t>
  </si>
  <si>
    <t>Arreaga</t>
  </si>
  <si>
    <t>Grindley</t>
  </si>
  <si>
    <t>Groves</t>
  </si>
  <si>
    <t>Sorenson</t>
  </si>
  <si>
    <t>Patton</t>
  </si>
  <si>
    <t>O'Connor</t>
  </si>
  <si>
    <t>Gatlin-Deleon</t>
  </si>
  <si>
    <t>Gause</t>
  </si>
  <si>
    <t>Swarna</t>
  </si>
  <si>
    <t>McClain</t>
  </si>
  <si>
    <t>Placide</t>
  </si>
  <si>
    <t>Mansor</t>
  </si>
  <si>
    <t>Perales</t>
  </si>
  <si>
    <t>Caple</t>
  </si>
  <si>
    <t>Sterling</t>
  </si>
  <si>
    <t>Pichard</t>
  </si>
  <si>
    <t>Adedeji</t>
  </si>
  <si>
    <t>Slacks</t>
  </si>
  <si>
    <t>Faverey</t>
  </si>
  <si>
    <t>Ossa</t>
  </si>
  <si>
    <t>Banach</t>
  </si>
  <si>
    <t>Lovett</t>
  </si>
  <si>
    <t>Spinner</t>
  </si>
  <si>
    <t>Corbett</t>
  </si>
  <si>
    <t>Rocha</t>
  </si>
  <si>
    <t>Ramhit</t>
  </si>
  <si>
    <t>Goodman</t>
  </si>
  <si>
    <t>Baclawska</t>
  </si>
  <si>
    <t>Talbert</t>
  </si>
  <si>
    <t>Anotanopoulus</t>
  </si>
  <si>
    <t>Chamorro Loaiza</t>
  </si>
  <si>
    <t>Levstean</t>
  </si>
  <si>
    <t>Beck</t>
  </si>
  <si>
    <t>Ceron</t>
  </si>
  <si>
    <t>Deberry</t>
  </si>
  <si>
    <t>Ledra</t>
  </si>
  <si>
    <t>Bordiwala</t>
  </si>
  <si>
    <t>Wrighton</t>
  </si>
  <si>
    <t>Angelilo</t>
  </si>
  <si>
    <t>Nivens</t>
  </si>
  <si>
    <t>Guity</t>
  </si>
  <si>
    <t>Strambeanu</t>
  </si>
  <si>
    <t>Steadman</t>
  </si>
  <si>
    <t>Benyoussef</t>
  </si>
  <si>
    <t>Roopnarine</t>
  </si>
  <si>
    <t>McFarland</t>
  </si>
  <si>
    <t>Paez-Mejia</t>
  </si>
  <si>
    <t>Meade</t>
  </si>
  <si>
    <t>Copridge</t>
  </si>
  <si>
    <t>Whitley</t>
  </si>
  <si>
    <t>Revell</t>
  </si>
  <si>
    <t>Jarrett</t>
  </si>
  <si>
    <t>Ketcham</t>
  </si>
  <si>
    <t>Hart</t>
  </si>
  <si>
    <t>Chango</t>
  </si>
  <si>
    <t>Reddick</t>
  </si>
  <si>
    <t>Mathis</t>
  </si>
  <si>
    <t>Mazzio</t>
  </si>
  <si>
    <t>De La Barrera</t>
  </si>
  <si>
    <t>Estivene</t>
  </si>
  <si>
    <t>Bass</t>
  </si>
  <si>
    <t>Treadell</t>
  </si>
  <si>
    <t>Lewis-Morgan</t>
  </si>
  <si>
    <t>Minier</t>
  </si>
  <si>
    <t>Rowe</t>
  </si>
  <si>
    <t>West</t>
  </si>
  <si>
    <t>McElveen</t>
  </si>
  <si>
    <t>Dillon</t>
  </si>
  <si>
    <t>Drummond</t>
  </si>
  <si>
    <t>Goosby</t>
  </si>
  <si>
    <t>Razzaqi</t>
  </si>
  <si>
    <t>Homeyer</t>
  </si>
  <si>
    <t>Galindo</t>
  </si>
  <si>
    <t>Gaillard</t>
  </si>
  <si>
    <t>Ludena Vasquez</t>
  </si>
  <si>
    <t>Ramsood</t>
  </si>
  <si>
    <t>Alongi</t>
  </si>
  <si>
    <t>Belmosa</t>
  </si>
  <si>
    <t>Cosme</t>
  </si>
  <si>
    <t>Smalls</t>
  </si>
  <si>
    <t>Klubek</t>
  </si>
  <si>
    <t>Welch</t>
  </si>
  <si>
    <t>Ekpo</t>
  </si>
  <si>
    <t>Wilds</t>
  </si>
  <si>
    <t>Gasper</t>
  </si>
  <si>
    <t>Navia</t>
  </si>
  <si>
    <t>Maultsby</t>
  </si>
  <si>
    <t>Parla-Edwards</t>
  </si>
  <si>
    <t>Larsen</t>
  </si>
  <si>
    <t>Martorella</t>
  </si>
  <si>
    <t>Gurung</t>
  </si>
  <si>
    <t>Ramsey</t>
  </si>
  <si>
    <t>Cuevas</t>
  </si>
  <si>
    <t>Suero</t>
  </si>
  <si>
    <t>Simons</t>
  </si>
  <si>
    <t>Mede</t>
  </si>
  <si>
    <t>Witcher</t>
  </si>
  <si>
    <t>Aviles</t>
  </si>
  <si>
    <t>Apostol</t>
  </si>
  <si>
    <t>Abdus</t>
  </si>
  <si>
    <t>Loja</t>
  </si>
  <si>
    <t>Bey</t>
  </si>
  <si>
    <t>Plaza</t>
  </si>
  <si>
    <t>Dimson</t>
  </si>
  <si>
    <t>Cambell</t>
  </si>
  <si>
    <t>Cucci</t>
  </si>
  <si>
    <t>Baugh</t>
  </si>
  <si>
    <t>Taiwo</t>
  </si>
  <si>
    <t>Wolfe</t>
  </si>
  <si>
    <t>Offley</t>
  </si>
  <si>
    <t>Peteroy</t>
  </si>
  <si>
    <t>Espada</t>
  </si>
  <si>
    <t>Eastmond-Brown</t>
  </si>
  <si>
    <t>Maggio</t>
  </si>
  <si>
    <t>Webber</t>
  </si>
  <si>
    <t>Coniglario</t>
  </si>
  <si>
    <t>DeSantiago</t>
  </si>
  <si>
    <t>Tyndale</t>
  </si>
  <si>
    <t>Grym</t>
  </si>
  <si>
    <t>Gormley</t>
  </si>
  <si>
    <t>Ferran</t>
  </si>
  <si>
    <t>Polizio</t>
  </si>
  <si>
    <t>Soler</t>
  </si>
  <si>
    <t>Rayford</t>
  </si>
  <si>
    <t>Hyman</t>
  </si>
  <si>
    <t>Avellanet</t>
  </si>
  <si>
    <t>Olorunfemi</t>
  </si>
  <si>
    <t>Wann</t>
  </si>
  <si>
    <t>Moye</t>
  </si>
  <si>
    <t>Gardener</t>
  </si>
  <si>
    <t>Omezie</t>
  </si>
  <si>
    <t>Binard</t>
  </si>
  <si>
    <t>Hackett</t>
  </si>
  <si>
    <t>Feldstein</t>
  </si>
  <si>
    <t>Ramos Talley</t>
  </si>
  <si>
    <t>Yuen-White</t>
  </si>
  <si>
    <t>Gresham</t>
  </si>
  <si>
    <t>Petters</t>
  </si>
  <si>
    <t>Morton</t>
  </si>
  <si>
    <t>Cilli</t>
  </si>
  <si>
    <t>Springer</t>
  </si>
  <si>
    <t>Ivory</t>
  </si>
  <si>
    <t>Keane</t>
  </si>
  <si>
    <t>Napoli</t>
  </si>
  <si>
    <t>Heredia</t>
  </si>
  <si>
    <t>Arnez</t>
  </si>
  <si>
    <t>Birmingham</t>
  </si>
  <si>
    <t>Belovsky</t>
  </si>
  <si>
    <t>Neils</t>
  </si>
  <si>
    <t>Kendrick</t>
  </si>
  <si>
    <t>Ragins</t>
  </si>
  <si>
    <t>Vasser</t>
  </si>
  <si>
    <t>Bility</t>
  </si>
  <si>
    <t>San Miguel</t>
  </si>
  <si>
    <t>BOlogna</t>
  </si>
  <si>
    <t>Hoque</t>
  </si>
  <si>
    <t>Lodi</t>
  </si>
  <si>
    <t>Tigreros</t>
  </si>
  <si>
    <t>Olate</t>
  </si>
  <si>
    <t>Liau</t>
  </si>
  <si>
    <t>Talukder</t>
  </si>
  <si>
    <t>Jamgotchian</t>
  </si>
  <si>
    <t>Rahming</t>
  </si>
  <si>
    <t>Clyburne</t>
  </si>
  <si>
    <t>Dealecio</t>
  </si>
  <si>
    <t>Ceesay</t>
  </si>
  <si>
    <t>Sockwell</t>
  </si>
  <si>
    <t>Almonte Batista</t>
  </si>
  <si>
    <t>Manjarres</t>
  </si>
  <si>
    <t>Estrada-Savala</t>
  </si>
  <si>
    <t>Cabezas</t>
  </si>
  <si>
    <t>Cao</t>
  </si>
  <si>
    <t>Fierstin</t>
  </si>
  <si>
    <t>Akhter</t>
  </si>
  <si>
    <t>Yanez</t>
  </si>
  <si>
    <t>Mohmaey</t>
  </si>
  <si>
    <t>McDermott</t>
  </si>
  <si>
    <t>Sabater</t>
  </si>
  <si>
    <t>Gilles</t>
  </si>
  <si>
    <t>Kopylova</t>
  </si>
  <si>
    <t>Janikian</t>
  </si>
  <si>
    <t>Usma</t>
  </si>
  <si>
    <t>Syllman</t>
  </si>
  <si>
    <t>Pietravelle</t>
  </si>
  <si>
    <t>Higgins-Bey</t>
  </si>
  <si>
    <t>Hoff</t>
  </si>
  <si>
    <t>Kanhoye</t>
  </si>
  <si>
    <t>Siegel</t>
  </si>
  <si>
    <t>Maynor</t>
  </si>
  <si>
    <t>Hebert</t>
  </si>
  <si>
    <t>Mostafa</t>
  </si>
  <si>
    <t>Delacruz</t>
  </si>
  <si>
    <t>Nicola</t>
  </si>
  <si>
    <t>Rezk</t>
  </si>
  <si>
    <t>Cerino</t>
  </si>
  <si>
    <t>Aboushady</t>
  </si>
  <si>
    <t>Hedjazi</t>
  </si>
  <si>
    <t>Ibqal</t>
  </si>
  <si>
    <t>Concepcion</t>
  </si>
  <si>
    <t>Reina</t>
  </si>
  <si>
    <t>Hollis</t>
  </si>
  <si>
    <t>Blandina</t>
  </si>
  <si>
    <t>Campino</t>
  </si>
  <si>
    <t>Mani</t>
  </si>
  <si>
    <t>Florez</t>
  </si>
  <si>
    <t>Balbin</t>
  </si>
  <si>
    <t>McCaffrey</t>
  </si>
  <si>
    <t>Ramkisson</t>
  </si>
  <si>
    <t>Fullington</t>
  </si>
  <si>
    <t>Schiff</t>
  </si>
  <si>
    <t>Ruan</t>
  </si>
  <si>
    <t>Willliams</t>
  </si>
  <si>
    <t>Schiavone</t>
  </si>
  <si>
    <t>Naughten</t>
  </si>
  <si>
    <t>Plaskett</t>
  </si>
  <si>
    <t>Earl</t>
  </si>
  <si>
    <t>Quintanilla</t>
  </si>
  <si>
    <t>Lem</t>
  </si>
  <si>
    <t>Obuchoska</t>
  </si>
  <si>
    <t>Nivar</t>
  </si>
  <si>
    <t>Yee</t>
  </si>
  <si>
    <t>Torrens</t>
  </si>
  <si>
    <t>Capellan</t>
  </si>
  <si>
    <t>Minaya</t>
  </si>
  <si>
    <t>Montilla</t>
  </si>
  <si>
    <t>Venable</t>
  </si>
  <si>
    <t>Leung</t>
  </si>
  <si>
    <t>Campuzano</t>
  </si>
  <si>
    <t>Espejo</t>
  </si>
  <si>
    <t>DeChamps</t>
  </si>
  <si>
    <t>Norton</t>
  </si>
  <si>
    <t>Chaw</t>
  </si>
  <si>
    <t>Volkman</t>
  </si>
  <si>
    <t>Yan</t>
  </si>
  <si>
    <t>Pereira</t>
  </si>
  <si>
    <t>Shumko</t>
  </si>
  <si>
    <t>Lubowska</t>
  </si>
  <si>
    <t>Scott-Watson</t>
  </si>
  <si>
    <t>McNatt</t>
  </si>
  <si>
    <t>Ioselevich</t>
  </si>
  <si>
    <t>Kielb</t>
  </si>
  <si>
    <t>Cheung</t>
  </si>
  <si>
    <t>Longsworth</t>
  </si>
  <si>
    <t>Tatum</t>
  </si>
  <si>
    <t>hayduke</t>
  </si>
  <si>
    <t>Ra</t>
  </si>
  <si>
    <t>Knapper</t>
  </si>
  <si>
    <t>Fusi</t>
  </si>
  <si>
    <t>Carvajal</t>
  </si>
  <si>
    <t>Veneziano</t>
  </si>
  <si>
    <t>Tavalin</t>
  </si>
  <si>
    <t>Vinicio</t>
  </si>
  <si>
    <t>Reddy</t>
  </si>
  <si>
    <t>Deniran</t>
  </si>
  <si>
    <t>Pomerlee</t>
  </si>
  <si>
    <t>McFaline</t>
  </si>
  <si>
    <t>Massie</t>
  </si>
  <si>
    <t>Loftin</t>
  </si>
  <si>
    <t>Faulden</t>
  </si>
  <si>
    <t>Cerutti</t>
  </si>
  <si>
    <t>DeStefano</t>
  </si>
  <si>
    <t>Pantoja</t>
  </si>
  <si>
    <t>Cofield</t>
  </si>
  <si>
    <t>Crescioni-Santoni</t>
  </si>
  <si>
    <t>Ortiz-Paulino</t>
  </si>
  <si>
    <t>Gibbs</t>
  </si>
  <si>
    <t>Urias</t>
  </si>
  <si>
    <t>Massey</t>
  </si>
  <si>
    <t>Sergiyenko</t>
  </si>
  <si>
    <t>Calcagno</t>
  </si>
  <si>
    <t>Payano</t>
  </si>
  <si>
    <t>Martinez-Lopez</t>
  </si>
  <si>
    <t>Broder</t>
  </si>
  <si>
    <t>Deaza</t>
  </si>
  <si>
    <t>Tue</t>
  </si>
  <si>
    <t>Villalba</t>
  </si>
  <si>
    <t>Halpert</t>
  </si>
  <si>
    <t>Kaldens</t>
  </si>
  <si>
    <t>226 E 203rd St</t>
  </si>
  <si>
    <t>890 armstrong ave</t>
  </si>
  <si>
    <t>1421 Grand Concourse</t>
  </si>
  <si>
    <t>265 Livonia Ave</t>
  </si>
  <si>
    <t>2105 Wallace Ave</t>
  </si>
  <si>
    <t>990 Anderson Ave</t>
  </si>
  <si>
    <t>1417 Stanley Ave</t>
  </si>
  <si>
    <t>31 Leonard St</t>
  </si>
  <si>
    <t>535 E 148th St</t>
  </si>
  <si>
    <t>605 W 182nd St</t>
  </si>
  <si>
    <t>4298 Park Ave</t>
  </si>
  <si>
    <t>1409 Saint Johns Pl</t>
  </si>
  <si>
    <t>176 Warwick St</t>
  </si>
  <si>
    <t>1500 Grand Concourse</t>
  </si>
  <si>
    <t>90-16 171st Street</t>
  </si>
  <si>
    <t>1714 Linden St</t>
  </si>
  <si>
    <t>200 W 81st St</t>
  </si>
  <si>
    <t>1539 Lexington Ave</t>
  </si>
  <si>
    <t>1760 Lexington Ave</t>
  </si>
  <si>
    <t>14319 38th AVE</t>
  </si>
  <si>
    <t>1997 Davidson Ave</t>
  </si>
  <si>
    <t>3660 Waldo Ave</t>
  </si>
  <si>
    <t>324 Montgomery St</t>
  </si>
  <si>
    <t>10249 44th Ave</t>
  </si>
  <si>
    <t>15119 34th Ave</t>
  </si>
  <si>
    <t>319 E 93rd St</t>
  </si>
  <si>
    <t>269 80th St</t>
  </si>
  <si>
    <t>879 Van Siclen Ave</t>
  </si>
  <si>
    <t>240 E 175th st</t>
  </si>
  <si>
    <t>6 Williams Ct</t>
  </si>
  <si>
    <t>3720 81st St</t>
  </si>
  <si>
    <t>711d Seagirt Ave</t>
  </si>
  <si>
    <t>9851 Queens Blvd</t>
  </si>
  <si>
    <t>505 Beach 141st St</t>
  </si>
  <si>
    <t>14441 180th St</t>
  </si>
  <si>
    <t>4382 Furman Ave</t>
  </si>
  <si>
    <t>2111 Lafontaine Ave</t>
  </si>
  <si>
    <t>1326 Grand Concourse</t>
  </si>
  <si>
    <t>236 Parkville Ave</t>
  </si>
  <si>
    <t>3185 Villa Ave</t>
  </si>
  <si>
    <t>4237 Union St</t>
  </si>
  <si>
    <t>300 Vernon Ave</t>
  </si>
  <si>
    <t>721 Willoughby Ave</t>
  </si>
  <si>
    <t>478 Herzl St</t>
  </si>
  <si>
    <t>55 Parade Pl</t>
  </si>
  <si>
    <t>909 Kelly St</t>
  </si>
  <si>
    <t>2075 Wallace Ave</t>
  </si>
  <si>
    <t>755 Gates Ave</t>
  </si>
  <si>
    <t>716 Penfield St</t>
  </si>
  <si>
    <t>360 E 234th St</t>
  </si>
  <si>
    <t>1790 Story Ave</t>
  </si>
  <si>
    <t>5609 Van Kleeck Street</t>
  </si>
  <si>
    <t>8616 60th Ave</t>
  </si>
  <si>
    <t>1165 Fox St</t>
  </si>
  <si>
    <t>1535 Univ Ave</t>
  </si>
  <si>
    <t>1372 Nelson Ave</t>
  </si>
  <si>
    <t>9140 48th Ave</t>
  </si>
  <si>
    <t>7412 35th Ave</t>
  </si>
  <si>
    <t>10111 35th Ave</t>
  </si>
  <si>
    <t>6561 Parsons Blvd</t>
  </si>
  <si>
    <t>19025 Woodhull Ave</t>
  </si>
  <si>
    <t>5350 66th St</t>
  </si>
  <si>
    <t>13611 Farmers Blvd</t>
  </si>
  <si>
    <t>8110 Rockaway Beach Blvd</t>
  </si>
  <si>
    <t>850 Longwood Ave</t>
  </si>
  <si>
    <t>8920 Park Ln S</t>
  </si>
  <si>
    <t>8824 81st Ave</t>
  </si>
  <si>
    <t>7112 Fresh Pond Rd</t>
  </si>
  <si>
    <t>7631 85th Rd</t>
  </si>
  <si>
    <t>8920 55th Ave</t>
  </si>
  <si>
    <t>8440 Lander St</t>
  </si>
  <si>
    <t>13642 Maple Ave</t>
  </si>
  <si>
    <t>13441 Cherry Ave</t>
  </si>
  <si>
    <t>6505 Yellowstone Blvd</t>
  </si>
  <si>
    <t>7110 34th Ave</t>
  </si>
  <si>
    <t>3006 Lewmay Rd</t>
  </si>
  <si>
    <t>14856 262nd Pl</t>
  </si>
  <si>
    <t>2240 Mott Ave</t>
  </si>
  <si>
    <t>1813 George St</t>
  </si>
  <si>
    <t>3316 74th St</t>
  </si>
  <si>
    <t>17010 118th Ave</t>
  </si>
  <si>
    <t>1538 Clintonville St</t>
  </si>
  <si>
    <t>8345 Vietor Ave</t>
  </si>
  <si>
    <t>25353 148th Dr</t>
  </si>
  <si>
    <t>2044 42nd St</t>
  </si>
  <si>
    <t>6759 152nd St</t>
  </si>
  <si>
    <t>495 Delafield Ave</t>
  </si>
  <si>
    <t>1411 New York Ave</t>
  </si>
  <si>
    <t>545 E 144th St</t>
  </si>
  <si>
    <t>2095 Grand Concourse</t>
  </si>
  <si>
    <t>180 Lenox Rd</t>
  </si>
  <si>
    <t>905 Manhattan Ave</t>
  </si>
  <si>
    <t>292 Manhattan Ave</t>
  </si>
  <si>
    <t>816 Belmont Ave</t>
  </si>
  <si>
    <t>80 Dwight St</t>
  </si>
  <si>
    <t>252 Bainbridge St</t>
  </si>
  <si>
    <t>195 Cozine Ave</t>
  </si>
  <si>
    <t>258 67th St</t>
  </si>
  <si>
    <t>2047 Mill Ave</t>
  </si>
  <si>
    <t>3030 Brighton 12th St</t>
  </si>
  <si>
    <t>179 Troutman St</t>
  </si>
  <si>
    <t>144 Wyckoff ave</t>
  </si>
  <si>
    <t>736 Willoughby Ave</t>
  </si>
  <si>
    <t>66 Rockwell Pl</t>
  </si>
  <si>
    <t>728 E New York Ave</t>
  </si>
  <si>
    <t>92 Newport St</t>
  </si>
  <si>
    <t>2832 W 36th St</t>
  </si>
  <si>
    <t>1111 Grant Ave</t>
  </si>
  <si>
    <t>904 Winthrop St</t>
  </si>
  <si>
    <t>1925 Quentin Rd</t>
  </si>
  <si>
    <t>1370 51st St</t>
  </si>
  <si>
    <t>370 Hancock St</t>
  </si>
  <si>
    <t>1381 Linden Blvd</t>
  </si>
  <si>
    <t>395 Livonia Ave</t>
  </si>
  <si>
    <t>2438 Nostrand Ave</t>
  </si>
  <si>
    <t>2940 W 21st St</t>
  </si>
  <si>
    <t>1214 Avenue I</t>
  </si>
  <si>
    <t>2970 W 24th St</t>
  </si>
  <si>
    <t>1671 W 8th St</t>
  </si>
  <si>
    <t>161 S Elliott Pl</t>
  </si>
  <si>
    <t>20 Menahan St</t>
  </si>
  <si>
    <t>200 Garfield Pl</t>
  </si>
  <si>
    <t>91 Ocean Pkwy</t>
  </si>
  <si>
    <t>363 E 34th St</t>
  </si>
  <si>
    <t>1442 Myrtle Ave</t>
  </si>
  <si>
    <t>5601 Avenue J</t>
  </si>
  <si>
    <t>2016 Regent Pl</t>
  </si>
  <si>
    <t>1561 Union St</t>
  </si>
  <si>
    <t>231 Throop Ave</t>
  </si>
  <si>
    <t>81 N Portland Ave</t>
  </si>
  <si>
    <t>254 Linwood St</t>
  </si>
  <si>
    <t>260 Herkimer St</t>
  </si>
  <si>
    <t>1575 E New York Ave</t>
  </si>
  <si>
    <t>234 Sands St</t>
  </si>
  <si>
    <t>770 Saint Marks Ave</t>
  </si>
  <si>
    <t>853 President St</t>
  </si>
  <si>
    <t>3801 Avenue L</t>
  </si>
  <si>
    <t>611 Willoughby Ave</t>
  </si>
  <si>
    <t>438 Wyona St</t>
  </si>
  <si>
    <t>504 Marcy Ave</t>
  </si>
  <si>
    <t>2284 Strauss St</t>
  </si>
  <si>
    <t>486 Brooklyn Ave</t>
  </si>
  <si>
    <t>1931 Andrews Ave</t>
  </si>
  <si>
    <t>130 Clarkson Ave</t>
  </si>
  <si>
    <t>5 E 93rd St</t>
  </si>
  <si>
    <t>107 Navy Walk</t>
  </si>
  <si>
    <t>2055 Creston Ave</t>
  </si>
  <si>
    <t>4365 Ely Ave</t>
  </si>
  <si>
    <t>1220 Morris Ave</t>
  </si>
  <si>
    <t>680 Ocean Pkwy</t>
  </si>
  <si>
    <t>158 E 119th St</t>
  </si>
  <si>
    <t>2023 Lexington Ave</t>
  </si>
  <si>
    <t>237 E 20th St</t>
  </si>
  <si>
    <t>117 E 118th St</t>
  </si>
  <si>
    <t>50 Avenue D</t>
  </si>
  <si>
    <t>310 W 143rd St</t>
  </si>
  <si>
    <t>2027 1st Ave</t>
  </si>
  <si>
    <t>721 Union St</t>
  </si>
  <si>
    <t>1950 Hutchinson River Pkwy</t>
  </si>
  <si>
    <t>32 Buffalo Ave</t>
  </si>
  <si>
    <t>755 10th Ave</t>
  </si>
  <si>
    <t>515 W 170th St</t>
  </si>
  <si>
    <t>67 Manhattan ave</t>
  </si>
  <si>
    <t>1715 Nelson Ave</t>
  </si>
  <si>
    <t>2342 Ryer Ave</t>
  </si>
  <si>
    <t>365 thatford ave</t>
  </si>
  <si>
    <t>84-07 101rst Ave</t>
  </si>
  <si>
    <t>83 Weldon St</t>
  </si>
  <si>
    <t>891 Greene Ave</t>
  </si>
  <si>
    <t>2111 Southern Blvd</t>
  </si>
  <si>
    <t>251 Osborn St</t>
  </si>
  <si>
    <t>3100 Brighton 7th St</t>
  </si>
  <si>
    <t>52 Clark St</t>
  </si>
  <si>
    <t>3008 Avenue K</t>
  </si>
  <si>
    <t>66 Saint Pauls Pl</t>
  </si>
  <si>
    <t>16406 43rd Ave</t>
  </si>
  <si>
    <t>49 Crown St</t>
  </si>
  <si>
    <t>1925 Glenwood Rd</t>
  </si>
  <si>
    <t>30 Richman Plz</t>
  </si>
  <si>
    <t>10914 FARMERS BLVD</t>
  </si>
  <si>
    <t>1950 andrews ave</t>
  </si>
  <si>
    <t>1925 Adam Clayton Powell Jr Blvd</t>
  </si>
  <si>
    <t>1775 Davidson Ave</t>
  </si>
  <si>
    <t>950 Aldus St</t>
  </si>
  <si>
    <t>105 E Clarke Pl</t>
  </si>
  <si>
    <t>5618 3rd Ave</t>
  </si>
  <si>
    <t>110 Ten Eyck St</t>
  </si>
  <si>
    <t>103-45 97th St.</t>
  </si>
  <si>
    <t>1465 Madison Ave</t>
  </si>
  <si>
    <t>3415 Neptune Ave</t>
  </si>
  <si>
    <t>3756 Neptune Ave</t>
  </si>
  <si>
    <t>553 Mcdonald Ave</t>
  </si>
  <si>
    <t>2300 5th Ave</t>
  </si>
  <si>
    <t>140 Vermilyea Ave</t>
  </si>
  <si>
    <t>80-04 Austin St</t>
  </si>
  <si>
    <t>13909 34th Rd</t>
  </si>
  <si>
    <t>400 Stanhope St</t>
  </si>
  <si>
    <t>231 Midwood St</t>
  </si>
  <si>
    <t>10 Amboy st</t>
  </si>
  <si>
    <t>9502 Kings Hwy</t>
  </si>
  <si>
    <t>2744 Bedford Ave</t>
  </si>
  <si>
    <t>3111 Glenwood Rd</t>
  </si>
  <si>
    <t>27 Arion Pl</t>
  </si>
  <si>
    <t>42 Maujer St</t>
  </si>
  <si>
    <t>4441 Purves St</t>
  </si>
  <si>
    <t>769 Bryant Ave</t>
  </si>
  <si>
    <t>2145 Starling Ave</t>
  </si>
  <si>
    <t>760 East 183rd Street</t>
  </si>
  <si>
    <t>975 Union Ave</t>
  </si>
  <si>
    <t>1384 Grand Concourse</t>
  </si>
  <si>
    <t>530 E 137th St</t>
  </si>
  <si>
    <t>55 W 180th St</t>
  </si>
  <si>
    <t>1535 Undercliff Ave</t>
  </si>
  <si>
    <t>1927 Univ Ave</t>
  </si>
  <si>
    <t>1080 Anderson Ave</t>
  </si>
  <si>
    <t>347 Westervelt Ave</t>
  </si>
  <si>
    <t>129 Ridge ST</t>
  </si>
  <si>
    <t>2082 Hughes Ave</t>
  </si>
  <si>
    <t>1600 Univ Ave</t>
  </si>
  <si>
    <t>611 Rogers Ave</t>
  </si>
  <si>
    <t>205 Beach 19th St</t>
  </si>
  <si>
    <t>474 Marion St</t>
  </si>
  <si>
    <t>870 courtlandt ave</t>
  </si>
  <si>
    <t>481 New Lots Ave</t>
  </si>
  <si>
    <t>2385 1st Ave</t>
  </si>
  <si>
    <t>13120 41st Ave</t>
  </si>
  <si>
    <t>293 Martense St</t>
  </si>
  <si>
    <t>4305 65th St</t>
  </si>
  <si>
    <t>410 E 173rd St</t>
  </si>
  <si>
    <t>19 Mount Hope Pl</t>
  </si>
  <si>
    <t>10 Richmond Plaza</t>
  </si>
  <si>
    <t>170 E 35th St</t>
  </si>
  <si>
    <t>100 Pulaski St</t>
  </si>
  <si>
    <t>133 Beach 56th Pl</t>
  </si>
  <si>
    <t>909 E 29th St</t>
  </si>
  <si>
    <t>1470 Amsterdam Ave</t>
  </si>
  <si>
    <t>9 Cook St</t>
  </si>
  <si>
    <t>3618 Bronx blvd</t>
  </si>
  <si>
    <t>136 Saint Pauls Pl</t>
  </si>
  <si>
    <t>10008 101st Ave</t>
  </si>
  <si>
    <t>1420 Crotona Park E</t>
  </si>
  <si>
    <t>100 E 118th St</t>
  </si>
  <si>
    <t>3402 106th St</t>
  </si>
  <si>
    <t>1414 Bergen St</t>
  </si>
  <si>
    <t>732 E 187th St</t>
  </si>
  <si>
    <t>1387 Jesup Ave</t>
  </si>
  <si>
    <t>455 Schenectady Ave</t>
  </si>
  <si>
    <t>2183 Washington Ave</t>
  </si>
  <si>
    <t>2199 Holland Ave</t>
  </si>
  <si>
    <t>865 E 169th St</t>
  </si>
  <si>
    <t>505 Mcdonald Ave</t>
  </si>
  <si>
    <t>1954 Loring Pl S</t>
  </si>
  <si>
    <t>1203 Westchester Ave</t>
  </si>
  <si>
    <t>20 Richman Plz</t>
  </si>
  <si>
    <t>520 Wales Ave</t>
  </si>
  <si>
    <t>33 Lenox Rd</t>
  </si>
  <si>
    <t>2219 Morgan Avenue</t>
  </si>
  <si>
    <t>1530 Saint Johns Pl</t>
  </si>
  <si>
    <t>36 Ives Ct</t>
  </si>
  <si>
    <t>657 E 26th St</t>
  </si>
  <si>
    <t>1970 E Tremont Ave</t>
  </si>
  <si>
    <t>1543 Hassock St</t>
  </si>
  <si>
    <t>480 E 21st St</t>
  </si>
  <si>
    <t>80 Baruch Dr</t>
  </si>
  <si>
    <t>3815 Bowne st</t>
  </si>
  <si>
    <t>200 E 17th St</t>
  </si>
  <si>
    <t>228 Nagle Ave</t>
  </si>
  <si>
    <t>190 62nd St</t>
  </si>
  <si>
    <t>14701 Hillside Ave</t>
  </si>
  <si>
    <t>3145 Crescent St</t>
  </si>
  <si>
    <t>250 Ocean Pkwy</t>
  </si>
  <si>
    <t>2115 Honeywell Ave</t>
  </si>
  <si>
    <t>575 5th Ave</t>
  </si>
  <si>
    <t>4233 194th St</t>
  </si>
  <si>
    <t>667 E 187th St</t>
  </si>
  <si>
    <t>4207 34th Ave</t>
  </si>
  <si>
    <t>40 Richman Plaza</t>
  </si>
  <si>
    <t>485 17th St</t>
  </si>
  <si>
    <t>281 Quincy St</t>
  </si>
  <si>
    <t>3548 Tryon Ave</t>
  </si>
  <si>
    <t>2035 Marmion Ave</t>
  </si>
  <si>
    <t>582 Courtlandt Ave</t>
  </si>
  <si>
    <t>10 Argyle Rd</t>
  </si>
  <si>
    <t>1314 Merriam Ave</t>
  </si>
  <si>
    <t>5 E 124th St</t>
  </si>
  <si>
    <t>2288 Mott Ave</t>
  </si>
  <si>
    <t>7 W Farms Square Plz</t>
  </si>
  <si>
    <t>1011 Nelson Ave</t>
  </si>
  <si>
    <t>215 W 242nd St</t>
  </si>
  <si>
    <t>146 Beach 59th st</t>
  </si>
  <si>
    <t>2210 New Haven Ave</t>
  </si>
  <si>
    <t>7 Albany Ave</t>
  </si>
  <si>
    <t>2701 Kingsbridge Ter</t>
  </si>
  <si>
    <t>1705 Andrews Ave</t>
  </si>
  <si>
    <t>69 E 176th st</t>
  </si>
  <si>
    <t>560 winthrop St</t>
  </si>
  <si>
    <t>333 E 181st ST</t>
  </si>
  <si>
    <t>333 Beach 67th St</t>
  </si>
  <si>
    <t>1444 Greene Ave</t>
  </si>
  <si>
    <t>438 Beach 40th St</t>
  </si>
  <si>
    <t>55 Parade Place</t>
  </si>
  <si>
    <t>2026 Westchester Ave</t>
  </si>
  <si>
    <t>760 Eldert Ln</t>
  </si>
  <si>
    <t>1895 Belmont Ave</t>
  </si>
  <si>
    <t>1401 Teller Ave</t>
  </si>
  <si>
    <t>29 W Tremont Ave</t>
  </si>
  <si>
    <t>35 Saint Felix St</t>
  </si>
  <si>
    <t>129 Montrose ave</t>
  </si>
  <si>
    <t>1305 53rd St</t>
  </si>
  <si>
    <t>840 E 8th St</t>
  </si>
  <si>
    <t>2116 Crotona Pkwy</t>
  </si>
  <si>
    <t>1005 Jerome Ave</t>
  </si>
  <si>
    <t>3711 88th St</t>
  </si>
  <si>
    <t>14809 Northern blvd</t>
  </si>
  <si>
    <t>826 Crown St</t>
  </si>
  <si>
    <t>133 Pitt St</t>
  </si>
  <si>
    <t>8335 116th St</t>
  </si>
  <si>
    <t>1028 Kelly St</t>
  </si>
  <si>
    <t>456 Schenectady ave</t>
  </si>
  <si>
    <t>342 Madison St</t>
  </si>
  <si>
    <t>107 Harman St</t>
  </si>
  <si>
    <t>286 South St</t>
  </si>
  <si>
    <t>946 Rev James A Polite Ave</t>
  </si>
  <si>
    <t>628 E 17th St</t>
  </si>
  <si>
    <t>2166 19th St</t>
  </si>
  <si>
    <t>4715 Vernon Blvd</t>
  </si>
  <si>
    <t>363 W 126th St</t>
  </si>
  <si>
    <t>251 E 3rd St</t>
  </si>
  <si>
    <t>1098 Anderson Ave</t>
  </si>
  <si>
    <t>359 9th st</t>
  </si>
  <si>
    <t>2060 Crotona Pkwy</t>
  </si>
  <si>
    <t>3918 14th Ave</t>
  </si>
  <si>
    <t>8716 Britton ave</t>
  </si>
  <si>
    <t>1111 Carroll St</t>
  </si>
  <si>
    <t>240 Wortman ave</t>
  </si>
  <si>
    <t>1520 York Ave</t>
  </si>
  <si>
    <t>1938 Bronxdale Ave</t>
  </si>
  <si>
    <t>3425 Linden Pl</t>
  </si>
  <si>
    <t>2247 Walton Ave</t>
  </si>
  <si>
    <t>2085 Morris Ave</t>
  </si>
  <si>
    <t>13809 82nd Dr</t>
  </si>
  <si>
    <t>287 Webster Ave</t>
  </si>
  <si>
    <t>3718 Bowne St</t>
  </si>
  <si>
    <t>505 McDonald Ave</t>
  </si>
  <si>
    <t>2254 Crotona Ave</t>
  </si>
  <si>
    <t>1150 Dekalb Ave</t>
  </si>
  <si>
    <t>2830 Pitkin Ave</t>
  </si>
  <si>
    <t>881 Cauldwell Ave</t>
  </si>
  <si>
    <t>1505 Grand Concourse</t>
  </si>
  <si>
    <t>2267 35th St</t>
  </si>
  <si>
    <t>26 Hudson St</t>
  </si>
  <si>
    <t>1420 Nostrand Ave</t>
  </si>
  <si>
    <t>141 Macdonough St</t>
  </si>
  <si>
    <t>495 E 178th St</t>
  </si>
  <si>
    <t>8330 118th St</t>
  </si>
  <si>
    <t>14351 Roosevelt Ave</t>
  </si>
  <si>
    <t>2351 31st rd</t>
  </si>
  <si>
    <t>2176 Tiebout Ave</t>
  </si>
  <si>
    <t>1720 Woodbine st</t>
  </si>
  <si>
    <t>2030 Valentine Ave</t>
  </si>
  <si>
    <t>136 W 139th St</t>
  </si>
  <si>
    <t>14117 181st St</t>
  </si>
  <si>
    <t>2971 Marion Ave</t>
  </si>
  <si>
    <t>2102 Beverley Rd</t>
  </si>
  <si>
    <t>264 Wyckoff Ave</t>
  </si>
  <si>
    <t>355 E 194th St</t>
  </si>
  <si>
    <t>680 Morris Park Ave</t>
  </si>
  <si>
    <t>10807 65th rd</t>
  </si>
  <si>
    <t>1160 Cromwell Ave</t>
  </si>
  <si>
    <t>10468 38th Ave</t>
  </si>
  <si>
    <t>429 E 157th St</t>
  </si>
  <si>
    <t>1413 Hancock St</t>
  </si>
  <si>
    <t>1574 Leland Ave</t>
  </si>
  <si>
    <t>1041 E 179th St</t>
  </si>
  <si>
    <t>1776 Weeks Ave</t>
  </si>
  <si>
    <t>1495 Grand Concourse</t>
  </si>
  <si>
    <t>319 Beach 98th St</t>
  </si>
  <si>
    <t>8815 168th St</t>
  </si>
  <si>
    <t>5449 Almeda Ave</t>
  </si>
  <si>
    <t>8510 34th Ave</t>
  </si>
  <si>
    <t>150 Wilson Ave</t>
  </si>
  <si>
    <t>2703 Avenue U</t>
  </si>
  <si>
    <t>1610 Univ Ave</t>
  </si>
  <si>
    <t>4011 Kings Hwy</t>
  </si>
  <si>
    <t>77 Kenilworth Pl</t>
  </si>
  <si>
    <t>2065 Morris Ave</t>
  </si>
  <si>
    <t>10 W 169th St</t>
  </si>
  <si>
    <t>2025 Valentine Ave</t>
  </si>
  <si>
    <t>77A Somers St</t>
  </si>
  <si>
    <t>906 E 178th St</t>
  </si>
  <si>
    <t>2815 Schley Ave</t>
  </si>
  <si>
    <t>1774 Townsend Ave</t>
  </si>
  <si>
    <t>3749 83rd St</t>
  </si>
  <si>
    <t>1170 Nameoke St</t>
  </si>
  <si>
    <t>150 W 21st St</t>
  </si>
  <si>
    <t>36 Gatling Pl</t>
  </si>
  <si>
    <t>415 Lafayette Ave</t>
  </si>
  <si>
    <t>91 Lenox Rd</t>
  </si>
  <si>
    <t>344 E 176th St</t>
  </si>
  <si>
    <t>3410 Kingsbridge Ave</t>
  </si>
  <si>
    <t>17209 Crocheron Ave</t>
  </si>
  <si>
    <t>9519 3rd Ave</t>
  </si>
  <si>
    <t>249 Montrose Ave</t>
  </si>
  <si>
    <t>15110 35th Ave</t>
  </si>
  <si>
    <t>2511 Frisby ave</t>
  </si>
  <si>
    <t>14305 41st Ave</t>
  </si>
  <si>
    <t>712 Crown St</t>
  </si>
  <si>
    <t>5854 256th St</t>
  </si>
  <si>
    <t>14563 157th St</t>
  </si>
  <si>
    <t>8273 88th Ln</t>
  </si>
  <si>
    <t>10737 157th St</t>
  </si>
  <si>
    <t>719 Lorimer St</t>
  </si>
  <si>
    <t>235 Mount Hope Pl</t>
  </si>
  <si>
    <t>501 W 189th St</t>
  </si>
  <si>
    <t>1995 Sedgwick Ave</t>
  </si>
  <si>
    <t>2214 120th St</t>
  </si>
  <si>
    <t>314 Menahan St</t>
  </si>
  <si>
    <t>239 Ocean Ave</t>
  </si>
  <si>
    <t>550 E 21st ST</t>
  </si>
  <si>
    <t>357 Beach 46th St</t>
  </si>
  <si>
    <t>4610 Crane St</t>
  </si>
  <si>
    <t>481 E 171st St</t>
  </si>
  <si>
    <t>223 Lenox Rd</t>
  </si>
  <si>
    <t>1600 Caton Ave</t>
  </si>
  <si>
    <t>305 E 86th St</t>
  </si>
  <si>
    <t>1001 Woodycrest Ave</t>
  </si>
  <si>
    <t>PO Box 32293</t>
  </si>
  <si>
    <t>811 E 178th St</t>
  </si>
  <si>
    <t>763 Lenox Rd</t>
  </si>
  <si>
    <t>434 Beach 58th St</t>
  </si>
  <si>
    <t>87 Woodruff Ave</t>
  </si>
  <si>
    <t>555 W 43rd St</t>
  </si>
  <si>
    <t>14733 76th Ave</t>
  </si>
  <si>
    <t>1401 Hancock St</t>
  </si>
  <si>
    <t>580 Flatbush Ave</t>
  </si>
  <si>
    <t>2074 Walton Ave</t>
  </si>
  <si>
    <t>60 W 142nd St</t>
  </si>
  <si>
    <t>620 Lenox Ave</t>
  </si>
  <si>
    <t>PO Box 161</t>
  </si>
  <si>
    <t>236 Montgomery St</t>
  </si>
  <si>
    <t>6418 32nd Ave</t>
  </si>
  <si>
    <t>691 Winthrop St</t>
  </si>
  <si>
    <t>634 E 221st St</t>
  </si>
  <si>
    <t>2042 Morris Ave</t>
  </si>
  <si>
    <t>1685 E 5th St</t>
  </si>
  <si>
    <t>3819 149th Pl</t>
  </si>
  <si>
    <t>3011 Parsons Blvd</t>
  </si>
  <si>
    <t>811 E 49th St</t>
  </si>
  <si>
    <t>1220 Simpson St</t>
  </si>
  <si>
    <t>20241 46th Rd</t>
  </si>
  <si>
    <t>125 Beach 17th St</t>
  </si>
  <si>
    <t>875 Boynton Ave</t>
  </si>
  <si>
    <t>580 Castle Hill Ave</t>
  </si>
  <si>
    <t>705 E 179th St</t>
  </si>
  <si>
    <t>421 Clinton Ave</t>
  </si>
  <si>
    <t>Po Box 120258</t>
  </si>
  <si>
    <t>11441 170th St</t>
  </si>
  <si>
    <t>17833 131st Ave</t>
  </si>
  <si>
    <t>135 Prospect Park Sw</t>
  </si>
  <si>
    <t>2375 Southern Blvd</t>
  </si>
  <si>
    <t>2140 Madison Ave</t>
  </si>
  <si>
    <t>1130 Grassmere Ter</t>
  </si>
  <si>
    <t>701 Bay St</t>
  </si>
  <si>
    <t>555 Lincoln Ave</t>
  </si>
  <si>
    <t>91 Brook St</t>
  </si>
  <si>
    <t>25 Bond St</t>
  </si>
  <si>
    <t>107 Caroline St</t>
  </si>
  <si>
    <t>329 Beach 86th St</t>
  </si>
  <si>
    <t>142 Hillcrest Ter</t>
  </si>
  <si>
    <t>1908 N Railroad Ave</t>
  </si>
  <si>
    <t>120 96th St.</t>
  </si>
  <si>
    <t>345 E 83rd St</t>
  </si>
  <si>
    <t>102 Suffolk St</t>
  </si>
  <si>
    <t>2109 1st Ave</t>
  </si>
  <si>
    <t>7002 Parsons Blvd</t>
  </si>
  <si>
    <t>11560 204th St</t>
  </si>
  <si>
    <t>5024 31st Ave</t>
  </si>
  <si>
    <t>30 Dongan Hills Ave</t>
  </si>
  <si>
    <t>6115 163rd St</t>
  </si>
  <si>
    <t>14 Spartan Ave</t>
  </si>
  <si>
    <t>11539 135th St</t>
  </si>
  <si>
    <t>14920 124th St</t>
  </si>
  <si>
    <t>3433 30th St</t>
  </si>
  <si>
    <t>1705 Stanhope St</t>
  </si>
  <si>
    <t>9407 75th St</t>
  </si>
  <si>
    <t>411 Westervelt Ave</t>
  </si>
  <si>
    <t>4135 53rd St</t>
  </si>
  <si>
    <t>4115 50th Ave</t>
  </si>
  <si>
    <t>2999 8th Ave</t>
  </si>
  <si>
    <t>38 West St</t>
  </si>
  <si>
    <t>15754 21st Ave</t>
  </si>
  <si>
    <t>8510 148th St</t>
  </si>
  <si>
    <t>10005 37th Ave</t>
  </si>
  <si>
    <t>9728 76th St</t>
  </si>
  <si>
    <t>533 Bay St</t>
  </si>
  <si>
    <t>653 Cauldwell Ave</t>
  </si>
  <si>
    <t>17515 144th Dr</t>
  </si>
  <si>
    <t>6637 53rd Ave</t>
  </si>
  <si>
    <t>624 Darlington Ave</t>
  </si>
  <si>
    <t>510 W 55th St</t>
  </si>
  <si>
    <t>1806 1st ave</t>
  </si>
  <si>
    <t>9456 46th Ave</t>
  </si>
  <si>
    <t>2337 Ellis Ave</t>
  </si>
  <si>
    <t>17 Old Town Rd</t>
  </si>
  <si>
    <t>4 E 28th St</t>
  </si>
  <si>
    <t>225 Park HIll Ave</t>
  </si>
  <si>
    <t>312 11th Ave</t>
  </si>
  <si>
    <t>620 W 182nd St</t>
  </si>
  <si>
    <t>458 E 143rd St</t>
  </si>
  <si>
    <t>299 Union Ave</t>
  </si>
  <si>
    <t>1049 Grand Concourse</t>
  </si>
  <si>
    <t>2085 Lexington Ave</t>
  </si>
  <si>
    <t>420 Saint Marks Pl</t>
  </si>
  <si>
    <t>1880 Valentine Ave</t>
  </si>
  <si>
    <t>1617 Eastern Pkwy</t>
  </si>
  <si>
    <t>536 E 96th St</t>
  </si>
  <si>
    <t>180 Park Hill Ave</t>
  </si>
  <si>
    <t>1132 Loring Ave</t>
  </si>
  <si>
    <t>1920 Union ST</t>
  </si>
  <si>
    <t>222 Sheridan Ave</t>
  </si>
  <si>
    <t>3405 Putnam Pl</t>
  </si>
  <si>
    <t>620 W 189th St</t>
  </si>
  <si>
    <t>664 W 161st St</t>
  </si>
  <si>
    <t>9720 Kings Hwy</t>
  </si>
  <si>
    <t>63 A Lewis Ave</t>
  </si>
  <si>
    <t>668 Brooklyn Ave</t>
  </si>
  <si>
    <t>501 Hegeman Ave</t>
  </si>
  <si>
    <t>5124 Beach Channel Dr</t>
  </si>
  <si>
    <t>140 Park Hill Ave</t>
  </si>
  <si>
    <t>336 E 117th St</t>
  </si>
  <si>
    <t>64 Austin Ave</t>
  </si>
  <si>
    <t>8 Navy Pier Ct</t>
  </si>
  <si>
    <t>93 Scribner Ave</t>
  </si>
  <si>
    <t>185 Park Hill Ave</t>
  </si>
  <si>
    <t>476 Vanderbilt Ave</t>
  </si>
  <si>
    <t>1818 Anthony Ave</t>
  </si>
  <si>
    <t>2979 Marion Ave</t>
  </si>
  <si>
    <t>520 Hegeman Ave</t>
  </si>
  <si>
    <t>200 Haven ave</t>
  </si>
  <si>
    <t>20916 86th drive</t>
  </si>
  <si>
    <t>766 Miller Ave</t>
  </si>
  <si>
    <t>461 Dean St</t>
  </si>
  <si>
    <t>1469 Bedford Ave</t>
  </si>
  <si>
    <t>917 Ogden Ave</t>
  </si>
  <si>
    <t>268a Jersey St</t>
  </si>
  <si>
    <t>880 Tinton Ave</t>
  </si>
  <si>
    <t>119 Shotwell Ave</t>
  </si>
  <si>
    <t>1898 Bergen St</t>
  </si>
  <si>
    <t>2757 Claflin Ave</t>
  </si>
  <si>
    <t>219 E 196th St</t>
  </si>
  <si>
    <t>2351 Pacific St</t>
  </si>
  <si>
    <t>13418 133rd Ave</t>
  </si>
  <si>
    <t>271 Arlington Ave</t>
  </si>
  <si>
    <t>1336 Herkimer St</t>
  </si>
  <si>
    <t>615 W 184th St</t>
  </si>
  <si>
    <t>14435 37th Ave</t>
  </si>
  <si>
    <t>254 Seaman Ave</t>
  </si>
  <si>
    <t>975 42nd St</t>
  </si>
  <si>
    <t>47 Featherbed Ln</t>
  </si>
  <si>
    <t>959 Hegeman Ave</t>
  </si>
  <si>
    <t>701r Bay St</t>
  </si>
  <si>
    <t>984 Glenmore Ave</t>
  </si>
  <si>
    <t>1411 Linden Blvd</t>
  </si>
  <si>
    <t>333 Beach 32nd St</t>
  </si>
  <si>
    <t>984 Halsey St</t>
  </si>
  <si>
    <t>2714 Frederick Douglass Blvd</t>
  </si>
  <si>
    <t>1468 5th Ave</t>
  </si>
  <si>
    <t>147 Rockaway Pkwy</t>
  </si>
  <si>
    <t>67 Manhattan Ave</t>
  </si>
  <si>
    <t>65 Willoughby Ave</t>
  </si>
  <si>
    <t>353 Chester St</t>
  </si>
  <si>
    <t>785 Belmont Ave</t>
  </si>
  <si>
    <t>968 Bronx Park S</t>
  </si>
  <si>
    <t>1933 Fulton St</t>
  </si>
  <si>
    <t>34 Layton Ave</t>
  </si>
  <si>
    <t>100 Belmont Pl</t>
  </si>
  <si>
    <t>1315 Eastern Pkwy</t>
  </si>
  <si>
    <t>479 Pennsylvania Ave</t>
  </si>
  <si>
    <t>316 Stuyvesant Ave</t>
  </si>
  <si>
    <t>96 Linwood St</t>
  </si>
  <si>
    <t>8 W 169th St</t>
  </si>
  <si>
    <t>1269 Grand Concourse</t>
  </si>
  <si>
    <t>620 Baychester Ave</t>
  </si>
  <si>
    <t>358 Knickerbocker Ave</t>
  </si>
  <si>
    <t>95 Linden Blvd</t>
  </si>
  <si>
    <t>257 Linden St</t>
  </si>
  <si>
    <t>765 lincoln ave</t>
  </si>
  <si>
    <t>108 E Clarke Pl</t>
  </si>
  <si>
    <t>311 E 193rd St</t>
  </si>
  <si>
    <t>3063 Buhre Ave</t>
  </si>
  <si>
    <t>2705 Marion Ave</t>
  </si>
  <si>
    <t>275 E Gun Hill Rd</t>
  </si>
  <si>
    <t>226 W Tremont Ave</t>
  </si>
  <si>
    <t>1153 Grand Concourse</t>
  </si>
  <si>
    <t>215 E 164th St</t>
  </si>
  <si>
    <t>45 Shepherd Ave</t>
  </si>
  <si>
    <t>355 E 187TH ST</t>
  </si>
  <si>
    <t>1210 Elder Ave</t>
  </si>
  <si>
    <t>233 E 92nd St</t>
  </si>
  <si>
    <t>214 E 94th St</t>
  </si>
  <si>
    <t>750 Grand Concourse</t>
  </si>
  <si>
    <t>165 W 169th St</t>
  </si>
  <si>
    <t>1215 Grand Concourse</t>
  </si>
  <si>
    <t>160 Prospect Ave</t>
  </si>
  <si>
    <t>761 44th St</t>
  </si>
  <si>
    <t>1760 Madison Ave</t>
  </si>
  <si>
    <t>246 Bainbridge St</t>
  </si>
  <si>
    <t>1985 Webster Ave</t>
  </si>
  <si>
    <t>139 W 135th St</t>
  </si>
  <si>
    <t>509 Flatbush Ave</t>
  </si>
  <si>
    <t>2055 Harrison Ave</t>
  </si>
  <si>
    <t>585 E 21st St</t>
  </si>
  <si>
    <t>3111 Heath Ave</t>
  </si>
  <si>
    <t>952 Aldus St</t>
  </si>
  <si>
    <t>2304 Grand Ave</t>
  </si>
  <si>
    <t>2825 Grand Concourse</t>
  </si>
  <si>
    <t>1124 Boynton Ave</t>
  </si>
  <si>
    <t>4754 Richardson Ave</t>
  </si>
  <si>
    <t>1615 Walton Ave</t>
  </si>
  <si>
    <t>1972 Walton Ave</t>
  </si>
  <si>
    <t>226 Naples Ter</t>
  </si>
  <si>
    <t>674 Academy St</t>
  </si>
  <si>
    <t>645 W 160th St</t>
  </si>
  <si>
    <t>611 W 158th St</t>
  </si>
  <si>
    <t>3510 Bainbridge Ave</t>
  </si>
  <si>
    <t>630 Chauncey St</t>
  </si>
  <si>
    <t>140 Cadman Plz W</t>
  </si>
  <si>
    <t>2545 Linden Blvd</t>
  </si>
  <si>
    <t>529 W 189th St</t>
  </si>
  <si>
    <t>220 Osgood Ave</t>
  </si>
  <si>
    <t>168 1st Ave</t>
  </si>
  <si>
    <t>22 W 25th St</t>
  </si>
  <si>
    <t>1873 Park Pl</t>
  </si>
  <si>
    <t>1512 Townfend Ave</t>
  </si>
  <si>
    <t>69 Adams Ave</t>
  </si>
  <si>
    <t>300 E 93rd St</t>
  </si>
  <si>
    <t>699 Pennsylvania Ave</t>
  </si>
  <si>
    <t>1355 Grand Concourse</t>
  </si>
  <si>
    <t>572 Manhattan Ave</t>
  </si>
  <si>
    <t>750 Rockaway Ave</t>
  </si>
  <si>
    <t>604 Lincoln Ave</t>
  </si>
  <si>
    <t>422 Avenue U</t>
  </si>
  <si>
    <t>1786 Brooklyn Ave</t>
  </si>
  <si>
    <t>1490 Ocean Ave</t>
  </si>
  <si>
    <t>39 Hegeman Ave</t>
  </si>
  <si>
    <t>5706 Farragut Rd</t>
  </si>
  <si>
    <t>74 5th ave</t>
  </si>
  <si>
    <t>200 Schermerhorn St</t>
  </si>
  <si>
    <t>540 E 23rd St</t>
  </si>
  <si>
    <t>2985 Botanical Sq</t>
  </si>
  <si>
    <t>240 E 194th St</t>
  </si>
  <si>
    <t>2575 Jerome Ave</t>
  </si>
  <si>
    <t>1434 Ogden Ave</t>
  </si>
  <si>
    <t>1011 Sheridan Ave</t>
  </si>
  <si>
    <t>250 E 178th St</t>
  </si>
  <si>
    <t>1441 Bushwick Ave</t>
  </si>
  <si>
    <t>1409 E 98th St</t>
  </si>
  <si>
    <t>2160 dean st</t>
  </si>
  <si>
    <t>395 Autumn Ave</t>
  </si>
  <si>
    <t>108 Central Ave</t>
  </si>
  <si>
    <t>720 Belmont Ave</t>
  </si>
  <si>
    <t>372 New York Ave</t>
  </si>
  <si>
    <t>1314 Eastern Pkwy</t>
  </si>
  <si>
    <t>2175 Ryer Ave</t>
  </si>
  <si>
    <t>1743 Prospect Pl</t>
  </si>
  <si>
    <t>160 Vermilyea Ave</t>
  </si>
  <si>
    <t>815 W 180th St</t>
  </si>
  <si>
    <t>716 W 180th St</t>
  </si>
  <si>
    <t>215 Audubon Ave</t>
  </si>
  <si>
    <t>853 Elsmere Pl</t>
  </si>
  <si>
    <t>2768 Webster Ave</t>
  </si>
  <si>
    <t>618 Livonia Ave</t>
  </si>
  <si>
    <t>227 Lott Ave</t>
  </si>
  <si>
    <t>555 Kappock St</t>
  </si>
  <si>
    <t>6040 Huxley Ave</t>
  </si>
  <si>
    <t>28 Hill St</t>
  </si>
  <si>
    <t>731 LInden blvd</t>
  </si>
  <si>
    <t>2168 Fulton St</t>
  </si>
  <si>
    <t>301 100th St</t>
  </si>
  <si>
    <t>274 Forbell St</t>
  </si>
  <si>
    <t>1392 Sterling Pl</t>
  </si>
  <si>
    <t>1132 Halsey St</t>
  </si>
  <si>
    <t>1936 Prospect Pl</t>
  </si>
  <si>
    <t>566 Parkside Ave</t>
  </si>
  <si>
    <t>316 Troutman St</t>
  </si>
  <si>
    <t>48 Van Siclen Ave</t>
  </si>
  <si>
    <t>40 N 4th St</t>
  </si>
  <si>
    <t>95 Clinton St</t>
  </si>
  <si>
    <t>554 W 181st St</t>
  </si>
  <si>
    <t>973 Saint Marks Ave</t>
  </si>
  <si>
    <t>98 W 183rd St</t>
  </si>
  <si>
    <t>1711 Morris Ave</t>
  </si>
  <si>
    <t>14144 182nd St</t>
  </si>
  <si>
    <t>26204 Hungry Harbor Rd</t>
  </si>
  <si>
    <t>18364 Dunlop Ave</t>
  </si>
  <si>
    <t>3428 44th St</t>
  </si>
  <si>
    <t>14750 72nd Dr</t>
  </si>
  <si>
    <t>19215 A 64th Cir</t>
  </si>
  <si>
    <t>393 Montauk Ave</t>
  </si>
  <si>
    <t>666 Dumont Ave</t>
  </si>
  <si>
    <t>14 prospect ave</t>
  </si>
  <si>
    <t>5707 Shore Front Pkwy # Pwy</t>
  </si>
  <si>
    <t>1015 Washington Ave</t>
  </si>
  <si>
    <t>73 Crystal St</t>
  </si>
  <si>
    <t>113 Nassau St</t>
  </si>
  <si>
    <t>30 Sickles St</t>
  </si>
  <si>
    <t>2374 Amsterdam Ave</t>
  </si>
  <si>
    <t>2108 Amsterdam Ave</t>
  </si>
  <si>
    <t>35 E Clarke Pl</t>
  </si>
  <si>
    <t>888 Grand Concourse</t>
  </si>
  <si>
    <t>13324 Sanford Ave</t>
  </si>
  <si>
    <t>216 Rockaway Ave</t>
  </si>
  <si>
    <t>601 E 12th St</t>
  </si>
  <si>
    <t>6110 Beach Front Rd</t>
  </si>
  <si>
    <t>2510 Collier Ave</t>
  </si>
  <si>
    <t>1155 E 35th St</t>
  </si>
  <si>
    <t>125 E 118th St</t>
  </si>
  <si>
    <t>2276 2nd Ave</t>
  </si>
  <si>
    <t>2273 Adam Clayton Powell Jr Blvd</t>
  </si>
  <si>
    <t>205 Avenue C</t>
  </si>
  <si>
    <t>304 W 148th St</t>
  </si>
  <si>
    <t>1374 York Ave</t>
  </si>
  <si>
    <t>276 Greeley Ave</t>
  </si>
  <si>
    <t>643 Thieriot Ave</t>
  </si>
  <si>
    <t>164 Winter Ave</t>
  </si>
  <si>
    <t>P.O Box 689</t>
  </si>
  <si>
    <t>80 Bruckner Blvd</t>
  </si>
  <si>
    <t>269 E 4th St</t>
  </si>
  <si>
    <t>116 Seaman Ave</t>
  </si>
  <si>
    <t>455 101st St</t>
  </si>
  <si>
    <t>1490 Boone Ave</t>
  </si>
  <si>
    <t>941 Jerome ave</t>
  </si>
  <si>
    <t>1782 Bergen st</t>
  </si>
  <si>
    <t>215 Mcclellan St</t>
  </si>
  <si>
    <t>241 Schenck Ave</t>
  </si>
  <si>
    <t>899 Westchester Ave</t>
  </si>
  <si>
    <t>5 Saint Marks Pl</t>
  </si>
  <si>
    <t>1521 Sheridan Ave</t>
  </si>
  <si>
    <t>1855 Monroe Ave</t>
  </si>
  <si>
    <t>3572 Dekalb Ave</t>
  </si>
  <si>
    <t>1204 Shakespeare Ave</t>
  </si>
  <si>
    <t>1777 Grand Concourse</t>
  </si>
  <si>
    <t>40 Meadow Pl</t>
  </si>
  <si>
    <t>1165 Elton St</t>
  </si>
  <si>
    <t>119 Clark Ln</t>
  </si>
  <si>
    <t>2260 Webster Ave</t>
  </si>
  <si>
    <t>1415 Wythe Pl</t>
  </si>
  <si>
    <t>901 Walton Ave</t>
  </si>
  <si>
    <t>350 Vanderbilt Ave</t>
  </si>
  <si>
    <t>6919 Hillmeyer Ave</t>
  </si>
  <si>
    <t>166 E 109th St</t>
  </si>
  <si>
    <t>125 Seaman Ave</t>
  </si>
  <si>
    <t>12 Gunther Pl</t>
  </si>
  <si>
    <t>1098 Grant Ave</t>
  </si>
  <si>
    <t>4709 White Plains Rd</t>
  </si>
  <si>
    <t>1775 Walton Avenue</t>
  </si>
  <si>
    <t>419 Montauk Ave</t>
  </si>
  <si>
    <t>496 Marion St</t>
  </si>
  <si>
    <t>790 Riverside Dr</t>
  </si>
  <si>
    <t>1370 Saint Nicholas Ave</t>
  </si>
  <si>
    <t>549 Isham St</t>
  </si>
  <si>
    <t>540 Fort Washington Ave</t>
  </si>
  <si>
    <t>601 W 190th St</t>
  </si>
  <si>
    <t>2254 Haviland Ave</t>
  </si>
  <si>
    <t>408 Lincoln Ave</t>
  </si>
  <si>
    <t>2328 28th Ave</t>
  </si>
  <si>
    <t>1360 Eastern Pkwy</t>
  </si>
  <si>
    <t>641 New Jersey Ave</t>
  </si>
  <si>
    <t>4567 W. Tremont Avenue</t>
  </si>
  <si>
    <t>959 Metropolitan Ave</t>
  </si>
  <si>
    <t>1805 Crotona Ave</t>
  </si>
  <si>
    <t>2243 Ryer Ave</t>
  </si>
  <si>
    <t>185 Saint Marks Pl</t>
  </si>
  <si>
    <t>911 Walton Ave</t>
  </si>
  <si>
    <t>1377 Teller Ave</t>
  </si>
  <si>
    <t>1534 Nelson Ave</t>
  </si>
  <si>
    <t>6623 Ridge Blvd</t>
  </si>
  <si>
    <t>3343 Sedgwick Ave</t>
  </si>
  <si>
    <t>240 Park Hill Ave</t>
  </si>
  <si>
    <t>1510 Jesup Ave</t>
  </si>
  <si>
    <t>91 Junius St</t>
  </si>
  <si>
    <t>1314 Findlay Ave</t>
  </si>
  <si>
    <t>632 Morris Ave</t>
  </si>
  <si>
    <t>101 Daniel Low Ter</t>
  </si>
  <si>
    <t>1950 Prospect Ave</t>
  </si>
  <si>
    <t>1661 Saint Johns Pl</t>
  </si>
  <si>
    <t>174 Riverdale Ave</t>
  </si>
  <si>
    <t>682 Alabama Ave</t>
  </si>
  <si>
    <t>295A Bainbridge St</t>
  </si>
  <si>
    <t>430 New Jersey Ave</t>
  </si>
  <si>
    <t>412 Thomas S Boyland St</t>
  </si>
  <si>
    <t>433 Halsey St</t>
  </si>
  <si>
    <t>1020 Walton Ave</t>
  </si>
  <si>
    <t>1460 Grand Concourse</t>
  </si>
  <si>
    <t>269 E Burnside Ave</t>
  </si>
  <si>
    <t>1504 Sheridan Ave</t>
  </si>
  <si>
    <t>1520 Sheridan Ave</t>
  </si>
  <si>
    <t>163 Madison St</t>
  </si>
  <si>
    <t>101 Post Ave</t>
  </si>
  <si>
    <t>3071 Park Ave</t>
  </si>
  <si>
    <t>1150 E 100th St</t>
  </si>
  <si>
    <t>221 E 122nd St</t>
  </si>
  <si>
    <t>655 Morris Ave</t>
  </si>
  <si>
    <t>1566 Eastern Pkwy</t>
  </si>
  <si>
    <t>19523 Station Rd</t>
  </si>
  <si>
    <t>1752 Sterling Pl</t>
  </si>
  <si>
    <t>229 Seaman Ave</t>
  </si>
  <si>
    <t>1401 Grand Concourse</t>
  </si>
  <si>
    <t>631 E 222nd St</t>
  </si>
  <si>
    <t>530 W 178th St</t>
  </si>
  <si>
    <t>205 Montrose Ave</t>
  </si>
  <si>
    <t>1515 Selwyn Ave</t>
  </si>
  <si>
    <t>1417 70th St</t>
  </si>
  <si>
    <t>205 Sumpter St</t>
  </si>
  <si>
    <t>2038 Morris Ave</t>
  </si>
  <si>
    <t>1197 Grand Concourse</t>
  </si>
  <si>
    <t>2205 Creston Ave</t>
  </si>
  <si>
    <t>1382 Shakespeare Ave</t>
  </si>
  <si>
    <t>1541 Williamsbridge Rd</t>
  </si>
  <si>
    <t>13046 226th St</t>
  </si>
  <si>
    <t>14707 35th Ave</t>
  </si>
  <si>
    <t>1362 Grand Concourse</t>
  </si>
  <si>
    <t>745 E 242nd St</t>
  </si>
  <si>
    <t>739 E 242nd St</t>
  </si>
  <si>
    <t>1339 Bristow St</t>
  </si>
  <si>
    <t>557 Bradford St</t>
  </si>
  <si>
    <t>735 E 242nd St</t>
  </si>
  <si>
    <t>1453 Walton Ave</t>
  </si>
  <si>
    <t>499 Linwood St</t>
  </si>
  <si>
    <t>1355 Morris Ave</t>
  </si>
  <si>
    <t>980 Aldus St</t>
  </si>
  <si>
    <t>1146 Ogden Ave</t>
  </si>
  <si>
    <t>120 W 183rd St</t>
  </si>
  <si>
    <t>2305 2nd Ave</t>
  </si>
  <si>
    <t>165 Sherman Ave</t>
  </si>
  <si>
    <t>552 Academy St</t>
  </si>
  <si>
    <t>272 Sherman ave</t>
  </si>
  <si>
    <t>1342 Bushwick Ave</t>
  </si>
  <si>
    <t>231 Edgecome Avenue</t>
  </si>
  <si>
    <t>598 W 191st St</t>
  </si>
  <si>
    <t>670 W 193rd St</t>
  </si>
  <si>
    <t>15 Post ave</t>
  </si>
  <si>
    <t>511 W 172nd St</t>
  </si>
  <si>
    <t>1220 Shakespeare Ave</t>
  </si>
  <si>
    <t>817 Union Ave</t>
  </si>
  <si>
    <t>211 Riverdale Ave</t>
  </si>
  <si>
    <t>541 Isham St</t>
  </si>
  <si>
    <t>2151 Morris Ave</t>
  </si>
  <si>
    <t>1105 Elder Ave</t>
  </si>
  <si>
    <t>1765 Townsend Ave</t>
  </si>
  <si>
    <t>111 W 135th St</t>
  </si>
  <si>
    <t>33 Post Ave</t>
  </si>
  <si>
    <t>1730 Taylor Ave</t>
  </si>
  <si>
    <t>71 Pilling St</t>
  </si>
  <si>
    <t>364 Stuyvesant Ave</t>
  </si>
  <si>
    <t>8355 Austin St</t>
  </si>
  <si>
    <t>996 Hegeman Ave</t>
  </si>
  <si>
    <t>9830 57th Ave</t>
  </si>
  <si>
    <t>1805 Pitkin Ave</t>
  </si>
  <si>
    <t>370 Morris Ave</t>
  </si>
  <si>
    <t>1555 Grand Concourse</t>
  </si>
  <si>
    <t>150 W 179th St</t>
  </si>
  <si>
    <t>150 W 179th Street</t>
  </si>
  <si>
    <t>315 E 167th St</t>
  </si>
  <si>
    <t>20-26 Bogardus Pl</t>
  </si>
  <si>
    <t>75 Post Ave</t>
  </si>
  <si>
    <t>275 Fort Washington Ave</t>
  </si>
  <si>
    <t>133 Elliot Pl</t>
  </si>
  <si>
    <t>612 Vermont St</t>
  </si>
  <si>
    <t>500 W 213th St</t>
  </si>
  <si>
    <t>966 Saint Nicholas Ave</t>
  </si>
  <si>
    <t>57-63 wadsworth terrace</t>
  </si>
  <si>
    <t>57-63 Wadsworth Terrace</t>
  </si>
  <si>
    <t>2323 Walton Ave</t>
  </si>
  <si>
    <t>513 W 157th St</t>
  </si>
  <si>
    <t>232 Stuyvesant Ave</t>
  </si>
  <si>
    <t>257 Mother Gaston Blvd</t>
  </si>
  <si>
    <t>556 W 181st St</t>
  </si>
  <si>
    <t>249 Thomas S Boyland St</t>
  </si>
  <si>
    <t>1096 President St</t>
  </si>
  <si>
    <t>997 Summit Ave</t>
  </si>
  <si>
    <t>702 44th St</t>
  </si>
  <si>
    <t>177 Sheffield Ave</t>
  </si>
  <si>
    <t>200 Haven Ave</t>
  </si>
  <si>
    <t>385 Chestnut St</t>
  </si>
  <si>
    <t>1176 President St</t>
  </si>
  <si>
    <t>63 Rockaway Pkwy</t>
  </si>
  <si>
    <t>1940 Pacific St</t>
  </si>
  <si>
    <t>100 W 83rd St</t>
  </si>
  <si>
    <t>1967 Bergen St</t>
  </si>
  <si>
    <t>232 Schenectady Ave</t>
  </si>
  <si>
    <t>150 Hendricks Ave</t>
  </si>
  <si>
    <t>1206 Bergen St</t>
  </si>
  <si>
    <t>168 E 93rd St</t>
  </si>
  <si>
    <t>292 Westervelt Ave</t>
  </si>
  <si>
    <t>67 W 107th St</t>
  </si>
  <si>
    <t>9863 Corona Ave</t>
  </si>
  <si>
    <t>10306 Remington St</t>
  </si>
  <si>
    <t>127 E 107th St</t>
  </si>
  <si>
    <t>1018 Eastern Pkwy</t>
  </si>
  <si>
    <t>167 W 83rd St</t>
  </si>
  <si>
    <t>66 Vermilyea Ave</t>
  </si>
  <si>
    <t>121 Sherman Ave</t>
  </si>
  <si>
    <t>1781 Riverside Dr</t>
  </si>
  <si>
    <t>803 W 180th St</t>
  </si>
  <si>
    <t>1036 President St</t>
  </si>
  <si>
    <t>11814 83rd Ave</t>
  </si>
  <si>
    <t>899 Montgomery St</t>
  </si>
  <si>
    <t>68 MacDougal St</t>
  </si>
  <si>
    <t>675 Lincoln Ave</t>
  </si>
  <si>
    <t>117 Sherman Ave</t>
  </si>
  <si>
    <t>129 Sherman Ave</t>
  </si>
  <si>
    <t>4308 40th St</t>
  </si>
  <si>
    <t>30 E 95th St</t>
  </si>
  <si>
    <t>1 Jacobus Pl</t>
  </si>
  <si>
    <t>2860 Ocean Ave</t>
  </si>
  <si>
    <t>600 W 186th St</t>
  </si>
  <si>
    <t>9724 93rd St</t>
  </si>
  <si>
    <t>89 Seaman Ave</t>
  </si>
  <si>
    <t>14 Thayer St</t>
  </si>
  <si>
    <t>3432 43rd ST</t>
  </si>
  <si>
    <t>520 Isham St</t>
  </si>
  <si>
    <t>180 Broad St</t>
  </si>
  <si>
    <t>210 Sherman Ave</t>
  </si>
  <si>
    <t>711 W 180th St</t>
  </si>
  <si>
    <t>24207 149th Ave</t>
  </si>
  <si>
    <t>12514 Jamaica Ave</t>
  </si>
  <si>
    <t>124 Pelican Cir</t>
  </si>
  <si>
    <t>121 Seaman Ave</t>
  </si>
  <si>
    <t>3750 81st St</t>
  </si>
  <si>
    <t>460n Brielle Ave</t>
  </si>
  <si>
    <t>879 Cypress Ave</t>
  </si>
  <si>
    <t>790 Eldert Ln</t>
  </si>
  <si>
    <t>6570 Booth St</t>
  </si>
  <si>
    <t>19619 Jamaica Ave</t>
  </si>
  <si>
    <t>517 W 160th St</t>
  </si>
  <si>
    <t>95 Seaman Ave</t>
  </si>
  <si>
    <t>320 Vanderbilt Ave</t>
  </si>
  <si>
    <t>180 E 18th St</t>
  </si>
  <si>
    <t>711 Herkimer St</t>
  </si>
  <si>
    <t>490 Ocean Parkway</t>
  </si>
  <si>
    <t>21 Truxton St</t>
  </si>
  <si>
    <t>20 Sky Ln</t>
  </si>
  <si>
    <t>3706 107th St</t>
  </si>
  <si>
    <t>9608 57th Ave</t>
  </si>
  <si>
    <t>9838 57th Ave</t>
  </si>
  <si>
    <t>11609 Francis Lewis Blvd</t>
  </si>
  <si>
    <t>45 Pinehurst Ave</t>
  </si>
  <si>
    <t>516 W 156th St</t>
  </si>
  <si>
    <t>8 Rutland Rd</t>
  </si>
  <si>
    <t>2919 Lewmay Rd</t>
  </si>
  <si>
    <t>779 4th Ave</t>
  </si>
  <si>
    <t>119 Vermilyea Ave</t>
  </si>
  <si>
    <t>9427 Kings Hwy</t>
  </si>
  <si>
    <t>8903 146th St</t>
  </si>
  <si>
    <t>792 Sterling Pl</t>
  </si>
  <si>
    <t>490 Ocean Pkwy</t>
  </si>
  <si>
    <t>8912 183rd St</t>
  </si>
  <si>
    <t>60 Thayer St</t>
  </si>
  <si>
    <t>331 Beach 31st St</t>
  </si>
  <si>
    <t>10921 Van Wyck Expy</t>
  </si>
  <si>
    <t>4530 Broadway</t>
  </si>
  <si>
    <t>50 Linden Blvd</t>
  </si>
  <si>
    <t>13912 34th Rd</t>
  </si>
  <si>
    <t>140 Riverside dr</t>
  </si>
  <si>
    <t>436 Fort Washington Ave</t>
  </si>
  <si>
    <t>87 Taft Ave</t>
  </si>
  <si>
    <t>1857 Coney Island Ave</t>
  </si>
  <si>
    <t>642 Eldert Ln</t>
  </si>
  <si>
    <t>624 Howard Ave</t>
  </si>
  <si>
    <t>343 Herzl St</t>
  </si>
  <si>
    <t>2092 Dean St</t>
  </si>
  <si>
    <t>1920 Union St</t>
  </si>
  <si>
    <t>1325 Lafayette Ave</t>
  </si>
  <si>
    <t>662 6th Ave</t>
  </si>
  <si>
    <t>1954 1st Ave</t>
  </si>
  <si>
    <t>4516 49th St</t>
  </si>
  <si>
    <t>1325 Eastern Pkwy</t>
  </si>
  <si>
    <t>588 Decatur St</t>
  </si>
  <si>
    <t>427 Fort Washington Ave</t>
  </si>
  <si>
    <t>1380 Univ Ave</t>
  </si>
  <si>
    <t>27 W 181st St</t>
  </si>
  <si>
    <t>251 Fort Washington Ave</t>
  </si>
  <si>
    <t>356 Arlington Ave</t>
  </si>
  <si>
    <t>2511 Newkirk Ave</t>
  </si>
  <si>
    <t>49 Curtis Pl</t>
  </si>
  <si>
    <t>4325 Hunter St</t>
  </si>
  <si>
    <t>4011 149th St</t>
  </si>
  <si>
    <t>3721 80th St</t>
  </si>
  <si>
    <t>315 Pulaski St</t>
  </si>
  <si>
    <t>124 E 117th St</t>
  </si>
  <si>
    <t>454 E 119th St</t>
  </si>
  <si>
    <t>145 Elmira Loop</t>
  </si>
  <si>
    <t>285 Schenectady Ave</t>
  </si>
  <si>
    <t>580 Academy St</t>
  </si>
  <si>
    <t>621 W 171st St</t>
  </si>
  <si>
    <t>284 Eastern Pkwy</t>
  </si>
  <si>
    <t>615 W 164th St</t>
  </si>
  <si>
    <t>1795 Riverside Dr</t>
  </si>
  <si>
    <t>4410 30th Ave</t>
  </si>
  <si>
    <t>1129 43rd St</t>
  </si>
  <si>
    <t>11618 147th St</t>
  </si>
  <si>
    <t>631 W 207th St</t>
  </si>
  <si>
    <t>8607 101st St</t>
  </si>
  <si>
    <t>392 Rockaway Pkwy</t>
  </si>
  <si>
    <t>88 Seaman Ave</t>
  </si>
  <si>
    <t>107-04 Liverpool Street</t>
  </si>
  <si>
    <t>1711 Fulton St</t>
  </si>
  <si>
    <t>1030 Carroll St</t>
  </si>
  <si>
    <t>3413 Avenue H</t>
  </si>
  <si>
    <t>9428 86th Rd</t>
  </si>
  <si>
    <t>10934 221st St</t>
  </si>
  <si>
    <t>38 Post Avenue</t>
  </si>
  <si>
    <t>737 Southern Blvd</t>
  </si>
  <si>
    <t>165 Saint Marks Pl</t>
  </si>
  <si>
    <t>4513 10th Ave</t>
  </si>
  <si>
    <t>110 Chauncey st</t>
  </si>
  <si>
    <t>449 W 206th St</t>
  </si>
  <si>
    <t>22 Post Ave</t>
  </si>
  <si>
    <t>310 E 25th St</t>
  </si>
  <si>
    <t>327 Franklin Ave</t>
  </si>
  <si>
    <t>435 Grand Ave</t>
  </si>
  <si>
    <t>4706 49th St</t>
  </si>
  <si>
    <t>4536 49th St</t>
  </si>
  <si>
    <t>1406 New York Ave</t>
  </si>
  <si>
    <t>231 Steuben St</t>
  </si>
  <si>
    <t>595 W 207th St</t>
  </si>
  <si>
    <t>140 Ralph Ave</t>
  </si>
  <si>
    <t>14070 Ash Ave</t>
  </si>
  <si>
    <t>25 utica Ave</t>
  </si>
  <si>
    <t>9102 Sutter Ave</t>
  </si>
  <si>
    <t>13 E 124th St</t>
  </si>
  <si>
    <t>5929 Queens Blvd</t>
  </si>
  <si>
    <t>777 Macdonough St</t>
  </si>
  <si>
    <t>985 Halsey St</t>
  </si>
  <si>
    <t>248 Audubon Ave</t>
  </si>
  <si>
    <t>54 S Elliott Pl</t>
  </si>
  <si>
    <t>1 Beach 105th St</t>
  </si>
  <si>
    <t>16836 88th Ave</t>
  </si>
  <si>
    <t>961 42nd St</t>
  </si>
  <si>
    <t>14911 Edgewood St</t>
  </si>
  <si>
    <t>1460 Sterling Pl</t>
  </si>
  <si>
    <t>266 Nagle Ave</t>
  </si>
  <si>
    <t>558 Ralph Ave</t>
  </si>
  <si>
    <t>506 Decatur St</t>
  </si>
  <si>
    <t>985 Halsey st</t>
  </si>
  <si>
    <t>5039 61st St</t>
  </si>
  <si>
    <t>700 Victory Blvd</t>
  </si>
  <si>
    <t>211 W 101st St</t>
  </si>
  <si>
    <t>483 Pacific St</t>
  </si>
  <si>
    <t>216 Rockaway ave</t>
  </si>
  <si>
    <t>417 Pennsylvania Ave</t>
  </si>
  <si>
    <t>321 Milford St</t>
  </si>
  <si>
    <t>530 W 122nd st</t>
  </si>
  <si>
    <t>280 Etna St</t>
  </si>
  <si>
    <t>14809 Northern Blvd</t>
  </si>
  <si>
    <t>14412 28th Ave</t>
  </si>
  <si>
    <t>9116 95th Ave</t>
  </si>
  <si>
    <t>13318 145th St</t>
  </si>
  <si>
    <t>1238 Simpson St</t>
  </si>
  <si>
    <t>5302 Browvale Ln</t>
  </si>
  <si>
    <t>13146 Laurelton Pkwy</t>
  </si>
  <si>
    <t>7222 Austin St</t>
  </si>
  <si>
    <t>115 Marcy Pl</t>
  </si>
  <si>
    <t>1452 Beach Ave</t>
  </si>
  <si>
    <t>629 E 3rd St</t>
  </si>
  <si>
    <t>249 Thomas S Boyland st</t>
  </si>
  <si>
    <t>1050 Anderson Ave</t>
  </si>
  <si>
    <t>601 West 149th Street 54</t>
  </si>
  <si>
    <t>294 Sumpter St</t>
  </si>
  <si>
    <t>14308 Roosevelt Ave</t>
  </si>
  <si>
    <t>1305 Delmar Loope</t>
  </si>
  <si>
    <t>420 Watkins St</t>
  </si>
  <si>
    <t>1447 Gipson St</t>
  </si>
  <si>
    <t>1652 Park Ave</t>
  </si>
  <si>
    <t>4455 Broadway</t>
  </si>
  <si>
    <t>9507 Kings Hwy</t>
  </si>
  <si>
    <t>5763 wadsworth terrace</t>
  </si>
  <si>
    <t>521 W 186th St</t>
  </si>
  <si>
    <t>521 Fort Washington Ave</t>
  </si>
  <si>
    <t>450 Schenck Ave</t>
  </si>
  <si>
    <t>498 Vermont St</t>
  </si>
  <si>
    <t>3805 Crescent St</t>
  </si>
  <si>
    <t>99 Osgood Ave</t>
  </si>
  <si>
    <t>10704 Liverpool St</t>
  </si>
  <si>
    <t>14220 Franklin Ave</t>
  </si>
  <si>
    <t>10741 Sutphin Blvd</t>
  </si>
  <si>
    <t>502 W 213th St</t>
  </si>
  <si>
    <t>500 W 176th St</t>
  </si>
  <si>
    <t>670 E 32nd St</t>
  </si>
  <si>
    <t>8545 115th St</t>
  </si>
  <si>
    <t>1074 Eastern Pkwy</t>
  </si>
  <si>
    <t>601 W 156th St</t>
  </si>
  <si>
    <t>519 W 157th St</t>
  </si>
  <si>
    <t>51 E 129th St</t>
  </si>
  <si>
    <t>381 Sumpter St</t>
  </si>
  <si>
    <t>902 Drew St</t>
  </si>
  <si>
    <t>136 Seaman Ave</t>
  </si>
  <si>
    <t>83 Crescent Ave</t>
  </si>
  <si>
    <t>91 E 116th St</t>
  </si>
  <si>
    <t>122 Hamilton Ave</t>
  </si>
  <si>
    <t>409 Saratoga Ave</t>
  </si>
  <si>
    <t>15 B Dwight Street</t>
  </si>
  <si>
    <t>693 Flatbush Ave</t>
  </si>
  <si>
    <t>648 Kings Hwy</t>
  </si>
  <si>
    <t>466 Alabama Ave</t>
  </si>
  <si>
    <t>611 Flatbush Ave</t>
  </si>
  <si>
    <t>563 Cauldwell Ave</t>
  </si>
  <si>
    <t>82 Rockaway Pkwy</t>
  </si>
  <si>
    <t>650 W 173rd St</t>
  </si>
  <si>
    <t>3114 42nd St</t>
  </si>
  <si>
    <t>444 State St</t>
  </si>
  <si>
    <t>435 GRAND AVE</t>
  </si>
  <si>
    <t>607 Flatbush Ave</t>
  </si>
  <si>
    <t>707 W 171st St</t>
  </si>
  <si>
    <t>131 BROOME ST</t>
  </si>
  <si>
    <t>19 Slosson Ter</t>
  </si>
  <si>
    <t>300 10th St</t>
  </si>
  <si>
    <t>15a Chester Pl</t>
  </si>
  <si>
    <t>217 Van Brunt St</t>
  </si>
  <si>
    <t>571 Sterling Pl</t>
  </si>
  <si>
    <t>4318 42nd St</t>
  </si>
  <si>
    <t>1120 Loring Ave</t>
  </si>
  <si>
    <t>1118 Winthrop St</t>
  </si>
  <si>
    <t>2099 Bergen St</t>
  </si>
  <si>
    <t>9264 218th PL</t>
  </si>
  <si>
    <t>11810 193rd St</t>
  </si>
  <si>
    <t>765 Lincon Ave</t>
  </si>
  <si>
    <t>4328 Murray St</t>
  </si>
  <si>
    <t>289 Vermont St</t>
  </si>
  <si>
    <t>800 Grand Concourse</t>
  </si>
  <si>
    <t>178 Rockaway Pkwy</t>
  </si>
  <si>
    <t>1062 Saint Nicholas Ave</t>
  </si>
  <si>
    <t>327 Fillmore St</t>
  </si>
  <si>
    <t>54 Bristol St</t>
  </si>
  <si>
    <t>3856 10th Ave</t>
  </si>
  <si>
    <t>420 W 206th St</t>
  </si>
  <si>
    <t>2095 Creston Ave</t>
  </si>
  <si>
    <t>100 Cooper St</t>
  </si>
  <si>
    <t>436 W 160th St</t>
  </si>
  <si>
    <t>2022 3rd Ave</t>
  </si>
  <si>
    <t>15 W 139th St</t>
  </si>
  <si>
    <t>1695 Lexington Ave</t>
  </si>
  <si>
    <t>425 Grand Ave</t>
  </si>
  <si>
    <t>8775 172nd St</t>
  </si>
  <si>
    <t>388 Van Duzer St</t>
  </si>
  <si>
    <t>2145 Amsterdam Ave</t>
  </si>
  <si>
    <t>776 Van Duzer St</t>
  </si>
  <si>
    <t>280 Park Hill Ave</t>
  </si>
  <si>
    <t>260 Audubon Ave</t>
  </si>
  <si>
    <t>89-95 Seaman Avenue</t>
  </si>
  <si>
    <t>621 W 189th St</t>
  </si>
  <si>
    <t>2167 2nd Ave</t>
  </si>
  <si>
    <t>227 23rd St</t>
  </si>
  <si>
    <t>1044 E 93rd St</t>
  </si>
  <si>
    <t>205 Boerum St</t>
  </si>
  <si>
    <t>205 Boerum st</t>
  </si>
  <si>
    <t>1295 5th Ave</t>
  </si>
  <si>
    <t>250 E 96th St</t>
  </si>
  <si>
    <t>7608 Glenmore Ave</t>
  </si>
  <si>
    <t>400 Clinton Ave</t>
  </si>
  <si>
    <t>16 Arden St</t>
  </si>
  <si>
    <t>1 Bennett Ave</t>
  </si>
  <si>
    <t>391 Rockaway Pkwy</t>
  </si>
  <si>
    <t>25 W Tremont Ave</t>
  </si>
  <si>
    <t>6 E 167th St</t>
  </si>
  <si>
    <t>1419 Jesup Ave</t>
  </si>
  <si>
    <t>90 Downing St</t>
  </si>
  <si>
    <t>74 Eldert st</t>
  </si>
  <si>
    <t>340 E 112th St</t>
  </si>
  <si>
    <t>2070 Union St</t>
  </si>
  <si>
    <t>240 E 18th St</t>
  </si>
  <si>
    <t>5009 Broadway</t>
  </si>
  <si>
    <t>630 Lenox Ave</t>
  </si>
  <si>
    <t>256 Seaman Ave</t>
  </si>
  <si>
    <t>8531 120th St</t>
  </si>
  <si>
    <t>429 Bergen St</t>
  </si>
  <si>
    <t>446 E 98th St</t>
  </si>
  <si>
    <t>316 Stuyvesant ave</t>
  </si>
  <si>
    <t>1415 Mott Ave</t>
  </si>
  <si>
    <t>568 Pacific St</t>
  </si>
  <si>
    <t>342 21st St</t>
  </si>
  <si>
    <t>58 E 117th St</t>
  </si>
  <si>
    <t>1500 Hornell Loop</t>
  </si>
  <si>
    <t>2995 Botanical Sq</t>
  </si>
  <si>
    <t>3852 10th Ave</t>
  </si>
  <si>
    <t>604 Sutter Ave</t>
  </si>
  <si>
    <t>603 Mother Gaston Blvd</t>
  </si>
  <si>
    <t>34 Hillside Ave</t>
  </si>
  <si>
    <t>437 Wyona St</t>
  </si>
  <si>
    <t>230 President St</t>
  </si>
  <si>
    <t>107 E 129th St # 123</t>
  </si>
  <si>
    <t>1570 Eastern Pkwy</t>
  </si>
  <si>
    <t>394 E 98th St</t>
  </si>
  <si>
    <t>7027 65th Pl</t>
  </si>
  <si>
    <t>1201 Shakespeare Ave</t>
  </si>
  <si>
    <t>36 Bedford Park Blvd E</t>
  </si>
  <si>
    <t>481 W 165th St</t>
  </si>
  <si>
    <t>10470 47th Ave</t>
  </si>
  <si>
    <t>519 E 88th St</t>
  </si>
  <si>
    <t>1700 Grand Concourse</t>
  </si>
  <si>
    <t>68 Fort Greene Pl</t>
  </si>
  <si>
    <t>2 Ellwood St</t>
  </si>
  <si>
    <t>3736 10th Ave</t>
  </si>
  <si>
    <t>655 W 160th St</t>
  </si>
  <si>
    <t>675 Lincoln ave</t>
  </si>
  <si>
    <t>549 Cleveland St</t>
  </si>
  <si>
    <t>787 E 46th St</t>
  </si>
  <si>
    <t>1454 Shakespeare Ave</t>
  </si>
  <si>
    <t>1386 Greene Ave</t>
  </si>
  <si>
    <t>125 Sherman Ave</t>
  </si>
  <si>
    <t>175 Ardsley Loop</t>
  </si>
  <si>
    <t>3366 Decatur Ave</t>
  </si>
  <si>
    <t>1764 Anthony Ave</t>
  </si>
  <si>
    <t>231 E 117th st</t>
  </si>
  <si>
    <t>1330 Intervale Ave</t>
  </si>
  <si>
    <t>1460 Pennsylvania Ave</t>
  </si>
  <si>
    <t>1074 Eastern PKWY</t>
  </si>
  <si>
    <t>156 Vernon Ave</t>
  </si>
  <si>
    <t>110 Seaman Ave</t>
  </si>
  <si>
    <t>1015 E 179th st</t>
  </si>
  <si>
    <t>22 E 112th St</t>
  </si>
  <si>
    <t>1680 Madison Ave</t>
  </si>
  <si>
    <t>235 E 117th St</t>
  </si>
  <si>
    <t>2075 Creston Ave</t>
  </si>
  <si>
    <t>37 Utica Ave</t>
  </si>
  <si>
    <t>451 E 116th St</t>
  </si>
  <si>
    <t>23059 Lansing Ave</t>
  </si>
  <si>
    <t>3944 24th St</t>
  </si>
  <si>
    <t>1309 5th Ave</t>
  </si>
  <si>
    <t>1646 Union St</t>
  </si>
  <si>
    <t>45 W 139th St</t>
  </si>
  <si>
    <t>550 Snediker Ave</t>
  </si>
  <si>
    <t>23 Tessa Ct</t>
  </si>
  <si>
    <t>14-34 48th Avenue</t>
  </si>
  <si>
    <t>244 E 117th St</t>
  </si>
  <si>
    <t>1412 New York Ave</t>
  </si>
  <si>
    <t>967 Sutter Ave</t>
  </si>
  <si>
    <t>521 Isham St</t>
  </si>
  <si>
    <t>656 W 204th St</t>
  </si>
  <si>
    <t>495 W 186th St</t>
  </si>
  <si>
    <t>11 Fort George Hl</t>
  </si>
  <si>
    <t>546 Isham St</t>
  </si>
  <si>
    <t>251 Mother Gaston Blvd</t>
  </si>
  <si>
    <t>30 3rd St</t>
  </si>
  <si>
    <t>38 Post Ave</t>
  </si>
  <si>
    <t>8914 80th St</t>
  </si>
  <si>
    <t>398 Crescent St</t>
  </si>
  <si>
    <t>10 E 43rd St</t>
  </si>
  <si>
    <t>154 E 106th St</t>
  </si>
  <si>
    <t>13235 Sanford Ave</t>
  </si>
  <si>
    <t>2061 20th St</t>
  </si>
  <si>
    <t>9728 57th Ave</t>
  </si>
  <si>
    <t>250 W 146th St</t>
  </si>
  <si>
    <t>3629 191st St</t>
  </si>
  <si>
    <t>3950 60th St</t>
  </si>
  <si>
    <t>5304 108th St</t>
  </si>
  <si>
    <t>1319 Newkirk Ave</t>
  </si>
  <si>
    <t>122 E 102nd St</t>
  </si>
  <si>
    <t>523 E 108th St</t>
  </si>
  <si>
    <t>1692 Park Ave</t>
  </si>
  <si>
    <t>281 Wadsworth Ave</t>
  </si>
  <si>
    <t>101 sherman ave</t>
  </si>
  <si>
    <t>251 Sherman Ave</t>
  </si>
  <si>
    <t>2 Seaman Ave</t>
  </si>
  <si>
    <t>1350 Park Pl</t>
  </si>
  <si>
    <t>1652 Park ave</t>
  </si>
  <si>
    <t>93 Arnold St</t>
  </si>
  <si>
    <t>20 Bogardus Pl</t>
  </si>
  <si>
    <t>1122 Herkimer st</t>
  </si>
  <si>
    <t>318 E 126th St</t>
  </si>
  <si>
    <t>216 Westervelt Ave</t>
  </si>
  <si>
    <t>26 E 60th St</t>
  </si>
  <si>
    <t>57-63  Wadsworth Ter</t>
  </si>
  <si>
    <t>198 Clarkson Ave</t>
  </si>
  <si>
    <t>507 W 172nd St</t>
  </si>
  <si>
    <t>9602 57th Ave</t>
  </si>
  <si>
    <t>209 Beach 101st St</t>
  </si>
  <si>
    <t>272 Sherman Ave</t>
  </si>
  <si>
    <t>4331 45th St</t>
  </si>
  <si>
    <t>40 Gouverneur St</t>
  </si>
  <si>
    <t>462 E 115th St</t>
  </si>
  <si>
    <t>14730 38th Ave</t>
  </si>
  <si>
    <t>2005 126th St</t>
  </si>
  <si>
    <t>55 Nagle Ave</t>
  </si>
  <si>
    <t>1711 Fulton st</t>
  </si>
  <si>
    <t>1466 Beach Ave</t>
  </si>
  <si>
    <t>1624 Madison Ave</t>
  </si>
  <si>
    <t>5360 Broadway</t>
  </si>
  <si>
    <t>22151 Braddock Ave</t>
  </si>
  <si>
    <t>131 Broome St</t>
  </si>
  <si>
    <t>367 Madison St</t>
  </si>
  <si>
    <t>3445 79th St</t>
  </si>
  <si>
    <t>2001 Morris Ave</t>
  </si>
  <si>
    <t>320 Beach 100th St</t>
  </si>
  <si>
    <t>1111 Gerard Ave</t>
  </si>
  <si>
    <t>14707 N Conduit Ave</t>
  </si>
  <si>
    <t>8822 Parsons Blvd</t>
  </si>
  <si>
    <t>8610 Atlantic Ave</t>
  </si>
  <si>
    <t>11920 Union Tpke</t>
  </si>
  <si>
    <t>10436 196th St</t>
  </si>
  <si>
    <t>6730 75th St</t>
  </si>
  <si>
    <t>4146 68th St</t>
  </si>
  <si>
    <t>3633 169th St</t>
  </si>
  <si>
    <t>562 Bainbridge St</t>
  </si>
  <si>
    <t>120 E 19th St</t>
  </si>
  <si>
    <t>201 E 18th St</t>
  </si>
  <si>
    <t>115 Ocean Ave</t>
  </si>
  <si>
    <t>63 E 95th St</t>
  </si>
  <si>
    <t>53 Bushwick Ave</t>
  </si>
  <si>
    <t>92 Crystal St</t>
  </si>
  <si>
    <t>903 Drew St</t>
  </si>
  <si>
    <t>131 Eldert St</t>
  </si>
  <si>
    <t>481 Williams Ave</t>
  </si>
  <si>
    <t>4616 43rd Ave</t>
  </si>
  <si>
    <t>4769 White Plains Rd</t>
  </si>
  <si>
    <t>3817 Dyre Ave</t>
  </si>
  <si>
    <t>2112 Starling Ave</t>
  </si>
  <si>
    <t>540 East 183rd Street</t>
  </si>
  <si>
    <t>1475 Sheridan Ave</t>
  </si>
  <si>
    <t>2100 Tiebout Ave</t>
  </si>
  <si>
    <t>1060 Sheridan ave</t>
  </si>
  <si>
    <t>1060 Sheridan Ave</t>
  </si>
  <si>
    <t>1221 Sheridan Ave</t>
  </si>
  <si>
    <t>2071 Walton Ave</t>
  </si>
  <si>
    <t>166 Clove Rd</t>
  </si>
  <si>
    <t>16 Vulcan St</t>
  </si>
  <si>
    <t>196 Saint Marys Ave</t>
  </si>
  <si>
    <t>172 Van Duzer St</t>
  </si>
  <si>
    <t>200 E 65th Street</t>
  </si>
  <si>
    <t>4861 Broadway</t>
  </si>
  <si>
    <t>610 Academy St</t>
  </si>
  <si>
    <t>5025 Broadway</t>
  </si>
  <si>
    <t>1274 5th Ave</t>
  </si>
  <si>
    <t>51 E 97th St</t>
  </si>
  <si>
    <t>2181 Strauss St</t>
  </si>
  <si>
    <t>1741 Norman St</t>
  </si>
  <si>
    <t>937 Victory Blvd</t>
  </si>
  <si>
    <t>235 Ralph Ave</t>
  </si>
  <si>
    <t>1895 Morris Ave</t>
  </si>
  <si>
    <t>261 Grantwood Ave</t>
  </si>
  <si>
    <t>111 Laurel Ave</t>
  </si>
  <si>
    <t>220 Audubon Ave</t>
  </si>
  <si>
    <t>1195 Anderson Ave</t>
  </si>
  <si>
    <t>575 Hancock st</t>
  </si>
  <si>
    <t>1417 Grand Concourse</t>
  </si>
  <si>
    <t>711a Seagirt Ave</t>
  </si>
  <si>
    <t>425 E 153rd St</t>
  </si>
  <si>
    <t>260 Park Hill Ave</t>
  </si>
  <si>
    <t>1926 Longfellow Ave</t>
  </si>
  <si>
    <t>1000 Anderson Ave</t>
  </si>
  <si>
    <t>363 E 163rd St</t>
  </si>
  <si>
    <t>555 14th Street</t>
  </si>
  <si>
    <t>1716 Nereid Ave</t>
  </si>
  <si>
    <t>468 Ralph Ave</t>
  </si>
  <si>
    <t>412 Macon St</t>
  </si>
  <si>
    <t>1553 Dekalb Ave</t>
  </si>
  <si>
    <t>753 Macon St</t>
  </si>
  <si>
    <t>147 Scribner Ave</t>
  </si>
  <si>
    <t>774 Rockaway Ave</t>
  </si>
  <si>
    <t>2041 E 7th St</t>
  </si>
  <si>
    <t>3325 Neptune Ave</t>
  </si>
  <si>
    <t>6685B Broadway</t>
  </si>
  <si>
    <t>601 W 189th St</t>
  </si>
  <si>
    <t>190 W 170th St</t>
  </si>
  <si>
    <t>2022 Benedict Ave</t>
  </si>
  <si>
    <t>1652 Popham Ave</t>
  </si>
  <si>
    <t>1501 Undercliff Ave</t>
  </si>
  <si>
    <t>329 Beach 70th St</t>
  </si>
  <si>
    <t>1015 Gerard Ave</t>
  </si>
  <si>
    <t>1409 Prospect Ave</t>
  </si>
  <si>
    <t>1162 Washington Ave</t>
  </si>
  <si>
    <t>1534 Selwyn Ave</t>
  </si>
  <si>
    <t>181 Beach 25th St</t>
  </si>
  <si>
    <t>13753 234th St</t>
  </si>
  <si>
    <t>89 W Tremont Ave</t>
  </si>
  <si>
    <t>207 Bainbridge St</t>
  </si>
  <si>
    <t>1221 Vyse Ave</t>
  </si>
  <si>
    <t>6685 Broadway</t>
  </si>
  <si>
    <t>2024 Bergen St</t>
  </si>
  <si>
    <t>360 E 166th St</t>
  </si>
  <si>
    <t>2 Carroll Pl</t>
  </si>
  <si>
    <t>2816 Jerome Ave</t>
  </si>
  <si>
    <t>951 Hoe Ave</t>
  </si>
  <si>
    <t>1454 Grand Concourse</t>
  </si>
  <si>
    <t>344 E 148 Street</t>
  </si>
  <si>
    <t>520 Tinton Ave</t>
  </si>
  <si>
    <t>1551 Sheridan Ave</t>
  </si>
  <si>
    <t>3310 Bayview Ave</t>
  </si>
  <si>
    <t>858 Blake Ave</t>
  </si>
  <si>
    <t>16 Van Buren St</t>
  </si>
  <si>
    <t>13906 34th Rd</t>
  </si>
  <si>
    <t>1003 Willmohr St</t>
  </si>
  <si>
    <t>117 E 130th St</t>
  </si>
  <si>
    <t>226 W 144th St</t>
  </si>
  <si>
    <t>901 Walton Avenue</t>
  </si>
  <si>
    <t>296A Marion St</t>
  </si>
  <si>
    <t>426 Harold Ave</t>
  </si>
  <si>
    <t>519 W 143rd St</t>
  </si>
  <si>
    <t>1515 Metropolitan Ave</t>
  </si>
  <si>
    <t>1752 Walton Ave</t>
  </si>
  <si>
    <t>3424 Gates Pl</t>
  </si>
  <si>
    <t>2750 W 33rd St</t>
  </si>
  <si>
    <t>25 Vermilyea Ave</t>
  </si>
  <si>
    <t>1026 E 180th St</t>
  </si>
  <si>
    <t>301 W 138TH ST</t>
  </si>
  <si>
    <t>1122 Herkimer St</t>
  </si>
  <si>
    <t>48 Saint Marks Pl</t>
  </si>
  <si>
    <t>5 Slosson Ter</t>
  </si>
  <si>
    <t>10 Stanton St</t>
  </si>
  <si>
    <t>19154 115th Rd</t>
  </si>
  <si>
    <t>135 Terrace View Ave</t>
  </si>
  <si>
    <t>751 Gerard Ave</t>
  </si>
  <si>
    <t>12 E 177th St</t>
  </si>
  <si>
    <t>1415 Bristow St</t>
  </si>
  <si>
    <t>219 Sullivan Pl</t>
  </si>
  <si>
    <t>3534 Bronx Blvd</t>
  </si>
  <si>
    <t>1064 Ward Ave</t>
  </si>
  <si>
    <t>131 Jersey St</t>
  </si>
  <si>
    <t>55 W 100th St</t>
  </si>
  <si>
    <t>10 Kimberly Ln</t>
  </si>
  <si>
    <t>78 Havemeyer St Apt 4</t>
  </si>
  <si>
    <t>2187 Strauss St</t>
  </si>
  <si>
    <t>866 E 178th St</t>
  </si>
  <si>
    <t>225 Park Hill Ave</t>
  </si>
  <si>
    <t>45 Twin Pines Dr</t>
  </si>
  <si>
    <t>15 Jacobus Pl</t>
  </si>
  <si>
    <t>2018 Monterey Ave</t>
  </si>
  <si>
    <t>7313 70th St</t>
  </si>
  <si>
    <t>1410 New Haven Ave</t>
  </si>
  <si>
    <t>2170 Univ Ave</t>
  </si>
  <si>
    <t>135 E 149th St</t>
  </si>
  <si>
    <t>1847 Univ Ave</t>
  </si>
  <si>
    <t>85 Bristol St</t>
  </si>
  <si>
    <t>2574 Bedford Ave</t>
  </si>
  <si>
    <t>1284 Herkimer St</t>
  </si>
  <si>
    <t>691 Gerard Ave</t>
  </si>
  <si>
    <t>58 Orchard St</t>
  </si>
  <si>
    <t>468 City Island Ave</t>
  </si>
  <si>
    <t>1551 Sheridan Avenue</t>
  </si>
  <si>
    <t>368 Bainbridge St</t>
  </si>
  <si>
    <t>165 Woltz Ave, Upper Floor</t>
  </si>
  <si>
    <t>772 Union St</t>
  </si>
  <si>
    <t>1254 Sherman Ave</t>
  </si>
  <si>
    <t>2238 Morris Ave</t>
  </si>
  <si>
    <t>1041 Longfellow Ave</t>
  </si>
  <si>
    <t>434 Warwick St</t>
  </si>
  <si>
    <t>1157 Intervale Ave</t>
  </si>
  <si>
    <t>11245 Sea View Ave</t>
  </si>
  <si>
    <t>1191 Boston Rd</t>
  </si>
  <si>
    <t>1506 Walton Ave</t>
  </si>
  <si>
    <t>1704 Madison St</t>
  </si>
  <si>
    <t>524 86th Street 4R</t>
  </si>
  <si>
    <t>420 Soundview Ave</t>
  </si>
  <si>
    <t>1311 Merriam Ave</t>
  </si>
  <si>
    <t>195 Benziger Ave</t>
  </si>
  <si>
    <t>865 Thomas S Boyland St</t>
  </si>
  <si>
    <t>1679 Southern Blvd</t>
  </si>
  <si>
    <t>681 E 181st St</t>
  </si>
  <si>
    <t>3304 143rd St</t>
  </si>
  <si>
    <t>2818 38th Ave</t>
  </si>
  <si>
    <t>14 Court St</t>
  </si>
  <si>
    <t>231 steuben st</t>
  </si>
  <si>
    <t>2223 Cortelyou Rd</t>
  </si>
  <si>
    <t>227 Oder Ave</t>
  </si>
  <si>
    <t>1230 woodycrest Ave</t>
  </si>
  <si>
    <t>723 125th St</t>
  </si>
  <si>
    <t>232 Otis Ave</t>
  </si>
  <si>
    <t>1944 Mcgraw Ave</t>
  </si>
  <si>
    <t>19 Steuben St</t>
  </si>
  <si>
    <t>895 Mother gaston blvd</t>
  </si>
  <si>
    <t>8806 Parsons Blvd</t>
  </si>
  <si>
    <t>310 Alexander Ave</t>
  </si>
  <si>
    <t>490 E 189th St</t>
  </si>
  <si>
    <t>336 Elton St</t>
  </si>
  <si>
    <t>1520 Sedgwick Ave</t>
  </si>
  <si>
    <t>1049 Montgomery St</t>
  </si>
  <si>
    <t>530 Exterior St</t>
  </si>
  <si>
    <t>110 E 176th St</t>
  </si>
  <si>
    <t>33 Bionia Ave</t>
  </si>
  <si>
    <t>273 Saint Marks Pl</t>
  </si>
  <si>
    <t>400 W 150th st</t>
  </si>
  <si>
    <t>15 Sandra Ln</t>
  </si>
  <si>
    <t>3618 166th St</t>
  </si>
  <si>
    <t>950 Jennings St</t>
  </si>
  <si>
    <t>272 Pennsylvania Ave</t>
  </si>
  <si>
    <t>89 Thompson St</t>
  </si>
  <si>
    <t>1798 Bedford Ave</t>
  </si>
  <si>
    <t>530 W 136th St</t>
  </si>
  <si>
    <t>199 Sherman Ave</t>
  </si>
  <si>
    <t>9823 Horace Harding Expy</t>
  </si>
  <si>
    <t>101 Hastings St</t>
  </si>
  <si>
    <t>325 E 194th St</t>
  </si>
  <si>
    <t>2066 Morris Ave</t>
  </si>
  <si>
    <t>14719 230th St</t>
  </si>
  <si>
    <t>2416 38th Ave</t>
  </si>
  <si>
    <t>4210 colden st</t>
  </si>
  <si>
    <t>96 Baxter St</t>
  </si>
  <si>
    <t>24559 148th Dr</t>
  </si>
  <si>
    <t>949 Ogden Ave</t>
  </si>
  <si>
    <t>177 Milford St</t>
  </si>
  <si>
    <t>2922 Grand Concourse</t>
  </si>
  <si>
    <t>915 Kelly St</t>
  </si>
  <si>
    <t>2483 W 16th St</t>
  </si>
  <si>
    <t>2099 Forest Ave</t>
  </si>
  <si>
    <t>2526 Bronx Park E</t>
  </si>
  <si>
    <t>263 Prospect Park W</t>
  </si>
  <si>
    <t>130 Vandalia Ave</t>
  </si>
  <si>
    <t>150 50th Ave</t>
  </si>
  <si>
    <t>7218 Almeda Ave</t>
  </si>
  <si>
    <t>553 58th St</t>
  </si>
  <si>
    <t>1340 Merriam Ave</t>
  </si>
  <si>
    <t>482 Nostrand Ave</t>
  </si>
  <si>
    <t>2060 Anthony Ave</t>
  </si>
  <si>
    <t>671 Decatur St</t>
  </si>
  <si>
    <t>1950 Clove Rd</t>
  </si>
  <si>
    <t>793 Fairmount Pl</t>
  </si>
  <si>
    <t>1302 Newkirk Ave</t>
  </si>
  <si>
    <t>1115 Jerome Ave</t>
  </si>
  <si>
    <t>312 Sheridan Ave</t>
  </si>
  <si>
    <t>800 Concourse Vlg W</t>
  </si>
  <si>
    <t>1060 Sheridan Avenue</t>
  </si>
  <si>
    <t>167 Newport St</t>
  </si>
  <si>
    <t>2101 Creston Ave</t>
  </si>
  <si>
    <t>11513 111th Ave</t>
  </si>
  <si>
    <t>344 E 148th St</t>
  </si>
  <si>
    <t>2010 Newkirk Ave</t>
  </si>
  <si>
    <t>61 Wyckoff Ave</t>
  </si>
  <si>
    <t>42a Courtney Loop</t>
  </si>
  <si>
    <t>2083 Creston Ave</t>
  </si>
  <si>
    <t>414 E 94th St</t>
  </si>
  <si>
    <t>1600 Metropolitan Ave</t>
  </si>
  <si>
    <t>1035 Anderson Ave</t>
  </si>
  <si>
    <t>940 Fox St</t>
  </si>
  <si>
    <t>33 Henry St</t>
  </si>
  <si>
    <t>469 Ridgewood Ave</t>
  </si>
  <si>
    <t>1088 Sutter Ave</t>
  </si>
  <si>
    <t>140 Henry St</t>
  </si>
  <si>
    <t>404 Williams Ave</t>
  </si>
  <si>
    <t>1165 Gerard Ave</t>
  </si>
  <si>
    <t>735 Lincoln Ave</t>
  </si>
  <si>
    <t>624 Riverdale Ave</t>
  </si>
  <si>
    <t>482 Riverdale Ave</t>
  </si>
  <si>
    <t>869 Van Siclen Ave</t>
  </si>
  <si>
    <t>40 Richman Plz</t>
  </si>
  <si>
    <t>558 E 191st St</t>
  </si>
  <si>
    <t>20 Richmind Plaza</t>
  </si>
  <si>
    <t>Po Box 6399</t>
  </si>
  <si>
    <t>60 Hamilton Ave</t>
  </si>
  <si>
    <t>210 Clinton Ave</t>
  </si>
  <si>
    <t>1815 Everdell Ave</t>
  </si>
  <si>
    <t>2038 5th Ave</t>
  </si>
  <si>
    <t>14011 Ash Ave</t>
  </si>
  <si>
    <t>81 Columbia St</t>
  </si>
  <si>
    <t>225 Neptune Ave</t>
  </si>
  <si>
    <t>5433 Metropolitan Ave</t>
  </si>
  <si>
    <t>19 Parade Pl</t>
  </si>
  <si>
    <t>180 Bainbridge st</t>
  </si>
  <si>
    <t>1060 sheridan ave</t>
  </si>
  <si>
    <t>25 Prospect Ave</t>
  </si>
  <si>
    <t>257 Marion St</t>
  </si>
  <si>
    <t>1892 Andrews Ave</t>
  </si>
  <si>
    <t>235b Jersey St</t>
  </si>
  <si>
    <t>9832 57th Ave</t>
  </si>
  <si>
    <t>180 Parkhill Ave</t>
  </si>
  <si>
    <t>377 Chauncey St</t>
  </si>
  <si>
    <t>30 Daniel Low Ter</t>
  </si>
  <si>
    <t>66 Mulberry St</t>
  </si>
  <si>
    <t>1371 Clove Rd</t>
  </si>
  <si>
    <t>1004 Montgomery st</t>
  </si>
  <si>
    <t>14445 35th Ave</t>
  </si>
  <si>
    <t>350 E 51st St</t>
  </si>
  <si>
    <t>9720 57th Ave</t>
  </si>
  <si>
    <t>73 E 96th St</t>
  </si>
  <si>
    <t>2106 Union St</t>
  </si>
  <si>
    <t>86 Forbell St</t>
  </si>
  <si>
    <t>941 Hoe Ave</t>
  </si>
  <si>
    <t>70 S Elliott Pl</t>
  </si>
  <si>
    <t>480 E 23rd St</t>
  </si>
  <si>
    <t>363 Grand Ave</t>
  </si>
  <si>
    <t>1846 Anthony Ave</t>
  </si>
  <si>
    <t>95 W 162nd St</t>
  </si>
  <si>
    <t>2663 Heath Ave</t>
  </si>
  <si>
    <t>1796 A Pacific St</t>
  </si>
  <si>
    <t>1204 E 95th St</t>
  </si>
  <si>
    <t>3505 94th St</t>
  </si>
  <si>
    <t>2930 W 30th St</t>
  </si>
  <si>
    <t>7 Bell Slip</t>
  </si>
  <si>
    <t>309 Lafayette Ave</t>
  </si>
  <si>
    <t>591A Decatur St</t>
  </si>
  <si>
    <t>436 E 134th St</t>
  </si>
  <si>
    <t>1500 Noble Ave</t>
  </si>
  <si>
    <t>605 Osborn St</t>
  </si>
  <si>
    <t>14 Verona St</t>
  </si>
  <si>
    <t>172 7th Ave</t>
  </si>
  <si>
    <t>875 Morrison Ave</t>
  </si>
  <si>
    <t>177 Columbia St</t>
  </si>
  <si>
    <t>8836 Elmhurst Ave</t>
  </si>
  <si>
    <t>2202 Linden Blvd</t>
  </si>
  <si>
    <t>276 Tennyson Dr</t>
  </si>
  <si>
    <t>333 E 14th St</t>
  </si>
  <si>
    <t>329 E 197th St</t>
  </si>
  <si>
    <t>1325 Pennsylvania Ave</t>
  </si>
  <si>
    <t>6407 Cooper Ave</t>
  </si>
  <si>
    <t>331 Alabama Ave</t>
  </si>
  <si>
    <t>511 E 148th St</t>
  </si>
  <si>
    <t>14725 223rd St</t>
  </si>
  <si>
    <t>9965 64th Rd</t>
  </si>
  <si>
    <t>6977 75th St</t>
  </si>
  <si>
    <t>3050 33rd ST</t>
  </si>
  <si>
    <t>6062 67th ave</t>
  </si>
  <si>
    <t>20209 43rd Ave</t>
  </si>
  <si>
    <t>524 Vandalia ave</t>
  </si>
  <si>
    <t>2191 Creston Ave</t>
  </si>
  <si>
    <t>3130 Grand Concourse</t>
  </si>
  <si>
    <t>2641 Marion Ave</t>
  </si>
  <si>
    <t>2307 Prospect Ave</t>
  </si>
  <si>
    <t>3555 Oxford Ave</t>
  </si>
  <si>
    <t>1011 Carroll Pl</t>
  </si>
  <si>
    <t>631 Grand St</t>
  </si>
  <si>
    <t>20 Avenue D</t>
  </si>
  <si>
    <t>651 Madison St</t>
  </si>
  <si>
    <t>1155 E 225th st</t>
  </si>
  <si>
    <t>P.O Box 260-282</t>
  </si>
  <si>
    <t>1035 Willmohr St</t>
  </si>
  <si>
    <t>1420 Brooklyn Ave</t>
  </si>
  <si>
    <t>1290 E 19th St</t>
  </si>
  <si>
    <t>90 Avenue D</t>
  </si>
  <si>
    <t>918 Leggett Ave</t>
  </si>
  <si>
    <t>217 Thomas S Boyland St</t>
  </si>
  <si>
    <t>957 Greene Ave</t>
  </si>
  <si>
    <t>4015 Hampton St</t>
  </si>
  <si>
    <t>1736 61st St</t>
  </si>
  <si>
    <t>10838 159th St</t>
  </si>
  <si>
    <t>35-08 95th Street</t>
  </si>
  <si>
    <t>275 57th St</t>
  </si>
  <si>
    <t>771 4th Ave</t>
  </si>
  <si>
    <t>55 Ocean Ave</t>
  </si>
  <si>
    <t>7614 17th Ave</t>
  </si>
  <si>
    <t>2496 Belmont Ave</t>
  </si>
  <si>
    <t>2137 Vyse Ave</t>
  </si>
  <si>
    <t>1 Saint Pauls Ct</t>
  </si>
  <si>
    <t>1008 Saint Marks Ave</t>
  </si>
  <si>
    <t>539 Alabama Ave</t>
  </si>
  <si>
    <t>2409 Beaumont Ave</t>
  </si>
  <si>
    <t>3713 12th Ave</t>
  </si>
  <si>
    <t>2964 Perry Ave</t>
  </si>
  <si>
    <t>1443 Pacific St</t>
  </si>
  <si>
    <t>1601 Beverley Rd</t>
  </si>
  <si>
    <t>136 Sackman St</t>
  </si>
  <si>
    <t>266 E 21st St</t>
  </si>
  <si>
    <t>939 Woodycrest Ave</t>
  </si>
  <si>
    <t>1140 Saint Johns Pl</t>
  </si>
  <si>
    <t>950 Underhill Ave</t>
  </si>
  <si>
    <t>1591 Bruckner Blvd</t>
  </si>
  <si>
    <t>921 E 180th St</t>
  </si>
  <si>
    <t>1665 Andrews Ave</t>
  </si>
  <si>
    <t>197 Hull St</t>
  </si>
  <si>
    <t>181 Rockaway Pkwy</t>
  </si>
  <si>
    <t>249 W 61st street</t>
  </si>
  <si>
    <t>690 Riverdale Ave</t>
  </si>
  <si>
    <t>1114 Gates Ave</t>
  </si>
  <si>
    <t>216 Schaefer St</t>
  </si>
  <si>
    <t>245 Lenox Rd</t>
  </si>
  <si>
    <t>30 3rd Ave</t>
  </si>
  <si>
    <t>974 Williams Ave</t>
  </si>
  <si>
    <t>227 Dumont Ave</t>
  </si>
  <si>
    <t>921 Washington Ave</t>
  </si>
  <si>
    <t>1776 Union St</t>
  </si>
  <si>
    <t>17230 133rd Ave</t>
  </si>
  <si>
    <t>1672 Davidson Ave</t>
  </si>
  <si>
    <t>639 Albany Ave</t>
  </si>
  <si>
    <t>1366 New York Ave</t>
  </si>
  <si>
    <t>711 Ocean Ave</t>
  </si>
  <si>
    <t>61 Martense St</t>
  </si>
  <si>
    <t>1520 sedgwick ave</t>
  </si>
  <si>
    <t>706 Lefferts Ave</t>
  </si>
  <si>
    <t>504 Jackson Ave</t>
  </si>
  <si>
    <t>1373 Sterling Pl</t>
  </si>
  <si>
    <t>322 W 57th St</t>
  </si>
  <si>
    <t>1700 Crotona Park E</t>
  </si>
  <si>
    <t>40 Harrison St</t>
  </si>
  <si>
    <t>6830 Forest Ave</t>
  </si>
  <si>
    <t>2065 Walton Ave</t>
  </si>
  <si>
    <t>557 E 80th St</t>
  </si>
  <si>
    <t>1115 Fdr Dr</t>
  </si>
  <si>
    <t>2158 Atlantic Ave</t>
  </si>
  <si>
    <t>11 Mckeever Pl</t>
  </si>
  <si>
    <t>735 Magenta St</t>
  </si>
  <si>
    <t>12011 109th Ave</t>
  </si>
  <si>
    <t>129 Wilson Ave</t>
  </si>
  <si>
    <t>160 Parkside Ave</t>
  </si>
  <si>
    <t>718 Garden St</t>
  </si>
  <si>
    <t>305 95th St</t>
  </si>
  <si>
    <t>891 Saint Johns Pl</t>
  </si>
  <si>
    <t>325 Bainbridge St</t>
  </si>
  <si>
    <t>1255 Dean St</t>
  </si>
  <si>
    <t>541 Kingston Ave</t>
  </si>
  <si>
    <t>221 Linden blvd</t>
  </si>
  <si>
    <t>790 Concourse Vlg W</t>
  </si>
  <si>
    <t>7732 74th St</t>
  </si>
  <si>
    <t>126 Berkeley Pl</t>
  </si>
  <si>
    <t>147-15 North Blvd</t>
  </si>
  <si>
    <t>10219 186th St</t>
  </si>
  <si>
    <t>737 Hunts Point Ave</t>
  </si>
  <si>
    <t>1349 E 38th St</t>
  </si>
  <si>
    <t>62 Veronica Pl</t>
  </si>
  <si>
    <t>611 E 21st St</t>
  </si>
  <si>
    <t>229 Parkville ave</t>
  </si>
  <si>
    <t>1062 Elton St</t>
  </si>
  <si>
    <t>235 5th ave</t>
  </si>
  <si>
    <t>16427 119th Ave</t>
  </si>
  <si>
    <t>238 E 26th St</t>
  </si>
  <si>
    <t>4620 104th St</t>
  </si>
  <si>
    <t>354 E 81st St</t>
  </si>
  <si>
    <t>270 Clarkson Ave</t>
  </si>
  <si>
    <t>54 W 174th st</t>
  </si>
  <si>
    <t>1082 President St</t>
  </si>
  <si>
    <t>141 Lafayette Ave</t>
  </si>
  <si>
    <t>159 W 143rd St</t>
  </si>
  <si>
    <t>257 15th St</t>
  </si>
  <si>
    <t>392 10th St</t>
  </si>
  <si>
    <t>5439 100th St</t>
  </si>
  <si>
    <t>1715 LaCombe Ave</t>
  </si>
  <si>
    <t>10955 Union Hall St</t>
  </si>
  <si>
    <t>10 Midwood St</t>
  </si>
  <si>
    <t>856 Willoughby Ave</t>
  </si>
  <si>
    <t>357 E 57th St</t>
  </si>
  <si>
    <t>1516 Paulding Ave</t>
  </si>
  <si>
    <t>2824 Bronx Park E</t>
  </si>
  <si>
    <t>11702 231st St</t>
  </si>
  <si>
    <t>439 E 135th St</t>
  </si>
  <si>
    <t>2260 University Ave</t>
  </si>
  <si>
    <t>1758 Dean St</t>
  </si>
  <si>
    <t>5724 4th Ave</t>
  </si>
  <si>
    <t>249 E 37th St</t>
  </si>
  <si>
    <t>1314 Seneca Ave</t>
  </si>
  <si>
    <t>1085 Nelson Ave</t>
  </si>
  <si>
    <t>3021 Holland Ave</t>
  </si>
  <si>
    <t>1159 E 229th St</t>
  </si>
  <si>
    <t>711 Walton Ave</t>
  </si>
  <si>
    <t>733 Prospect Ave</t>
  </si>
  <si>
    <t>2101 Westbury Ct</t>
  </si>
  <si>
    <t>4920 6th Ave</t>
  </si>
  <si>
    <t>3547 Carlisle Pl</t>
  </si>
  <si>
    <t>63 69 110th street</t>
  </si>
  <si>
    <t>2105 Foster Ave</t>
  </si>
  <si>
    <t>729 Rogers Ave</t>
  </si>
  <si>
    <t>139 Payson Ave</t>
  </si>
  <si>
    <t>224 E 164th St</t>
  </si>
  <si>
    <t>465 E 7th St</t>
  </si>
  <si>
    <t>55 Bethune St</t>
  </si>
  <si>
    <t>180 E 52nd St</t>
  </si>
  <si>
    <t>2215 Newkirk Ave</t>
  </si>
  <si>
    <t>33 Arden St</t>
  </si>
  <si>
    <t>570 Ocean Ave</t>
  </si>
  <si>
    <t>2605 Grand Concourse</t>
  </si>
  <si>
    <t>295 Cozine Ave</t>
  </si>
  <si>
    <t>3320 Kossuth Ave</t>
  </si>
  <si>
    <t>2608 Creston Ave</t>
  </si>
  <si>
    <t>1605 Metropolitan Avenue</t>
  </si>
  <si>
    <t>566 Vanderbilt Ave</t>
  </si>
  <si>
    <t>341 E 19th St</t>
  </si>
  <si>
    <t>85 Strong St</t>
  </si>
  <si>
    <t>262 Van Buren St</t>
  </si>
  <si>
    <t>690 Fort Washington Ave</t>
  </si>
  <si>
    <t>1 Saint Pauls CT</t>
  </si>
  <si>
    <t>186 Elvin St</t>
  </si>
  <si>
    <t>773 Manor Rd</t>
  </si>
  <si>
    <t>1726 Richmond Rd</t>
  </si>
  <si>
    <t>1077 Castleton Ave</t>
  </si>
  <si>
    <t>1754 Richmond Rd</t>
  </si>
  <si>
    <t>84 Hecker St</t>
  </si>
  <si>
    <t>85 Holland Ave</t>
  </si>
  <si>
    <t>20 Laguardia Ave</t>
  </si>
  <si>
    <t>212 Broad St</t>
  </si>
  <si>
    <t>35 Androvette St</t>
  </si>
  <si>
    <t>806 Henderson Ave</t>
  </si>
  <si>
    <t>114 Justin Ave</t>
  </si>
  <si>
    <t>17 Ashton Dr</t>
  </si>
  <si>
    <t>65 Holland Ave</t>
  </si>
  <si>
    <t>456 Richmond Ter</t>
  </si>
  <si>
    <t>24 Hett Ave</t>
  </si>
  <si>
    <t>2419 Richmond Rd</t>
  </si>
  <si>
    <t>174 Sandalwood Dr</t>
  </si>
  <si>
    <t>18 Van Buren St</t>
  </si>
  <si>
    <t>274 Norway Ave</t>
  </si>
  <si>
    <t>30 Ebbitts St</t>
  </si>
  <si>
    <t>305 Slater Blvd</t>
  </si>
  <si>
    <t>166 Oakdale St</t>
  </si>
  <si>
    <t>150 Lamport Blvd</t>
  </si>
  <si>
    <t>7262 Amboy Rd</t>
  </si>
  <si>
    <t>2832 W 23rd St</t>
  </si>
  <si>
    <t>89 Fairview Ave</t>
  </si>
  <si>
    <t>162 Troy Ave</t>
  </si>
  <si>
    <t>36 Saint Edwards St</t>
  </si>
  <si>
    <t>109 Lyman Ave</t>
  </si>
  <si>
    <t>801 Manor Rd</t>
  </si>
  <si>
    <t>26 Robin Rd</t>
  </si>
  <si>
    <t>197 Gordon St</t>
  </si>
  <si>
    <t>179 Brabant St</t>
  </si>
  <si>
    <t>305 Osgood Ave</t>
  </si>
  <si>
    <t>181 Gordon St</t>
  </si>
  <si>
    <t>80 Roxbury St</t>
  </si>
  <si>
    <t>778 Henderson Ave</t>
  </si>
  <si>
    <t>17 Slaight St</t>
  </si>
  <si>
    <t>97 Englewood Ave</t>
  </si>
  <si>
    <t>247 Westwood Ave</t>
  </si>
  <si>
    <t>74 Roxbury Street</t>
  </si>
  <si>
    <t>557 Eltingville Blvd</t>
  </si>
  <si>
    <t>51 Hill St</t>
  </si>
  <si>
    <t>45 Seaver Ave</t>
  </si>
  <si>
    <t>176 Schmidts Ln</t>
  </si>
  <si>
    <t>131 N Mada Ave</t>
  </si>
  <si>
    <t>778 Henderson Avenue</t>
  </si>
  <si>
    <t>1208 E 95th St</t>
  </si>
  <si>
    <t>326 Bainbridge St</t>
  </si>
  <si>
    <t>201 Brighton 1st Rd # 203</t>
  </si>
  <si>
    <t>341 10th St</t>
  </si>
  <si>
    <t>9225 Foster Ave</t>
  </si>
  <si>
    <t>615 Westminster Rd</t>
  </si>
  <si>
    <t>630 Linden Blvd</t>
  </si>
  <si>
    <t>68 Cumberland Walk</t>
  </si>
  <si>
    <t>47 Mckeever Pl</t>
  </si>
  <si>
    <t>1772 Flatbush Ave</t>
  </si>
  <si>
    <t>175 E 52nd st</t>
  </si>
  <si>
    <t>532 Bristol St</t>
  </si>
  <si>
    <t>869 Flushing Ave</t>
  </si>
  <si>
    <t>1409 Troy Ave</t>
  </si>
  <si>
    <t>82 Saint Edwards St</t>
  </si>
  <si>
    <t>9565 Tuckerton St</t>
  </si>
  <si>
    <t>1257 Loring Ave</t>
  </si>
  <si>
    <t>280 Ocean Pkwy</t>
  </si>
  <si>
    <t>1820 Avenue P</t>
  </si>
  <si>
    <t>1384 Hancock St</t>
  </si>
  <si>
    <t>4608 5th Ave</t>
  </si>
  <si>
    <t>60 Moore St</t>
  </si>
  <si>
    <t>5605 4th Avenue</t>
  </si>
  <si>
    <t>811 Flushing Ave</t>
  </si>
  <si>
    <t>1393 Flatbush Ave</t>
  </si>
  <si>
    <t>178 Hooper St # 180</t>
  </si>
  <si>
    <t>904 E 56th St</t>
  </si>
  <si>
    <t>2770 W 33rd St</t>
  </si>
  <si>
    <t>485 Church Ave</t>
  </si>
  <si>
    <t>418 2nd St</t>
  </si>
  <si>
    <t>1818 Benson Ave</t>
  </si>
  <si>
    <t>545 E 82nd St</t>
  </si>
  <si>
    <t>1087 Carroll St</t>
  </si>
  <si>
    <t>2850 Shore Pkwy</t>
  </si>
  <si>
    <t>3405 Neptune Ave</t>
  </si>
  <si>
    <t>114 Fenimore St</t>
  </si>
  <si>
    <t>5507 16th Ave</t>
  </si>
  <si>
    <t>634 61st St</t>
  </si>
  <si>
    <t>297 Lenox Rd</t>
  </si>
  <si>
    <t>10 Columbia Pl</t>
  </si>
  <si>
    <t>1039a Fulton St</t>
  </si>
  <si>
    <t>1876 E 51st St</t>
  </si>
  <si>
    <t>198 Bond St</t>
  </si>
  <si>
    <t>1571 42nd St</t>
  </si>
  <si>
    <t>740 Empire Blvd</t>
  </si>
  <si>
    <t>112 Conklin Ave</t>
  </si>
  <si>
    <t>1323 Avenue Y</t>
  </si>
  <si>
    <t>720 E 53rd St</t>
  </si>
  <si>
    <t>1625 Fulton St</t>
  </si>
  <si>
    <t>1388 E 92nd St</t>
  </si>
  <si>
    <t>33 Bond St</t>
  </si>
  <si>
    <t>2075 E 16th St</t>
  </si>
  <si>
    <t>342 Lafayette Ave</t>
  </si>
  <si>
    <t>293 Harman St Apt 3r</t>
  </si>
  <si>
    <t>57 Herkimer St</t>
  </si>
  <si>
    <t>956 Rogers Ave</t>
  </si>
  <si>
    <t>3162 Bayview Ave</t>
  </si>
  <si>
    <t>1422 avenue J</t>
  </si>
  <si>
    <t>12 Kingston Ave</t>
  </si>
  <si>
    <t>357 Bristol St</t>
  </si>
  <si>
    <t>636 Brooklyn Ave</t>
  </si>
  <si>
    <t>3500 Snyder Ave</t>
  </si>
  <si>
    <t>1919 Bay Ave</t>
  </si>
  <si>
    <t>4809 Avenue J</t>
  </si>
  <si>
    <t>9501 Avenue L</t>
  </si>
  <si>
    <t>5205 5th Ave</t>
  </si>
  <si>
    <t>2055 Rockaway Pkwy</t>
  </si>
  <si>
    <t>487 Carlton Ave</t>
  </si>
  <si>
    <t>140 Herkimer St</t>
  </si>
  <si>
    <t>3611 15th Ave</t>
  </si>
  <si>
    <t>70 Ross St</t>
  </si>
  <si>
    <t>805 Ditmas Ave</t>
  </si>
  <si>
    <t>9418 Wogan Ter</t>
  </si>
  <si>
    <t>855 E 19th St</t>
  </si>
  <si>
    <t>1307 Loring Ave</t>
  </si>
  <si>
    <t>20 N 5th St</t>
  </si>
  <si>
    <t>5212 Glenwood Rd</t>
  </si>
  <si>
    <t>1225 Tabor Ct</t>
  </si>
  <si>
    <t>992 Williams Ave</t>
  </si>
  <si>
    <t>1966 70th St</t>
  </si>
  <si>
    <t>28 Paerdegat 5th St</t>
  </si>
  <si>
    <t>647 E 103rd St</t>
  </si>
  <si>
    <t>1740 Prospect Pl</t>
  </si>
  <si>
    <t>8807 21st Ave</t>
  </si>
  <si>
    <t>740 Uclid Avenue</t>
  </si>
  <si>
    <t>1548 E New York Ave</t>
  </si>
  <si>
    <t>1098 Liberty Ave</t>
  </si>
  <si>
    <t>10608 Glenwood Rd</t>
  </si>
  <si>
    <t>249 Ralph Ave</t>
  </si>
  <si>
    <t>72 Hemlock St</t>
  </si>
  <si>
    <t>756 Stanley Ave</t>
  </si>
  <si>
    <t>864 Euclid Ave</t>
  </si>
  <si>
    <t>140 Moore St</t>
  </si>
  <si>
    <t>131 Moore St</t>
  </si>
  <si>
    <t>1561 W 6th St</t>
  </si>
  <si>
    <t>393 Dumont Ave</t>
  </si>
  <si>
    <t>53 Boerum Pl</t>
  </si>
  <si>
    <t>214 Rockaway Pkwy</t>
  </si>
  <si>
    <t>325 Kent Ave</t>
  </si>
  <si>
    <t>1422 Lincoln Pl</t>
  </si>
  <si>
    <t>1284 Saint Johns Pl</t>
  </si>
  <si>
    <t>2361 Coney Island Ave</t>
  </si>
  <si>
    <t>456 Autumn Ave</t>
  </si>
  <si>
    <t>1939 Park Pl</t>
  </si>
  <si>
    <t>987 Montgomery St</t>
  </si>
  <si>
    <t>1455 Geneva Loop</t>
  </si>
  <si>
    <t>138 Cumberland Walk</t>
  </si>
  <si>
    <t>1670 Pacific St</t>
  </si>
  <si>
    <t>6817 6th Ave</t>
  </si>
  <si>
    <t>1722 Kings Hwy</t>
  </si>
  <si>
    <t>165 Clinton Ave</t>
  </si>
  <si>
    <t>1097 Prospect Pl</t>
  </si>
  <si>
    <t>2469 Bragg St</t>
  </si>
  <si>
    <t>185 Prospect Park W</t>
  </si>
  <si>
    <t>1733 Union St</t>
  </si>
  <si>
    <t>3111 Aurelia Ct</t>
  </si>
  <si>
    <t>33 Crooke Ave</t>
  </si>
  <si>
    <t>1969 63rd St</t>
  </si>
  <si>
    <t>381 E 46th St</t>
  </si>
  <si>
    <t>1375 E 18th St</t>
  </si>
  <si>
    <t>2850 W 24th St</t>
  </si>
  <si>
    <t>1802 Ocean Pkwy</t>
  </si>
  <si>
    <t>579 57th St</t>
  </si>
  <si>
    <t>8525 Avenue J</t>
  </si>
  <si>
    <t>1601 W 5th St</t>
  </si>
  <si>
    <t>255 Havemeyer St</t>
  </si>
  <si>
    <t>1325 60th St</t>
  </si>
  <si>
    <t>644 Ocean Pkwy</t>
  </si>
  <si>
    <t>428 E 46th St</t>
  </si>
  <si>
    <t>605 Park Ave</t>
  </si>
  <si>
    <t>1494 E 46th St</t>
  </si>
  <si>
    <t>1483 Saint Johns Pl</t>
  </si>
  <si>
    <t>1013 Avenue J</t>
  </si>
  <si>
    <t>1602 Mermaid Ave</t>
  </si>
  <si>
    <t>154 S 3rd St</t>
  </si>
  <si>
    <t>450 Kent Ave</t>
  </si>
  <si>
    <t>734 E 103rd St</t>
  </si>
  <si>
    <t>3201 Neptune Ave</t>
  </si>
  <si>
    <t>2970 W 27th St</t>
  </si>
  <si>
    <t>364 Lincoln Pl</t>
  </si>
  <si>
    <t>73 Gates Ave</t>
  </si>
  <si>
    <t>1848 W 7th St</t>
  </si>
  <si>
    <t>375 61st St</t>
  </si>
  <si>
    <t>420 Clinton Ave</t>
  </si>
  <si>
    <t>354 48th St</t>
  </si>
  <si>
    <t>865 Gates Ave</t>
  </si>
  <si>
    <t>250 Ashland Pl</t>
  </si>
  <si>
    <t>1308 Loring Ave</t>
  </si>
  <si>
    <t>621 Park Ave</t>
  </si>
  <si>
    <t>345 Classon Ave</t>
  </si>
  <si>
    <t>335 Sutter Ave</t>
  </si>
  <si>
    <t>3203 Avenue J</t>
  </si>
  <si>
    <t>372 Saint Marks Ave</t>
  </si>
  <si>
    <t>1305 E 83rd St</t>
  </si>
  <si>
    <t>707 E 96th St</t>
  </si>
  <si>
    <t>322 Bainbridge St</t>
  </si>
  <si>
    <t>127 Avenue X</t>
  </si>
  <si>
    <t>1435 E 103rd St</t>
  </si>
  <si>
    <t>8841 20th Ave</t>
  </si>
  <si>
    <t>117 N Oxford Walk</t>
  </si>
  <si>
    <t>1815 Rockaway Pkwy</t>
  </si>
  <si>
    <t>76 Carroll St</t>
  </si>
  <si>
    <t>110 Grove St</t>
  </si>
  <si>
    <t>966 46th St</t>
  </si>
  <si>
    <t>321 Eastern Pkwy</t>
  </si>
  <si>
    <t>388 Avenue X</t>
  </si>
  <si>
    <t>867 E 34th St</t>
  </si>
  <si>
    <t>929 42nd St</t>
  </si>
  <si>
    <t>954 E 104th St</t>
  </si>
  <si>
    <t>120 Chauncey St</t>
  </si>
  <si>
    <t>334 Foster Ave</t>
  </si>
  <si>
    <t>405 E 16th St</t>
  </si>
  <si>
    <t>2950 W 35th St</t>
  </si>
  <si>
    <t>935 Eastern Pkwy</t>
  </si>
  <si>
    <t>557 Rockaway Ave</t>
  </si>
  <si>
    <t>485 Fountain Ave</t>
  </si>
  <si>
    <t>112 Stagg St</t>
  </si>
  <si>
    <t>1963 73rd St</t>
  </si>
  <si>
    <t>760 Rogers Ave</t>
  </si>
  <si>
    <t>235 60th St</t>
  </si>
  <si>
    <t>365 Lincoln Pl</t>
  </si>
  <si>
    <t>111 Bridge St</t>
  </si>
  <si>
    <t>355 Mcdonald ave</t>
  </si>
  <si>
    <t>477 Washington Ave</t>
  </si>
  <si>
    <t>29 Avenue W</t>
  </si>
  <si>
    <t>1040 Park Pl</t>
  </si>
  <si>
    <t>185 Nevins St</t>
  </si>
  <si>
    <t>1405 New York Ave</t>
  </si>
  <si>
    <t>505 Howard Ave</t>
  </si>
  <si>
    <t>301 Cumberland St</t>
  </si>
  <si>
    <t>789 Macdonough St</t>
  </si>
  <si>
    <t>2929 W 31st St</t>
  </si>
  <si>
    <t>123 Albany Ave</t>
  </si>
  <si>
    <t>78 Havemeyer St</t>
  </si>
  <si>
    <t>1381 E 105th St</t>
  </si>
  <si>
    <t>15 Bay 37th St</t>
  </si>
  <si>
    <t>274 Malcolm X Blvd</t>
  </si>
  <si>
    <t>124 Humboldt St</t>
  </si>
  <si>
    <t>2356 Bragg St</t>
  </si>
  <si>
    <t>818 Bergen St</t>
  </si>
  <si>
    <t>333 Mcdonald Ave</t>
  </si>
  <si>
    <t>333 McDonald Ave</t>
  </si>
  <si>
    <t>333 New Lots Avenue</t>
  </si>
  <si>
    <t>130 Moore St</t>
  </si>
  <si>
    <t>1372 New York Ave</t>
  </si>
  <si>
    <t>Van Sicklen Street</t>
  </si>
  <si>
    <t>1084 New York Ave</t>
  </si>
  <si>
    <t>639 Union St</t>
  </si>
  <si>
    <t>579 Grand Ave</t>
  </si>
  <si>
    <t>490 Myrtle Ave</t>
  </si>
  <si>
    <t>2220 W 11th St</t>
  </si>
  <si>
    <t>220 Troutman St</t>
  </si>
  <si>
    <t>644 E 89th St</t>
  </si>
  <si>
    <t>570 E 26th street</t>
  </si>
  <si>
    <t>425 61st St</t>
  </si>
  <si>
    <t>340 E 5th St</t>
  </si>
  <si>
    <t>815 Eats 14th Street</t>
  </si>
  <si>
    <t>295 Washington Ave</t>
  </si>
  <si>
    <t>218 Gates Ave</t>
  </si>
  <si>
    <t>910 Dekalb Ave</t>
  </si>
  <si>
    <t>285 E 35th St</t>
  </si>
  <si>
    <t>346 Montgomery St</t>
  </si>
  <si>
    <t>940 Gates Ave</t>
  </si>
  <si>
    <t>828 Midwood St</t>
  </si>
  <si>
    <t>100 Marine Ave</t>
  </si>
  <si>
    <t>130 3rd Ave</t>
  </si>
  <si>
    <t>8200 Bay Pkwy</t>
  </si>
  <si>
    <t>1506 Avenue L</t>
  </si>
  <si>
    <t>995 Gates Ave</t>
  </si>
  <si>
    <t>2045 Rockaway Pkwy</t>
  </si>
  <si>
    <t>1710 Union St</t>
  </si>
  <si>
    <t>3727 86th St</t>
  </si>
  <si>
    <t>14964 256th St</t>
  </si>
  <si>
    <t>16928 110th Rd</t>
  </si>
  <si>
    <t>8202 Rockaway Beach Blvd</t>
  </si>
  <si>
    <t>8105 Rockaway Beach Blvd</t>
  </si>
  <si>
    <t>5512 111th St</t>
  </si>
  <si>
    <t>9163 85th St</t>
  </si>
  <si>
    <t>3165 29th St</t>
  </si>
  <si>
    <t>3920 Greenpoint Ave</t>
  </si>
  <si>
    <t>15046 72nd Dr</t>
  </si>
  <si>
    <t>4102 12th St</t>
  </si>
  <si>
    <t>5933 59th Dr</t>
  </si>
  <si>
    <t>11469 208th St</t>
  </si>
  <si>
    <t>10610 Atlantic Ave</t>
  </si>
  <si>
    <t>3234 95h Street</t>
  </si>
  <si>
    <t>3221 34th St</t>
  </si>
  <si>
    <t>10312 112th St</t>
  </si>
  <si>
    <t>8434 60th Ave</t>
  </si>
  <si>
    <t>7508 Jamaica Ave</t>
  </si>
  <si>
    <t>3308 84th St</t>
  </si>
  <si>
    <t>10511 Inwood St</t>
  </si>
  <si>
    <t>3519 99th St</t>
  </si>
  <si>
    <t>9815 Horace Harding Expy</t>
  </si>
  <si>
    <t>6550 Wetherole St</t>
  </si>
  <si>
    <t>13534 116th St</t>
  </si>
  <si>
    <t>11803 Farmers Blvd</t>
  </si>
  <si>
    <t>3725 98th St</t>
  </si>
  <si>
    <t>17404 110th Ave</t>
  </si>
  <si>
    <t>4036 67th St</t>
  </si>
  <si>
    <t>9263 240th St</t>
  </si>
  <si>
    <t>11040 207th St</t>
  </si>
  <si>
    <t>8824 Merrick Blvd</t>
  </si>
  <si>
    <t>15910 71st Ave</t>
  </si>
  <si>
    <t>5337 97th St</t>
  </si>
  <si>
    <t>133-08 41st Ave</t>
  </si>
  <si>
    <t>8511 87th St</t>
  </si>
  <si>
    <t>4333 48th St</t>
  </si>
  <si>
    <t>4103 Vernon Blvd</t>
  </si>
  <si>
    <t>1468 Beach Channel Dr</t>
  </si>
  <si>
    <t>10249 43rd Ave</t>
  </si>
  <si>
    <t>68-10 Grand Avenue</t>
  </si>
  <si>
    <t>3072 45th St</t>
  </si>
  <si>
    <t>171 Beach 91st St</t>
  </si>
  <si>
    <t>9160 193rd St</t>
  </si>
  <si>
    <t>3917 Woodside Ave</t>
  </si>
  <si>
    <t>120 Astoria Blvd</t>
  </si>
  <si>
    <t>4006 10th St</t>
  </si>
  <si>
    <t>11605 Francis Lewis Blvd</t>
  </si>
  <si>
    <t>10930 Francis Lewis Blvd</t>
  </si>
  <si>
    <t>2330 Newtown Ave</t>
  </si>
  <si>
    <t>11369 Springfield Blvd</t>
  </si>
  <si>
    <t>32-2 28th Avenue</t>
  </si>
  <si>
    <t>9728 Linden Blvd</t>
  </si>
  <si>
    <t>18825 Keeseville Ave</t>
  </si>
  <si>
    <t>13257 Sanford Ave</t>
  </si>
  <si>
    <t>14050 Ash Ave</t>
  </si>
  <si>
    <t>9010 34th Ave</t>
  </si>
  <si>
    <t>1215 36th Ave</t>
  </si>
  <si>
    <t>11428 211th St</t>
  </si>
  <si>
    <t>16840 Jamaica Ave</t>
  </si>
  <si>
    <t>4850 38th St</t>
  </si>
  <si>
    <t>10632 98th St</t>
  </si>
  <si>
    <t>6729 Kissena Blvd</t>
  </si>
  <si>
    <t>162 Beach 96th St</t>
  </si>
  <si>
    <t>8910 35th Ave</t>
  </si>
  <si>
    <t>3324 77th St</t>
  </si>
  <si>
    <t>10330 126th St</t>
  </si>
  <si>
    <t>15327 73rd Ave</t>
  </si>
  <si>
    <t>6514 Parsons Blvd</t>
  </si>
  <si>
    <t>942 College Point Blvd</t>
  </si>
  <si>
    <t>8412 Rockaway Beach Blvd</t>
  </si>
  <si>
    <t>8023 235th St</t>
  </si>
  <si>
    <t>9010 150th St</t>
  </si>
  <si>
    <t>5906a 38th Ave</t>
  </si>
  <si>
    <t>9835 57th Ave</t>
  </si>
  <si>
    <t>10433 142nd St</t>
  </si>
  <si>
    <t>4148 40th St</t>
  </si>
  <si>
    <t>11306 Sutphin Blvd</t>
  </si>
  <si>
    <t>3123 56th St</t>
  </si>
  <si>
    <t>10404 Jamaica Ave</t>
  </si>
  <si>
    <t>9511 90th St</t>
  </si>
  <si>
    <t>14401 Lakewood Ave</t>
  </si>
  <si>
    <t>10910 Park Ln S</t>
  </si>
  <si>
    <t>6520 Parsons Blvd</t>
  </si>
  <si>
    <t>410 Beach Ave</t>
  </si>
  <si>
    <t>2130 35th Ave</t>
  </si>
  <si>
    <t>11514 Rockaway Blvd</t>
  </si>
  <si>
    <t>12619 Inwood St</t>
  </si>
  <si>
    <t>14643 105th Ave</t>
  </si>
  <si>
    <t>8357 118th St</t>
  </si>
  <si>
    <t>13538 123rd St</t>
  </si>
  <si>
    <t>206 Astoria Blvd</t>
  </si>
  <si>
    <t>6129 56th St</t>
  </si>
  <si>
    <t>99-19 66th rd</t>
  </si>
  <si>
    <t>5928 Xenia St</t>
  </si>
  <si>
    <t>10929 Sutphin Blvd</t>
  </si>
  <si>
    <t>5238 69th St</t>
  </si>
  <si>
    <t>4122 45th St</t>
  </si>
  <si>
    <t>15009 88th Ave</t>
  </si>
  <si>
    <t>5231 39th Rd</t>
  </si>
  <si>
    <t>2112 23rd St</t>
  </si>
  <si>
    <t>4135 149th St</t>
  </si>
  <si>
    <t>612 125th St</t>
  </si>
  <si>
    <t>5611 94th St</t>
  </si>
  <si>
    <t>13929 229th St</t>
  </si>
  <si>
    <t>12911 Jamaica Ave</t>
  </si>
  <si>
    <t>5835 Granger St</t>
  </si>
  <si>
    <t>College Point Blvd</t>
  </si>
  <si>
    <t>6935 166th St</t>
  </si>
  <si>
    <t>11015 Rockaway Blvd</t>
  </si>
  <si>
    <t>10519 34th Ave</t>
  </si>
  <si>
    <t>3622 53rd Avenue</t>
  </si>
  <si>
    <t>13905 85th Dr</t>
  </si>
  <si>
    <t>9523 92nd St</t>
  </si>
  <si>
    <t>123-12197th st</t>
  </si>
  <si>
    <t>12312 197th St</t>
  </si>
  <si>
    <t>8004 Austin St</t>
  </si>
  <si>
    <t>5045 48th St</t>
  </si>
  <si>
    <t>3555 73rd St</t>
  </si>
  <si>
    <t>14647 107th Ave</t>
  </si>
  <si>
    <t>6740 Parsons Blvd</t>
  </si>
  <si>
    <t>2911 Butler St</t>
  </si>
  <si>
    <t>7814 90th Rd</t>
  </si>
  <si>
    <t>3219 81st St</t>
  </si>
  <si>
    <t>14323 Ferndale Ave</t>
  </si>
  <si>
    <t>4415 54th Ave</t>
  </si>
  <si>
    <t>6546 160th St</t>
  </si>
  <si>
    <t>23712 92nd Rd</t>
  </si>
  <si>
    <t>2540 23rd St</t>
  </si>
  <si>
    <t>14018 Rockaway Blvd</t>
  </si>
  <si>
    <t>12703 Jamaica Ave</t>
  </si>
  <si>
    <t>8334 Lefferts Blvd</t>
  </si>
  <si>
    <t>8611 103rd Ave</t>
  </si>
  <si>
    <t>14711 71st Rd</t>
  </si>
  <si>
    <t>24132 86th Rd</t>
  </si>
  <si>
    <t>8844 161st St</t>
  </si>
  <si>
    <t>12118 Farmers Blvd</t>
  </si>
  <si>
    <t>1845 26th rd</t>
  </si>
  <si>
    <t>6210 99th St</t>
  </si>
  <si>
    <t>3244 Steinway St</t>
  </si>
  <si>
    <t>14570 220th St</t>
  </si>
  <si>
    <t>10421 48th Ave</t>
  </si>
  <si>
    <t>20218 43rd Ave</t>
  </si>
  <si>
    <t>8602 Park Ln S</t>
  </si>
  <si>
    <t>7140 160th St</t>
  </si>
  <si>
    <t>24020 Caney Rd</t>
  </si>
  <si>
    <t>19903 116th Ave</t>
  </si>
  <si>
    <t>147-07 72rd</t>
  </si>
  <si>
    <t>2915 Astoria Blvd</t>
  </si>
  <si>
    <t>11228 196th St</t>
  </si>
  <si>
    <t>15511 71st Ave</t>
  </si>
  <si>
    <t>9034 171st St</t>
  </si>
  <si>
    <t>8810 178th St</t>
  </si>
  <si>
    <t>9012 187th St</t>
  </si>
  <si>
    <t>9030 212th pl</t>
  </si>
  <si>
    <t>16224 88th St</t>
  </si>
  <si>
    <t>22414 B 67th Ave</t>
  </si>
  <si>
    <t>3439 69th St</t>
  </si>
  <si>
    <t>7305 52nd Rd</t>
  </si>
  <si>
    <t>14015 Holly Ave</t>
  </si>
  <si>
    <t>304 27th Ave</t>
  </si>
  <si>
    <t>7909 153rd Ave</t>
  </si>
  <si>
    <t>10218 Strong Ave</t>
  </si>
  <si>
    <t>22823 Mentone Ave</t>
  </si>
  <si>
    <t>9036 149th St</t>
  </si>
  <si>
    <t>22129 90th Ave</t>
  </si>
  <si>
    <t>9722 103rd St</t>
  </si>
  <si>
    <t>4806 Broadway</t>
  </si>
  <si>
    <t>10416 Liberty Ave</t>
  </si>
  <si>
    <t>13501 Crossbay Blvd</t>
  </si>
  <si>
    <t>9406 34th Ave</t>
  </si>
  <si>
    <t>8809 148th St</t>
  </si>
  <si>
    <t>9415 75th St</t>
  </si>
  <si>
    <t>7114 Parsons Blvd</t>
  </si>
  <si>
    <t>8029 Jamaica Ave</t>
  </si>
  <si>
    <t>2043 20TH St</t>
  </si>
  <si>
    <t>10166 123rd St</t>
  </si>
  <si>
    <t>109 99 141th st</t>
  </si>
  <si>
    <t>226 Beach 98th St</t>
  </si>
  <si>
    <t>6060 60th Rd</t>
  </si>
  <si>
    <t>2151 35th Ave</t>
  </si>
  <si>
    <t>12164 238th St</t>
  </si>
  <si>
    <t>3352 85th St</t>
  </si>
  <si>
    <t>6901 35th Ave</t>
  </si>
  <si>
    <t>3544 75th St</t>
  </si>
  <si>
    <t>108 E 6th Rd</t>
  </si>
  <si>
    <t>8802 Rockaway Beach Blvd</t>
  </si>
  <si>
    <t>6921 Burchell Ave</t>
  </si>
  <si>
    <t>13901 Archer Ave</t>
  </si>
  <si>
    <t>14202 84th Dr</t>
  </si>
  <si>
    <t>10636 156th St</t>
  </si>
  <si>
    <t>16320 108th Ave</t>
  </si>
  <si>
    <t>8850 179th St</t>
  </si>
  <si>
    <t>8035 Springfield Blvd</t>
  </si>
  <si>
    <t>8720 109th St</t>
  </si>
  <si>
    <t>4116 51st St</t>
  </si>
  <si>
    <t>8050 Baxter Ave</t>
  </si>
  <si>
    <t>3755 79th St</t>
  </si>
  <si>
    <t>3422 105th St</t>
  </si>
  <si>
    <t>22482 Horace Harding Expy</t>
  </si>
  <si>
    <t>20920 18th Ave</t>
  </si>
  <si>
    <t>4339 158th St</t>
  </si>
  <si>
    <t>1913 23rd Dr</t>
  </si>
  <si>
    <t>3415 74th St</t>
  </si>
  <si>
    <t>10736 Merrick Blvd</t>
  </si>
  <si>
    <t>3415 12th St</t>
  </si>
  <si>
    <t>67-35 Kissena Bouleevard</t>
  </si>
  <si>
    <t>11738 141st St</t>
  </si>
  <si>
    <t>15028 122nd Ave</t>
  </si>
  <si>
    <t>13316 131st St</t>
  </si>
  <si>
    <t>8415 86th St</t>
  </si>
  <si>
    <t>23107 148th Ave</t>
  </si>
  <si>
    <t>5505 103rd St</t>
  </si>
  <si>
    <t>99-05 63rd Drive, 9F</t>
  </si>
  <si>
    <t>18620 Jordan Ave</t>
  </si>
  <si>
    <t>1830 121st St</t>
  </si>
  <si>
    <t>4847 47th St</t>
  </si>
  <si>
    <t>13708 Westgate St</t>
  </si>
  <si>
    <t>8704 Avon St</t>
  </si>
  <si>
    <t>9722 57th Ave</t>
  </si>
  <si>
    <t>7020 Parsons Blvd</t>
  </si>
  <si>
    <t>10212 184th St</t>
  </si>
  <si>
    <t>14642 Lakewood Ave</t>
  </si>
  <si>
    <t>8915 218th Pl</t>
  </si>
  <si>
    <t>2124 Crescent St</t>
  </si>
  <si>
    <t>9531 90th St</t>
  </si>
  <si>
    <t>12360 83rd Ave</t>
  </si>
  <si>
    <t>8743 86th St</t>
  </si>
  <si>
    <t>10333 116th St</t>
  </si>
  <si>
    <t>408 Beach 25th St</t>
  </si>
  <si>
    <t>9319 197th St</t>
  </si>
  <si>
    <t>3538 94th St</t>
  </si>
  <si>
    <t>10515 79th St</t>
  </si>
  <si>
    <t>6704 Parsons Blvd</t>
  </si>
  <si>
    <t>4720 48th St</t>
  </si>
  <si>
    <t>204 Astoria Blvd</t>
  </si>
  <si>
    <t>188 Beach 97th St</t>
  </si>
  <si>
    <t>11604 Liberty Ave</t>
  </si>
  <si>
    <t>88-09 149th Street</t>
  </si>
  <si>
    <t>22122 105th Ave</t>
  </si>
  <si>
    <t>146-23 228th st</t>
  </si>
  <si>
    <t>44 Church St</t>
  </si>
  <si>
    <t>4746 98th Pl</t>
  </si>
  <si>
    <t>5417 43rd St</t>
  </si>
  <si>
    <t>8670 Francis Lewis Blvd</t>
  </si>
  <si>
    <t>125-60 Suphin Boulevard</t>
  </si>
  <si>
    <t>21883 Hempstead Ave</t>
  </si>
  <si>
    <t>15035 118th Ave</t>
  </si>
  <si>
    <t>15476 71st Ave</t>
  </si>
  <si>
    <t>4213 28th Ave</t>
  </si>
  <si>
    <t>18716 Mangin Ave</t>
  </si>
  <si>
    <t>10716 122nd St</t>
  </si>
  <si>
    <t>9825 64th Rd</t>
  </si>
  <si>
    <t>10114 134th St</t>
  </si>
  <si>
    <t>9427 77th St</t>
  </si>
  <si>
    <t>2516 87th St</t>
  </si>
  <si>
    <t>413 Beach 44th St</t>
  </si>
  <si>
    <t>8396 118th st</t>
  </si>
  <si>
    <t>7403 Myrtle Ave</t>
  </si>
  <si>
    <t>8333 118th St</t>
  </si>
  <si>
    <t>4215 43rd Ave</t>
  </si>
  <si>
    <t>14814 90th Ave</t>
  </si>
  <si>
    <t>6446 Madison St</t>
  </si>
  <si>
    <t>9150 195th St</t>
  </si>
  <si>
    <t>10824 174th St</t>
  </si>
  <si>
    <t>8415 109th Ave</t>
  </si>
  <si>
    <t>21620 110th Rd</t>
  </si>
  <si>
    <t>13503 Hawtree St</t>
  </si>
  <si>
    <t>4346 69th St</t>
  </si>
  <si>
    <t>3421 21st St</t>
  </si>
  <si>
    <t>8501 101st St</t>
  </si>
  <si>
    <t>13224 Maple Ave</t>
  </si>
  <si>
    <t>25965 148th Ave</t>
  </si>
  <si>
    <t>9710 Northern Blvd</t>
  </si>
  <si>
    <t>21253 Jamaica Ave</t>
  </si>
  <si>
    <t>10702 Merrick Blvd</t>
  </si>
  <si>
    <t>1243 117th St</t>
  </si>
  <si>
    <t>19524 Jamaica Ave</t>
  </si>
  <si>
    <t>14137 Pershing Cres</t>
  </si>
  <si>
    <t>1520 College Point Blvd</t>
  </si>
  <si>
    <t>5155 Van Kleeck St</t>
  </si>
  <si>
    <t>9711 Horace Harding Expy</t>
  </si>
  <si>
    <t>11640 Guy R Brewer Blvd</t>
  </si>
  <si>
    <t>4721 98th Pl</t>
  </si>
  <si>
    <t>11723 203rd St</t>
  </si>
  <si>
    <t>12365 147th St</t>
  </si>
  <si>
    <t>14212 56th Rd</t>
  </si>
  <si>
    <t>1351 Boston Rd</t>
  </si>
  <si>
    <t>8508 Aspen Pl</t>
  </si>
  <si>
    <t>3335 81st St</t>
  </si>
  <si>
    <t>9610 57th Ave</t>
  </si>
  <si>
    <t>14624 58th RD</t>
  </si>
  <si>
    <t>15016 72nd Rd</t>
  </si>
  <si>
    <t>9138 Lefferts Blvd</t>
  </si>
  <si>
    <t>2314 28th St</t>
  </si>
  <si>
    <t>6717 Kissena Blvd</t>
  </si>
  <si>
    <t>10615 217th St</t>
  </si>
  <si>
    <t>424 Astoria Blvd</t>
  </si>
  <si>
    <t>15702 59th Ave</t>
  </si>
  <si>
    <t>8435 62nd Dr</t>
  </si>
  <si>
    <t>1894 CORNELIA ST</t>
  </si>
  <si>
    <t>11512 168th St</t>
  </si>
  <si>
    <t>11126 106th St</t>
  </si>
  <si>
    <t>10919 96th St</t>
  </si>
  <si>
    <t>11021 Northern Blvd</t>
  </si>
  <si>
    <t>5102 67th St</t>
  </si>
  <si>
    <t>3314 102nd St</t>
  </si>
  <si>
    <t>7711 Park Dr E</t>
  </si>
  <si>
    <t>11919 Inwood St</t>
  </si>
  <si>
    <t>14661 Shore Ave</t>
  </si>
  <si>
    <t>11148B Lefferts Boulevard</t>
  </si>
  <si>
    <t>10601 79th St</t>
  </si>
  <si>
    <t>8818 150th St</t>
  </si>
  <si>
    <t>6314 Woodhaven Blvd</t>
  </si>
  <si>
    <t>10446 43rd Ave</t>
  </si>
  <si>
    <t>192-15A 69thAve</t>
  </si>
  <si>
    <t>10850 171st Pl</t>
  </si>
  <si>
    <t>11155 77th Ave</t>
  </si>
  <si>
    <t>4710 48th Ave</t>
  </si>
  <si>
    <t>10343 107th St</t>
  </si>
  <si>
    <t>150-29 Forch Blvd</t>
  </si>
  <si>
    <t>16909 Jamaica Ave</t>
  </si>
  <si>
    <t>14235 231st St</t>
  </si>
  <si>
    <t>10019 204th St</t>
  </si>
  <si>
    <t>95-18 111 street</t>
  </si>
  <si>
    <t>13425 Franklin Ave</t>
  </si>
  <si>
    <t>21709 120th Ave</t>
  </si>
  <si>
    <t>19912 Hollis Ave</t>
  </si>
  <si>
    <t>4718 46th St</t>
  </si>
  <si>
    <t>2162 80th St</t>
  </si>
  <si>
    <t>14027 183rd St</t>
  </si>
  <si>
    <t>4129 53rd St</t>
  </si>
  <si>
    <t>3404 24th St</t>
  </si>
  <si>
    <t>4601 67th St</t>
  </si>
  <si>
    <t>37-34 Parsons Blvd</t>
  </si>
  <si>
    <t>9727 117th St</t>
  </si>
  <si>
    <t>9011 149th St</t>
  </si>
  <si>
    <t>22289 Braddock Ave</t>
  </si>
  <si>
    <t>4726 44th St</t>
  </si>
  <si>
    <t>9161 B 193rd St</t>
  </si>
  <si>
    <t>3015 34th Ave</t>
  </si>
  <si>
    <t>10932 Lefferts Blvd</t>
  </si>
  <si>
    <t>11119 43rd Ave</t>
  </si>
  <si>
    <t>18310 144th Ave</t>
  </si>
  <si>
    <t>5829 Van Cleef St</t>
  </si>
  <si>
    <t>3168 47th St</t>
  </si>
  <si>
    <t>30-43 33red st</t>
  </si>
  <si>
    <t>6009 Metropolitan Ave</t>
  </si>
  <si>
    <t>11417 166th St</t>
  </si>
  <si>
    <t>12008 Farmers Blvd</t>
  </si>
  <si>
    <t>8793 109th St</t>
  </si>
  <si>
    <t>11627 Newburgh St</t>
  </si>
  <si>
    <t>10460 Queens Blvd</t>
  </si>
  <si>
    <t>12416 84th Rd</t>
  </si>
  <si>
    <t>3633 29th St</t>
  </si>
  <si>
    <t>3458 90th St</t>
  </si>
  <si>
    <t>1715 Gates Ave</t>
  </si>
  <si>
    <t>9010 Winchester Blvd</t>
  </si>
  <si>
    <t>1817 Bleecker St</t>
  </si>
  <si>
    <t>19302 99th Ave</t>
  </si>
  <si>
    <t>4524 39th Pl</t>
  </si>
  <si>
    <t>13445 166th Pl</t>
  </si>
  <si>
    <t>540 E 169th St</t>
  </si>
  <si>
    <t>600 Baychester Ave</t>
  </si>
  <si>
    <t>2280 Randall Ave</t>
  </si>
  <si>
    <t>2120 Randall Ave</t>
  </si>
  <si>
    <t>1618 Benson St</t>
  </si>
  <si>
    <t>3535 Rochambeau ave</t>
  </si>
  <si>
    <t>1921 Hobart Ave</t>
  </si>
  <si>
    <t>993 Union Ave</t>
  </si>
  <si>
    <t>710 Noble Ave</t>
  </si>
  <si>
    <t>800 Freeman St</t>
  </si>
  <si>
    <t>1202 Noble Ave</t>
  </si>
  <si>
    <t>3980 Orloff Ave</t>
  </si>
  <si>
    <t>1106 Morris Ave</t>
  </si>
  <si>
    <t>92 W Tremont Ave</t>
  </si>
  <si>
    <t>673 Beck St</t>
  </si>
  <si>
    <t>18a Broun Pl</t>
  </si>
  <si>
    <t>1635 Mahan Ave</t>
  </si>
  <si>
    <t>455 E 148th St</t>
  </si>
  <si>
    <t>428 E 137th St</t>
  </si>
  <si>
    <t>311 Bedford Park Blvd</t>
  </si>
  <si>
    <t>600 Trinity Ave</t>
  </si>
  <si>
    <t>1180 Anderson Ave</t>
  </si>
  <si>
    <t>2929 Bainbridge Ave</t>
  </si>
  <si>
    <t>220 E 204th St</t>
  </si>
  <si>
    <t>2277 Andrews Ave</t>
  </si>
  <si>
    <t>2985 Webster Ave Apt 3</t>
  </si>
  <si>
    <t>3317 Seymour Ave</t>
  </si>
  <si>
    <t>324 E 143rd St</t>
  </si>
  <si>
    <t>576 Timpson Pl</t>
  </si>
  <si>
    <t>1971 Grand Ave</t>
  </si>
  <si>
    <t>1990 Gleason Ave</t>
  </si>
  <si>
    <t>400 E 147th St</t>
  </si>
  <si>
    <t>3125 Park Ave</t>
  </si>
  <si>
    <t>1669 Grand Ave</t>
  </si>
  <si>
    <t>225 Mcclellan St</t>
  </si>
  <si>
    <t>1437 Leland Ave</t>
  </si>
  <si>
    <t>655 E 228th St</t>
  </si>
  <si>
    <t>994 Intervale Ave</t>
  </si>
  <si>
    <t>820 E 180th St</t>
  </si>
  <si>
    <t>855 E 178th St</t>
  </si>
  <si>
    <t>1130 Boynton Ave</t>
  </si>
  <si>
    <t>2734 Kingsbridge Ter</t>
  </si>
  <si>
    <t>1020 Boynton AVe</t>
  </si>
  <si>
    <t>1114 Morris Ave</t>
  </si>
  <si>
    <t>2881 Heath Ave</t>
  </si>
  <si>
    <t>800 E 160th st</t>
  </si>
  <si>
    <t>1358 Washington Ave</t>
  </si>
  <si>
    <t>1141 E 224th St</t>
  </si>
  <si>
    <t>342 E 146th St</t>
  </si>
  <si>
    <t>135 Elliot Pl</t>
  </si>
  <si>
    <t>860 Bryant Ave</t>
  </si>
  <si>
    <t>956 Leggett Ave</t>
  </si>
  <si>
    <t>750 E 166th St</t>
  </si>
  <si>
    <t>399 E 160th st</t>
  </si>
  <si>
    <t>2390 Tiebout Ave</t>
  </si>
  <si>
    <t>857 Rev James A Polite Ave</t>
  </si>
  <si>
    <t>1640 Macombs Rd</t>
  </si>
  <si>
    <t>2878 Harrington Ave</t>
  </si>
  <si>
    <t>1544 Boone Ave</t>
  </si>
  <si>
    <t>1904 Loring Pl S</t>
  </si>
  <si>
    <t>6200 Riverdale Ave</t>
  </si>
  <si>
    <t>2025 Seward Ave</t>
  </si>
  <si>
    <t>502 E 189th St</t>
  </si>
  <si>
    <t>1012 Garrison Ave</t>
  </si>
  <si>
    <t>984 Bronx Park S</t>
  </si>
  <si>
    <t>1027 E 227th St</t>
  </si>
  <si>
    <t>796 Courtlandt Ave</t>
  </si>
  <si>
    <t>2330 Valentine Ave</t>
  </si>
  <si>
    <t>1230 Teller Ave</t>
  </si>
  <si>
    <t>950 Union Ave</t>
  </si>
  <si>
    <t>3034 Grand Concourse</t>
  </si>
  <si>
    <t>1005 Walton Ave</t>
  </si>
  <si>
    <t>1400 Jesup Ave</t>
  </si>
  <si>
    <t>4350 Furman Ave</t>
  </si>
  <si>
    <t>994 E 180th St</t>
  </si>
  <si>
    <t>1640 Grand Ave</t>
  </si>
  <si>
    <t>3000 Marion Ave</t>
  </si>
  <si>
    <t>1806 Vyse Ave</t>
  </si>
  <si>
    <t>2067 Vyse Ave</t>
  </si>
  <si>
    <t>3160 Park Ave</t>
  </si>
  <si>
    <t>1710 Vyse Ave</t>
  </si>
  <si>
    <t>955 Walton Ave</t>
  </si>
  <si>
    <t>328 Beekman Ave</t>
  </si>
  <si>
    <t>1467 Taylor Ave</t>
  </si>
  <si>
    <t>4448 Furman Ave</t>
  </si>
  <si>
    <t>2123 Boston Rd</t>
  </si>
  <si>
    <t>190 W Burnside Ave</t>
  </si>
  <si>
    <t>3135 Park Ave</t>
  </si>
  <si>
    <t>2015 Grand Ave</t>
  </si>
  <si>
    <t>1121 Teller Ave</t>
  </si>
  <si>
    <t>1695 Hoe Ave</t>
  </si>
  <si>
    <t>340 E 194th St</t>
  </si>
  <si>
    <t>1094 Longfellow Ave</t>
  </si>
  <si>
    <t>315 E 166th St</t>
  </si>
  <si>
    <t>3324 Kingsbridge Ave</t>
  </si>
  <si>
    <t>750 Bryant Ave</t>
  </si>
  <si>
    <t>1214 Sheridan Ave</t>
  </si>
  <si>
    <t>970 E 231st St</t>
  </si>
  <si>
    <t>592 E 141st St</t>
  </si>
  <si>
    <t>1060 Leland Ave</t>
  </si>
  <si>
    <t>974 Anderson Ave</t>
  </si>
  <si>
    <t>679 E 223rd St</t>
  </si>
  <si>
    <t>766 Fox St</t>
  </si>
  <si>
    <t>2443 Cambreleng Ave</t>
  </si>
  <si>
    <t>1037 Avenue St. John</t>
  </si>
  <si>
    <t>508 Morris Park Ave</t>
  </si>
  <si>
    <t>2095 Daly Ave</t>
  </si>
  <si>
    <t>535 E 147th St</t>
  </si>
  <si>
    <t>1327 Southern Blvd</t>
  </si>
  <si>
    <t>1210 Croes Ave</t>
  </si>
  <si>
    <t>1175 Findlay Ave</t>
  </si>
  <si>
    <t>435 E 146th St</t>
  </si>
  <si>
    <t>283 Cypress Ave</t>
  </si>
  <si>
    <t>822 Faile st</t>
  </si>
  <si>
    <t>778 Union Ave</t>
  </si>
  <si>
    <t>173-175 East 151st Street</t>
  </si>
  <si>
    <t>1046 E 241st St</t>
  </si>
  <si>
    <t>1680 Pelham Pkwy S</t>
  </si>
  <si>
    <t>1669 Randall Ave</t>
  </si>
  <si>
    <t>731 Gerard Ave</t>
  </si>
  <si>
    <t>721 E 223rd St</t>
  </si>
  <si>
    <t>2833 Briggs Ave</t>
  </si>
  <si>
    <t>1800 Davidson Ave</t>
  </si>
  <si>
    <t>175 Alexander Ave</t>
  </si>
  <si>
    <t>300 E 143rd St</t>
  </si>
  <si>
    <t>5550 Fieldston Rd</t>
  </si>
  <si>
    <t>131 W 170th St</t>
  </si>
  <si>
    <t>630 Concord Ave</t>
  </si>
  <si>
    <t>1485 Macombs Rd</t>
  </si>
  <si>
    <t>1038 E 226th St</t>
  </si>
  <si>
    <t>964 E 229th St</t>
  </si>
  <si>
    <t>797 Crotona Park N</t>
  </si>
  <si>
    <t>365 e. 183 rd st</t>
  </si>
  <si>
    <t>777 Mace Ave</t>
  </si>
  <si>
    <t>1118 Westchester Ave</t>
  </si>
  <si>
    <t>2311 Crotona Ave</t>
  </si>
  <si>
    <t>221 W 233rd St</t>
  </si>
  <si>
    <t>80 Van Cortlandt Park S</t>
  </si>
  <si>
    <t>960 Sherman Ave</t>
  </si>
  <si>
    <t>4728 Bronx Blvd</t>
  </si>
  <si>
    <t>1731 Harrison Ave</t>
  </si>
  <si>
    <t>1414 Crotona Park E</t>
  </si>
  <si>
    <t>2075 Boston Rd</t>
  </si>
  <si>
    <t>1469 Fulton Ave</t>
  </si>
  <si>
    <t>1769 Vyse Ave</t>
  </si>
  <si>
    <t>576 E 165th St</t>
  </si>
  <si>
    <t>1500 Hoe Ave</t>
  </si>
  <si>
    <t>711 E 218th St</t>
  </si>
  <si>
    <t>355 E 184th St</t>
  </si>
  <si>
    <t>2095 Mohegan Ave</t>
  </si>
  <si>
    <t>3064 Bailey Ave</t>
  </si>
  <si>
    <t>1334 Louis Nine Blvd</t>
  </si>
  <si>
    <t>1925 Harrison Ave</t>
  </si>
  <si>
    <t>3441 Fish ave</t>
  </si>
  <si>
    <t>1710 Andrews Ave</t>
  </si>
  <si>
    <t>3805 Review Pl</t>
  </si>
  <si>
    <t>1975 Grand Ave</t>
  </si>
  <si>
    <t>1687 Hoe Ave</t>
  </si>
  <si>
    <t>744 Coster St</t>
  </si>
  <si>
    <t>2802 Grand Concourse</t>
  </si>
  <si>
    <t>725 Southern Blvd</t>
  </si>
  <si>
    <t>785 E Tremont Ave</t>
  </si>
  <si>
    <t>156 E 178th St</t>
  </si>
  <si>
    <t>800 Soundview Ave</t>
  </si>
  <si>
    <t>3990 Bronx Blvd</t>
  </si>
  <si>
    <t>2794 Valentine Ave</t>
  </si>
  <si>
    <t>3915 Carpenter Ave</t>
  </si>
  <si>
    <t>1020 Boynton Ave</t>
  </si>
  <si>
    <t>243 E 237th St</t>
  </si>
  <si>
    <t>1357 Plimpton Ave</t>
  </si>
  <si>
    <t>775 Concourse Vlg E</t>
  </si>
  <si>
    <t>1670 Boston Rd</t>
  </si>
  <si>
    <t>1271 Noble Ave</t>
  </si>
  <si>
    <t>864 Hewitt Pl</t>
  </si>
  <si>
    <t>1514 Townsend Ave</t>
  </si>
  <si>
    <t>390 E 153rd St</t>
  </si>
  <si>
    <t>350 Saint Anns Ave</t>
  </si>
  <si>
    <t>1432 Croes Ave</t>
  </si>
  <si>
    <t>1765 Seward Ave</t>
  </si>
  <si>
    <t>2334 Washington Ave</t>
  </si>
  <si>
    <t>64 Clinton Place</t>
  </si>
  <si>
    <t>800 E 180th St</t>
  </si>
  <si>
    <t>2378 Hoffman St</t>
  </si>
  <si>
    <t>2780 Kingsbridge Ter</t>
  </si>
  <si>
    <t>80 W 170th St</t>
  </si>
  <si>
    <t>331 E 146th St</t>
  </si>
  <si>
    <t>1801 Loring Pl S</t>
  </si>
  <si>
    <t>4140 Carpenter Ave</t>
  </si>
  <si>
    <t>770 Bryant Ave</t>
  </si>
  <si>
    <t>420 E 169th St</t>
  </si>
  <si>
    <t>1975 Davidson Ave</t>
  </si>
  <si>
    <t>805 Fairmount Pl</t>
  </si>
  <si>
    <t>1625 Arnow Ave</t>
  </si>
  <si>
    <t>2103 Honeywell Ave</t>
  </si>
  <si>
    <t>1236 Burke Ave</t>
  </si>
  <si>
    <t>4360 Furman Ave</t>
  </si>
  <si>
    <t>3039 Coddington Ave</t>
  </si>
  <si>
    <t>1100 Sherman Ave</t>
  </si>
  <si>
    <t>411 E 136th St</t>
  </si>
  <si>
    <t>983 E 181st St</t>
  </si>
  <si>
    <t>377 E 152nd St</t>
  </si>
  <si>
    <t>2255 Homer Ave</t>
  </si>
  <si>
    <t>695 E 139th st</t>
  </si>
  <si>
    <t>635 Morris Ave</t>
  </si>
  <si>
    <t>1038 Southern Blvd</t>
  </si>
  <si>
    <t>2720 Grand Concourse</t>
  </si>
  <si>
    <t>880 Bryant Ave</t>
  </si>
  <si>
    <t>1700 Hoe Ave</t>
  </si>
  <si>
    <t>1015 E 179th St</t>
  </si>
  <si>
    <t>3436 Eastchester Rd</t>
  </si>
  <si>
    <t>1232 Spofford Ave</t>
  </si>
  <si>
    <t>500 E 165th St</t>
  </si>
  <si>
    <t>865 Quincy Ave</t>
  </si>
  <si>
    <t>1211 Ogden Ave</t>
  </si>
  <si>
    <t>2119 Colonial Ave</t>
  </si>
  <si>
    <t>550 E 147th St</t>
  </si>
  <si>
    <t>1047 E 227th St</t>
  </si>
  <si>
    <t>2549 Decatur Ave</t>
  </si>
  <si>
    <t>1000 Grand Concourse</t>
  </si>
  <si>
    <t>2015 Creston Ave</t>
  </si>
  <si>
    <t>1690 Watson Ave</t>
  </si>
  <si>
    <t>3855 Orloff Ave</t>
  </si>
  <si>
    <t>428 E 157th st</t>
  </si>
  <si>
    <t>837 Longfellow Ave</t>
  </si>
  <si>
    <t>2543 Bronxwood Ave</t>
  </si>
  <si>
    <t>763 Edison Ave</t>
  </si>
  <si>
    <t>670 Garden Street</t>
  </si>
  <si>
    <t>1061 Teller Ave</t>
  </si>
  <si>
    <t>907 Avenue St. John</t>
  </si>
  <si>
    <t>388 E 141st St</t>
  </si>
  <si>
    <t>235 Cypress Ave</t>
  </si>
  <si>
    <t>1820 Phelan Pl</t>
  </si>
  <si>
    <t>5 Buchanan Pl</t>
  </si>
  <si>
    <t>721 Walton Ave</t>
  </si>
  <si>
    <t>464 Et 159th St</t>
  </si>
  <si>
    <t>365 E 183rd St</t>
  </si>
  <si>
    <t>1105 Jerome Ave</t>
  </si>
  <si>
    <t>946 Sherman Ave</t>
  </si>
  <si>
    <t>2860 Decatur Ave</t>
  </si>
  <si>
    <t>1851 Schieffelin Pl</t>
  </si>
  <si>
    <t>1916 Crotona Ave</t>
  </si>
  <si>
    <t>294 E 162nd St</t>
  </si>
  <si>
    <t>1115 Virginia Ave</t>
  </si>
  <si>
    <t>816 Manida Street</t>
  </si>
  <si>
    <t>1085 Washington Ave</t>
  </si>
  <si>
    <t>425 Claremont Parkway</t>
  </si>
  <si>
    <t>1412 Longfellow Ave</t>
  </si>
  <si>
    <t>745 Fox St</t>
  </si>
  <si>
    <t>790 Grand Concourse</t>
  </si>
  <si>
    <t>1106 W Farms Rd</t>
  </si>
  <si>
    <t>235 E 196th St</t>
  </si>
  <si>
    <t>3320A Fish Ave</t>
  </si>
  <si>
    <t>880 Boynton Ave</t>
  </si>
  <si>
    <t>815 Gerard Ave</t>
  </si>
  <si>
    <t>868 Faile St</t>
  </si>
  <si>
    <t>2322 Grand Ave</t>
  </si>
  <si>
    <t>2696 Marion Ave</t>
  </si>
  <si>
    <t>1245 Stratford Ave</t>
  </si>
  <si>
    <t>1424 Parker Street</t>
  </si>
  <si>
    <t>1480 Popham Ave</t>
  </si>
  <si>
    <t>2065 Creston Ave</t>
  </si>
  <si>
    <t>2414 Belmont Ave</t>
  </si>
  <si>
    <t>175 E 151st St</t>
  </si>
  <si>
    <t>3303 Fenton Avenue</t>
  </si>
  <si>
    <t>987 Union Ave</t>
  </si>
  <si>
    <t>1056 Findlay Ave</t>
  </si>
  <si>
    <t>1294 Grant Ave</t>
  </si>
  <si>
    <t>3038 Hull Avenue</t>
  </si>
  <si>
    <t>36 Bedford Park Boulevard East</t>
  </si>
  <si>
    <t>100 Asch Loop</t>
  </si>
  <si>
    <t>345 Cypress Ave</t>
  </si>
  <si>
    <t>1462 Rosedale Ave</t>
  </si>
  <si>
    <t>4152 Carpenter Avenue</t>
  </si>
  <si>
    <t>4152 Carpenter Ave</t>
  </si>
  <si>
    <t>2280 Andrews Ave</t>
  </si>
  <si>
    <t>721 Tinton Ave</t>
  </si>
  <si>
    <t>1189 Tinton Ave</t>
  </si>
  <si>
    <t>1574 Beach Ave</t>
  </si>
  <si>
    <t>820 Boynton Ave</t>
  </si>
  <si>
    <t>2300 Olinville Avenue</t>
  </si>
  <si>
    <t>2825 Claflin Ave</t>
  </si>
  <si>
    <t>2143 Blackrock Ave</t>
  </si>
  <si>
    <t>1898 Harrison Ave</t>
  </si>
  <si>
    <t>1995 Birchall Ave</t>
  </si>
  <si>
    <t>2055 Anthony Ave</t>
  </si>
  <si>
    <t>1516 Leland Ave</t>
  </si>
  <si>
    <t>1496 Longfellow Avenue</t>
  </si>
  <si>
    <t>751 Walton Ave</t>
  </si>
  <si>
    <t>600 E 141st St</t>
  </si>
  <si>
    <t>1018 E 163rd st</t>
  </si>
  <si>
    <t>2400 Valentine Ave</t>
  </si>
  <si>
    <t>4130 Carpenter Ave</t>
  </si>
  <si>
    <t>929 E 229th St</t>
  </si>
  <si>
    <t>1350 Clay Avenue</t>
  </si>
  <si>
    <t>2911 Barnes Avenue</t>
  </si>
  <si>
    <t>1682 Seward Avenue</t>
  </si>
  <si>
    <t>755 White Plains Rd</t>
  </si>
  <si>
    <t>1950 Andrews Ave</t>
  </si>
  <si>
    <t>4331 Richardson Ave</t>
  </si>
  <si>
    <t>1188 Grand Concourse</t>
  </si>
  <si>
    <t>3950 Bronx Blvd</t>
  </si>
  <si>
    <t>3080 Park Ave</t>
  </si>
  <si>
    <t>186 e 164th st</t>
  </si>
  <si>
    <t>674 E 136th St</t>
  </si>
  <si>
    <t>603 Morris Ave</t>
  </si>
  <si>
    <t>305 E 153rd St</t>
  </si>
  <si>
    <t>3155 Rochambeau Avenue</t>
  </si>
  <si>
    <t>960 Sheridan Ave</t>
  </si>
  <si>
    <t>1590 Undercliff Ave</t>
  </si>
  <si>
    <t>920 E 225th St</t>
  </si>
  <si>
    <t>3482 Wilson Ave</t>
  </si>
  <si>
    <t>3865 Baychester Ave</t>
  </si>
  <si>
    <t>401 Bronx River Ave</t>
  </si>
  <si>
    <t>2555 Bainbridge Ave</t>
  </si>
  <si>
    <t>3039 Wallace Ave</t>
  </si>
  <si>
    <t>710 Croes Ave</t>
  </si>
  <si>
    <t>628 E 141st St</t>
  </si>
  <si>
    <t>1353 Sheridan Ave</t>
  </si>
  <si>
    <t>2084 Morris Ave</t>
  </si>
  <si>
    <t>163 W 170th st</t>
  </si>
  <si>
    <t>1507 Metropolitan Ave</t>
  </si>
  <si>
    <t>1551 Williamsbridge Rd</t>
  </si>
  <si>
    <t>639 E 169th St</t>
  </si>
  <si>
    <t>730 Grand Concourse</t>
  </si>
  <si>
    <t>911 East 219th Street</t>
  </si>
  <si>
    <t>1901 Hennessy Pl</t>
  </si>
  <si>
    <t>2434 Prospect Ave</t>
  </si>
  <si>
    <t>1020 Soundview Ave</t>
  </si>
  <si>
    <t>91 Van Cortlandt Ave</t>
  </si>
  <si>
    <t>4459 Matilda Ave</t>
  </si>
  <si>
    <t>49 W 127th St</t>
  </si>
  <si>
    <t>165 E 112th St</t>
  </si>
  <si>
    <t>180 E 122nd St</t>
  </si>
  <si>
    <t>405 E 92nd St</t>
  </si>
  <si>
    <t>495 W End Ave</t>
  </si>
  <si>
    <t>388 Audubon Ave</t>
  </si>
  <si>
    <t>74 W 103rd St</t>
  </si>
  <si>
    <t>600 W 176th St</t>
  </si>
  <si>
    <t>241 E 115th st</t>
  </si>
  <si>
    <t>240 E 119th St</t>
  </si>
  <si>
    <t>1 Columbus Pl</t>
  </si>
  <si>
    <t>107 Ellwood St</t>
  </si>
  <si>
    <t>77 Columbia St</t>
  </si>
  <si>
    <t>2698 8th Ave</t>
  </si>
  <si>
    <t>460 W 155th St</t>
  </si>
  <si>
    <t>107 W 68th St</t>
  </si>
  <si>
    <t>160 E 48th St</t>
  </si>
  <si>
    <t>617 W 170th St</t>
  </si>
  <si>
    <t>103 W 141st St</t>
  </si>
  <si>
    <t>415 W 25th St</t>
  </si>
  <si>
    <t>1365 Saint Nicholas Ave</t>
  </si>
  <si>
    <t>480 Saint Nicholas Ave</t>
  </si>
  <si>
    <t>235 E 116th St</t>
  </si>
  <si>
    <t>89 Avenue C</t>
  </si>
  <si>
    <t>1900 Lexington Ave</t>
  </si>
  <si>
    <t>558 W 184th St</t>
  </si>
  <si>
    <t>240 W 65th St</t>
  </si>
  <si>
    <t>240 Madison St</t>
  </si>
  <si>
    <t>328 W 15th St</t>
  </si>
  <si>
    <t>120 E 123rd St</t>
  </si>
  <si>
    <t>450 W 42nd St</t>
  </si>
  <si>
    <t>419 W 34th St</t>
  </si>
  <si>
    <t>356 W 145th St</t>
  </si>
  <si>
    <t>215 E 102nd St</t>
  </si>
  <si>
    <t>2395 1st Ave</t>
  </si>
  <si>
    <t>15 Saint James Pl</t>
  </si>
  <si>
    <t>903 E 6th St</t>
  </si>
  <si>
    <t>75 Allen St</t>
  </si>
  <si>
    <t>318 Madison St</t>
  </si>
  <si>
    <t>344 E 28th St</t>
  </si>
  <si>
    <t>560 Lenox Ave</t>
  </si>
  <si>
    <t>3170 Broadway</t>
  </si>
  <si>
    <t>552 W 185th St</t>
  </si>
  <si>
    <t>46 Madison St</t>
  </si>
  <si>
    <t>314 E 100th St</t>
  </si>
  <si>
    <t>10 E 108th St</t>
  </si>
  <si>
    <t>75 W End Ave</t>
  </si>
  <si>
    <t>511 W 177th St</t>
  </si>
  <si>
    <t>60 E 135th St</t>
  </si>
  <si>
    <t>200 W 143rd St</t>
  </si>
  <si>
    <t>1391 2nd Ave</t>
  </si>
  <si>
    <t>2101 Madison Ave</t>
  </si>
  <si>
    <t>263 W 152nd St</t>
  </si>
  <si>
    <t>1751 2nd Ave</t>
  </si>
  <si>
    <t>129 W 147th st</t>
  </si>
  <si>
    <t>160 Madison St</t>
  </si>
  <si>
    <t>2081 2nd Ave</t>
  </si>
  <si>
    <t>583 W 215th St</t>
  </si>
  <si>
    <t>418 W 51st St</t>
  </si>
  <si>
    <t>515 W 159th St</t>
  </si>
  <si>
    <t>143 W 132nd St</t>
  </si>
  <si>
    <t>2253 3rd Ave</t>
  </si>
  <si>
    <t>2844 8th Ave</t>
  </si>
  <si>
    <t>103 E 2nd St</t>
  </si>
  <si>
    <t>18 E 109th St</t>
  </si>
  <si>
    <t>147 W 79th St</t>
  </si>
  <si>
    <t>154 Broome St</t>
  </si>
  <si>
    <t>138 Orchard st</t>
  </si>
  <si>
    <t>60 E 106th St</t>
  </si>
  <si>
    <t>526 W 158th St</t>
  </si>
  <si>
    <t>460 Grand St</t>
  </si>
  <si>
    <t>123 Henry St</t>
  </si>
  <si>
    <t>100 Post Ave</t>
  </si>
  <si>
    <t>290 W 147th St</t>
  </si>
  <si>
    <t>420 W 19th St</t>
  </si>
  <si>
    <t>580 W 161st St</t>
  </si>
  <si>
    <t>159 W 145th St</t>
  </si>
  <si>
    <t>53 E 131st St</t>
  </si>
  <si>
    <t>410 Grand St</t>
  </si>
  <si>
    <t>1867 7th Ave</t>
  </si>
  <si>
    <t>2430 W 111th St</t>
  </si>
  <si>
    <t>765 Riverside Dr</t>
  </si>
  <si>
    <t>301 W 150th St</t>
  </si>
  <si>
    <t>2441 Adam Clayton Powell Jr Blvd</t>
  </si>
  <si>
    <t>26 Madison Street</t>
  </si>
  <si>
    <t>2 E 75th St</t>
  </si>
  <si>
    <t>200 W 146th St</t>
  </si>
  <si>
    <t>567 W 170th St</t>
  </si>
  <si>
    <t>211 W 146th st</t>
  </si>
  <si>
    <t>17 E 124th St</t>
  </si>
  <si>
    <t>188 Ludlow St</t>
  </si>
  <si>
    <t>8 Avenue B # 12</t>
  </si>
  <si>
    <t>288 10th Ave</t>
  </si>
  <si>
    <t>131 W 137th St</t>
  </si>
  <si>
    <t>324 E 74th St</t>
  </si>
  <si>
    <t>215 W 134th St</t>
  </si>
  <si>
    <t>273 W 131st St</t>
  </si>
  <si>
    <t>2204 8th Ave</t>
  </si>
  <si>
    <t>1850 Lexington Ave</t>
  </si>
  <si>
    <t>229 Cherry St</t>
  </si>
  <si>
    <t>40 W 135th St</t>
  </si>
  <si>
    <t>364 Madison St</t>
  </si>
  <si>
    <t>465 E 10th St</t>
  </si>
  <si>
    <t>215 E 96th St</t>
  </si>
  <si>
    <t>606 W 191st St</t>
  </si>
  <si>
    <t>202 E 7th St</t>
  </si>
  <si>
    <t>10 W 135th St</t>
  </si>
  <si>
    <t>555 W 159th St</t>
  </si>
  <si>
    <t>600 W 142nd St</t>
  </si>
  <si>
    <t>3333 Broadway</t>
  </si>
  <si>
    <t>211 Madison</t>
  </si>
  <si>
    <t>512 W 136th St</t>
  </si>
  <si>
    <t>105 Duane St</t>
  </si>
  <si>
    <t>601 W 135th St</t>
  </si>
  <si>
    <t>6 Convent Ave</t>
  </si>
  <si>
    <t>101 W 130th St</t>
  </si>
  <si>
    <t>772 Saint Nicholas Ave</t>
  </si>
  <si>
    <t>38 W 31st St</t>
  </si>
  <si>
    <t>830 Amsterdam Ave</t>
  </si>
  <si>
    <t>656 W 162nd St</t>
  </si>
  <si>
    <t>840 Columbus Ave</t>
  </si>
  <si>
    <t>1989 Amsterdam Ave</t>
  </si>
  <si>
    <t>461 West 148th Street 1C</t>
  </si>
  <si>
    <t>320 E 115th St</t>
  </si>
  <si>
    <t>342 E 13th St</t>
  </si>
  <si>
    <t>719 Saint Nicholas Ave</t>
  </si>
  <si>
    <t>367 Lenox Avenue 2E</t>
  </si>
  <si>
    <t>525 Fdr Dr</t>
  </si>
  <si>
    <t>212 Saint Nicholas Ave</t>
  </si>
  <si>
    <t>667 W 177th St</t>
  </si>
  <si>
    <t>529 W 158th St</t>
  </si>
  <si>
    <t>50 Amsterdam Ave</t>
  </si>
  <si>
    <t>452 Saint Nicholas Ave</t>
  </si>
  <si>
    <t>535 W 43rd St</t>
  </si>
  <si>
    <t>567 West 149th St Apt # 45</t>
  </si>
  <si>
    <t>820 Riverside Dr</t>
  </si>
  <si>
    <t>347 W 141st St</t>
  </si>
  <si>
    <t>516 W 143rd St</t>
  </si>
  <si>
    <t>345 E 101st St</t>
  </si>
  <si>
    <t>227 Waverly Pl</t>
  </si>
  <si>
    <t>52 Saint Nicholas Pl</t>
  </si>
  <si>
    <t>123 Division St</t>
  </si>
  <si>
    <t>12-14 Pell St</t>
  </si>
  <si>
    <t>126 W 112th St</t>
  </si>
  <si>
    <t>172 W 127th St</t>
  </si>
  <si>
    <t>567 W 191st St</t>
  </si>
  <si>
    <t>114 W 143rd St</t>
  </si>
  <si>
    <t>40 Morningside Ave</t>
  </si>
  <si>
    <t>742 E 6th St</t>
  </si>
  <si>
    <t>100 W 139th St</t>
  </si>
  <si>
    <t>176 W 94th St</t>
  </si>
  <si>
    <t>130 Fort Washington Ave</t>
  </si>
  <si>
    <t>709 W 170th St</t>
  </si>
  <si>
    <t>500 W 30th St</t>
  </si>
  <si>
    <t>225 W 106th St</t>
  </si>
  <si>
    <t>41 Saint Nicholas Ter</t>
  </si>
  <si>
    <t>201 E 89th St</t>
  </si>
  <si>
    <t>133 West 104th Street 6B</t>
  </si>
  <si>
    <t>2509 7th Ave</t>
  </si>
  <si>
    <t>208 W 151st St</t>
  </si>
  <si>
    <t>130 Malcolm X Blvd</t>
  </si>
  <si>
    <t>201 W 145th St</t>
  </si>
  <si>
    <t>204 W 149th St</t>
  </si>
  <si>
    <t>561 W 141st St</t>
  </si>
  <si>
    <t>248 Sherman Ave</t>
  </si>
  <si>
    <t>501 W 184th St</t>
  </si>
  <si>
    <t>561 W 144th St</t>
  </si>
  <si>
    <t>681 Ocean Ave</t>
  </si>
  <si>
    <t>436 New York Ave</t>
  </si>
  <si>
    <t>415 Lefferts Ave</t>
  </si>
  <si>
    <t>775 Saint Johns Pl</t>
  </si>
  <si>
    <t>1051 Ocean Ave</t>
  </si>
  <si>
    <t>300 Linden Blvd</t>
  </si>
  <si>
    <t>1221 Atlantic Ave</t>
  </si>
  <si>
    <t>699 Ocean Ave</t>
  </si>
  <si>
    <t>1035 Washington Ave</t>
  </si>
  <si>
    <t>1236 Atlantic Ave</t>
  </si>
  <si>
    <t>1041 Bushwick Ave</t>
  </si>
  <si>
    <t>101 Lenox Rd</t>
  </si>
  <si>
    <t>139 Harman St</t>
  </si>
  <si>
    <t>48 Winthrop St</t>
  </si>
  <si>
    <t>28 Macdonough St</t>
  </si>
  <si>
    <t>1066 Bergen St</t>
  </si>
  <si>
    <t>518 Greene Ave</t>
  </si>
  <si>
    <t>287 E 18th St</t>
  </si>
  <si>
    <t>451 Kingston Ave</t>
  </si>
  <si>
    <t>744 Gates Ave</t>
  </si>
  <si>
    <t>1 Tennis Ct</t>
  </si>
  <si>
    <t>408 Marcus Garvey Blvd</t>
  </si>
  <si>
    <t>1 Brevoort Pl</t>
  </si>
  <si>
    <t>57 Lincoln Rd</t>
  </si>
  <si>
    <t>1209 Bushwick Ave</t>
  </si>
  <si>
    <t>388 Clifton Pl</t>
  </si>
  <si>
    <t>611 Greene Ave</t>
  </si>
  <si>
    <t>1604 Bedford Ave</t>
  </si>
  <si>
    <t>1048 Union St</t>
  </si>
  <si>
    <t>376 Montgomery St</t>
  </si>
  <si>
    <t>570 92nd St</t>
  </si>
  <si>
    <t>1102 Flatbush Ave</t>
  </si>
  <si>
    <t>990 President St</t>
  </si>
  <si>
    <t>600 Gates Ave</t>
  </si>
  <si>
    <t>99 Madison St</t>
  </si>
  <si>
    <t>626 Flatbush Ave</t>
  </si>
  <si>
    <t>245 Midwood St</t>
  </si>
  <si>
    <t>50 Stuyvesant Ave</t>
  </si>
  <si>
    <t>452 Madison St</t>
  </si>
  <si>
    <t>1164 Pacific St</t>
  </si>
  <si>
    <t>205 Malcolm X Blvd</t>
  </si>
  <si>
    <t>690 Gates Ave</t>
  </si>
  <si>
    <t>15 Crooke Ave</t>
  </si>
  <si>
    <t>1801 Dorchester Rd</t>
  </si>
  <si>
    <t>522 Quincy St</t>
  </si>
  <si>
    <t>222 Malcolm X Blvd</t>
  </si>
  <si>
    <t>215 Clarkson Ave</t>
  </si>
  <si>
    <t>18 Avenue Albany</t>
  </si>
  <si>
    <t>158 Linden Blvd</t>
  </si>
  <si>
    <t>650 Gates Ave</t>
  </si>
  <si>
    <t>1050 Hancock St</t>
  </si>
  <si>
    <t>600 E 21st St</t>
  </si>
  <si>
    <t>2510 Ocean Pkwy</t>
  </si>
  <si>
    <t>14 Arlington Pl</t>
  </si>
  <si>
    <t>454 Empire Blvd</t>
  </si>
  <si>
    <t>605 E 16th St</t>
  </si>
  <si>
    <t>107 Van Buren St</t>
  </si>
  <si>
    <t>239 Linden St</t>
  </si>
  <si>
    <t>36 Crooke Ave</t>
  </si>
  <si>
    <t>210 Kosciuszko St</t>
  </si>
  <si>
    <t>286 Eastern Pkwy</t>
  </si>
  <si>
    <t>770 Jefferson Ave</t>
  </si>
  <si>
    <t>1350 Bedford Ave</t>
  </si>
  <si>
    <t>444 Lexington Ave</t>
  </si>
  <si>
    <t>1227 Bedford Ave</t>
  </si>
  <si>
    <t>346 E 29th St</t>
  </si>
  <si>
    <t>379 Eastern Pkwy</t>
  </si>
  <si>
    <t>763 Greene Ave</t>
  </si>
  <si>
    <t>525 A Quincy St</t>
  </si>
  <si>
    <t>783 Lincoln Pl</t>
  </si>
  <si>
    <t>150 E 19th St</t>
  </si>
  <si>
    <t>201 Crown St</t>
  </si>
  <si>
    <t>781 Greene Ave</t>
  </si>
  <si>
    <t>1501 Fulton St</t>
  </si>
  <si>
    <t>456 Nostrand Ave</t>
  </si>
  <si>
    <t>358 Marcus Garvey Blvd</t>
  </si>
  <si>
    <t>331 Tompkins Ave</t>
  </si>
  <si>
    <t>287 Linden Blvd</t>
  </si>
  <si>
    <t>132 Halsey St</t>
  </si>
  <si>
    <t>997 DeKalb Ave</t>
  </si>
  <si>
    <t>2503 Cortelyou Rd</t>
  </si>
  <si>
    <t>470 Kosciusko Street</t>
  </si>
  <si>
    <t>470 Ocean Ave</t>
  </si>
  <si>
    <t>555 Ocean Ave</t>
  </si>
  <si>
    <t>257 E 32nd St</t>
  </si>
  <si>
    <t>305 Linden Blvd</t>
  </si>
  <si>
    <t>2567 Bedford Ave</t>
  </si>
  <si>
    <t>331 Saratoga Ave</t>
  </si>
  <si>
    <t>1785 Bedford Ave</t>
  </si>
  <si>
    <t>525 E 21st St</t>
  </si>
  <si>
    <t>67 Saint Pauls Pl</t>
  </si>
  <si>
    <t>608 Flatbush Ave</t>
  </si>
  <si>
    <t>2020 Albermarle Road</t>
  </si>
  <si>
    <t>372 Kosciuszko St</t>
  </si>
  <si>
    <t>250 Clarkson Ave</t>
  </si>
  <si>
    <t>400 Tompkins Ave</t>
  </si>
  <si>
    <t>11 Maple St</t>
  </si>
  <si>
    <t>1455 Bedford Ave</t>
  </si>
  <si>
    <t>95 Cornelia St</t>
  </si>
  <si>
    <t>263 Parkside Ave</t>
  </si>
  <si>
    <t>1030 Ocean Ave</t>
  </si>
  <si>
    <t>25 Spencer Pl</t>
  </si>
  <si>
    <t>530 Parkside Ave</t>
  </si>
  <si>
    <t>2110 Westbury Ct</t>
  </si>
  <si>
    <t>330 Lewis Ave</t>
  </si>
  <si>
    <t>150 Linden St</t>
  </si>
  <si>
    <t>194 Malcom X Blvd</t>
  </si>
  <si>
    <t>1150 President St</t>
  </si>
  <si>
    <t>1023 Broadway</t>
  </si>
  <si>
    <t>346 Jefferson Ave</t>
  </si>
  <si>
    <t>426 E 22nd St</t>
  </si>
  <si>
    <t>1110 Carroll St</t>
  </si>
  <si>
    <t>573 Hart St</t>
  </si>
  <si>
    <t>790 Lafayette ave</t>
  </si>
  <si>
    <t>165 Van Buren St</t>
  </si>
  <si>
    <t>800 Madison St</t>
  </si>
  <si>
    <t>185 Erasmus St</t>
  </si>
  <si>
    <t>119 E 19th St</t>
  </si>
  <si>
    <t>2317 Newkirk Ave</t>
  </si>
  <si>
    <t>125 E 18th St</t>
  </si>
  <si>
    <t>965 Jefferson Ave</t>
  </si>
  <si>
    <t>3214 Clarendon Rd</t>
  </si>
  <si>
    <t>750 Ocean Ave</t>
  </si>
  <si>
    <t>1252 Dekalb Ave</t>
  </si>
  <si>
    <t>1680 Bedford Ave</t>
  </si>
  <si>
    <t>686 Lafayette Ave</t>
  </si>
  <si>
    <t>2157 Cortelyou Rd</t>
  </si>
  <si>
    <t>2296 Bedford Ave</t>
  </si>
  <si>
    <t>1318 Nostrand Ave</t>
  </si>
  <si>
    <t>1013 Broadway</t>
  </si>
  <si>
    <t>698 Sterling Pl</t>
  </si>
  <si>
    <t>1240 Union St</t>
  </si>
  <si>
    <t>184 Lewis Ave</t>
  </si>
  <si>
    <t>175 Hawthorne st</t>
  </si>
  <si>
    <t>129 Patchen Ave</t>
  </si>
  <si>
    <t>2181 Bedford Ave</t>
  </si>
  <si>
    <t>721 DeKalb Ave</t>
  </si>
  <si>
    <t>160 Harman St</t>
  </si>
  <si>
    <t>12 Crown St</t>
  </si>
  <si>
    <t>609 Greene Ave</t>
  </si>
  <si>
    <t>169 Lewis ave</t>
  </si>
  <si>
    <t>18 Albany Ave</t>
  </si>
  <si>
    <t>285 Hawthorne St</t>
  </si>
  <si>
    <t>221 Lewis Ave</t>
  </si>
  <si>
    <t>2532 Bedford Ave</t>
  </si>
  <si>
    <t>307 Martense St</t>
  </si>
  <si>
    <t>527 Quincy St</t>
  </si>
  <si>
    <t>75 Ralph Ave</t>
  </si>
  <si>
    <t>137 Linden St</t>
  </si>
  <si>
    <t>10 Maple St</t>
  </si>
  <si>
    <t>323 Martense St</t>
  </si>
  <si>
    <t>1511 Fulton St</t>
  </si>
  <si>
    <t>950 Gates Ave</t>
  </si>
  <si>
    <t>2011 Newkirk Ave</t>
  </si>
  <si>
    <t>220 Montgomery St</t>
  </si>
  <si>
    <t>355 Lefferts Ave</t>
  </si>
  <si>
    <t>1776 Bedford Ave</t>
  </si>
  <si>
    <t>557 Kosciusko Street</t>
  </si>
  <si>
    <t>208 Macdonough St</t>
  </si>
  <si>
    <t>2 Spencer Pl</t>
  </si>
  <si>
    <t>630 Ocean Ave</t>
  </si>
  <si>
    <t>2025 Regent Pl</t>
  </si>
  <si>
    <t>18 E 21st St</t>
  </si>
  <si>
    <t>540 Ocean Ave</t>
  </si>
  <si>
    <t>529 E 22nd St</t>
  </si>
  <si>
    <t>660 Gates Ave</t>
  </si>
  <si>
    <t>720 Saint Marks Ave</t>
  </si>
  <si>
    <t>50 E 19th St</t>
  </si>
  <si>
    <t>682 Ocean Ave</t>
  </si>
  <si>
    <t>398 E 18th St</t>
  </si>
  <si>
    <t>150 Grove St</t>
  </si>
  <si>
    <t>1146 Nostrand Ave</t>
  </si>
  <si>
    <t>598 Madison St</t>
  </si>
  <si>
    <t>320 Lexington Ave</t>
  </si>
  <si>
    <t>714 Gates Ave</t>
  </si>
  <si>
    <t>348A Hancock St</t>
  </si>
  <si>
    <t>470 Kosciuszko St</t>
  </si>
  <si>
    <t>600 Ocean Ave</t>
  </si>
  <si>
    <t>330 E 19th St</t>
  </si>
  <si>
    <t>1310 Dean St</t>
  </si>
  <si>
    <t>550 Van Buren St</t>
  </si>
  <si>
    <t>767 Prospect pl</t>
  </si>
  <si>
    <t>49 Crown St # 57</t>
  </si>
  <si>
    <t>28 Macdonough Street</t>
  </si>
  <si>
    <t>415 Putnam Ave</t>
  </si>
  <si>
    <t>452 Lexington Ave</t>
  </si>
  <si>
    <t>356 Maple St</t>
  </si>
  <si>
    <t>1367 Dean St</t>
  </si>
  <si>
    <t>1247 Flatbush Ave</t>
  </si>
  <si>
    <t>844 Flatbush Ave</t>
  </si>
  <si>
    <t>298 Rogers Ave</t>
  </si>
  <si>
    <t>1567 Nostrand Ave</t>
  </si>
  <si>
    <t>303 Claredon Road</t>
  </si>
  <si>
    <t>2543 Church Ave</t>
  </si>
  <si>
    <t>977 Van Buren</t>
  </si>
  <si>
    <t>50 E 21st St</t>
  </si>
  <si>
    <t>2491 Bedford Ave</t>
  </si>
  <si>
    <t>590 Gates Ave</t>
  </si>
  <si>
    <t>300 Sullivan Pl</t>
  </si>
  <si>
    <t>288 Maple St</t>
  </si>
  <si>
    <t>1720 Bedford Ave</t>
  </si>
  <si>
    <t>350 E 19th St</t>
  </si>
  <si>
    <t>2502 Cortelyou Rd</t>
  </si>
  <si>
    <t>157 E 91st St</t>
  </si>
  <si>
    <t>280 E 21st St</t>
  </si>
  <si>
    <t>137 Sterling St</t>
  </si>
  <si>
    <t>185 Eramus Street</t>
  </si>
  <si>
    <t>612 Flatbush Ave</t>
  </si>
  <si>
    <t>164 Linden Blvd</t>
  </si>
  <si>
    <t>17 Linden St</t>
  </si>
  <si>
    <t>534 Greene Ave</t>
  </si>
  <si>
    <t>552 Parkside Ave</t>
  </si>
  <si>
    <t>1820 Cortelyou Rd</t>
  </si>
  <si>
    <t>305 Ocean Ave</t>
  </si>
  <si>
    <t>1015 Hancock St</t>
  </si>
  <si>
    <t>1035 Wahington Avenue</t>
  </si>
  <si>
    <t>64 Hancock St</t>
  </si>
  <si>
    <t>222 Lenox Rd</t>
  </si>
  <si>
    <t>2537 Bedford Ave</t>
  </si>
  <si>
    <t>592 Quincy St</t>
  </si>
  <si>
    <t>165 New York Ave</t>
  </si>
  <si>
    <t>55 Linden Blvd</t>
  </si>
  <si>
    <t>245 Hawthorne St</t>
  </si>
  <si>
    <t>988 Bergen St</t>
  </si>
  <si>
    <t>107 Linden St</t>
  </si>
  <si>
    <t>38 Winthrop St</t>
  </si>
  <si>
    <t>420 E 21st St</t>
  </si>
  <si>
    <t>409 E 21st St</t>
  </si>
  <si>
    <t>350 E 31st St</t>
  </si>
  <si>
    <t>36 Kenilworth Pl</t>
  </si>
  <si>
    <t>161 Putnam Ave</t>
  </si>
  <si>
    <t>181 Hawthorne St</t>
  </si>
  <si>
    <t>501 Lefferts Ave</t>
  </si>
  <si>
    <t>49 E 19th St</t>
  </si>
  <si>
    <t>2111 Beekman Pl</t>
  </si>
  <si>
    <t>718 Saint Marks Ave</t>
  </si>
  <si>
    <t>1107 Nostrand Ave</t>
  </si>
  <si>
    <t>841 Gates Ave</t>
  </si>
  <si>
    <t>645 Ocean Ave</t>
  </si>
  <si>
    <t>1013 BROADWAY</t>
  </si>
  <si>
    <t>755 Ocean Ave</t>
  </si>
  <si>
    <t>420 Eastern Pkwy</t>
  </si>
  <si>
    <t>3110 Bainbridge Ave</t>
  </si>
  <si>
    <t>2855 Grand Concourse</t>
  </si>
  <si>
    <t>717 Crotona Park N</t>
  </si>
  <si>
    <t>1581 Fulton Ave</t>
  </si>
  <si>
    <t>20 W 190th St</t>
  </si>
  <si>
    <t>2443 Olinville Ave</t>
  </si>
  <si>
    <t>315 E 206th St</t>
  </si>
  <si>
    <t>2504 Olinville Ave</t>
  </si>
  <si>
    <t>2015 Belmont Ave</t>
  </si>
  <si>
    <t>3204 Holland Ave</t>
  </si>
  <si>
    <t>203 E 175th St</t>
  </si>
  <si>
    <t>3038 Hull Ave</t>
  </si>
  <si>
    <t>611 E 179th St</t>
  </si>
  <si>
    <t>2418 Olinville Avenue</t>
  </si>
  <si>
    <t>1585 Odell St</t>
  </si>
  <si>
    <t>1665 Monroe Ave</t>
  </si>
  <si>
    <t>1977 Lafontaine Ave</t>
  </si>
  <si>
    <t>204 Mount Hope Pl</t>
  </si>
  <si>
    <t>2769 University Ave</t>
  </si>
  <si>
    <t>900 Lydig Ave</t>
  </si>
  <si>
    <t>1763 Fulton Ave</t>
  </si>
  <si>
    <t>3051 Olinville Ave</t>
  </si>
  <si>
    <t>2031 Hughes Ave</t>
  </si>
  <si>
    <t>229 E 176th St</t>
  </si>
  <si>
    <t>1898 Belmont Ave</t>
  </si>
  <si>
    <t>2310 Holland Ave</t>
  </si>
  <si>
    <t>2080 Lafontaine Ave</t>
  </si>
  <si>
    <t>445 E 174th St</t>
  </si>
  <si>
    <t>3560 Webster Ave</t>
  </si>
  <si>
    <t>3500 Tryon Ave</t>
  </si>
  <si>
    <t>2140 Cruger Ave</t>
  </si>
  <si>
    <t>1725 Fulton Ave</t>
  </si>
  <si>
    <t>586 E 170th St</t>
  </si>
  <si>
    <t>3536 Hull Ave</t>
  </si>
  <si>
    <t>2000 Anthony Ave</t>
  </si>
  <si>
    <t>2721 Barker Ave</t>
  </si>
  <si>
    <t>3521 Dekalb Ave</t>
  </si>
  <si>
    <t>3013 Matthews Ave</t>
  </si>
  <si>
    <t>2050 Valentine Ave</t>
  </si>
  <si>
    <t>690 Allerton Ave</t>
  </si>
  <si>
    <t>2259 Tiebout Ave</t>
  </si>
  <si>
    <t>684 E 222nd St</t>
  </si>
  <si>
    <t>717 E 213th St</t>
  </si>
  <si>
    <t>3764 Bronx blvd</t>
  </si>
  <si>
    <t>730 Oakland Pl</t>
  </si>
  <si>
    <t>3258 Olinville Ave</t>
  </si>
  <si>
    <t>2308 University Ave</t>
  </si>
  <si>
    <t>2060 White Plains Rd</t>
  </si>
  <si>
    <t>2285 University Ave</t>
  </si>
  <si>
    <t>3212 Cruger Ave</t>
  </si>
  <si>
    <t>1735 Fulton Ave</t>
  </si>
  <si>
    <t>828 S Oak Dr</t>
  </si>
  <si>
    <t>3220 Perry Ave</t>
  </si>
  <si>
    <t>1521 Unionport Rd</t>
  </si>
  <si>
    <t>1805 Clinton Ave</t>
  </si>
  <si>
    <t>405 E 182nd St</t>
  </si>
  <si>
    <t>1802 CROTONA AVE</t>
  </si>
  <si>
    <t>3014 Holland Ave</t>
  </si>
  <si>
    <t>5 E 196th St</t>
  </si>
  <si>
    <t>2264 Loring Pl N</t>
  </si>
  <si>
    <t>2396 Morris Ave</t>
  </si>
  <si>
    <t>2285 Andrews Ave</t>
  </si>
  <si>
    <t>3555 Kings College Pl</t>
  </si>
  <si>
    <t>3677 White Plains Rd</t>
  </si>
  <si>
    <t>2108 Ryer Ave</t>
  </si>
  <si>
    <t>2575 Sedgwick Ave</t>
  </si>
  <si>
    <t>156 E 184th St</t>
  </si>
  <si>
    <t>3640 Bronx Blvd</t>
  </si>
  <si>
    <t>1899 Belmont Ave</t>
  </si>
  <si>
    <t>333 E 181st St</t>
  </si>
  <si>
    <t>1589 Unionport Rd</t>
  </si>
  <si>
    <t>2115 Washington Ave</t>
  </si>
  <si>
    <t>2420 Creston Ave</t>
  </si>
  <si>
    <t>2162 Valentine Ave</t>
  </si>
  <si>
    <t>2607 Jerome Ave</t>
  </si>
  <si>
    <t>3444 Knox Pl</t>
  </si>
  <si>
    <t>3400 Tryon Ave</t>
  </si>
  <si>
    <t>735 E 182nd St</t>
  </si>
  <si>
    <t>2060 Grand Concourse</t>
  </si>
  <si>
    <t>2440 Bronx Park E</t>
  </si>
  <si>
    <t>2471 Davidson Ave</t>
  </si>
  <si>
    <t>2309 Holland Ave</t>
  </si>
  <si>
    <t>277 E 207th St</t>
  </si>
  <si>
    <t>2387 Morris Ave</t>
  </si>
  <si>
    <t>3131 Grand Concourse</t>
  </si>
  <si>
    <t>2271 Washington Ave</t>
  </si>
  <si>
    <t>1268 Olmstead Ave</t>
  </si>
  <si>
    <t>1908 Belmont Ave</t>
  </si>
  <si>
    <t>2117 Clinton Ave</t>
  </si>
  <si>
    <t>230 Echo Pl</t>
  </si>
  <si>
    <t>827 Morris Park Avenue</t>
  </si>
  <si>
    <t>2000 Valentine Ave</t>
  </si>
  <si>
    <t>1946 Cruger Ave</t>
  </si>
  <si>
    <t>2406 University Ave</t>
  </si>
  <si>
    <t>631 E 220th St</t>
  </si>
  <si>
    <t>3952 3rd Ave</t>
  </si>
  <si>
    <t>2274 Grand Concourse</t>
  </si>
  <si>
    <t>20 West Mosholu Parkway</t>
  </si>
  <si>
    <t>2515 Olinville Ave</t>
  </si>
  <si>
    <t>2395 Grand Ave</t>
  </si>
  <si>
    <t>660 Arnow Ave</t>
  </si>
  <si>
    <t>2110 Arthur Ave</t>
  </si>
  <si>
    <t>3260 Perry Ave</t>
  </si>
  <si>
    <t>55 W Mosholu Pkwy N</t>
  </si>
  <si>
    <t>1561 Unionport Rd</t>
  </si>
  <si>
    <t>624 E 220th St</t>
  </si>
  <si>
    <t>2810 Morris Ave</t>
  </si>
  <si>
    <t>2434 Walton Ave</t>
  </si>
  <si>
    <t>2167 Crotona Ave</t>
  </si>
  <si>
    <t>3435 Gates Pl</t>
  </si>
  <si>
    <t>819 E 218th St</t>
  </si>
  <si>
    <t>2242 Webster Ave</t>
  </si>
  <si>
    <t>2034 Benedict Ave</t>
  </si>
  <si>
    <t>730 Garden St</t>
  </si>
  <si>
    <t>746 E 182nd St</t>
  </si>
  <si>
    <t>721 E 216th St</t>
  </si>
  <si>
    <t>2281 University Ave</t>
  </si>
  <si>
    <t>3540 Decatur Ave</t>
  </si>
  <si>
    <t>653 Britton St</t>
  </si>
  <si>
    <t>465 E Tremont Ave</t>
  </si>
  <si>
    <t>2525 Morris Ave</t>
  </si>
  <si>
    <t>3114 Villa Ave</t>
  </si>
  <si>
    <t>265 E 176th St</t>
  </si>
  <si>
    <t>3578 Dekalb Ave</t>
  </si>
  <si>
    <t>2414 Creston Ave</t>
  </si>
  <si>
    <t>500 E 171st St</t>
  </si>
  <si>
    <t>2471 University Ave</t>
  </si>
  <si>
    <t>3576 Dekalb Ave</t>
  </si>
  <si>
    <t>2733 Morris Ave</t>
  </si>
  <si>
    <t>1266 Olmstead Ave</t>
  </si>
  <si>
    <t>480 E 176th St</t>
  </si>
  <si>
    <t>2547 Cruger Ave</t>
  </si>
  <si>
    <t>1996 Anthony Ave</t>
  </si>
  <si>
    <t>15 North St</t>
  </si>
  <si>
    <t>2850 Claflin Ave</t>
  </si>
  <si>
    <t>347-573-8693</t>
  </si>
  <si>
    <t>744 E 215th St</t>
  </si>
  <si>
    <t>542 E 182nd St</t>
  </si>
  <si>
    <t>3015 Matthews Ave</t>
  </si>
  <si>
    <t>2357 Davidson Ave</t>
  </si>
  <si>
    <t>2455 Cruger Ave</t>
  </si>
  <si>
    <t>1511 Sheridan Ave</t>
  </si>
  <si>
    <t>3707 Olinville Ave</t>
  </si>
  <si>
    <t>3035 White Plains Rd</t>
  </si>
  <si>
    <t>2615 Grand Concourse</t>
  </si>
  <si>
    <t>768 Van Nest Ave</t>
  </si>
  <si>
    <t>725 Garden St</t>
  </si>
  <si>
    <t>2759 Sedgwick Ave</t>
  </si>
  <si>
    <t>2641 Jerome Ave</t>
  </si>
  <si>
    <t>2374 University Ave</t>
  </si>
  <si>
    <t>3618 Bronx Blvd</t>
  </si>
  <si>
    <t>3012 Wallace Ave</t>
  </si>
  <si>
    <t>2781 Grand Concourse</t>
  </si>
  <si>
    <t>2125 Cruger Ave</t>
  </si>
  <si>
    <t>2076 Bronx Park East</t>
  </si>
  <si>
    <t>25 E 193rd St</t>
  </si>
  <si>
    <t>2840 Sedgwick Ave</t>
  </si>
  <si>
    <t>3343 Decatur Ave</t>
  </si>
  <si>
    <t>2755 Sedgwick Ave</t>
  </si>
  <si>
    <t>3530 Decatur Ave</t>
  </si>
  <si>
    <t>763 E 213th St</t>
  </si>
  <si>
    <t>2273 Tiebout Ave</t>
  </si>
  <si>
    <t>2280 Loring Pl N</t>
  </si>
  <si>
    <t>669 Arnow Ave</t>
  </si>
  <si>
    <t>2535 Davidson Ave</t>
  </si>
  <si>
    <t>165 W 197th St</t>
  </si>
  <si>
    <t>2120 Tiebout Ave</t>
  </si>
  <si>
    <t>1720 Victor St</t>
  </si>
  <si>
    <t>50 E 196th St</t>
  </si>
  <si>
    <t>1560 Grand Concourse</t>
  </si>
  <si>
    <t>2515 Davidson Ave</t>
  </si>
  <si>
    <t>3764 Bronx Blvd</t>
  </si>
  <si>
    <t>1500 Archer Rd</t>
  </si>
  <si>
    <t>1722 Purdy St</t>
  </si>
  <si>
    <t>3033 Wallace Ave</t>
  </si>
  <si>
    <t>2230 Tiebout Ave</t>
  </si>
  <si>
    <t>3525 Bainbridge Ave</t>
  </si>
  <si>
    <t>1701 Eastburn Ave</t>
  </si>
  <si>
    <t>739 Tilden St</t>
  </si>
  <si>
    <t>3440 Gates Pl</t>
  </si>
  <si>
    <t>620 E 178th St</t>
  </si>
  <si>
    <t>1744 Clay Ave</t>
  </si>
  <si>
    <t>55 W 184th St</t>
  </si>
  <si>
    <t>2435 Barker Ave</t>
  </si>
  <si>
    <t>234 E Gun Hill Rd</t>
  </si>
  <si>
    <t>2279 Tiebout Ave</t>
  </si>
  <si>
    <t>3045 Villa Ave</t>
  </si>
  <si>
    <t>774 E 221st St</t>
  </si>
  <si>
    <t>3215 Bainbridge Ave</t>
  </si>
  <si>
    <t>2800 University Ave</t>
  </si>
  <si>
    <t>3065 Grand Concourse</t>
  </si>
  <si>
    <t>2141 Starling Ave</t>
  </si>
  <si>
    <t>1585 White Plains Rd</t>
  </si>
  <si>
    <t>2332 Creston Ave</t>
  </si>
  <si>
    <t>1725 Purdy St</t>
  </si>
  <si>
    <t>2098 Ryer Ave</t>
  </si>
  <si>
    <t>2295 Morris Ave</t>
  </si>
  <si>
    <t>2028 Grand Concourse</t>
  </si>
  <si>
    <t>2500 University Ave</t>
  </si>
  <si>
    <t>3525 Perry Ave</t>
  </si>
  <si>
    <t>2487 Grand Ave</t>
  </si>
  <si>
    <t>806 E 221st St</t>
  </si>
  <si>
    <t>751 Tilden St</t>
  </si>
  <si>
    <t>414 E 204th St</t>
  </si>
  <si>
    <t>2401 Davidson Ave</t>
  </si>
  <si>
    <t>2190 Bolton St</t>
  </si>
  <si>
    <t>2275 Barker Ave</t>
  </si>
  <si>
    <t>2477 Grand Ave</t>
  </si>
  <si>
    <t>1790 Weeks Ave</t>
  </si>
  <si>
    <t>2070 Grand Concourse</t>
  </si>
  <si>
    <t>2640 Davidson Ave</t>
  </si>
  <si>
    <t>2757 Sedgwick Ave</t>
  </si>
  <si>
    <t>264 Echo Pl</t>
  </si>
  <si>
    <t>2135 Wallace Ave</t>
  </si>
  <si>
    <t>255 E 176th St</t>
  </si>
  <si>
    <t>3304 Bronx Blvd</t>
  </si>
  <si>
    <t>2015 Newbold Ave</t>
  </si>
  <si>
    <t>2300 Olinville Ave</t>
  </si>
  <si>
    <t>1944 Unionport Rd</t>
  </si>
  <si>
    <t>387 E Mosholu Pkwy N</t>
  </si>
  <si>
    <t>2255 Haviland Ave</t>
  </si>
  <si>
    <t>2269 Hampden pl</t>
  </si>
  <si>
    <t>2704 University Ave</t>
  </si>
  <si>
    <t>650 E 182nd St</t>
  </si>
  <si>
    <t>2754 Bronx Park E</t>
  </si>
  <si>
    <t>2415 Creston Ave</t>
  </si>
  <si>
    <t>2737 Barker Ave</t>
  </si>
  <si>
    <t>655 Pelham Pkwy N</t>
  </si>
  <si>
    <t>2235 Bathgate Ave</t>
  </si>
  <si>
    <t>2448 university ave</t>
  </si>
  <si>
    <t>2439 Jerome Ave</t>
  </si>
  <si>
    <t>1997 Hughes Ave</t>
  </si>
  <si>
    <t>175 Father Zeiser Pl</t>
  </si>
  <si>
    <t>3212 Olinville Ave</t>
  </si>
  <si>
    <t>3930 3rd Ave</t>
  </si>
  <si>
    <t>2165 Ryer Ave</t>
  </si>
  <si>
    <t>1685 topping ave</t>
  </si>
  <si>
    <t>3605 Olinville Ave</t>
  </si>
  <si>
    <t>2102 Bronx Park East, Apt. 4C</t>
  </si>
  <si>
    <t>2406 Walton Ave</t>
  </si>
  <si>
    <t>3562 Carlisle Pl</t>
  </si>
  <si>
    <t>756 Morris Park Ave</t>
  </si>
  <si>
    <t>2800 Creston Ave</t>
  </si>
  <si>
    <t>3599 Bainbridge Ave</t>
  </si>
  <si>
    <t>739 Arnow Ave</t>
  </si>
  <si>
    <t>2037 Radcliff Ave</t>
  </si>
  <si>
    <t>60 E 196th St</t>
  </si>
  <si>
    <t>2825 Grand concourse</t>
  </si>
  <si>
    <t>3278 Hull Ave</t>
  </si>
  <si>
    <t>2856 Webb Ave</t>
  </si>
  <si>
    <t>2029 Lafontaine Ave</t>
  </si>
  <si>
    <t>720 E 214th St</t>
  </si>
  <si>
    <t>1707 Topping Ave</t>
  </si>
  <si>
    <t>140 W 238th St</t>
  </si>
  <si>
    <t>25 E Mosholu Pkwy N</t>
  </si>
  <si>
    <t>820 Astor Ave</t>
  </si>
  <si>
    <t>3022 Holland Ave</t>
  </si>
  <si>
    <t>4278 3rd Ave</t>
  </si>
  <si>
    <t>2260 Crotona Ave</t>
  </si>
  <si>
    <t>712 E Gun Hill Rd</t>
  </si>
  <si>
    <t>1680 Clay Ave</t>
  </si>
  <si>
    <t>2822 Bronx Park E</t>
  </si>
  <si>
    <t>1791 Prospect Ave</t>
  </si>
  <si>
    <t>1655 Monroe Ave</t>
  </si>
  <si>
    <t>3444 White Plains Rd</t>
  </si>
  <si>
    <t>2385 Grand Ave</t>
  </si>
  <si>
    <t>175 Field Pl</t>
  </si>
  <si>
    <t>58 E 190th St</t>
  </si>
  <si>
    <t>2817 Barker Ave</t>
  </si>
  <si>
    <t>3524 Hull Ave</t>
  </si>
  <si>
    <t>681 Magenta St</t>
  </si>
  <si>
    <t>3464 Knox Pl</t>
  </si>
  <si>
    <t>2161 Barnes Ave</t>
  </si>
  <si>
    <t>2157 Wallace Ave</t>
  </si>
  <si>
    <t>622 E 187th St</t>
  </si>
  <si>
    <t>228 E Tremont Ave</t>
  </si>
  <si>
    <t>2230 Grand Concourse</t>
  </si>
  <si>
    <t>1815 Monroe Ave</t>
  </si>
  <si>
    <t>1888 Valentine Ave</t>
  </si>
  <si>
    <t>735 Mace Ave</t>
  </si>
  <si>
    <t>2167 Cruger Ave</t>
  </si>
  <si>
    <t>789 Astor Ave</t>
  </si>
  <si>
    <t>2442 Morris Ave</t>
  </si>
  <si>
    <t>1767 Weeks Ave</t>
  </si>
  <si>
    <t>2783 Claflin Ave</t>
  </si>
  <si>
    <t>3520 Dekalb Ave</t>
  </si>
  <si>
    <t>1598 Unionport Rd</t>
  </si>
  <si>
    <t>300 Reservoir Pl</t>
  </si>
  <si>
    <t>400 East Gun Hill Road</t>
  </si>
  <si>
    <t>2755 Creston Ave</t>
  </si>
  <si>
    <t>280 E Burnside Ave</t>
  </si>
  <si>
    <t>1585 Washington Ave</t>
  </si>
  <si>
    <t>723 E 222nd St</t>
  </si>
  <si>
    <t>774 Waring Ave</t>
  </si>
  <si>
    <t>1771 Monroe Ave</t>
  </si>
  <si>
    <t>2810 Olinville Ave</t>
  </si>
  <si>
    <t>1755 Weeks Ave</t>
  </si>
  <si>
    <t>2246 Grand Concourse</t>
  </si>
  <si>
    <t>3160 Webster Ave</t>
  </si>
  <si>
    <t>635 E 211th St</t>
  </si>
  <si>
    <t>823 E 217th St</t>
  </si>
  <si>
    <t>40 Ann St</t>
  </si>
  <si>
    <t>2224 Lyon Ave</t>
  </si>
  <si>
    <t>2268 Washington Ave</t>
  </si>
  <si>
    <t>1704 Morris Ave</t>
  </si>
  <si>
    <t>3091 Webster Ave</t>
  </si>
  <si>
    <t>1861 Victor St</t>
  </si>
  <si>
    <t>3121 Villa Ave</t>
  </si>
  <si>
    <t>145 Father Zeiser Pl</t>
  </si>
  <si>
    <t>729 Adee Ave</t>
  </si>
  <si>
    <t>2353 Davidson Ave</t>
  </si>
  <si>
    <t>3525 Decatur Ave</t>
  </si>
  <si>
    <t>162 E 184th St</t>
  </si>
  <si>
    <t>2086 Bronx Park E</t>
  </si>
  <si>
    <t>2170 Bathgate Ave</t>
  </si>
  <si>
    <t>34 Featherbed Ln</t>
  </si>
  <si>
    <t>111 Father Zeiser Place</t>
  </si>
  <si>
    <t>3248 Olinville Ave</t>
  </si>
  <si>
    <t>2136 Wallace Ave</t>
  </si>
  <si>
    <t>2082 Crotona Pkwy</t>
  </si>
  <si>
    <t>2007 Lafontaine Ave</t>
  </si>
  <si>
    <t>265 E 181st St</t>
  </si>
  <si>
    <t>3644 Holland Ave</t>
  </si>
  <si>
    <t>20 W Mosholu Pkwy S</t>
  </si>
  <si>
    <t>3035 White Plains Road</t>
  </si>
  <si>
    <t>3500 Perry Ave</t>
  </si>
  <si>
    <t>666 Adee Ave</t>
  </si>
  <si>
    <t>2701 Webb Ave</t>
  </si>
  <si>
    <t>1715 Fowler Ave</t>
  </si>
  <si>
    <t>2315 University Ave</t>
  </si>
  <si>
    <t>748 E Tremont Ave</t>
  </si>
  <si>
    <t>36 Metropolitan Oval</t>
  </si>
  <si>
    <t>2829 Sedgwick Ave</t>
  </si>
  <si>
    <t>2104 Hughes Ave</t>
  </si>
  <si>
    <t>442 E 176th St</t>
  </si>
  <si>
    <t>3433 Gates Pl</t>
  </si>
  <si>
    <t>1975 Birchall Ave</t>
  </si>
  <si>
    <t>3318 Perry Ave</t>
  </si>
  <si>
    <t>1685 Morris Ave</t>
  </si>
  <si>
    <t>3055 Perry Ave</t>
  </si>
  <si>
    <t>3593 Bainbridge Ave</t>
  </si>
  <si>
    <t>2701 Grand Concourse</t>
  </si>
  <si>
    <t>690 Allerton avenue</t>
  </si>
  <si>
    <t>1663 Eastburn Ave</t>
  </si>
  <si>
    <t>1702 Wallace Ave</t>
  </si>
  <si>
    <t>2300 Sedgwick Ave</t>
  </si>
  <si>
    <t>709 E 215th St</t>
  </si>
  <si>
    <t>2245 Barker Ave</t>
  </si>
  <si>
    <t>2505 Olinville Ave</t>
  </si>
  <si>
    <t>770 E 221st St</t>
  </si>
  <si>
    <t>2636 University Ave</t>
  </si>
  <si>
    <t>1840 Grand Concourse</t>
  </si>
  <si>
    <t>201 Mount Eden Pkwy</t>
  </si>
  <si>
    <t>272 E Gun Hill Rd</t>
  </si>
  <si>
    <t>1971 Webster Ave</t>
  </si>
  <si>
    <t>2830 Olinville Ave</t>
  </si>
  <si>
    <t>735 Garden St</t>
  </si>
  <si>
    <t>2357 Walton Ave</t>
  </si>
  <si>
    <t>2629 Sedgwick Ave</t>
  </si>
  <si>
    <t>2257 Haviland Ave</t>
  </si>
  <si>
    <t>2000 Prospect Ave</t>
  </si>
  <si>
    <t>2388 Creston Ave</t>
  </si>
  <si>
    <t>1595 Metropolitan Ave</t>
  </si>
  <si>
    <t>2334 Creston Ave</t>
  </si>
  <si>
    <t>1515 Macombs Rd</t>
  </si>
  <si>
    <t>2122 Starling Ave</t>
  </si>
  <si>
    <t>2305 Grand Ave</t>
  </si>
  <si>
    <t>769 Arnow Ave</t>
  </si>
  <si>
    <t>217 E 176th St</t>
  </si>
  <si>
    <t>2875 Sedgwick Ave</t>
  </si>
  <si>
    <t>2865 University Ave</t>
  </si>
  <si>
    <t>1546 Selwyn Ave</t>
  </si>
  <si>
    <t>700 Rosewood St</t>
  </si>
  <si>
    <t>2045 Holland Ave</t>
  </si>
  <si>
    <t>1935 Mcgraw Ave</t>
  </si>
  <si>
    <t>596 Riverside Dr</t>
  </si>
  <si>
    <t>3544 Broadway</t>
  </si>
  <si>
    <t>1430 Amsterdam Ave</t>
  </si>
  <si>
    <t>519 W 121st St</t>
  </si>
  <si>
    <t>417 Riverside Dr</t>
  </si>
  <si>
    <t>45 W 110th St</t>
  </si>
  <si>
    <t>135 W 115th St</t>
  </si>
  <si>
    <t>550 W 125th St</t>
  </si>
  <si>
    <t>95 Lenox Avenue</t>
  </si>
  <si>
    <t>3609 Broadway</t>
  </si>
  <si>
    <t>350 Manhattan Ave</t>
  </si>
  <si>
    <t>600 W 144th St</t>
  </si>
  <si>
    <t>17 W 125th St</t>
  </si>
  <si>
    <t>55 Tiemann Pl</t>
  </si>
  <si>
    <t>795 Saint Nicholas Ave</t>
  </si>
  <si>
    <t>1420 Amsterdam Ave</t>
  </si>
  <si>
    <t>24 W 117th St</t>
  </si>
  <si>
    <t>46-50 West 111th St</t>
  </si>
  <si>
    <t>120 W 116th St</t>
  </si>
  <si>
    <t>433 W 126th St</t>
  </si>
  <si>
    <t>56 W 119th St</t>
  </si>
  <si>
    <t>505 W 135th St</t>
  </si>
  <si>
    <t>72 West 109th Street</t>
  </si>
  <si>
    <t>408 W 150th St</t>
  </si>
  <si>
    <t>635 Riverside Drive #8C</t>
  </si>
  <si>
    <t>2467 Frederick Douglass Blvd</t>
  </si>
  <si>
    <t>20 W 129th St # 22</t>
  </si>
  <si>
    <t>2070 7th Ave</t>
  </si>
  <si>
    <t>311 W 127th St</t>
  </si>
  <si>
    <t>1772 Amsterdam Ave</t>
  </si>
  <si>
    <t>27 W 118th St</t>
  </si>
  <si>
    <t>630 Riverside Dr</t>
  </si>
  <si>
    <t>500 W 144th St</t>
  </si>
  <si>
    <t>666 W End Ave</t>
  </si>
  <si>
    <t>134 W 113th St</t>
  </si>
  <si>
    <t>321 W 94th St</t>
  </si>
  <si>
    <t>1980 Adam Clayton Powell Jr Blvd</t>
  </si>
  <si>
    <t>55 Saint Nicholas Pl</t>
  </si>
  <si>
    <t>130 Lenox Ave</t>
  </si>
  <si>
    <t>287 Edgecombe Ave</t>
  </si>
  <si>
    <t>74 W 92nd St</t>
  </si>
  <si>
    <t>565 Manhattan Ave</t>
  </si>
  <si>
    <t>1315 Amsterdam Ave</t>
  </si>
  <si>
    <t>522 W 147th St</t>
  </si>
  <si>
    <t>233 W 111th St</t>
  </si>
  <si>
    <t>60 Saint Nicholas Ave</t>
  </si>
  <si>
    <t>508 W 151st St</t>
  </si>
  <si>
    <t>2166 Frederick Douglass Blvd</t>
  </si>
  <si>
    <t>3288 Broadway</t>
  </si>
  <si>
    <t>65 W 127th St</t>
  </si>
  <si>
    <t>327 St Nicholas Ave</t>
  </si>
  <si>
    <t>2411 8th Ave</t>
  </si>
  <si>
    <t>930 W End Ave</t>
  </si>
  <si>
    <t>601 W 149th St</t>
  </si>
  <si>
    <t>260 Convent Ave</t>
  </si>
  <si>
    <t>312 Manhattan Ave</t>
  </si>
  <si>
    <t>870 Columbus Ave</t>
  </si>
  <si>
    <t>70 W 115th St</t>
  </si>
  <si>
    <t>200 W 111th St</t>
  </si>
  <si>
    <t>507 W 142nd St</t>
  </si>
  <si>
    <t>610 W 145th St</t>
  </si>
  <si>
    <t>792 Columbus Ave</t>
  </si>
  <si>
    <t>146 W 127th St</t>
  </si>
  <si>
    <t>1851 7th Ave</t>
  </si>
  <si>
    <t>229 W 97th St</t>
  </si>
  <si>
    <t>243 W 99th St</t>
  </si>
  <si>
    <t>430 W 125th St</t>
  </si>
  <si>
    <t>644 Riverside Dr</t>
  </si>
  <si>
    <t>607 W 139th St</t>
  </si>
  <si>
    <t>400 W 113th st</t>
  </si>
  <si>
    <t>210 W 102nd St</t>
  </si>
  <si>
    <t>209 W 118th St</t>
  </si>
  <si>
    <t>205 W 109th St</t>
  </si>
  <si>
    <t>453 W 141st St</t>
  </si>
  <si>
    <t>520 W 151st St</t>
  </si>
  <si>
    <t>123 W 104th St</t>
  </si>
  <si>
    <t>510 W 152nd St</t>
  </si>
  <si>
    <t>22 Mount Morris Park W</t>
  </si>
  <si>
    <t>31 W 124th St</t>
  </si>
  <si>
    <t>201 W 121st St</t>
  </si>
  <si>
    <t>16-18 Old Broadway</t>
  </si>
  <si>
    <t>1295 Amsterdam Ave</t>
  </si>
  <si>
    <t>410 W 110th st</t>
  </si>
  <si>
    <t>36 St. Nicholas Place</t>
  </si>
  <si>
    <t>700 Riverside Dr</t>
  </si>
  <si>
    <t>1457 Amsterdam Ave</t>
  </si>
  <si>
    <t>988 Columbus Ave</t>
  </si>
  <si>
    <t>100 Saint Nicholas Ave</t>
  </si>
  <si>
    <t>2253 7th  Avenue 5N</t>
  </si>
  <si>
    <t>541 W 150th St</t>
  </si>
  <si>
    <t>550 W 146th St</t>
  </si>
  <si>
    <t>601 W 140th St</t>
  </si>
  <si>
    <t>460 W 147th St</t>
  </si>
  <si>
    <t>70 W 95th St</t>
  </si>
  <si>
    <t>410 Central Park W</t>
  </si>
  <si>
    <t>174 W 107th St</t>
  </si>
  <si>
    <t>670 Riverside Dr</t>
  </si>
  <si>
    <t>379 w 127th st</t>
  </si>
  <si>
    <t>415 W 145th St</t>
  </si>
  <si>
    <t>101 W 112th St</t>
  </si>
  <si>
    <t>554 W 148th St</t>
  </si>
  <si>
    <t>8 W 111th St</t>
  </si>
  <si>
    <t>610 W 145th st</t>
  </si>
  <si>
    <t>770 Saint Nicholas Ave</t>
  </si>
  <si>
    <t>2185 Adam Clayton Powell Jr Blvd</t>
  </si>
  <si>
    <t>55 La Salle St</t>
  </si>
  <si>
    <t>73 W 105th St</t>
  </si>
  <si>
    <t>424 W 110th Street 10G</t>
  </si>
  <si>
    <t>110 W 130th St</t>
  </si>
  <si>
    <t>832 Saint Nicholas Ave</t>
  </si>
  <si>
    <t>528 Riverside Dr</t>
  </si>
  <si>
    <t>52 W 111th St # 56</t>
  </si>
  <si>
    <t>251 W 109th St</t>
  </si>
  <si>
    <t>153 Manhattan Ave</t>
  </si>
  <si>
    <t>280 W 118th St</t>
  </si>
  <si>
    <t>450 W 131st St</t>
  </si>
  <si>
    <t>93 Hamilton Pl</t>
  </si>
  <si>
    <t>138 W 112th St</t>
  </si>
  <si>
    <t>1641 Madison Ave</t>
  </si>
  <si>
    <t>420 Central Park W</t>
  </si>
  <si>
    <t>506 W 122nd st</t>
  </si>
  <si>
    <t>3 W 101st St</t>
  </si>
  <si>
    <t>555 Edgecombe Ave</t>
  </si>
  <si>
    <t>1305 Amsterdam Ave</t>
  </si>
  <si>
    <t>614 W 152nd St</t>
  </si>
  <si>
    <t>400 W 113th St</t>
  </si>
  <si>
    <t>409 W 129th St</t>
  </si>
  <si>
    <t>720 Riverside Dr</t>
  </si>
  <si>
    <t>111 W 104th St</t>
  </si>
  <si>
    <t>265 W 114th St</t>
  </si>
  <si>
    <t>31 W 129th St</t>
  </si>
  <si>
    <t>43 W 129th St</t>
  </si>
  <si>
    <t>410 Saint Nicholas Ave</t>
  </si>
  <si>
    <t>7 Saint James Pl</t>
  </si>
  <si>
    <t>410 Cathedral Pkwy</t>
  </si>
  <si>
    <t>3694 Broadway</t>
  </si>
  <si>
    <t>517 W 147th Street #1</t>
  </si>
  <si>
    <t>15 W 123rd St</t>
  </si>
  <si>
    <t>290 Riverside Dr</t>
  </si>
  <si>
    <t>170 Avenue D</t>
  </si>
  <si>
    <t>503 W 147th St</t>
  </si>
  <si>
    <t>8 Saint Nicholas Ter</t>
  </si>
  <si>
    <t>512 W 135th St</t>
  </si>
  <si>
    <t>171 W 131st St</t>
  </si>
  <si>
    <t>95 Lenox Ave</t>
  </si>
  <si>
    <t>865 Amsterdam Ave</t>
  </si>
  <si>
    <t>868 Amsterdam Ave 3F</t>
  </si>
  <si>
    <t>541 W 142nd St</t>
  </si>
  <si>
    <t>545 W 126th St</t>
  </si>
  <si>
    <t>65 W 96th St</t>
  </si>
  <si>
    <t>410 W 128th St</t>
  </si>
  <si>
    <t>526 W 147th St</t>
  </si>
  <si>
    <t>605 W 42nd St</t>
  </si>
  <si>
    <t>640 Riverside Dr</t>
  </si>
  <si>
    <t>2949 8th Ave</t>
  </si>
  <si>
    <t>312 W 112th St</t>
  </si>
  <si>
    <t>2612 Broadway 902</t>
  </si>
  <si>
    <t>600 W 113th St</t>
  </si>
  <si>
    <t>117 W 111th St</t>
  </si>
  <si>
    <t>611 W 148th St</t>
  </si>
  <si>
    <t>31-33 West  124th Street 3D</t>
  </si>
  <si>
    <t>71 W 112th St</t>
  </si>
  <si>
    <t>625 W 152nd St</t>
  </si>
  <si>
    <t>47 Saint Nicholas Ave</t>
  </si>
  <si>
    <t>10 Manhattan Ave</t>
  </si>
  <si>
    <t>217 W 127th St</t>
  </si>
  <si>
    <t>2445 Frederick Douglass Blvd</t>
  </si>
  <si>
    <t>201 West 108th Street # 36</t>
  </si>
  <si>
    <t>282 Manhattan Ave</t>
  </si>
  <si>
    <t>146 W 111th St</t>
  </si>
  <si>
    <t>1 W 127th St</t>
  </si>
  <si>
    <t>230 W 131st St</t>
  </si>
  <si>
    <t>2034 7th Ave</t>
  </si>
  <si>
    <t>875 Amsterdam Ave</t>
  </si>
  <si>
    <t>241 6th Ave</t>
  </si>
  <si>
    <t>533 W 112th St</t>
  </si>
  <si>
    <t>151 W 123rd St</t>
  </si>
  <si>
    <t>2070 Adam Clayton Powell Jr Blvd</t>
  </si>
  <si>
    <t>241 W 113th St</t>
  </si>
  <si>
    <t>868 Amsterdam Ave</t>
  </si>
  <si>
    <t>100 Hamilton Pl</t>
  </si>
  <si>
    <t>1833  Amsterdam Avenue 2H</t>
  </si>
  <si>
    <t>101 West 118th Street 2B</t>
  </si>
  <si>
    <t>120 W 91st St</t>
  </si>
  <si>
    <t>2018 Linden St</t>
  </si>
  <si>
    <t>16329 130th Ave</t>
  </si>
  <si>
    <t>4140 Denman St</t>
  </si>
  <si>
    <t>1821 Menahan St</t>
  </si>
  <si>
    <t>10538 170th St</t>
  </si>
  <si>
    <t>1715 Greene Ave</t>
  </si>
  <si>
    <t>1650 Putnam Ave</t>
  </si>
  <si>
    <t>15712 110th Ave</t>
  </si>
  <si>
    <t>1737 Willoughby Ave</t>
  </si>
  <si>
    <t>2043 Palmetto St</t>
  </si>
  <si>
    <t>16311 Foch Blvd</t>
  </si>
  <si>
    <t>10748 159th St</t>
  </si>
  <si>
    <t>10841 159th St</t>
  </si>
  <si>
    <t>10624 159th St</t>
  </si>
  <si>
    <t>10832 159th St</t>
  </si>
  <si>
    <t>15901 110th Ave</t>
  </si>
  <si>
    <t>4222 Ketcham St</t>
  </si>
  <si>
    <t>16349 130th Ave</t>
  </si>
  <si>
    <t>17436 126th Ave</t>
  </si>
  <si>
    <t>4405 Macnish St</t>
  </si>
  <si>
    <t>11503 Bedell St</t>
  </si>
  <si>
    <t>16824 127th Ave</t>
  </si>
  <si>
    <t>8852 53rd Ave</t>
  </si>
  <si>
    <t>4323 Ithaca St</t>
  </si>
  <si>
    <t>10654 Ruscoe St</t>
  </si>
  <si>
    <t>1821 Bleecker St</t>
  </si>
  <si>
    <t>17619 133rd Rd</t>
  </si>
  <si>
    <t>11406 Bedell St</t>
  </si>
  <si>
    <t>172-10 133rd Avenue</t>
  </si>
  <si>
    <t>1633 Hancock St</t>
  </si>
  <si>
    <t>7036 65th Pl</t>
  </si>
  <si>
    <t>17004 118th Ave</t>
  </si>
  <si>
    <t>170-25 171st Pl</t>
  </si>
  <si>
    <t>801 Woodward Ave</t>
  </si>
  <si>
    <t>17032 130th Ave</t>
  </si>
  <si>
    <t>10635 159th St</t>
  </si>
  <si>
    <t>10760 159th St</t>
  </si>
  <si>
    <t>11921 180th St</t>
  </si>
  <si>
    <t>16906 116th Ave</t>
  </si>
  <si>
    <t>13446 161st St</t>
  </si>
  <si>
    <t>10707 157th St</t>
  </si>
  <si>
    <t>10733 Watson Pl</t>
  </si>
  <si>
    <t>5610 94th St</t>
  </si>
  <si>
    <t>2026 Gates Ave</t>
  </si>
  <si>
    <t>5311 90th St</t>
  </si>
  <si>
    <t>94025 57th Avenue</t>
  </si>
  <si>
    <t>15910 109th Ave</t>
  </si>
  <si>
    <t>10854 159th St</t>
  </si>
  <si>
    <t>10910 160th St</t>
  </si>
  <si>
    <t>10615 159th St</t>
  </si>
  <si>
    <t>10718 156TH ST</t>
  </si>
  <si>
    <t>5906 Catalpa Ave</t>
  </si>
  <si>
    <t>6105 Bleeker Street</t>
  </si>
  <si>
    <t>9254 172nd St</t>
  </si>
  <si>
    <t>10644 Ruscoe St</t>
  </si>
  <si>
    <t>11943 178th St</t>
  </si>
  <si>
    <t>562 Seneca Ave</t>
  </si>
  <si>
    <t>6832 64th Pl</t>
  </si>
  <si>
    <t>14205 180th St</t>
  </si>
  <si>
    <t>8910 Whitney Ave</t>
  </si>
  <si>
    <t>7939 Calamus Ave</t>
  </si>
  <si>
    <t>7315 72nd St</t>
  </si>
  <si>
    <t>458 Woodward Ave</t>
  </si>
  <si>
    <t>11717 168th St</t>
  </si>
  <si>
    <t>4094 Denman St</t>
  </si>
  <si>
    <t>4171 Denman St</t>
  </si>
  <si>
    <t>10726 159th St</t>
  </si>
  <si>
    <t>12949 157th St</t>
  </si>
  <si>
    <t>105-24 171rst Place</t>
  </si>
  <si>
    <t>10858 154th St</t>
  </si>
  <si>
    <t>172 30 125th Ave</t>
  </si>
  <si>
    <t>7121 65th St</t>
  </si>
  <si>
    <t>7207 73rd St</t>
  </si>
  <si>
    <t>17916 146th Dr</t>
  </si>
  <si>
    <t>15316 Foch Blvd</t>
  </si>
  <si>
    <t>10703 159th St</t>
  </si>
  <si>
    <t>7441 45th Ave</t>
  </si>
  <si>
    <t>13425 166th Pl</t>
  </si>
  <si>
    <t>15024 116th Dr</t>
  </si>
  <si>
    <t>12560 Sutphin Blvd</t>
  </si>
  <si>
    <t>17020 130th Ave</t>
  </si>
  <si>
    <t>6841 Myrtle Ave</t>
  </si>
  <si>
    <t>8520 Elmhurst Ave</t>
  </si>
  <si>
    <t>719 Seneca Ave</t>
  </si>
  <si>
    <t>16813 105th Ave</t>
  </si>
  <si>
    <t>13054 176th Pl</t>
  </si>
  <si>
    <t>9425 57th Ave</t>
  </si>
  <si>
    <t>8837 53rd Ave</t>
  </si>
  <si>
    <t>10633 156th St</t>
  </si>
  <si>
    <t>10335 177th St</t>
  </si>
  <si>
    <t>16011 132nd Ave</t>
  </si>
  <si>
    <t>4210 82nd St</t>
  </si>
  <si>
    <t>17726 Ursina Rd</t>
  </si>
  <si>
    <t>16818 Liberty Ave</t>
  </si>
  <si>
    <t>17204 Linden Blvd</t>
  </si>
  <si>
    <t>12602 Locust Manor Ln</t>
  </si>
  <si>
    <t>17004 Liberty Ave</t>
  </si>
  <si>
    <t>6405 Cooper Ave</t>
  </si>
  <si>
    <t>10823 Union Hall St</t>
  </si>
  <si>
    <t>7127 65th St</t>
  </si>
  <si>
    <t>10825 171st St</t>
  </si>
  <si>
    <t>16925 111th Ave aka 110-40 Rd</t>
  </si>
  <si>
    <t>11426 169th St</t>
  </si>
  <si>
    <t>1882 Greene Ave</t>
  </si>
  <si>
    <t>7911 41st Ave</t>
  </si>
  <si>
    <t>12718 177th St</t>
  </si>
  <si>
    <t>8701 Corona Ave</t>
  </si>
  <si>
    <t>12102 Sutphin Blvd</t>
  </si>
  <si>
    <t>16925 111th Ave</t>
  </si>
  <si>
    <t>1872 Putnam Ave</t>
  </si>
  <si>
    <t>8921 Elmhurst Ave</t>
  </si>
  <si>
    <t>508 Woodward Ave</t>
  </si>
  <si>
    <t>17222 133rd Ave</t>
  </si>
  <si>
    <t>16840 127th Ave</t>
  </si>
  <si>
    <t>11016 172nd St</t>
  </si>
  <si>
    <t>16922 144th Rd</t>
  </si>
  <si>
    <t>9261 165th St</t>
  </si>
  <si>
    <t>8015 41st Ave</t>
  </si>
  <si>
    <t>10638 Ruscoe St</t>
  </si>
  <si>
    <t>10516 177th St</t>
  </si>
  <si>
    <t>14020 184th St</t>
  </si>
  <si>
    <t>10653 Guy R Brewer Blvd</t>
  </si>
  <si>
    <t>2041 Palmetto St</t>
  </si>
  <si>
    <t>10748 165th St</t>
  </si>
  <si>
    <t>9233 170th St</t>
  </si>
  <si>
    <t>1803 Decatur St</t>
  </si>
  <si>
    <t>8925 Elmhurst Ave</t>
  </si>
  <si>
    <t>17241125th Avenue</t>
  </si>
  <si>
    <t>4156 Denman St</t>
  </si>
  <si>
    <t>11131 172nd St</t>
  </si>
  <si>
    <t>13215 155th St</t>
  </si>
  <si>
    <t>4421 Macnish St</t>
  </si>
  <si>
    <t>171-04 Baisley Blvd</t>
  </si>
  <si>
    <t>15029 Foch Blvd</t>
  </si>
  <si>
    <t>11942 177th St</t>
  </si>
  <si>
    <t>16401 Foch Blvd</t>
  </si>
  <si>
    <t>11938 Guy R Brewer Blvd</t>
  </si>
  <si>
    <t>13449 166th pl</t>
  </si>
  <si>
    <t>10716 165th St</t>
  </si>
  <si>
    <t>10930 160th St</t>
  </si>
  <si>
    <t>7122 Myrtle Ave</t>
  </si>
  <si>
    <t>6091 70th Ave</t>
  </si>
  <si>
    <t>7032 69th St</t>
  </si>
  <si>
    <t>4033 74th St</t>
  </si>
  <si>
    <t>8905 55th Ave</t>
  </si>
  <si>
    <t>10656 160th St</t>
  </si>
  <si>
    <t>12052 168th St</t>
  </si>
  <si>
    <t>4123 76th St</t>
  </si>
  <si>
    <t>376 Woodward ave</t>
  </si>
  <si>
    <t>11635 Sutphin Blvd</t>
  </si>
  <si>
    <t>8850 81st Ave</t>
  </si>
  <si>
    <t>11057 Union Hall St</t>
  </si>
  <si>
    <t>13725 159th St</t>
  </si>
  <si>
    <t>5305 92nd St</t>
  </si>
  <si>
    <t>9212 175th St</t>
  </si>
  <si>
    <t>1718 Putnam Ave</t>
  </si>
  <si>
    <t>17132 108th Ave</t>
  </si>
  <si>
    <t>11422 158th St</t>
  </si>
  <si>
    <t>17711 105th Ave</t>
  </si>
  <si>
    <t>7132 66th Pl</t>
  </si>
  <si>
    <t>15323 Arlington Ter</t>
  </si>
  <si>
    <t>11436 Sutphin Blvd</t>
  </si>
  <si>
    <t>8008 45th Ave</t>
  </si>
  <si>
    <t>14473 177th St</t>
  </si>
  <si>
    <t>16225 112th Rd</t>
  </si>
  <si>
    <t>11524 168th St</t>
  </si>
  <si>
    <t>15707 Rockaway Blvd</t>
  </si>
  <si>
    <t>10944 160th St</t>
  </si>
  <si>
    <t>17210 133rd Ave</t>
  </si>
  <si>
    <t>13211 Bennett Ct</t>
  </si>
  <si>
    <t>15011 109th Rd</t>
  </si>
  <si>
    <t>4207 Elberston st</t>
  </si>
  <si>
    <t>6082 Catalpa Ave</t>
  </si>
  <si>
    <t>4343 91st Pl</t>
  </si>
  <si>
    <t>15601 N Conduit Ave</t>
  </si>
  <si>
    <t>6117 68th Ave</t>
  </si>
  <si>
    <t>14845 89th Ave</t>
  </si>
  <si>
    <t>9335 Lamont Ave</t>
  </si>
  <si>
    <t>1665 Palmetto St</t>
  </si>
  <si>
    <t>7939 Myrtle Ave</t>
  </si>
  <si>
    <t>16820 127th Ave</t>
  </si>
  <si>
    <t>169-28 110th Rd</t>
  </si>
  <si>
    <t>7422 Woodside Ave</t>
  </si>
  <si>
    <t>10844 160th St</t>
  </si>
  <si>
    <t>16819 110th Ave</t>
  </si>
  <si>
    <t>17117 107th Ave</t>
  </si>
  <si>
    <t>10725 171st Pl</t>
  </si>
  <si>
    <t>1877 Woodbine St</t>
  </si>
  <si>
    <t>15533 Linden Blvd</t>
  </si>
  <si>
    <t>13429 166th Pl</t>
  </si>
  <si>
    <t>8945 Doran Ave</t>
  </si>
  <si>
    <t>12002 Sutphin Blvd</t>
  </si>
  <si>
    <t>17745 Ursina Rd</t>
  </si>
  <si>
    <t>10630 159th St</t>
  </si>
  <si>
    <t>4216 80th St</t>
  </si>
  <si>
    <t>16819 118th Rd</t>
  </si>
  <si>
    <t>17024 130th ave</t>
  </si>
  <si>
    <t>17034 130th Ave</t>
  </si>
  <si>
    <t>16844 127th Ave</t>
  </si>
  <si>
    <t>17040 130th Ave</t>
  </si>
  <si>
    <t>4040 Elbertson St</t>
  </si>
  <si>
    <t>10702 154th St</t>
  </si>
  <si>
    <t>55 Holland Ave</t>
  </si>
  <si>
    <t>256 Egbert Ave</t>
  </si>
  <si>
    <t>335 South Ave</t>
  </si>
  <si>
    <t>4 Laguardia Ave</t>
  </si>
  <si>
    <t>88 Renee Pl</t>
  </si>
  <si>
    <t>810 Henderson Ave</t>
  </si>
  <si>
    <t>35 Holland Ave</t>
  </si>
  <si>
    <t>177 Continental Pl</t>
  </si>
  <si>
    <t>171 Trantor Pl</t>
  </si>
  <si>
    <t>206 Lake Ave</t>
  </si>
  <si>
    <t>182 Van Pelt Ave</t>
  </si>
  <si>
    <t>39 Jaffe St</t>
  </si>
  <si>
    <t>142 Brabant St</t>
  </si>
  <si>
    <t>298 Lockman Ave</t>
  </si>
  <si>
    <t>89a Andros Ave</t>
  </si>
  <si>
    <t>124 Brabant st</t>
  </si>
  <si>
    <t>150 Brabant St</t>
  </si>
  <si>
    <t>6 Kingsbridge Ave</t>
  </si>
  <si>
    <t>1955 Richmond Ter</t>
  </si>
  <si>
    <t>209a Van Name Ave</t>
  </si>
  <si>
    <t>14 Skinner Ln</t>
  </si>
  <si>
    <t>156 N Burgher Ave</t>
  </si>
  <si>
    <t>165 Vassar St</t>
  </si>
  <si>
    <t>20 Davidson Ct</t>
  </si>
  <si>
    <t>32 Holiday Way</t>
  </si>
  <si>
    <t>170 Holland Ave</t>
  </si>
  <si>
    <t>253 Davis Ave</t>
  </si>
  <si>
    <t>16 Julie Ct</t>
  </si>
  <si>
    <t>63 Dongan Ave</t>
  </si>
  <si>
    <t>1869 Richmond Ave</t>
  </si>
  <si>
    <t>658 Delafield Ave</t>
  </si>
  <si>
    <t>58 Millstone Ct</t>
  </si>
  <si>
    <t>155 Friendship Ln</t>
  </si>
  <si>
    <t>52 Pond Way</t>
  </si>
  <si>
    <t>91 Holland Ave</t>
  </si>
  <si>
    <t>34 Gary Ct</t>
  </si>
  <si>
    <t>50 Harbor Loop</t>
  </si>
  <si>
    <t>791 Manor Rd</t>
  </si>
  <si>
    <t>110 Brabant St</t>
  </si>
  <si>
    <t>1749 Victory Blvd</t>
  </si>
  <si>
    <t>269B Maple Pkwy</t>
  </si>
  <si>
    <t>151 Van Pelt Ave</t>
  </si>
  <si>
    <t>31 Essex Dr</t>
  </si>
  <si>
    <t>16 Moonlight Ct</t>
  </si>
  <si>
    <t>1075 Castleton Ave</t>
  </si>
  <si>
    <t>22 Betty Ct</t>
  </si>
  <si>
    <t>184 Regis Dr</t>
  </si>
  <si>
    <t>56 Dongan St</t>
  </si>
  <si>
    <t>301A South Ave</t>
  </si>
  <si>
    <t>190 Continental Pl</t>
  </si>
  <si>
    <t>780 Henderson Ave</t>
  </si>
  <si>
    <t>331 Grandview Ave</t>
  </si>
  <si>
    <t>761 Manor Rd</t>
  </si>
  <si>
    <t>49 Renfrew Pl</t>
  </si>
  <si>
    <t>28 Bayonne Ct</t>
  </si>
  <si>
    <t>17 Clarion Ct</t>
  </si>
  <si>
    <t>23 Lake Ave</t>
  </si>
  <si>
    <t>1331 Bay St</t>
  </si>
  <si>
    <t>127 Steinway Ave</t>
  </si>
  <si>
    <t>362 Willow Rd W</t>
  </si>
  <si>
    <t>202 Walker St</t>
  </si>
  <si>
    <t>275 Westwood Ave</t>
  </si>
  <si>
    <t>141 Chestnut Ave</t>
  </si>
  <si>
    <t>23 Fingerboard Rd</t>
  </si>
  <si>
    <t>125 Freedom Ave</t>
  </si>
  <si>
    <t>911 Willowbrook Rd</t>
  </si>
  <si>
    <t>51 Markham Ln</t>
  </si>
  <si>
    <t>40 Skinner Ln</t>
  </si>
  <si>
    <t>208 Lockman Ave</t>
  </si>
  <si>
    <t>31 Markham Ln</t>
  </si>
  <si>
    <t>18a Richmond Ct</t>
  </si>
  <si>
    <t>173 Brabant St</t>
  </si>
  <si>
    <t>60-01 B194th Street</t>
  </si>
  <si>
    <t>20214 Hollis Ave</t>
  </si>
  <si>
    <t>250 Beach 117th St</t>
  </si>
  <si>
    <t>88-15 168th ave</t>
  </si>
  <si>
    <t>88-15 Hillside Avenue</t>
  </si>
  <si>
    <t>3736 86th St</t>
  </si>
  <si>
    <t>10517 53rd Ave</t>
  </si>
  <si>
    <t>13234 41st Ave</t>
  </si>
  <si>
    <t>4102 Vernon Blvd</t>
  </si>
  <si>
    <t>640 W 142nd St</t>
  </si>
  <si>
    <t>11574 Newburgh St</t>
  </si>
  <si>
    <t>16716 Linden Blvd</t>
  </si>
  <si>
    <t>3548 94th St</t>
  </si>
  <si>
    <t>14728 90th Ave</t>
  </si>
  <si>
    <t>10716 160th St</t>
  </si>
  <si>
    <t>21-77 33rd Street</t>
  </si>
  <si>
    <t>88-15 168th Street</t>
  </si>
  <si>
    <t>1645 Summerfield St</t>
  </si>
  <si>
    <t>422 Beach 28th St</t>
  </si>
  <si>
    <t>13320 Roosevelt Ave</t>
  </si>
  <si>
    <t>119-37 Metropolitan Ave</t>
  </si>
  <si>
    <t>1886 Woodbine St</t>
  </si>
  <si>
    <t>216-18 40th Aveune</t>
  </si>
  <si>
    <t>3169 37th St</t>
  </si>
  <si>
    <t>9512 67th Ave</t>
  </si>
  <si>
    <t>13815 franklin ave</t>
  </si>
  <si>
    <t>14172 85th Rd</t>
  </si>
  <si>
    <t>10461 Atlantic Ave</t>
  </si>
  <si>
    <t>3541 97th St</t>
  </si>
  <si>
    <t>11640 Park Ln S</t>
  </si>
  <si>
    <t>3230 93rd St</t>
  </si>
  <si>
    <t>8383 118th St</t>
  </si>
  <si>
    <t>178-10 Wexford Terrace</t>
  </si>
  <si>
    <t>166-40  89th Avenue</t>
  </si>
  <si>
    <t>689 Onderdonk Ave</t>
  </si>
  <si>
    <t>120 Beach 19th St</t>
  </si>
  <si>
    <t>3988 49th St</t>
  </si>
  <si>
    <t>90-10 149th Sreet</t>
  </si>
  <si>
    <t>8025 Parsons Blvd</t>
  </si>
  <si>
    <t>7245 153rd St</t>
  </si>
  <si>
    <t>12008 97th Ave</t>
  </si>
  <si>
    <t>1874 Himrod St</t>
  </si>
  <si>
    <t>100-23 39th Ave</t>
  </si>
  <si>
    <t>3706 65th St</t>
  </si>
  <si>
    <t>19019 Linden Blvd</t>
  </si>
  <si>
    <t>6361 Yellowstone Blvd</t>
  </si>
  <si>
    <t>6838 Forest Ave</t>
  </si>
  <si>
    <t>Po Box 863813</t>
  </si>
  <si>
    <t>17810 Wexford Ter</t>
  </si>
  <si>
    <t>88-15 168th St</t>
  </si>
  <si>
    <t>8723 124th St</t>
  </si>
  <si>
    <t>9715 Horace Harding Expy</t>
  </si>
  <si>
    <t>6433 99th St</t>
  </si>
  <si>
    <t>4606 Smart St</t>
  </si>
  <si>
    <t>7751 75th St</t>
  </si>
  <si>
    <t>16605 88th Ave</t>
  </si>
  <si>
    <t>9211 242nd St</t>
  </si>
  <si>
    <t>17732 106th Rd</t>
  </si>
  <si>
    <t>88-15 168th Avenue</t>
  </si>
  <si>
    <t>8770 173rd St</t>
  </si>
  <si>
    <t>9010 149th St</t>
  </si>
  <si>
    <t>777 Onderdonk Ave</t>
  </si>
  <si>
    <t>2508 46th St</t>
  </si>
  <si>
    <t>4532 149th St</t>
  </si>
  <si>
    <t>7210 37th Ave</t>
  </si>
  <si>
    <t>134-39 166th Place</t>
  </si>
  <si>
    <t>67-76 Yellowstonr</t>
  </si>
  <si>
    <t>8105 Hammels Blvd</t>
  </si>
  <si>
    <t>6431 Palmetto St</t>
  </si>
  <si>
    <t>1827 Madison St</t>
  </si>
  <si>
    <t>15817 Sanford Ave</t>
  </si>
  <si>
    <t>8717 171st St</t>
  </si>
  <si>
    <t>180 Beach 117th St</t>
  </si>
  <si>
    <t>145-55 Farmers Blvd</t>
  </si>
  <si>
    <t>1933 79th St</t>
  </si>
  <si>
    <t>2030 Elk Dr</t>
  </si>
  <si>
    <t>3408 36th Ave</t>
  </si>
  <si>
    <t>8711 35th Ave</t>
  </si>
  <si>
    <t>333 Beach 32nd Street</t>
  </si>
  <si>
    <t>4051 Denman St</t>
  </si>
  <si>
    <t>11958 27th Ave</t>
  </si>
  <si>
    <t>681 Seneca Ave</t>
  </si>
  <si>
    <t>9705 Horace Harding Expy, 4H</t>
  </si>
  <si>
    <t>6512 Parsons Blvd</t>
  </si>
  <si>
    <t>7510 Grand Central Pkwy</t>
  </si>
  <si>
    <t>707 Beach 9th St</t>
  </si>
  <si>
    <t>3025 Godwin Ter</t>
  </si>
  <si>
    <t>1285 washington ave</t>
  </si>
  <si>
    <t>140 West 109th Street, # 1W</t>
  </si>
  <si>
    <t>236 Mulberry St</t>
  </si>
  <si>
    <t>617 East 9th Street</t>
  </si>
  <si>
    <t>235 W 22nd St</t>
  </si>
  <si>
    <t>178 E 117th St</t>
  </si>
  <si>
    <t>70 E 115th St</t>
  </si>
  <si>
    <t>430 E 105th St</t>
  </si>
  <si>
    <t>442 W 57th St</t>
  </si>
  <si>
    <t>159-20 Harlem River Dr</t>
  </si>
  <si>
    <t>505 W 37th St</t>
  </si>
  <si>
    <t>91 Allen St</t>
  </si>
  <si>
    <t>175 W 90th St</t>
  </si>
  <si>
    <t>400 W 56th St</t>
  </si>
  <si>
    <t>527 W 135th St</t>
  </si>
  <si>
    <t>201 W 108th St</t>
  </si>
  <si>
    <t>58 Kenmare St</t>
  </si>
  <si>
    <t>80 Canal St</t>
  </si>
  <si>
    <t>429 E 72nd St</t>
  </si>
  <si>
    <t>2400 2nd Ave</t>
  </si>
  <si>
    <t>535 W 162nd St</t>
  </si>
  <si>
    <t>536 W 158th St</t>
  </si>
  <si>
    <t>10 Avenue D</t>
  </si>
  <si>
    <t>129 W 147th St</t>
  </si>
  <si>
    <t>629 W 138th St</t>
  </si>
  <si>
    <t>460 W 149th St</t>
  </si>
  <si>
    <t>510 Manhattan Ave</t>
  </si>
  <si>
    <t>82 Canal St</t>
  </si>
  <si>
    <t>612 E 14th St</t>
  </si>
  <si>
    <t>66 W 69th St</t>
  </si>
  <si>
    <t>502 W 139th St</t>
  </si>
  <si>
    <t>70 Malcolm X Blvd</t>
  </si>
  <si>
    <t>500 W 171st St</t>
  </si>
  <si>
    <t>701 W 177th St</t>
  </si>
  <si>
    <t>136 Eldridge St</t>
  </si>
  <si>
    <t>550j Grand St</t>
  </si>
  <si>
    <t>400 Central Park W</t>
  </si>
  <si>
    <t>656 West 162nd St Apt # 5D</t>
  </si>
  <si>
    <t>176 E 81st St</t>
  </si>
  <si>
    <t>614 Flatbush Ave</t>
  </si>
  <si>
    <t>210 Brighton 15th St</t>
  </si>
  <si>
    <t>1153 Saint Johns Pl</t>
  </si>
  <si>
    <t>1963 E 17th St</t>
  </si>
  <si>
    <t>55 Arlington Ave</t>
  </si>
  <si>
    <t>1820 Avenue v</t>
  </si>
  <si>
    <t>483 Saint Marks Ave</t>
  </si>
  <si>
    <t>119 Webster Ave</t>
  </si>
  <si>
    <t>535 Marcy Ave</t>
  </si>
  <si>
    <t>76 Havemeyer St</t>
  </si>
  <si>
    <t>266 Washington Ave</t>
  </si>
  <si>
    <t>143 Jefferson Ave Apt 3a</t>
  </si>
  <si>
    <t>789 Saint Marks Ave</t>
  </si>
  <si>
    <t>2175 E 15th St</t>
  </si>
  <si>
    <t>159 E 102nd St</t>
  </si>
  <si>
    <t>620 malcolm x blvd</t>
  </si>
  <si>
    <t>322 E 61st St</t>
  </si>
  <si>
    <t>211 W 56th St</t>
  </si>
  <si>
    <t>130 E 115th St</t>
  </si>
  <si>
    <t>122 W 136th St</t>
  </si>
  <si>
    <t>309 W 75th St</t>
  </si>
  <si>
    <t>302 E 126th St</t>
  </si>
  <si>
    <t>556 W 126th St # 66</t>
  </si>
  <si>
    <t>3155 Broadway</t>
  </si>
  <si>
    <t>334 E 105th St</t>
  </si>
  <si>
    <t>408 W 129th St</t>
  </si>
  <si>
    <t>128 W 128th St</t>
  </si>
  <si>
    <t>1581 Park Ave</t>
  </si>
  <si>
    <t>255 W 43rd St</t>
  </si>
  <si>
    <t>466 E 10th St</t>
  </si>
  <si>
    <t>50 W 139th St</t>
  </si>
  <si>
    <t>8 West 118th Srtreet</t>
  </si>
  <si>
    <t>501 W 173rd St</t>
  </si>
  <si>
    <t>35 Central Park N</t>
  </si>
  <si>
    <t>504 W 135th St</t>
  </si>
  <si>
    <t>335 E 27th St</t>
  </si>
  <si>
    <t>342 E 22nd St</t>
  </si>
  <si>
    <t>14 E 28th St</t>
  </si>
  <si>
    <t>3505 Broadway</t>
  </si>
  <si>
    <t>4125 Kissena Blvd</t>
  </si>
  <si>
    <t>326 W 49th St</t>
  </si>
  <si>
    <t>577 Fdr Dr</t>
  </si>
  <si>
    <t>1367 Ellison Ave</t>
  </si>
  <si>
    <t>1141 Fdr Dr</t>
  </si>
  <si>
    <t>40 Arden St</t>
  </si>
  <si>
    <t>280 Fort Washington Ave</t>
  </si>
  <si>
    <t>18704 Ridgedale St</t>
  </si>
  <si>
    <t>711 E 140th St</t>
  </si>
  <si>
    <t>2645 3rd Ave</t>
  </si>
  <si>
    <t>765 E 166th St</t>
  </si>
  <si>
    <t>14844 89th Ave</t>
  </si>
  <si>
    <t>905 Eagle Ave</t>
  </si>
  <si>
    <t>2014 81st St</t>
  </si>
  <si>
    <t>6812 Yellowstone Blvd</t>
  </si>
  <si>
    <t>13261 Sanford Ave</t>
  </si>
  <si>
    <t>524 86th St</t>
  </si>
  <si>
    <t>289 Cooper St Apt 1 Fl</t>
  </si>
  <si>
    <t>3801 Review Pl</t>
  </si>
  <si>
    <t>148 Bank St</t>
  </si>
  <si>
    <t>90 Columbia St</t>
  </si>
  <si>
    <t>35-05 94TH Streeet</t>
  </si>
  <si>
    <t>27 Warren St</t>
  </si>
  <si>
    <t>3508 95th St</t>
  </si>
  <si>
    <t>1322 E 65th St</t>
  </si>
  <si>
    <t>77 Fulton St</t>
  </si>
  <si>
    <t>50 Broad St Ste 1125</t>
  </si>
  <si>
    <t>137 Glen St</t>
  </si>
  <si>
    <t>13119 86th Rd</t>
  </si>
  <si>
    <t>3B</t>
  </si>
  <si>
    <t>1-3</t>
  </si>
  <si>
    <t>2B</t>
  </si>
  <si>
    <t>4E</t>
  </si>
  <si>
    <t>6H</t>
  </si>
  <si>
    <t>Apt. 6B</t>
  </si>
  <si>
    <t>#18H</t>
  </si>
  <si>
    <t>3 A</t>
  </si>
  <si>
    <t>1st FL</t>
  </si>
  <si>
    <t>63B</t>
  </si>
  <si>
    <t>13H</t>
  </si>
  <si>
    <t>18F</t>
  </si>
  <si>
    <t>4A</t>
  </si>
  <si>
    <t>B5</t>
  </si>
  <si>
    <t>6M</t>
  </si>
  <si>
    <t>C6</t>
  </si>
  <si>
    <t>2F</t>
  </si>
  <si>
    <t>1F</t>
  </si>
  <si>
    <t>3W</t>
  </si>
  <si>
    <t>3D</t>
  </si>
  <si>
    <t>3G</t>
  </si>
  <si>
    <t>Apt 2A</t>
  </si>
  <si>
    <t>7H</t>
  </si>
  <si>
    <t>4G</t>
  </si>
  <si>
    <t>Apt 3K</t>
  </si>
  <si>
    <t>4N</t>
  </si>
  <si>
    <t>2H</t>
  </si>
  <si>
    <t>2nd FL</t>
  </si>
  <si>
    <t>5B</t>
  </si>
  <si>
    <t>25B</t>
  </si>
  <si>
    <t>4J</t>
  </si>
  <si>
    <t>2 M</t>
  </si>
  <si>
    <t>D8</t>
  </si>
  <si>
    <t>3A</t>
  </si>
  <si>
    <t>5F</t>
  </si>
  <si>
    <t>Apt.6A</t>
  </si>
  <si>
    <t>3F</t>
  </si>
  <si>
    <t>6B</t>
  </si>
  <si>
    <t>2nd Floor</t>
  </si>
  <si>
    <t>403E</t>
  </si>
  <si>
    <t>2ND fL</t>
  </si>
  <si>
    <t>6F</t>
  </si>
  <si>
    <t>2 floor</t>
  </si>
  <si>
    <t>5H</t>
  </si>
  <si>
    <t>14B</t>
  </si>
  <si>
    <t>3L</t>
  </si>
  <si>
    <t>2 Floor</t>
  </si>
  <si>
    <t>2M</t>
  </si>
  <si>
    <t>2nd floor</t>
  </si>
  <si>
    <t>6C</t>
  </si>
  <si>
    <t>6D</t>
  </si>
  <si>
    <t>2nd Fl</t>
  </si>
  <si>
    <t>1L</t>
  </si>
  <si>
    <t>Basement</t>
  </si>
  <si>
    <t>Bsmt</t>
  </si>
  <si>
    <t>1FL</t>
  </si>
  <si>
    <t>2W</t>
  </si>
  <si>
    <t>1St Fl</t>
  </si>
  <si>
    <t>2R</t>
  </si>
  <si>
    <t>192B</t>
  </si>
  <si>
    <t>8B</t>
  </si>
  <si>
    <t>2C</t>
  </si>
  <si>
    <t>5E</t>
  </si>
  <si>
    <t>2Fl</t>
  </si>
  <si>
    <t>8E</t>
  </si>
  <si>
    <t>1R</t>
  </si>
  <si>
    <t>6N</t>
  </si>
  <si>
    <t>Apt 19C</t>
  </si>
  <si>
    <t>7K</t>
  </si>
  <si>
    <t>D4</t>
  </si>
  <si>
    <t>4k</t>
  </si>
  <si>
    <t>13D</t>
  </si>
  <si>
    <t>7A</t>
  </si>
  <si>
    <t>Apt 7Y</t>
  </si>
  <si>
    <t>1A</t>
  </si>
  <si>
    <t>6E</t>
  </si>
  <si>
    <t>4D</t>
  </si>
  <si>
    <t>Apt 1R</t>
  </si>
  <si>
    <t>Apt 1 Floor 2</t>
  </si>
  <si>
    <t>4F</t>
  </si>
  <si>
    <t>2 J</t>
  </si>
  <si>
    <t>1E</t>
  </si>
  <si>
    <t>6W</t>
  </si>
  <si>
    <t>2g</t>
  </si>
  <si>
    <t>5R</t>
  </si>
  <si>
    <t>C4</t>
  </si>
  <si>
    <t>3c</t>
  </si>
  <si>
    <t>2RR</t>
  </si>
  <si>
    <t>c7</t>
  </si>
  <si>
    <t>3N</t>
  </si>
  <si>
    <t>A 335</t>
  </si>
  <si>
    <t>#5D</t>
  </si>
  <si>
    <t>Apt H</t>
  </si>
  <si>
    <t>1D</t>
  </si>
  <si>
    <t>5A</t>
  </si>
  <si>
    <t>13F</t>
  </si>
  <si>
    <t>Apt 9C</t>
  </si>
  <si>
    <t>Apt L3</t>
  </si>
  <si>
    <t>Apt 19F</t>
  </si>
  <si>
    <t>1G</t>
  </si>
  <si>
    <t>22k</t>
  </si>
  <si>
    <t>18G</t>
  </si>
  <si>
    <t>5f4</t>
  </si>
  <si>
    <t>Apt 3L</t>
  </si>
  <si>
    <t>1C</t>
  </si>
  <si>
    <t>D5</t>
  </si>
  <si>
    <t>Apt 307</t>
  </si>
  <si>
    <t>3J</t>
  </si>
  <si>
    <t>Apt A6</t>
  </si>
  <si>
    <t>6G</t>
  </si>
  <si>
    <t>Apt E5</t>
  </si>
  <si>
    <t>2D</t>
  </si>
  <si>
    <t>2-D</t>
  </si>
  <si>
    <t>c8</t>
  </si>
  <si>
    <t>3R</t>
  </si>
  <si>
    <t>Apt 52</t>
  </si>
  <si>
    <t>Apt. 4E</t>
  </si>
  <si>
    <t>3-F</t>
  </si>
  <si>
    <t>Apt2</t>
  </si>
  <si>
    <t>Middle Level</t>
  </si>
  <si>
    <t>3E</t>
  </si>
  <si>
    <t>1B</t>
  </si>
  <si>
    <t>D3</t>
  </si>
  <si>
    <t>3Fl</t>
  </si>
  <si>
    <t>32E</t>
  </si>
  <si>
    <t>1K</t>
  </si>
  <si>
    <t>4H</t>
  </si>
  <si>
    <t>2A</t>
  </si>
  <si>
    <t>9J</t>
  </si>
  <si>
    <t>16K</t>
  </si>
  <si>
    <t>4R</t>
  </si>
  <si>
    <t>4C</t>
  </si>
  <si>
    <t>1 F</t>
  </si>
  <si>
    <t>4B</t>
  </si>
  <si>
    <t>4K</t>
  </si>
  <si>
    <t>1st Fl.</t>
  </si>
  <si>
    <t>#2U</t>
  </si>
  <si>
    <t>1H</t>
  </si>
  <si>
    <t>Apt 2</t>
  </si>
  <si>
    <t>C8</t>
  </si>
  <si>
    <t>GD</t>
  </si>
  <si>
    <t>3C</t>
  </si>
  <si>
    <t>4 R</t>
  </si>
  <si>
    <t>29J</t>
  </si>
  <si>
    <t>Apt 3B</t>
  </si>
  <si>
    <t>5J</t>
  </si>
  <si>
    <t>5C</t>
  </si>
  <si>
    <t>5G</t>
  </si>
  <si>
    <t>BB</t>
  </si>
  <si>
    <t>12D</t>
  </si>
  <si>
    <t>2E</t>
  </si>
  <si>
    <t>13A</t>
  </si>
  <si>
    <t>D6</t>
  </si>
  <si>
    <t>C</t>
  </si>
  <si>
    <t>5 F</t>
  </si>
  <si>
    <t>26K</t>
  </si>
  <si>
    <t>1st floor</t>
  </si>
  <si>
    <t>Apt N15</t>
  </si>
  <si>
    <t>1RE</t>
  </si>
  <si>
    <t>B506</t>
  </si>
  <si>
    <t>20A</t>
  </si>
  <si>
    <t>A13</t>
  </si>
  <si>
    <t>Bsmnt</t>
  </si>
  <si>
    <t>B4</t>
  </si>
  <si>
    <t>3-D</t>
  </si>
  <si>
    <t>H</t>
  </si>
  <si>
    <t>1 D</t>
  </si>
  <si>
    <t>6R</t>
  </si>
  <si>
    <t>Apt 1B</t>
  </si>
  <si>
    <t>14F</t>
  </si>
  <si>
    <t>3I</t>
  </si>
  <si>
    <t>Apt 1A</t>
  </si>
  <si>
    <t>5D</t>
  </si>
  <si>
    <t>3RR</t>
  </si>
  <si>
    <t>Apt. 5D</t>
  </si>
  <si>
    <t>Apt. 1G</t>
  </si>
  <si>
    <t>Apt 2E</t>
  </si>
  <si>
    <t>8D</t>
  </si>
  <si>
    <t>10D</t>
  </si>
  <si>
    <t>5K</t>
  </si>
  <si>
    <t>Apt 2D</t>
  </si>
  <si>
    <t>42 - 4th fl</t>
  </si>
  <si>
    <t>Apt 1C</t>
  </si>
  <si>
    <t>4 G</t>
  </si>
  <si>
    <t>Apt 1D</t>
  </si>
  <si>
    <t>C2</t>
  </si>
  <si>
    <t>top floor</t>
  </si>
  <si>
    <t>4L</t>
  </si>
  <si>
    <t>3rd Fl</t>
  </si>
  <si>
    <t>3rd Floor</t>
  </si>
  <si>
    <t>2L</t>
  </si>
  <si>
    <t>Apt 3</t>
  </si>
  <si>
    <t>22CW</t>
  </si>
  <si>
    <t>Apt 2R</t>
  </si>
  <si>
    <t>4 D</t>
  </si>
  <si>
    <t>Apt 6L</t>
  </si>
  <si>
    <t>A12</t>
  </si>
  <si>
    <t>2 A</t>
  </si>
  <si>
    <t>2nd fl</t>
  </si>
  <si>
    <t>6 K</t>
  </si>
  <si>
    <t>1st Floor</t>
  </si>
  <si>
    <t>B</t>
  </si>
  <si>
    <t>14J</t>
  </si>
  <si>
    <t>14E</t>
  </si>
  <si>
    <t>9L</t>
  </si>
  <si>
    <t>15B</t>
  </si>
  <si>
    <t>#1</t>
  </si>
  <si>
    <t>2nd Fl.</t>
  </si>
  <si>
    <t>Fl 1</t>
  </si>
  <si>
    <t>Apt. 2</t>
  </si>
  <si>
    <t>17A</t>
  </si>
  <si>
    <t>Floor 2</t>
  </si>
  <si>
    <t>Floor 1</t>
  </si>
  <si>
    <t>2K</t>
  </si>
  <si>
    <t>12F</t>
  </si>
  <si>
    <t>First Floor</t>
  </si>
  <si>
    <t>Apt 1-V</t>
  </si>
  <si>
    <t>6A</t>
  </si>
  <si>
    <t>A4</t>
  </si>
  <si>
    <t>9C</t>
  </si>
  <si>
    <t># 3</t>
  </si>
  <si>
    <t>8-4005</t>
  </si>
  <si>
    <t>7D</t>
  </si>
  <si>
    <t>3rd FL</t>
  </si>
  <si>
    <t>F2</t>
  </si>
  <si>
    <t>14C</t>
  </si>
  <si>
    <t>apt 2F</t>
  </si>
  <si>
    <t>F4</t>
  </si>
  <si>
    <t>A2</t>
  </si>
  <si>
    <t>2J</t>
  </si>
  <si>
    <t>8C</t>
  </si>
  <si>
    <t>11D</t>
  </si>
  <si>
    <t>21C</t>
  </si>
  <si>
    <t>15J</t>
  </si>
  <si>
    <t>Apt 5D</t>
  </si>
  <si>
    <t>Apt 2L</t>
  </si>
  <si>
    <t>B42</t>
  </si>
  <si>
    <t>#8H</t>
  </si>
  <si>
    <t>41A</t>
  </si>
  <si>
    <t>5k</t>
  </si>
  <si>
    <t>20C</t>
  </si>
  <si>
    <t>7C</t>
  </si>
  <si>
    <t>3 FL</t>
  </si>
  <si>
    <t>3Q</t>
  </si>
  <si>
    <t>BC</t>
  </si>
  <si>
    <t>1floor</t>
  </si>
  <si>
    <t>#2D</t>
  </si>
  <si>
    <t>Privat house</t>
  </si>
  <si>
    <t>9A</t>
  </si>
  <si>
    <t>2T</t>
  </si>
  <si>
    <t>A</t>
  </si>
  <si>
    <t>5N</t>
  </si>
  <si>
    <t>B15</t>
  </si>
  <si>
    <t>#3B</t>
  </si>
  <si>
    <t>B3</t>
  </si>
  <si>
    <t>BSMT</t>
  </si>
  <si>
    <t>2 R</t>
  </si>
  <si>
    <t>1st fl</t>
  </si>
  <si>
    <t>Apt 4</t>
  </si>
  <si>
    <t>23C</t>
  </si>
  <si>
    <t>3i</t>
  </si>
  <si>
    <t>5s</t>
  </si>
  <si>
    <t>Apt. 6S</t>
  </si>
  <si>
    <t>Apt 1</t>
  </si>
  <si>
    <t>B-2</t>
  </si>
  <si>
    <t>20F</t>
  </si>
  <si>
    <t>1 R</t>
  </si>
  <si>
    <t>C22</t>
  </si>
  <si>
    <t>Bsmt.</t>
  </si>
  <si>
    <t>6L</t>
  </si>
  <si>
    <t>Apt 5A</t>
  </si>
  <si>
    <t>2G</t>
  </si>
  <si>
    <t>Apt. A</t>
  </si>
  <si>
    <t>intervale avenue</t>
  </si>
  <si>
    <t>12A</t>
  </si>
  <si>
    <t>6 O</t>
  </si>
  <si>
    <t>6 J</t>
  </si>
  <si>
    <t>2b</t>
  </si>
  <si>
    <t>A-7</t>
  </si>
  <si>
    <t>2I</t>
  </si>
  <si>
    <t>13B</t>
  </si>
  <si>
    <t>14A</t>
  </si>
  <si>
    <t>B1</t>
  </si>
  <si>
    <t>2r</t>
  </si>
  <si>
    <t>3K</t>
  </si>
  <si>
    <t>1H, LEFT SIDE</t>
  </si>
  <si>
    <t>7M</t>
  </si>
  <si>
    <t>Apt 6O</t>
  </si>
  <si>
    <t>7E</t>
  </si>
  <si>
    <t>G-32</t>
  </si>
  <si>
    <t>4I</t>
  </si>
  <si>
    <t>1Q</t>
  </si>
  <si>
    <t>32B</t>
  </si>
  <si>
    <t>3AS</t>
  </si>
  <si>
    <t>30A</t>
  </si>
  <si>
    <t>1st</t>
  </si>
  <si>
    <t>3rd fl</t>
  </si>
  <si>
    <t>9E</t>
  </si>
  <si>
    <t>30c</t>
  </si>
  <si>
    <t>3P</t>
  </si>
  <si>
    <t>Apt. 1B</t>
  </si>
  <si>
    <t>4a</t>
  </si>
  <si>
    <t>2d</t>
  </si>
  <si>
    <t>17K</t>
  </si>
  <si>
    <t>22K</t>
  </si>
  <si>
    <t>1st floor apt 3</t>
  </si>
  <si>
    <t>D5C</t>
  </si>
  <si>
    <t>1St Floor</t>
  </si>
  <si>
    <t>7R</t>
  </si>
  <si>
    <t>1M</t>
  </si>
  <si>
    <t>6I</t>
  </si>
  <si>
    <t>7F</t>
  </si>
  <si>
    <t>8A</t>
  </si>
  <si>
    <t>K</t>
  </si>
  <si>
    <t>8H</t>
  </si>
  <si>
    <t>115E</t>
  </si>
  <si>
    <t>#2H</t>
  </si>
  <si>
    <t>17L</t>
  </si>
  <si>
    <t>10L</t>
  </si>
  <si>
    <t>8N</t>
  </si>
  <si>
    <t>12L</t>
  </si>
  <si>
    <t>Bw</t>
  </si>
  <si>
    <t>20J</t>
  </si>
  <si>
    <t>5T</t>
  </si>
  <si>
    <t>20H</t>
  </si>
  <si>
    <t>4T</t>
  </si>
  <si>
    <t>E5</t>
  </si>
  <si>
    <t>20B</t>
  </si>
  <si>
    <t>Apt A4</t>
  </si>
  <si>
    <t>13P</t>
  </si>
  <si>
    <t>11B</t>
  </si>
  <si>
    <t>Unit 1</t>
  </si>
  <si>
    <t>15F</t>
  </si>
  <si>
    <t>B7</t>
  </si>
  <si>
    <t>1416W</t>
  </si>
  <si>
    <t>11H</t>
  </si>
  <si>
    <t>D1</t>
  </si>
  <si>
    <t>4-C</t>
  </si>
  <si>
    <t># 2B</t>
  </si>
  <si>
    <t>3H</t>
  </si>
  <si>
    <t>4-G</t>
  </si>
  <si>
    <t>4-H</t>
  </si>
  <si>
    <t>10G</t>
  </si>
  <si>
    <t>1b</t>
  </si>
  <si>
    <t>6yy</t>
  </si>
  <si>
    <t>bsmnt</t>
  </si>
  <si>
    <t>4M</t>
  </si>
  <si>
    <t>4i</t>
  </si>
  <si>
    <t>1c</t>
  </si>
  <si>
    <t>1h</t>
  </si>
  <si>
    <t>1 floor</t>
  </si>
  <si>
    <t>2N</t>
  </si>
  <si>
    <t>D9</t>
  </si>
  <si>
    <t>5c</t>
  </si>
  <si>
    <t>C1</t>
  </si>
  <si>
    <t>18J</t>
  </si>
  <si>
    <t>23M</t>
  </si>
  <si>
    <t>!</t>
  </si>
  <si>
    <t>#1F</t>
  </si>
  <si>
    <t>Apt 4J</t>
  </si>
  <si>
    <t>PBH</t>
  </si>
  <si>
    <t>10M</t>
  </si>
  <si>
    <t>9F</t>
  </si>
  <si>
    <t>5L</t>
  </si>
  <si>
    <t>GG</t>
  </si>
  <si>
    <t>FL 3</t>
  </si>
  <si>
    <t>5M</t>
  </si>
  <si>
    <t>14L</t>
  </si>
  <si>
    <t>2P</t>
  </si>
  <si>
    <t>B2</t>
  </si>
  <si>
    <t>6V</t>
  </si>
  <si>
    <t>3T</t>
  </si>
  <si>
    <t>Apt 4R</t>
  </si>
  <si>
    <t>3-A</t>
  </si>
  <si>
    <t>1-R</t>
  </si>
  <si>
    <t>Apt 3D</t>
  </si>
  <si>
    <t>6CN</t>
  </si>
  <si>
    <t>11P</t>
  </si>
  <si>
    <t>#8C</t>
  </si>
  <si>
    <t>C7</t>
  </si>
  <si>
    <t>3rd floor</t>
  </si>
  <si>
    <t>2V</t>
  </si>
  <si>
    <t>3 E</t>
  </si>
  <si>
    <t>17E</t>
  </si>
  <si>
    <t>16N</t>
  </si>
  <si>
    <t>Apt. #5-B</t>
  </si>
  <si>
    <t>4e</t>
  </si>
  <si>
    <t>1g</t>
  </si>
  <si>
    <t>N15</t>
  </si>
  <si>
    <t>5 H</t>
  </si>
  <si>
    <t>5S</t>
  </si>
  <si>
    <t>16C</t>
  </si>
  <si>
    <t>15C</t>
  </si>
  <si>
    <t>14D</t>
  </si>
  <si>
    <t>17N</t>
  </si>
  <si>
    <t>1 Rm 2</t>
  </si>
  <si>
    <t>6S</t>
  </si>
  <si>
    <t>10E</t>
  </si>
  <si>
    <t>12E</t>
  </si>
  <si>
    <t>14S</t>
  </si>
  <si>
    <t>basement</t>
  </si>
  <si>
    <t>7G</t>
  </si>
  <si>
    <t>8G</t>
  </si>
  <si>
    <t>9B</t>
  </si>
  <si>
    <t>#1L</t>
  </si>
  <si>
    <t>15A</t>
  </si>
  <si>
    <t>D</t>
  </si>
  <si>
    <t>12B</t>
  </si>
  <si>
    <t>24B</t>
  </si>
  <si>
    <t>8L</t>
  </si>
  <si>
    <t>A66</t>
  </si>
  <si>
    <t>6J</t>
  </si>
  <si>
    <t>1-A</t>
  </si>
  <si>
    <t>2-B</t>
  </si>
  <si>
    <t>10J</t>
  </si>
  <si>
    <t>14N</t>
  </si>
  <si>
    <t>E3A1</t>
  </si>
  <si>
    <t>E4</t>
  </si>
  <si>
    <t>1-D</t>
  </si>
  <si>
    <t>#6A</t>
  </si>
  <si>
    <t>A3</t>
  </si>
  <si>
    <t>CC</t>
  </si>
  <si>
    <t>3M</t>
  </si>
  <si>
    <t>Apt 216</t>
  </si>
  <si>
    <t>Second Floor</t>
  </si>
  <si>
    <t>5W</t>
  </si>
  <si>
    <t>Room 10</t>
  </si>
  <si>
    <t>1e</t>
  </si>
  <si>
    <t>15 A</t>
  </si>
  <si>
    <t>6Z</t>
  </si>
  <si>
    <t>F3</t>
  </si>
  <si>
    <t>F22</t>
  </si>
  <si>
    <t>1205W</t>
  </si>
  <si>
    <t>5i</t>
  </si>
  <si>
    <t>Ground floor</t>
  </si>
  <si>
    <t>12H</t>
  </si>
  <si>
    <t>4 I</t>
  </si>
  <si>
    <t>18S</t>
  </si>
  <si>
    <t>10-O</t>
  </si>
  <si>
    <t>apt 2</t>
  </si>
  <si>
    <t>1J</t>
  </si>
  <si>
    <t>MC</t>
  </si>
  <si>
    <t>Apt 5T</t>
  </si>
  <si>
    <t>C15</t>
  </si>
  <si>
    <t>Apt. 2-L</t>
  </si>
  <si>
    <t>2U</t>
  </si>
  <si>
    <t>6K</t>
  </si>
  <si>
    <t>3AN</t>
  </si>
  <si>
    <t>4U</t>
  </si>
  <si>
    <t>ST1</t>
  </si>
  <si>
    <t>Apt. 1C</t>
  </si>
  <si>
    <t>1N</t>
  </si>
  <si>
    <t>24D</t>
  </si>
  <si>
    <t>6-L</t>
  </si>
  <si>
    <t>R602</t>
  </si>
  <si>
    <t>12-A</t>
  </si>
  <si>
    <t>Apt;. 2E</t>
  </si>
  <si>
    <t>4-B</t>
  </si>
  <si>
    <t>10C</t>
  </si>
  <si>
    <t>17H</t>
  </si>
  <si>
    <t>1st Fl</t>
  </si>
  <si>
    <t>Apt 6A</t>
  </si>
  <si>
    <t>Apt 3A</t>
  </si>
  <si>
    <t>3f</t>
  </si>
  <si>
    <t>5x</t>
  </si>
  <si>
    <t>5P</t>
  </si>
  <si>
    <t>G</t>
  </si>
  <si>
    <t>0J</t>
  </si>
  <si>
    <t>A04</t>
  </si>
  <si>
    <t>5-H</t>
  </si>
  <si>
    <t>#2</t>
  </si>
  <si>
    <t>22A</t>
  </si>
  <si>
    <t>A35</t>
  </si>
  <si>
    <t>1T</t>
  </si>
  <si>
    <t>C3</t>
  </si>
  <si>
    <t>18O</t>
  </si>
  <si>
    <t>23 A</t>
  </si>
  <si>
    <t>L3</t>
  </si>
  <si>
    <t>18B</t>
  </si>
  <si>
    <t>321E</t>
  </si>
  <si>
    <t>k</t>
  </si>
  <si>
    <t>314W</t>
  </si>
  <si>
    <t>4Q</t>
  </si>
  <si>
    <t>1st Floor (back)</t>
  </si>
  <si>
    <t>5I</t>
  </si>
  <si>
    <t>B31</t>
  </si>
  <si>
    <t>16A</t>
  </si>
  <si>
    <t>2X</t>
  </si>
  <si>
    <t>16H</t>
  </si>
  <si>
    <t>34J</t>
  </si>
  <si>
    <t>2 G</t>
  </si>
  <si>
    <t>5-G</t>
  </si>
  <si>
    <t>3-R</t>
  </si>
  <si>
    <t>6U</t>
  </si>
  <si>
    <t>apt 4</t>
  </si>
  <si>
    <t>14H</t>
  </si>
  <si>
    <t>Apt 203</t>
  </si>
  <si>
    <t>2-F</t>
  </si>
  <si>
    <t>4-K</t>
  </si>
  <si>
    <t>4W</t>
  </si>
  <si>
    <t>15L</t>
  </si>
  <si>
    <t>EE</t>
  </si>
  <si>
    <t>6-K</t>
  </si>
  <si>
    <t>7L</t>
  </si>
  <si>
    <t>1-T</t>
  </si>
  <si>
    <t>11DD</t>
  </si>
  <si>
    <t>7B</t>
  </si>
  <si>
    <t>#4C</t>
  </si>
  <si>
    <t>23K</t>
  </si>
  <si>
    <t>Apt 2G</t>
  </si>
  <si>
    <t>12B5</t>
  </si>
  <si>
    <t>9G</t>
  </si>
  <si>
    <t>2e</t>
  </si>
  <si>
    <t>16 D</t>
  </si>
  <si>
    <t>8F</t>
  </si>
  <si>
    <t>4l</t>
  </si>
  <si>
    <t>Apt 7</t>
  </si>
  <si>
    <t>Apt 1H</t>
  </si>
  <si>
    <t>Apt 4-C</t>
  </si>
  <si>
    <t>3FL</t>
  </si>
  <si>
    <t>4-E</t>
  </si>
  <si>
    <t>2 I</t>
  </si>
  <si>
    <t>Apt 3H</t>
  </si>
  <si>
    <t>19D</t>
  </si>
  <si>
    <t>1-E</t>
  </si>
  <si>
    <t>2S</t>
  </si>
  <si>
    <t>D7</t>
  </si>
  <si>
    <t>4-A</t>
  </si>
  <si>
    <t>BD</t>
  </si>
  <si>
    <t>26k</t>
  </si>
  <si>
    <t>4-D</t>
  </si>
  <si>
    <t>11-E</t>
  </si>
  <si>
    <t>17B</t>
  </si>
  <si>
    <t>3V</t>
  </si>
  <si>
    <t>Apt. 2R</t>
  </si>
  <si>
    <t>B16</t>
  </si>
  <si>
    <t>D17</t>
  </si>
  <si>
    <t>1-B</t>
  </si>
  <si>
    <t>Apt 2C</t>
  </si>
  <si>
    <t>Apt 3J</t>
  </si>
  <si>
    <t>1W</t>
  </si>
  <si>
    <t>Apt 2I</t>
  </si>
  <si>
    <t>5-B</t>
  </si>
  <si>
    <t>Apt. 1A</t>
  </si>
  <si>
    <t>Apt 621C</t>
  </si>
  <si>
    <t>A11</t>
  </si>
  <si>
    <t>D12</t>
  </si>
  <si>
    <t>2-N</t>
  </si>
  <si>
    <t>#1E</t>
  </si>
  <si>
    <t>A55</t>
  </si>
  <si>
    <t>2-H</t>
  </si>
  <si>
    <t>Apt 6B</t>
  </si>
  <si>
    <t>Bottom Floor</t>
  </si>
  <si>
    <t>7b</t>
  </si>
  <si>
    <t>LO</t>
  </si>
  <si>
    <t>E2</t>
  </si>
  <si>
    <t>7N</t>
  </si>
  <si>
    <t>#1-S</t>
  </si>
  <si>
    <t>12C</t>
  </si>
  <si>
    <t>C9</t>
  </si>
  <si>
    <t>17C</t>
  </si>
  <si>
    <t>#4</t>
  </si>
  <si>
    <t>B12</t>
  </si>
  <si>
    <t>3g</t>
  </si>
  <si>
    <t>C069</t>
  </si>
  <si>
    <t>#2A</t>
  </si>
  <si>
    <t>Room # 1F</t>
  </si>
  <si>
    <t>c414</t>
  </si>
  <si>
    <t>Top Floor</t>
  </si>
  <si>
    <t>1-C</t>
  </si>
  <si>
    <t>#511</t>
  </si>
  <si>
    <t>#6G</t>
  </si>
  <si>
    <t>#16B</t>
  </si>
  <si>
    <t>#2C</t>
  </si>
  <si>
    <t>02C</t>
  </si>
  <si>
    <t>#1K</t>
  </si>
  <si>
    <t>11C</t>
  </si>
  <si>
    <t>#1st floor</t>
  </si>
  <si>
    <t>#9B</t>
  </si>
  <si>
    <t>#4G</t>
  </si>
  <si>
    <t>PH1G</t>
  </si>
  <si>
    <t>#4B</t>
  </si>
  <si>
    <t>3rd Fl.</t>
  </si>
  <si>
    <t>W4</t>
  </si>
  <si>
    <t>3rd floor Room #3</t>
  </si>
  <si>
    <t>Marcus Garvey Blvd.</t>
  </si>
  <si>
    <t>Attic</t>
  </si>
  <si>
    <t>A6</t>
  </si>
  <si>
    <t>D2</t>
  </si>
  <si>
    <t>Apt. #10D</t>
  </si>
  <si>
    <t>25A</t>
  </si>
  <si>
    <t>Private House</t>
  </si>
  <si>
    <t>16I</t>
  </si>
  <si>
    <t>O1B</t>
  </si>
  <si>
    <t>9th Floor</t>
  </si>
  <si>
    <t>19B</t>
  </si>
  <si>
    <t>19G</t>
  </si>
  <si>
    <t>Ground Floor</t>
  </si>
  <si>
    <t>Apt 2K</t>
  </si>
  <si>
    <t>2 R4</t>
  </si>
  <si>
    <t>3-H</t>
  </si>
  <si>
    <t>#6E</t>
  </si>
  <si>
    <t>#6J</t>
  </si>
  <si>
    <t>13 E</t>
  </si>
  <si>
    <t>2 room 2</t>
  </si>
  <si>
    <t>Apt. 7B</t>
  </si>
  <si>
    <t>#3F</t>
  </si>
  <si>
    <t>#5</t>
  </si>
  <si>
    <t>F-7</t>
  </si>
  <si>
    <t>10L1</t>
  </si>
  <si>
    <t>#2B</t>
  </si>
  <si>
    <t>#2F</t>
  </si>
  <si>
    <t>Apt. 2F</t>
  </si>
  <si>
    <t>B10</t>
  </si>
  <si>
    <t>#C</t>
  </si>
  <si>
    <t>apt 7A</t>
  </si>
  <si>
    <t>B21</t>
  </si>
  <si>
    <t>5-E</t>
  </si>
  <si>
    <t>6k5</t>
  </si>
  <si>
    <t>C-8</t>
  </si>
  <si>
    <t>C5</t>
  </si>
  <si>
    <t>GF</t>
  </si>
  <si>
    <t>1st Floor- Apt 1</t>
  </si>
  <si>
    <t>Basement apt</t>
  </si>
  <si>
    <t>6FW</t>
  </si>
  <si>
    <t>Apartment 6B</t>
  </si>
  <si>
    <t>01D</t>
  </si>
  <si>
    <t>B9</t>
  </si>
  <si>
    <t>3X</t>
  </si>
  <si>
    <t>rm 2</t>
  </si>
  <si>
    <t>311A</t>
  </si>
  <si>
    <t>504B</t>
  </si>
  <si>
    <t>01E</t>
  </si>
  <si>
    <t>Apt. 3H</t>
  </si>
  <si>
    <t>Apt 4L</t>
  </si>
  <si>
    <t>06D</t>
  </si>
  <si>
    <t>entire house</t>
  </si>
  <si>
    <t>10--O</t>
  </si>
  <si>
    <t>#B</t>
  </si>
  <si>
    <t>2c</t>
  </si>
  <si>
    <t>Apt 7C</t>
  </si>
  <si>
    <t>3e</t>
  </si>
  <si>
    <t>rents the house</t>
  </si>
  <si>
    <t>PH</t>
  </si>
  <si>
    <t>B61</t>
  </si>
  <si>
    <t>C105</t>
  </si>
  <si>
    <t>54A</t>
  </si>
  <si>
    <t>6gg</t>
  </si>
  <si>
    <t>F-17</t>
  </si>
  <si>
    <t>AO7</t>
  </si>
  <si>
    <t>Upper unit</t>
  </si>
  <si>
    <t>B45</t>
  </si>
  <si>
    <t>03A</t>
  </si>
  <si>
    <t>A5</t>
  </si>
  <si>
    <t>T24</t>
  </si>
  <si>
    <t>6ST</t>
  </si>
  <si>
    <t>19k</t>
  </si>
  <si>
    <t>3FT</t>
  </si>
  <si>
    <t>05G</t>
  </si>
  <si>
    <t>3U</t>
  </si>
  <si>
    <t>1CP</t>
  </si>
  <si>
    <t>18m</t>
  </si>
  <si>
    <t>P3</t>
  </si>
  <si>
    <t>12G</t>
  </si>
  <si>
    <t>8K</t>
  </si>
  <si>
    <t>27D</t>
  </si>
  <si>
    <t>16B</t>
  </si>
  <si>
    <t>2n</t>
  </si>
  <si>
    <t>32A</t>
  </si>
  <si>
    <t>16D</t>
  </si>
  <si>
    <t>A-A</t>
  </si>
  <si>
    <t>1ST</t>
  </si>
  <si>
    <t>E4S</t>
  </si>
  <si>
    <t>N-53</t>
  </si>
  <si>
    <t>34C</t>
  </si>
  <si>
    <t>1RF</t>
  </si>
  <si>
    <t>BM</t>
  </si>
  <si>
    <t>Apt 9G</t>
  </si>
  <si>
    <t>39A</t>
  </si>
  <si>
    <t>2-G</t>
  </si>
  <si>
    <t>5O</t>
  </si>
  <si>
    <t>RM 1</t>
  </si>
  <si>
    <t>11E</t>
  </si>
  <si>
    <t>3b</t>
  </si>
  <si>
    <t>C53</t>
  </si>
  <si>
    <t>AA</t>
  </si>
  <si>
    <t>6i</t>
  </si>
  <si>
    <t>6P</t>
  </si>
  <si>
    <t>01K</t>
  </si>
  <si>
    <t>Basn</t>
  </si>
  <si>
    <t>12J</t>
  </si>
  <si>
    <t>Apt. 5A</t>
  </si>
  <si>
    <t>15K</t>
  </si>
  <si>
    <t>4F/G</t>
  </si>
  <si>
    <t>10BB</t>
  </si>
  <si>
    <t>19E</t>
  </si>
  <si>
    <t>F12</t>
  </si>
  <si>
    <t>4DN</t>
  </si>
  <si>
    <t>B53</t>
  </si>
  <si>
    <t>5GH</t>
  </si>
  <si>
    <t>Ground loor</t>
  </si>
  <si>
    <t>4P</t>
  </si>
  <si>
    <t>8C (THIRD FLOOR)</t>
  </si>
  <si>
    <t>10B</t>
  </si>
  <si>
    <t>4-3F</t>
  </si>
  <si>
    <t>06H</t>
  </si>
  <si>
    <t>2h</t>
  </si>
  <si>
    <t>5-J</t>
  </si>
  <si>
    <t>9H</t>
  </si>
  <si>
    <t>1I</t>
  </si>
  <si>
    <t>6a</t>
  </si>
  <si>
    <t>2 D</t>
  </si>
  <si>
    <t>Apt. 3C</t>
  </si>
  <si>
    <t>N17I</t>
  </si>
  <si>
    <t>19K</t>
  </si>
  <si>
    <t>13C</t>
  </si>
  <si>
    <t>Apt. 8-G</t>
  </si>
  <si>
    <t>19I</t>
  </si>
  <si>
    <t>B6M</t>
  </si>
  <si>
    <t>C9L</t>
  </si>
  <si>
    <t>12K</t>
  </si>
  <si>
    <t>13E</t>
  </si>
  <si>
    <t>Bmst</t>
  </si>
  <si>
    <t>B32</t>
  </si>
  <si>
    <t>ground fl</t>
  </si>
  <si>
    <t>9D</t>
  </si>
  <si>
    <t>07B</t>
  </si>
  <si>
    <t>N9I</t>
  </si>
  <si>
    <t>7J</t>
  </si>
  <si>
    <t>16J</t>
  </si>
  <si>
    <t>10N</t>
  </si>
  <si>
    <t>Apt 3C</t>
  </si>
  <si>
    <t>D31g</t>
  </si>
  <si>
    <t>10A</t>
  </si>
  <si>
    <t>5d</t>
  </si>
  <si>
    <t>S7K</t>
  </si>
  <si>
    <t>21A</t>
  </si>
  <si>
    <t>31E</t>
  </si>
  <si>
    <t>A22</t>
  </si>
  <si>
    <t>8P</t>
  </si>
  <si>
    <t>#B1</t>
  </si>
  <si>
    <t>C11</t>
  </si>
  <si>
    <t>4O</t>
  </si>
  <si>
    <t>#1D</t>
  </si>
  <si>
    <t>#4D</t>
  </si>
  <si>
    <t>A41</t>
  </si>
  <si>
    <t>#3D</t>
  </si>
  <si>
    <t>#12G</t>
  </si>
  <si>
    <t>#3A</t>
  </si>
  <si>
    <t># 3C</t>
  </si>
  <si>
    <t>Apt. 1-B</t>
  </si>
  <si>
    <t>#3E</t>
  </si>
  <si>
    <t>1 Rm 5</t>
  </si>
  <si>
    <t>#10H</t>
  </si>
  <si>
    <t>#1C</t>
  </si>
  <si>
    <t>#13F</t>
  </si>
  <si>
    <t>RE6</t>
  </si>
  <si>
    <t>2nd floor, left rear room</t>
  </si>
  <si>
    <t>C17</t>
  </si>
  <si>
    <t>1O</t>
  </si>
  <si>
    <t>F10</t>
  </si>
  <si>
    <t>#C5</t>
  </si>
  <si>
    <t>A1</t>
  </si>
  <si>
    <t>5V</t>
  </si>
  <si>
    <t>2 fl</t>
  </si>
  <si>
    <t>E7</t>
  </si>
  <si>
    <t>Apt. #E4</t>
  </si>
  <si>
    <t>Apt 3R</t>
  </si>
  <si>
    <t>A10</t>
  </si>
  <si>
    <t>B-1</t>
  </si>
  <si>
    <t>22C</t>
  </si>
  <si>
    <t>5X</t>
  </si>
  <si>
    <t>C10</t>
  </si>
  <si>
    <t>A9</t>
  </si>
  <si>
    <t>20E</t>
  </si>
  <si>
    <t>19A</t>
  </si>
  <si>
    <t>Apt. 10</t>
  </si>
  <si>
    <t>Apt E 5</t>
  </si>
  <si>
    <t>E1</t>
  </si>
  <si>
    <t>#E6</t>
  </si>
  <si>
    <t>GR3</t>
  </si>
  <si>
    <t>D10</t>
  </si>
  <si>
    <t>5p</t>
  </si>
  <si>
    <t>24J</t>
  </si>
  <si>
    <t>#2-B1</t>
  </si>
  <si>
    <t>#3-A</t>
  </si>
  <si>
    <t>#2 C</t>
  </si>
  <si>
    <t>5th Fl O</t>
  </si>
  <si>
    <t>21W</t>
  </si>
  <si>
    <t>R2</t>
  </si>
  <si>
    <t>5a</t>
  </si>
  <si>
    <t>S23</t>
  </si>
  <si>
    <t>BW</t>
  </si>
  <si>
    <t>F</t>
  </si>
  <si>
    <t>E6</t>
  </si>
  <si>
    <t>F5</t>
  </si>
  <si>
    <t>3EW</t>
  </si>
  <si>
    <t>29E</t>
  </si>
  <si>
    <t>5DS</t>
  </si>
  <si>
    <t>4f</t>
  </si>
  <si>
    <t>A68</t>
  </si>
  <si>
    <t>E22</t>
  </si>
  <si>
    <t>p4</t>
  </si>
  <si>
    <t>CGA</t>
  </si>
  <si>
    <t>C5A</t>
  </si>
  <si>
    <t>34N</t>
  </si>
  <si>
    <t>MF</t>
  </si>
  <si>
    <t>Apt. D4</t>
  </si>
  <si>
    <t>15H</t>
  </si>
  <si>
    <t>s-34</t>
  </si>
  <si>
    <t>C43</t>
  </si>
  <si>
    <t>DD</t>
  </si>
  <si>
    <t>a21</t>
  </si>
  <si>
    <t>11G</t>
  </si>
  <si>
    <t>N21</t>
  </si>
  <si>
    <t>A-65</t>
  </si>
  <si>
    <t>K51</t>
  </si>
  <si>
    <t>17G</t>
  </si>
  <si>
    <t>4-0</t>
  </si>
  <si>
    <t>B11</t>
  </si>
  <si>
    <t>47A</t>
  </si>
  <si>
    <t>4EW</t>
  </si>
  <si>
    <t>WI</t>
  </si>
  <si>
    <t>6AN</t>
  </si>
  <si>
    <t>BB15</t>
  </si>
  <si>
    <t>5BW</t>
  </si>
  <si>
    <t>E44</t>
  </si>
  <si>
    <t>6c</t>
  </si>
  <si>
    <t>2-C</t>
  </si>
  <si>
    <t>DW</t>
  </si>
  <si>
    <t>J</t>
  </si>
  <si>
    <t>A-10</t>
  </si>
  <si>
    <t>1d</t>
  </si>
  <si>
    <t>1FR</t>
  </si>
  <si>
    <t>Apt 2B</t>
  </si>
  <si>
    <t>14K</t>
  </si>
  <si>
    <t>71E</t>
  </si>
  <si>
    <t>6-G</t>
  </si>
  <si>
    <t>10S</t>
  </si>
  <si>
    <t>Patio Apt</t>
  </si>
  <si>
    <t>21K</t>
  </si>
  <si>
    <t>12G1</t>
  </si>
  <si>
    <t>05C</t>
  </si>
  <si>
    <t>09E</t>
  </si>
  <si>
    <t>10H</t>
  </si>
  <si>
    <t>15E</t>
  </si>
  <si>
    <t>7-G</t>
  </si>
  <si>
    <t>11O</t>
  </si>
  <si>
    <t>18I</t>
  </si>
  <si>
    <t>25D</t>
  </si>
  <si>
    <t>6-D</t>
  </si>
  <si>
    <t>D10G</t>
  </si>
  <si>
    <t>39V</t>
  </si>
  <si>
    <t>11B1</t>
  </si>
  <si>
    <t>52C</t>
  </si>
  <si>
    <t>02G</t>
  </si>
  <si>
    <t>02B</t>
  </si>
  <si>
    <t>9 G</t>
  </si>
  <si>
    <t>5-D</t>
  </si>
  <si>
    <t>L1</t>
  </si>
  <si>
    <t>APpt. 5G</t>
  </si>
  <si>
    <t>1st. Floor</t>
  </si>
  <si>
    <t>back entrance</t>
  </si>
  <si>
    <t>C309</t>
  </si>
  <si>
    <t>03F</t>
  </si>
  <si>
    <t>B106</t>
  </si>
  <si>
    <t>E306</t>
  </si>
  <si>
    <t>A120</t>
  </si>
  <si>
    <t>1-21</t>
  </si>
  <si>
    <t>Rm 1</t>
  </si>
  <si>
    <t>B509</t>
  </si>
  <si>
    <t>L324</t>
  </si>
  <si>
    <t>Basement, Back Entrance</t>
  </si>
  <si>
    <t>7-D</t>
  </si>
  <si>
    <t>1st. Fl</t>
  </si>
  <si>
    <t>A324</t>
  </si>
  <si>
    <t>01-F</t>
  </si>
  <si>
    <t>Gr. Front 100M</t>
  </si>
  <si>
    <t>C28</t>
  </si>
  <si>
    <t>4g</t>
  </si>
  <si>
    <t>Apt 330</t>
  </si>
  <si>
    <t>Room A201-2</t>
  </si>
  <si>
    <t>D106</t>
  </si>
  <si>
    <t>Basement Apartment</t>
  </si>
  <si>
    <t>TH</t>
  </si>
  <si>
    <t>X50A</t>
  </si>
  <si>
    <t>Apartment 2</t>
  </si>
  <si>
    <t>room 506</t>
  </si>
  <si>
    <t>Apt 202</t>
  </si>
  <si>
    <t>House 1</t>
  </si>
  <si>
    <t>403 E</t>
  </si>
  <si>
    <t>2nd</t>
  </si>
  <si>
    <t>Apt 4K</t>
  </si>
  <si>
    <t>c3</t>
  </si>
  <si>
    <t>Room 2</t>
  </si>
  <si>
    <t>Apt. 7E</t>
  </si>
  <si>
    <t>Apt 5M</t>
  </si>
  <si>
    <t>3m</t>
  </si>
  <si>
    <t>Bellrose</t>
  </si>
  <si>
    <t>11A</t>
  </si>
  <si>
    <t>4m</t>
  </si>
  <si>
    <t>9K</t>
  </si>
  <si>
    <t>6t</t>
  </si>
  <si>
    <t>16E</t>
  </si>
  <si>
    <t>Apt 10</t>
  </si>
  <si>
    <t>Floor 4, Rm. 5</t>
  </si>
  <si>
    <t>1FW</t>
  </si>
  <si>
    <t>9I</t>
  </si>
  <si>
    <t>23B</t>
  </si>
  <si>
    <t>Apt #51</t>
  </si>
  <si>
    <t>Apt 4F</t>
  </si>
  <si>
    <t>apt. 16-E</t>
  </si>
  <si>
    <t>2:L</t>
  </si>
  <si>
    <t>#B-1</t>
  </si>
  <si>
    <t>Apt 8B</t>
  </si>
  <si>
    <t>24H</t>
  </si>
  <si>
    <t>74D</t>
  </si>
  <si>
    <t>9 E</t>
  </si>
  <si>
    <t>Apt 12</t>
  </si>
  <si>
    <t>14G</t>
  </si>
  <si>
    <t>2f</t>
  </si>
  <si>
    <t>5RW</t>
  </si>
  <si>
    <t>G A</t>
  </si>
  <si>
    <t>A307</t>
  </si>
  <si>
    <t>2fl</t>
  </si>
  <si>
    <t>3-G</t>
  </si>
  <si>
    <t>PE</t>
  </si>
  <si>
    <t>Apt. 4R</t>
  </si>
  <si>
    <t>GA</t>
  </si>
  <si>
    <t>2-E</t>
  </si>
  <si>
    <t>4-F</t>
  </si>
  <si>
    <t>6-B</t>
  </si>
  <si>
    <t>Apt 5H</t>
  </si>
  <si>
    <t>12-F</t>
  </si>
  <si>
    <t>Room 3</t>
  </si>
  <si>
    <t>Bronx</t>
  </si>
  <si>
    <t>Staten Island</t>
  </si>
  <si>
    <t>Brooklyn</t>
  </si>
  <si>
    <t>New York</t>
  </si>
  <si>
    <t>Jamaica</t>
  </si>
  <si>
    <t>Ridgewood</t>
  </si>
  <si>
    <t>Flushing</t>
  </si>
  <si>
    <t>Corona</t>
  </si>
  <si>
    <t>Far Rockaway</t>
  </si>
  <si>
    <t>Jackson Hts</t>
  </si>
  <si>
    <t>Rego Park</t>
  </si>
  <si>
    <t>Rockaway Park</t>
  </si>
  <si>
    <t>Elmhurst</t>
  </si>
  <si>
    <t>Fresh Meadows</t>
  </si>
  <si>
    <t>Maspeth</t>
  </si>
  <si>
    <t>Rockaway Bch</t>
  </si>
  <si>
    <t>Woodhaven</t>
  </si>
  <si>
    <t>Glendale</t>
  </si>
  <si>
    <t>Forest Hills</t>
  </si>
  <si>
    <t>Rosedale</t>
  </si>
  <si>
    <t>Whitestone</t>
  </si>
  <si>
    <t>Astoria</t>
  </si>
  <si>
    <t>Ozone Park</t>
  </si>
  <si>
    <t>JAMAICA</t>
  </si>
  <si>
    <t>Kew Gardens</t>
  </si>
  <si>
    <t>Long Is City</t>
  </si>
  <si>
    <t>Woodside</t>
  </si>
  <si>
    <t>Arverne</t>
  </si>
  <si>
    <t>Richmond Hill</t>
  </si>
  <si>
    <t>Long Island City</t>
  </si>
  <si>
    <t>Sprngfld Gdns</t>
  </si>
  <si>
    <t>Little Neck</t>
  </si>
  <si>
    <t>College Point</t>
  </si>
  <si>
    <t>Bayside</t>
  </si>
  <si>
    <t>Rockaway Beach</t>
  </si>
  <si>
    <t>Saint Albans</t>
  </si>
  <si>
    <t>South Ozone Park</t>
  </si>
  <si>
    <t>Sunnyside</t>
  </si>
  <si>
    <t>Queens Village</t>
  </si>
  <si>
    <t>Springfield Gardens</t>
  </si>
  <si>
    <t>Laurelton</t>
  </si>
  <si>
    <t>Jackson Heights</t>
  </si>
  <si>
    <t>Cambria Heights</t>
  </si>
  <si>
    <t>staten island</t>
  </si>
  <si>
    <t>BROOKLYN</t>
  </si>
  <si>
    <t>NEW YORK</t>
  </si>
  <si>
    <t>Middle Village</t>
  </si>
  <si>
    <t>Mahopac Falls</t>
  </si>
  <si>
    <t>Buffalo</t>
  </si>
  <si>
    <t>Cambria Hts</t>
  </si>
  <si>
    <t>East Elmhurst</t>
  </si>
  <si>
    <t>S Richmond Hl</t>
  </si>
  <si>
    <t>Middle Vlg</t>
  </si>
  <si>
    <t>Bellerose</t>
  </si>
  <si>
    <t>Queens Vlg</t>
  </si>
  <si>
    <t>South Richmond Hill</t>
  </si>
  <si>
    <t>Howard Beach</t>
  </si>
  <si>
    <t>Oakland Gardens</t>
  </si>
  <si>
    <t>Broad Channel</t>
  </si>
  <si>
    <t>Oakland Gdns</t>
  </si>
  <si>
    <t>RIDGEWOOD</t>
  </si>
  <si>
    <t>bronx</t>
  </si>
  <si>
    <t>flushing</t>
  </si>
  <si>
    <t>Yes</t>
  </si>
  <si>
    <t xml:space="preserve"> </t>
  </si>
  <si>
    <t>No</t>
  </si>
  <si>
    <t>LT-022101-19/BX</t>
  </si>
  <si>
    <t>LT-051360-19/RI</t>
  </si>
  <si>
    <t>LT-051816-18/BX</t>
  </si>
  <si>
    <t>LT-065877-19/KI</t>
  </si>
  <si>
    <t>L&amp;T-0577818-19/KI</t>
  </si>
  <si>
    <t>LT-004750-18/BX</t>
  </si>
  <si>
    <t>LT-095145-18/KI</t>
  </si>
  <si>
    <t>No case</t>
  </si>
  <si>
    <t>LT-020266-19/BX</t>
  </si>
  <si>
    <t>LT-057990-19/KI</t>
  </si>
  <si>
    <t>None</t>
  </si>
  <si>
    <t>71898/19</t>
  </si>
  <si>
    <t>705489/2019</t>
  </si>
  <si>
    <t>LT-056202-19/QU</t>
  </si>
  <si>
    <t>LT-017407-18/BX</t>
  </si>
  <si>
    <t>LT-803018-19/BX</t>
  </si>
  <si>
    <t>none</t>
  </si>
  <si>
    <t>LT-054098-18/QU</t>
  </si>
  <si>
    <t>LT-024248-18/BX</t>
  </si>
  <si>
    <t>LT-032012-19/BX</t>
  </si>
  <si>
    <t>LT-036397-19/BX</t>
  </si>
  <si>
    <t>LT-063384-19/QU</t>
  </si>
  <si>
    <t>LT-028069-19/BX</t>
  </si>
  <si>
    <t>LT-806755-19/BX</t>
  </si>
  <si>
    <t>LT-016165-18/BX</t>
  </si>
  <si>
    <t>no case</t>
  </si>
  <si>
    <t>LT-038153-19/BX</t>
  </si>
  <si>
    <t>Lt-09580017/KI</t>
  </si>
  <si>
    <t>15107-19</t>
  </si>
  <si>
    <t>LT-014870-19/BX</t>
  </si>
  <si>
    <t>Unknown</t>
  </si>
  <si>
    <t>LT-008473-19/BX</t>
  </si>
  <si>
    <t>LT/068598-19 KI</t>
  </si>
  <si>
    <t>LT-068842-18/BX</t>
  </si>
  <si>
    <t>022636-18</t>
  </si>
  <si>
    <t>LT-067365-19/QU</t>
  </si>
  <si>
    <t>2798-19</t>
  </si>
  <si>
    <t>LT-045593-19/BX</t>
  </si>
  <si>
    <t>064186-18/BX</t>
  </si>
  <si>
    <t>LT053682-18/BX</t>
  </si>
  <si>
    <t>LT-067036/18</t>
  </si>
  <si>
    <t>LT-057952-19/KI</t>
  </si>
  <si>
    <t>LT 072022/2019-KI</t>
  </si>
  <si>
    <t>LT-065660-19/NY</t>
  </si>
  <si>
    <t>Not available yet</t>
  </si>
  <si>
    <t>LT69186/19</t>
  </si>
  <si>
    <t>LT-068281-18/QU</t>
  </si>
  <si>
    <t>LT-037745-19/BX</t>
  </si>
  <si>
    <t>L&amp;T-73762/17/BX</t>
  </si>
  <si>
    <t>711/19</t>
  </si>
  <si>
    <t>LT-804758-18/BX</t>
  </si>
  <si>
    <t>LT-017987-19/BX</t>
  </si>
  <si>
    <t>LT22273-18/BX</t>
  </si>
  <si>
    <t>LT-042125-19/BX</t>
  </si>
  <si>
    <t>904893-TD-2018</t>
  </si>
  <si>
    <t>LT-42095-15/BX</t>
  </si>
  <si>
    <t>077081-19</t>
  </si>
  <si>
    <t>LT-050617-18/BX</t>
  </si>
  <si>
    <t>LT-068900-17 QU</t>
  </si>
  <si>
    <t>LT-060921-18/BX</t>
  </si>
  <si>
    <t>LT-043439-19/BX</t>
  </si>
  <si>
    <t>LT-046595-19/BX</t>
  </si>
  <si>
    <t>LT-069178-19/KI</t>
  </si>
  <si>
    <t>LT-068826-19/KI</t>
  </si>
  <si>
    <t>LT-056457-19/QU</t>
  </si>
  <si>
    <t>LT-010829-19/BX</t>
  </si>
  <si>
    <t>LT-3337-19</t>
  </si>
  <si>
    <t>LT-022683-17/BX</t>
  </si>
  <si>
    <t>LT-037303-18/BX</t>
  </si>
  <si>
    <t>LT-050701-19/KI</t>
  </si>
  <si>
    <t>LT-014455-19/BX</t>
  </si>
  <si>
    <t>LT-706390-19</t>
  </si>
  <si>
    <t>LT-054348-19/KI</t>
  </si>
  <si>
    <t>LT-071101-19/NY</t>
  </si>
  <si>
    <t>LT-087159-18/KI</t>
  </si>
  <si>
    <t>LT-057882-19/KI</t>
  </si>
  <si>
    <t>LT62709/19-QN</t>
  </si>
  <si>
    <t>LT-061888-18/BX</t>
  </si>
  <si>
    <t>LT-069949-19/KI</t>
  </si>
  <si>
    <t>LT-019011-19/BX</t>
  </si>
  <si>
    <t>LT-049826-19/BX</t>
  </si>
  <si>
    <t>LT-000128-19/BX</t>
  </si>
  <si>
    <t>065893/19</t>
  </si>
  <si>
    <t>LT-061268-18/BX</t>
  </si>
  <si>
    <t>LT-047428-18/BX</t>
  </si>
  <si>
    <t>LT-082911-19/KI</t>
  </si>
  <si>
    <t>LT-068537-18/KI</t>
  </si>
  <si>
    <t>LT-089464-18/KI</t>
  </si>
  <si>
    <t>18B066539</t>
  </si>
  <si>
    <t>12438/19</t>
  </si>
  <si>
    <t>LT-027525-18/BX</t>
  </si>
  <si>
    <t>LT-068678-18/QU</t>
  </si>
  <si>
    <t>LT-74601-19/KI</t>
  </si>
  <si>
    <t>LT-42183-19</t>
  </si>
  <si>
    <t>048268-19/BX</t>
  </si>
  <si>
    <t>043321-19/BX</t>
  </si>
  <si>
    <t>LT-051208-19/RI</t>
  </si>
  <si>
    <t>LT-056904-17/KI</t>
  </si>
  <si>
    <t>LT-055868-19/KI</t>
  </si>
  <si>
    <t>LT-076073-19/KI</t>
  </si>
  <si>
    <t>LT-068087-19/QU</t>
  </si>
  <si>
    <t>LT-080131-19/KI</t>
  </si>
  <si>
    <t>LT-083028-19/KI</t>
  </si>
  <si>
    <t>LT-067185-19/KI</t>
  </si>
  <si>
    <t>DR 610026 OM, DP 610083 OM</t>
  </si>
  <si>
    <t>EO 610012 B</t>
  </si>
  <si>
    <t>LT-006868-19/BX</t>
  </si>
  <si>
    <t>071552-19</t>
  </si>
  <si>
    <t>LT4445-19/BX</t>
  </si>
  <si>
    <t>LT-013465-19/BX</t>
  </si>
  <si>
    <t>LT-074273-17</t>
  </si>
  <si>
    <t>006856-19</t>
  </si>
  <si>
    <t>LT-067457-18/BX</t>
  </si>
  <si>
    <t>LT-812636-18/BX</t>
  </si>
  <si>
    <t>907028-CR-19</t>
  </si>
  <si>
    <t>LT-016552-19/BX</t>
  </si>
  <si>
    <t>78120/19</t>
  </si>
  <si>
    <t>LT-065742-19/QU</t>
  </si>
  <si>
    <t>LT-001799-16/KI</t>
  </si>
  <si>
    <t>LT-47840-18/BX</t>
  </si>
  <si>
    <t>LT-044590-19/BX</t>
  </si>
  <si>
    <t>67480-19</t>
  </si>
  <si>
    <t>LT067255/19/KI</t>
  </si>
  <si>
    <t>LT-059019-18/BX</t>
  </si>
  <si>
    <t>251283-19</t>
  </si>
  <si>
    <t>LT-62572-17/QU</t>
  </si>
  <si>
    <t>LT-11796/19</t>
  </si>
  <si>
    <t>LT-210345-19/HA</t>
  </si>
  <si>
    <t>LT-050266-18/RI</t>
  </si>
  <si>
    <t>LT-060920-19/QU</t>
  </si>
  <si>
    <t>LT-062805-19/QU</t>
  </si>
  <si>
    <t>LT-053104-19/QU</t>
  </si>
  <si>
    <t>LT-011313-18/RI</t>
  </si>
  <si>
    <t>LT-059617-19/QU</t>
  </si>
  <si>
    <t>CV-151576-19/RI</t>
  </si>
  <si>
    <t>LT-064297-19/QU</t>
  </si>
  <si>
    <t>LT-068320-19/QU</t>
  </si>
  <si>
    <t>LT-062947-19/QU</t>
  </si>
  <si>
    <t>CV-024411-15/QU</t>
  </si>
  <si>
    <t>LT-068609-19/QU</t>
  </si>
  <si>
    <t>LT-012645-19/NY</t>
  </si>
  <si>
    <t>LT-063369-19/QU</t>
  </si>
  <si>
    <t>LT-066423-19/QU</t>
  </si>
  <si>
    <t>LT-051413-19/RI</t>
  </si>
  <si>
    <t>LT-031800-19/BX</t>
  </si>
  <si>
    <t>LT-071267-18/QU</t>
  </si>
  <si>
    <t>LT-068470-19/QU</t>
  </si>
  <si>
    <t>LT-052202-19/RI</t>
  </si>
  <si>
    <t>LT-027333-19/BX</t>
  </si>
  <si>
    <t>LT-051901-19/RI</t>
  </si>
  <si>
    <t>LT-051044-19/RI</t>
  </si>
  <si>
    <t>LT-023429-18/BX</t>
  </si>
  <si>
    <t>No Case</t>
  </si>
  <si>
    <t>LT-020164-19/BX</t>
  </si>
  <si>
    <t>LT-054693-19/QU</t>
  </si>
  <si>
    <t>ER-410056-RT</t>
  </si>
  <si>
    <t>LT-050679-19/RI</t>
  </si>
  <si>
    <t>LT-051021-19/RI</t>
  </si>
  <si>
    <t>LT-052559-18/RI</t>
  </si>
  <si>
    <t>LT-051128-19/RI</t>
  </si>
  <si>
    <t>LT-050725-19/RI</t>
  </si>
  <si>
    <t>LT-057210-17/QU</t>
  </si>
  <si>
    <t>LT-050405-19/RI</t>
  </si>
  <si>
    <t>LT-059162-19/QU</t>
  </si>
  <si>
    <t>LT-096258-18/KI</t>
  </si>
  <si>
    <t>LT-001137-19/NY</t>
  </si>
  <si>
    <t>LT-064089-19/NY</t>
  </si>
  <si>
    <t>LT-051247-17/KI</t>
  </si>
  <si>
    <t>LT-032272-19/BX</t>
  </si>
  <si>
    <t>LT-062870-19/QU</t>
  </si>
  <si>
    <t>LT-059740-19/NY</t>
  </si>
  <si>
    <t>LT-069535-19/KI</t>
  </si>
  <si>
    <t>LT-063895-18/BX</t>
  </si>
  <si>
    <t>LT-056474-19/KI</t>
  </si>
  <si>
    <t>LT-051527-19/RI</t>
  </si>
  <si>
    <t>LT-054927-19/KI</t>
  </si>
  <si>
    <t>LT-080074-18/KI</t>
  </si>
  <si>
    <t>LT-084391-18/KI</t>
  </si>
  <si>
    <t>LT-028998-19/BX</t>
  </si>
  <si>
    <t>LT-072500-19/KI</t>
  </si>
  <si>
    <t>LT-051451-19/RI</t>
  </si>
  <si>
    <t>LT-064408-19/NY</t>
  </si>
  <si>
    <t>LT-089593-18/KI</t>
  </si>
  <si>
    <t>LT-078573-16/KI</t>
  </si>
  <si>
    <t>LT-059876-19/NY</t>
  </si>
  <si>
    <t>LT-036549-19/BX</t>
  </si>
  <si>
    <t>LT-018230-19/KI</t>
  </si>
  <si>
    <t>LT-058293-18/KI</t>
  </si>
  <si>
    <t>LT-050367-19/RI</t>
  </si>
  <si>
    <t>LT-062103-19/NY</t>
  </si>
  <si>
    <t>LT-060876-19/NY</t>
  </si>
  <si>
    <t>LT-071393-19/KI</t>
  </si>
  <si>
    <t>LT-050922-19/RI</t>
  </si>
  <si>
    <t>LT-001631-19/KI</t>
  </si>
  <si>
    <t>LT-001433-19/KI</t>
  </si>
  <si>
    <t>LT-809393-16/BX</t>
  </si>
  <si>
    <t>LT-032256-19/BX</t>
  </si>
  <si>
    <t>CV-017856-19/KI</t>
  </si>
  <si>
    <t>LT-076797-19/KI</t>
  </si>
  <si>
    <t>LT-066296-18/KI</t>
  </si>
  <si>
    <t>LT-034649-19/BX</t>
  </si>
  <si>
    <t>LT-065327-19/KI</t>
  </si>
  <si>
    <t>LT-016041-19/BX</t>
  </si>
  <si>
    <t>LT-065959-19/KI</t>
  </si>
  <si>
    <t>LT-006187-19/KI</t>
  </si>
  <si>
    <t>LT-026720-19/BX</t>
  </si>
  <si>
    <t>LT-044109-18/BX</t>
  </si>
  <si>
    <t>LT-063265-19/QU</t>
  </si>
  <si>
    <t>LT-064911-19/QU</t>
  </si>
  <si>
    <t>LT-061914-19/QU</t>
  </si>
  <si>
    <t>LT-060954-19/QU</t>
  </si>
  <si>
    <t>LT-071995-19/KI</t>
  </si>
  <si>
    <t>LT-058093-19/KI</t>
  </si>
  <si>
    <t>LT-050728-19/RI</t>
  </si>
  <si>
    <t>LT-063661-19/KI</t>
  </si>
  <si>
    <t>LT-075189-19/KI</t>
  </si>
  <si>
    <t>LT-250601-19/NY</t>
  </si>
  <si>
    <t>LT-251107-19/NY</t>
  </si>
  <si>
    <t>LT-061550-19/NY</t>
  </si>
  <si>
    <t>LT-063545-19/NY</t>
  </si>
  <si>
    <t>LT-053659-19/NY</t>
  </si>
  <si>
    <t>LT-051009-19/RI</t>
  </si>
  <si>
    <t>LT-051979-19/RI</t>
  </si>
  <si>
    <t>LT-052214-17/RI</t>
  </si>
  <si>
    <t>LT-028805-19/BX</t>
  </si>
  <si>
    <t>LT-071983-19/KI</t>
  </si>
  <si>
    <t>LT-040086-19/BX</t>
  </si>
  <si>
    <t>LT-067136-19/KI</t>
  </si>
  <si>
    <t>LT-057814-19/NY</t>
  </si>
  <si>
    <t>LT-050646-19/RI</t>
  </si>
  <si>
    <t>LT-052666-19/KI</t>
  </si>
  <si>
    <t>LT-050035-19/RI</t>
  </si>
  <si>
    <t>LT-063403-19/KI</t>
  </si>
  <si>
    <t>LT-051834-19/RI</t>
  </si>
  <si>
    <t>LT-065806-19/QU</t>
  </si>
  <si>
    <t>LT-020509-19/BX</t>
  </si>
  <si>
    <t>LT-036475-19/BX</t>
  </si>
  <si>
    <t>LT-033196-19/BX</t>
  </si>
  <si>
    <t>LT-050619-19/RI</t>
  </si>
  <si>
    <t>LT-030982-19/BX</t>
  </si>
  <si>
    <t>LT-073240-19/KI</t>
  </si>
  <si>
    <t>LT-051778-19/RI</t>
  </si>
  <si>
    <t>LT-077591-19/KI</t>
  </si>
  <si>
    <t>LT 43601/19</t>
  </si>
  <si>
    <t>Lt-37721-19</t>
  </si>
  <si>
    <t>LT-051377-19/RI</t>
  </si>
  <si>
    <t>LT-037612-19/BX</t>
  </si>
  <si>
    <t>LT-054825-19/KI</t>
  </si>
  <si>
    <t>LT-067366-19/KI</t>
  </si>
  <si>
    <t>LT-094957-18/KI</t>
  </si>
  <si>
    <t>LT-062844-19/KI</t>
  </si>
  <si>
    <t>LT-075388-19/KI</t>
  </si>
  <si>
    <t>LT-077394-19/KI</t>
  </si>
  <si>
    <t>no case of August 9, 2019</t>
  </si>
  <si>
    <t>LT-090138-14/KI</t>
  </si>
  <si>
    <t>NONE</t>
  </si>
  <si>
    <t>LT-064518-19/QU</t>
  </si>
  <si>
    <t>LT-059492-19/KI</t>
  </si>
  <si>
    <t>none yet</t>
  </si>
  <si>
    <t>LT-037584-19/BX</t>
  </si>
  <si>
    <t>cv-022265-18/bx</t>
  </si>
  <si>
    <t>LT-060753-19/QU</t>
  </si>
  <si>
    <t>LT-068527-19/QU</t>
  </si>
  <si>
    <t>LT-38482-19/BX</t>
  </si>
  <si>
    <t>92657/18</t>
  </si>
  <si>
    <t>LT-077476-19/KI</t>
  </si>
  <si>
    <t>LT-33778/19-BX</t>
  </si>
  <si>
    <t>LT-009775-19/BX</t>
  </si>
  <si>
    <t>LT-075190-19/KI</t>
  </si>
  <si>
    <t>LT-70811-19/NY</t>
  </si>
  <si>
    <t>LT-070686-19/NY</t>
  </si>
  <si>
    <t>LT-076747-19/KI</t>
  </si>
  <si>
    <t>LT-019248-19/BX</t>
  </si>
  <si>
    <t>LT-057053-18/NY</t>
  </si>
  <si>
    <t>LT-066617-17/KI</t>
  </si>
  <si>
    <t>LT-066112-19/KI</t>
  </si>
  <si>
    <t>LT-072237-19/KI</t>
  </si>
  <si>
    <t>LT-063061-19/QU</t>
  </si>
  <si>
    <t>LT-082555-17/KI</t>
  </si>
  <si>
    <t>LT: 46862/2019</t>
  </si>
  <si>
    <t>LT-083775-19/KI</t>
  </si>
  <si>
    <t>LT-067298-19/NY</t>
  </si>
  <si>
    <t>GM410027RO</t>
  </si>
  <si>
    <t>LT-69321/18</t>
  </si>
  <si>
    <t>040820/2019</t>
  </si>
  <si>
    <t>LT-017132-19/BX</t>
  </si>
  <si>
    <t>LT-066319-19/KI</t>
  </si>
  <si>
    <t>LT-065317-19/KI</t>
  </si>
  <si>
    <t>LT-057620-19/KI</t>
  </si>
  <si>
    <t>LT-051480-19/RI</t>
  </si>
  <si>
    <t>LT-071849-19/KI</t>
  </si>
  <si>
    <t>LT-073946-19/KI</t>
  </si>
  <si>
    <t>LT-051492-19/RI</t>
  </si>
  <si>
    <t>LT-060978-19/QU</t>
  </si>
  <si>
    <t>LT-063416-19/QU</t>
  </si>
  <si>
    <t>LT-069320-19/KI</t>
  </si>
  <si>
    <t>HP-410071-OM</t>
  </si>
  <si>
    <t>LT-057444-19/NY</t>
  </si>
  <si>
    <t>LT-062052-19/QU</t>
  </si>
  <si>
    <t>LT-061783-19/KI</t>
  </si>
  <si>
    <t>LT-076161-18/QU</t>
  </si>
  <si>
    <t>LT-072141-19/KI</t>
  </si>
  <si>
    <t>LT-063667-19/KI</t>
  </si>
  <si>
    <t>LT-059006-19/KI</t>
  </si>
  <si>
    <t>LT-051366-19/QU</t>
  </si>
  <si>
    <t>LT-064064-19/NY</t>
  </si>
  <si>
    <t>LT-057621-19/BX</t>
  </si>
  <si>
    <t>LT-063530-19/NY</t>
  </si>
  <si>
    <t>LT-063534-19/QU</t>
  </si>
  <si>
    <t>LT-062856-19/QU</t>
  </si>
  <si>
    <t>LT-050232-17/QU</t>
  </si>
  <si>
    <t>LT-051840-19/RI</t>
  </si>
  <si>
    <t>LT-063716-19/QU</t>
  </si>
  <si>
    <t>LT-063791-19/QU</t>
  </si>
  <si>
    <t>LT-051320-19/RI</t>
  </si>
  <si>
    <t>LT-075052-18/QU</t>
  </si>
  <si>
    <t>LT-062661-19/QU</t>
  </si>
  <si>
    <t>LT-093193-18/KI</t>
  </si>
  <si>
    <t>LT-063650-19/QU</t>
  </si>
  <si>
    <t>LT-000322-19/QU</t>
  </si>
  <si>
    <t>GW-430022-OM</t>
  </si>
  <si>
    <t>LT-052139-19/RI</t>
  </si>
  <si>
    <t>450170/2019</t>
  </si>
  <si>
    <t>LT-069790-19/KI</t>
  </si>
  <si>
    <t>LT-051516-19/RI</t>
  </si>
  <si>
    <t>LT-052792-19/QU</t>
  </si>
  <si>
    <t>LT-070975-19/KI</t>
  </si>
  <si>
    <t>GX-110104-OM</t>
  </si>
  <si>
    <t>GX-110098-OM</t>
  </si>
  <si>
    <t>LT-063867-19/QU</t>
  </si>
  <si>
    <t>LT-077282-18/NY</t>
  </si>
  <si>
    <t>LT-062081-19/QU</t>
  </si>
  <si>
    <t>LT-071742-19/KI</t>
  </si>
  <si>
    <t>LT-051788-19/RI</t>
  </si>
  <si>
    <t>LT-055242-19/NY</t>
  </si>
  <si>
    <t>LT-000600-19/QU</t>
  </si>
  <si>
    <t>002704/2018</t>
  </si>
  <si>
    <t>LT-062604-19/QU</t>
  </si>
  <si>
    <t>LT-075654-19/KI</t>
  </si>
  <si>
    <t>LT-070294-18/QU</t>
  </si>
  <si>
    <t>LT-063916-19/QU</t>
  </si>
  <si>
    <t>HM-130106-OM</t>
  </si>
  <si>
    <t>HS-210129-S</t>
  </si>
  <si>
    <t>LT-051689-19/RI</t>
  </si>
  <si>
    <t>LT-069112-19/KI</t>
  </si>
  <si>
    <t>LT-050642-19/KI</t>
  </si>
  <si>
    <t>LT-073674-19/KI</t>
  </si>
  <si>
    <t>LT-071469-19/KI</t>
  </si>
  <si>
    <t>LT-094403-17/KI</t>
  </si>
  <si>
    <t>LT-074634-18/KI</t>
  </si>
  <si>
    <t>LT-069638-19/KI</t>
  </si>
  <si>
    <t>LT-063289-19/QU</t>
  </si>
  <si>
    <t>LT-066271-19/KI</t>
  </si>
  <si>
    <t>LT-056490-19/KI</t>
  </si>
  <si>
    <t>LT-069358-19/KI</t>
  </si>
  <si>
    <t>LT-062779-19/NY</t>
  </si>
  <si>
    <t>LT-025352-19/BX</t>
  </si>
  <si>
    <t>LT-001218-19/KI</t>
  </si>
  <si>
    <t>LT-063688-19/KI</t>
  </si>
  <si>
    <t>LT-051737-19/RI</t>
  </si>
  <si>
    <t>LT-077777-18/QU</t>
  </si>
  <si>
    <t>LT-061685-19/QU</t>
  </si>
  <si>
    <t>M-H-Z-19-71808</t>
  </si>
  <si>
    <t>LT-062630-19/QU</t>
  </si>
  <si>
    <t>LT-074234-19/KI</t>
  </si>
  <si>
    <t>LT-051773-19/RI</t>
  </si>
  <si>
    <t>LT-251141-19/NY</t>
  </si>
  <si>
    <t>LT-055726-19/KI</t>
  </si>
  <si>
    <t>LT-064690-19/NY</t>
  </si>
  <si>
    <t>HT-110017-RV</t>
  </si>
  <si>
    <t>LT-060626-19/QU</t>
  </si>
  <si>
    <t>LT-064502-19/QU</t>
  </si>
  <si>
    <t>LT-063334-19/QU</t>
  </si>
  <si>
    <t>LT-067539-19/KI</t>
  </si>
  <si>
    <t>LT-074838-18/QU</t>
  </si>
  <si>
    <t>LT-077528-18/QU</t>
  </si>
  <si>
    <t>LT-007084-19/BX</t>
  </si>
  <si>
    <t>LT-059701-19/KI</t>
  </si>
  <si>
    <t>LT-051688-19/RI</t>
  </si>
  <si>
    <t>LT-071824-19/KI</t>
  </si>
  <si>
    <t>LT-050261-19/KI</t>
  </si>
  <si>
    <t>LT-051823-19/RI</t>
  </si>
  <si>
    <t>HN-110017-OM</t>
  </si>
  <si>
    <t>LT-072687-19/KI</t>
  </si>
  <si>
    <t>LT-051757-19/RI</t>
  </si>
  <si>
    <t>LT-059792-19/NY</t>
  </si>
  <si>
    <t>LT-250726-19/NY</t>
  </si>
  <si>
    <t>LT-056804-19/QU</t>
  </si>
  <si>
    <t>LT-051869-19/KI</t>
  </si>
  <si>
    <t>LT-063360-19/QU</t>
  </si>
  <si>
    <t>GW-130070-OM</t>
  </si>
  <si>
    <t>LT-074475-19/KI</t>
  </si>
  <si>
    <t>LT-050184-19/NY</t>
  </si>
  <si>
    <t>LT-078292-19/KI</t>
  </si>
  <si>
    <t>LT-064510-19/QU</t>
  </si>
  <si>
    <t>LT-064890-19/QU</t>
  </si>
  <si>
    <t>LT-073109-19/KI</t>
  </si>
  <si>
    <t>LT-064640-19/QU</t>
  </si>
  <si>
    <t>GP-210025-R</t>
  </si>
  <si>
    <t>LT-064944-19/NY</t>
  </si>
  <si>
    <t>LT-058694-19/KI</t>
  </si>
  <si>
    <t>LT-065982-19/QU</t>
  </si>
  <si>
    <t>LT-051784-19/RI</t>
  </si>
  <si>
    <t>LT-075205-19/KI</t>
  </si>
  <si>
    <t>LT-018293-19/KI</t>
  </si>
  <si>
    <t>LT-063191-19/KI</t>
  </si>
  <si>
    <t>LT-064740-18/KI</t>
  </si>
  <si>
    <t>LT-065463-19/QU</t>
  </si>
  <si>
    <t>LT-065512-19/QU</t>
  </si>
  <si>
    <t>LT-059920-19/QU</t>
  </si>
  <si>
    <t>LT-078556-19/QU</t>
  </si>
  <si>
    <t>LT-031389-19/BX</t>
  </si>
  <si>
    <t>LT-064934-19/QU</t>
  </si>
  <si>
    <t>LT-057153-19/QU</t>
  </si>
  <si>
    <t>LT-065009-19/QU</t>
  </si>
  <si>
    <t>GQ-610075-OR</t>
  </si>
  <si>
    <t>GS-210008-OD</t>
  </si>
  <si>
    <t>LT-067359-19/KI</t>
  </si>
  <si>
    <t>LT-047475-18/BX</t>
  </si>
  <si>
    <t>LT-073148-19/KI</t>
  </si>
  <si>
    <t>LT-016946-19/BX</t>
  </si>
  <si>
    <t>LT-082466-17/NY</t>
  </si>
  <si>
    <t>LT-055797-19/KI</t>
  </si>
  <si>
    <t>LT-065718-19/QU</t>
  </si>
  <si>
    <t>LT-252448-19/NY</t>
  </si>
  <si>
    <t>LT-075243-19/KI</t>
  </si>
  <si>
    <t>LT-073440-19/KI</t>
  </si>
  <si>
    <t>LT-059198-19/QU</t>
  </si>
  <si>
    <t>LT-068984-19/KI</t>
  </si>
  <si>
    <t>LT-066704-19/NY</t>
  </si>
  <si>
    <t>LT-057884-19/NY</t>
  </si>
  <si>
    <t>LT-051946-19/RI</t>
  </si>
  <si>
    <t>LT-072171-19/KI</t>
  </si>
  <si>
    <t>HO-130078-OM</t>
  </si>
  <si>
    <t>LT-000560-19/QU</t>
  </si>
  <si>
    <t>LT-065617-19/QU</t>
  </si>
  <si>
    <t>LT-064635-19/QU</t>
  </si>
  <si>
    <t>LT-200224-19/NY</t>
  </si>
  <si>
    <t>LT-071791-19/KI</t>
  </si>
  <si>
    <t>LT-064009-19/QU</t>
  </si>
  <si>
    <t>LT-250785-19/NY</t>
  </si>
  <si>
    <t>LT-085791-18/KI</t>
  </si>
  <si>
    <t>LT-051973-19/RI</t>
  </si>
  <si>
    <t>LT-052064-19/RI</t>
  </si>
  <si>
    <t>LT-071177-19/KI</t>
  </si>
  <si>
    <t>LT-077105-19/KI</t>
  </si>
  <si>
    <t>HS-610194-S</t>
  </si>
  <si>
    <t>77335/2019</t>
  </si>
  <si>
    <t>LT-077157-19/KI</t>
  </si>
  <si>
    <t>LT-066022-19/QU</t>
  </si>
  <si>
    <t>LT-077343-19/KI</t>
  </si>
  <si>
    <t>LT-077604-19/KI</t>
  </si>
  <si>
    <t>LT-052197-19/RI</t>
  </si>
  <si>
    <t>LT-84412-19/KI</t>
  </si>
  <si>
    <t>LT-065098-19/QU</t>
  </si>
  <si>
    <t>LT-077712-19/KI</t>
  </si>
  <si>
    <t>LT-077664-19/KI</t>
  </si>
  <si>
    <t>LT-251121-19/NY</t>
  </si>
  <si>
    <t>LT-078066-19/KI</t>
  </si>
  <si>
    <t>LT-067073-19/QU</t>
  </si>
  <si>
    <t>LT-066810-19/QU</t>
  </si>
  <si>
    <t>LT-076809-19/KI</t>
  </si>
  <si>
    <t>LT-063595-19/QU</t>
  </si>
  <si>
    <t>LT-073824-19/KI</t>
  </si>
  <si>
    <t>LT-077328-19/KI</t>
  </si>
  <si>
    <t>LT-050940-19/RI</t>
  </si>
  <si>
    <t>LT-072591-19/KI</t>
  </si>
  <si>
    <t>LT-021051-19/BX</t>
  </si>
  <si>
    <t>LT-063199-18/BX</t>
  </si>
  <si>
    <t>GT-410028-RO</t>
  </si>
  <si>
    <t>LT-251353-19/NY</t>
  </si>
  <si>
    <t>LT-068003-19/NY</t>
  </si>
  <si>
    <t>LT-077331-19/KI</t>
  </si>
  <si>
    <t>LT-074317-19/KI</t>
  </si>
  <si>
    <t>LT-067464-19-QU</t>
  </si>
  <si>
    <t>LT-052240-19/RI</t>
  </si>
  <si>
    <t>LT-608623-19/NY</t>
  </si>
  <si>
    <t>LT-053497-18/RI</t>
  </si>
  <si>
    <t>LT-051691-19/RI</t>
  </si>
  <si>
    <t>LT-051546-19/RI</t>
  </si>
  <si>
    <t>LT-064080-19/KI</t>
  </si>
  <si>
    <t>LT-074207-19/KI</t>
  </si>
  <si>
    <t>LT-251349-19/NY</t>
  </si>
  <si>
    <t>LT-068559-19/KI</t>
  </si>
  <si>
    <t>LT-078894-19/KI</t>
  </si>
  <si>
    <t>LT-063820-19/QU</t>
  </si>
  <si>
    <t>LT-076759-19/KI</t>
  </si>
  <si>
    <t>LT-073248-19/KI</t>
  </si>
  <si>
    <t>LT-030302-19/BX</t>
  </si>
  <si>
    <t>LT-035751-19/BX</t>
  </si>
  <si>
    <t>HV 410010 B</t>
  </si>
  <si>
    <t>LT-077612-19/KI</t>
  </si>
  <si>
    <t>LT-078069-19/KI</t>
  </si>
  <si>
    <t>LT-062060-19/QU</t>
  </si>
  <si>
    <t>LT-079886-19/KI</t>
  </si>
  <si>
    <t>LT-076038-19/KI</t>
  </si>
  <si>
    <t>LT-080728-19/KI</t>
  </si>
  <si>
    <t>LT-001112-19/QU</t>
  </si>
  <si>
    <t>LT-070350-19/QU</t>
  </si>
  <si>
    <t>LT-070345-19/QU</t>
  </si>
  <si>
    <t>LT-200074-18/NY</t>
  </si>
  <si>
    <t>LT-080971-19/KI</t>
  </si>
  <si>
    <t>LT-036426-19/BX</t>
  </si>
  <si>
    <t>LT-074202-19/KI</t>
  </si>
  <si>
    <t>LT-068254-19/QU</t>
  </si>
  <si>
    <t>LT-032541-19/BX</t>
  </si>
  <si>
    <t>LT-251530-19/NY</t>
  </si>
  <si>
    <t>LT-077440-19/KI</t>
  </si>
  <si>
    <t>LT-077952-19/KI</t>
  </si>
  <si>
    <t>LT-000871-19/QU</t>
  </si>
  <si>
    <t>LT-041109-19/BX</t>
  </si>
  <si>
    <t>Lt-032881/BX</t>
  </si>
  <si>
    <t>LT-066947-19/QU</t>
  </si>
  <si>
    <t>LT-039855-19/BX</t>
  </si>
  <si>
    <t>LT-064385-19/QU</t>
  </si>
  <si>
    <t>LT-069910-19/NY</t>
  </si>
  <si>
    <t>LT 081197-19/KI</t>
  </si>
  <si>
    <t>LT-080711-19/KI</t>
  </si>
  <si>
    <t>LT-077969-19/KI</t>
  </si>
  <si>
    <t>LT-080838-19/KI</t>
  </si>
  <si>
    <t>LT-078379-19/KI</t>
  </si>
  <si>
    <t>LT-004359-19/BX</t>
  </si>
  <si>
    <t>no current case</t>
  </si>
  <si>
    <t>LT-63480-18/BX</t>
  </si>
  <si>
    <t>LT-081367-19/KI</t>
  </si>
  <si>
    <t>LT-033625-19/BX</t>
  </si>
  <si>
    <t>LT-063862-19/KI</t>
  </si>
  <si>
    <t>LT-077003-19/KI</t>
  </si>
  <si>
    <t>LT-070228-19/NY</t>
  </si>
  <si>
    <t>LT-067586-19/QU</t>
  </si>
  <si>
    <t>LT-006354-19/QU</t>
  </si>
  <si>
    <t>LT-251335-19/NY</t>
  </si>
  <si>
    <t>LT-078553-19/KI</t>
  </si>
  <si>
    <t>LT-080097-19/KI</t>
  </si>
  <si>
    <t>LT-0701110-19/NY</t>
  </si>
  <si>
    <t>LT-071153-19/QU</t>
  </si>
  <si>
    <t>LT-053303-18/NY</t>
  </si>
  <si>
    <t>LT-200024-19/NY</t>
  </si>
  <si>
    <t>LT-060176-19/QU</t>
  </si>
  <si>
    <t>LT-077610-19/KI</t>
  </si>
  <si>
    <t>LT-061130-19/QU</t>
  </si>
  <si>
    <t>LT-061547-19/QU</t>
  </si>
  <si>
    <t>LT-069037-19/QU</t>
  </si>
  <si>
    <t>LT-066906-19/QU</t>
  </si>
  <si>
    <t>LT-065845-19/19</t>
  </si>
  <si>
    <t>LT-72007-19/NY</t>
  </si>
  <si>
    <t>LT-017910-18/KI</t>
  </si>
  <si>
    <t>LT-052447-19/RI</t>
  </si>
  <si>
    <t>LT-081766-19/KI</t>
  </si>
  <si>
    <t>LT-003453-18/KI</t>
  </si>
  <si>
    <t>Will provide</t>
  </si>
  <si>
    <t>LT-070979-19/QU</t>
  </si>
  <si>
    <t>LT-071130-19/QU</t>
  </si>
  <si>
    <t>GS-2100050-D</t>
  </si>
  <si>
    <t>LT-067126-19/QU</t>
  </si>
  <si>
    <t>LT-065702-19/QU</t>
  </si>
  <si>
    <t>LT-068615-19/QU</t>
  </si>
  <si>
    <t>LT-082957-19/KI</t>
  </si>
  <si>
    <t>LT-036493-18/BX</t>
  </si>
  <si>
    <t>LT-52114-NY</t>
  </si>
  <si>
    <t>None yet</t>
  </si>
  <si>
    <t>LT-065486-19/QU</t>
  </si>
  <si>
    <t>LT-046406-19/BX</t>
  </si>
  <si>
    <t>GW-130064-OM</t>
  </si>
  <si>
    <t>LT-066533-19/QU</t>
  </si>
  <si>
    <t>LT-52542-19/QU</t>
  </si>
  <si>
    <t>LT-068925-18/QU</t>
  </si>
  <si>
    <t>LT-064508-19/QU</t>
  </si>
  <si>
    <t>LT-067949-19/QU</t>
  </si>
  <si>
    <t>LT-070113-19/QU</t>
  </si>
  <si>
    <t>77330/2019</t>
  </si>
  <si>
    <t>LT-081444-19/KI</t>
  </si>
  <si>
    <t>HP 2384/2018</t>
  </si>
  <si>
    <t>LT-054459-19/KI</t>
  </si>
  <si>
    <t>LT-054080-19/KI</t>
  </si>
  <si>
    <t>LT-081216-18/KI</t>
  </si>
  <si>
    <t>HT-630027-B</t>
  </si>
  <si>
    <t>LT-066074-18/BX</t>
  </si>
  <si>
    <t>FM-630024-RT</t>
  </si>
  <si>
    <t>LT-046408-19/BX</t>
  </si>
  <si>
    <t>LT-022528-19/BX</t>
  </si>
  <si>
    <t>251206/15</t>
  </si>
  <si>
    <t>EO-610003-B</t>
  </si>
  <si>
    <t>FO-610005-RO</t>
  </si>
  <si>
    <t>LT-050404-19/RI</t>
  </si>
  <si>
    <t>LT-052439-19/RI</t>
  </si>
  <si>
    <t>LT-050752-19/RI</t>
  </si>
  <si>
    <t>LT-052452-19/RI</t>
  </si>
  <si>
    <t>LT-065538-18/NY</t>
  </si>
  <si>
    <t>LT-69787/19-NY</t>
  </si>
  <si>
    <t>LT-080223-19/KI</t>
  </si>
  <si>
    <t>LT-081553-19/KI</t>
  </si>
  <si>
    <t>LT-080269-19/KI</t>
  </si>
  <si>
    <t>HU 610009B</t>
  </si>
  <si>
    <t>LT-052223-19/RI</t>
  </si>
  <si>
    <t>LT-050669-19/RI</t>
  </si>
  <si>
    <t>LT-084636-19/KI</t>
  </si>
  <si>
    <t>LT-068239-19/KI</t>
  </si>
  <si>
    <t>no case as of 9/12/19</t>
  </si>
  <si>
    <t>LT-042721-19/BX</t>
  </si>
  <si>
    <t>LT-042887-19/BX</t>
  </si>
  <si>
    <t>LT-078308-19/KI</t>
  </si>
  <si>
    <t>LT-081179-19/KI</t>
  </si>
  <si>
    <t>HT-630020-RO</t>
  </si>
  <si>
    <t>LT-053793-18/RI</t>
  </si>
  <si>
    <t>LT-074854-17/KI</t>
  </si>
  <si>
    <t>LT-059494-16/KI</t>
  </si>
  <si>
    <t>LT-061022-19/NY</t>
  </si>
  <si>
    <t>HP-630089-OM</t>
  </si>
  <si>
    <t>LT-012529-19/QU</t>
  </si>
  <si>
    <t>33520/19</t>
  </si>
  <si>
    <t>LT-000478-19/QU</t>
  </si>
  <si>
    <t>LT-019692/BX</t>
  </si>
  <si>
    <t>LT-041506-19/BX</t>
  </si>
  <si>
    <t>807241/19-BX</t>
  </si>
  <si>
    <t>LT-033527-19/BX</t>
  </si>
  <si>
    <t>LT-063715-19/QU</t>
  </si>
  <si>
    <t>LT-080844-19/KI</t>
  </si>
  <si>
    <t>LT-037856-19/BX</t>
  </si>
  <si>
    <t>LT-002378-19/KI</t>
  </si>
  <si>
    <t>LT-077054-18/KI</t>
  </si>
  <si>
    <t>LT-079142-19/KI</t>
  </si>
  <si>
    <t>LT-069755-19/KI</t>
  </si>
  <si>
    <t>LT-081194-19/KI</t>
  </si>
  <si>
    <t>LT-051883-19/RI</t>
  </si>
  <si>
    <t>LT-020497-19/BX</t>
  </si>
  <si>
    <t>LT-5030417-17/KI</t>
  </si>
  <si>
    <t>LT-064979-18/BX</t>
  </si>
  <si>
    <t>LT-052664-18/RI</t>
  </si>
  <si>
    <t>LT-048749-19/BX</t>
  </si>
  <si>
    <t>53382/18</t>
  </si>
  <si>
    <t>LT-069843-19/QU</t>
  </si>
  <si>
    <t>LT-033389-19/BX</t>
  </si>
  <si>
    <t>LT-023768-19/BX</t>
  </si>
  <si>
    <t>LT-058898-15/KI</t>
  </si>
  <si>
    <t>LT-010875-18/RI</t>
  </si>
  <si>
    <t>no case as of 11/26/19</t>
  </si>
  <si>
    <t>LT-090607-13/KI</t>
  </si>
  <si>
    <t>908893-TD-2019</t>
  </si>
  <si>
    <t>TBD</t>
  </si>
  <si>
    <t>LT-083011-19/KI</t>
  </si>
  <si>
    <t>LT-051817-19/RI</t>
  </si>
  <si>
    <t>GW-630035-B</t>
  </si>
  <si>
    <t>LT-070061-19/KI</t>
  </si>
  <si>
    <t>LT-215431-19/BX</t>
  </si>
  <si>
    <t>02631/2019</t>
  </si>
  <si>
    <t>LT-040788-19/BX</t>
  </si>
  <si>
    <t>65250/19</t>
  </si>
  <si>
    <t>LT-076706-19/KI</t>
  </si>
  <si>
    <t>CV-010679-19/BX</t>
  </si>
  <si>
    <t>LT-076250-19/KI</t>
  </si>
  <si>
    <t>LT-028484-19/BX</t>
  </si>
  <si>
    <t>LT-065328-19/NY</t>
  </si>
  <si>
    <t>CV-019938/19</t>
  </si>
  <si>
    <t>No Case Yet</t>
  </si>
  <si>
    <t>36817-19</t>
  </si>
  <si>
    <t>HP-610081-OM</t>
  </si>
  <si>
    <t>LT-052247-19/RI</t>
  </si>
  <si>
    <t>LT-082985-19/KI</t>
  </si>
  <si>
    <t>LT-037529-19/BX</t>
  </si>
  <si>
    <t>LT-068754-19/QU</t>
  </si>
  <si>
    <t>LT-051938-18RI</t>
  </si>
  <si>
    <t>713493/2016</t>
  </si>
  <si>
    <t>LT-051257-19/RI</t>
  </si>
  <si>
    <t>don't have it now</t>
  </si>
  <si>
    <t>LT-042670-19/BX</t>
  </si>
  <si>
    <t>LT-051981-19/RI</t>
  </si>
  <si>
    <t>LT-044472-19/BX</t>
  </si>
  <si>
    <t>44743/19BX</t>
  </si>
  <si>
    <t>LT-061952-19/QU</t>
  </si>
  <si>
    <t>LT-051743-19/RI</t>
  </si>
  <si>
    <t>LT-050902-19/RI</t>
  </si>
  <si>
    <t>LT-063929-19/QU</t>
  </si>
  <si>
    <t>NONE YET</t>
  </si>
  <si>
    <t>LT-035387-19/BX</t>
  </si>
  <si>
    <t>LT-050497-19/RI</t>
  </si>
  <si>
    <t>LT-068503-19/QU</t>
  </si>
  <si>
    <t>LT-079168-19/KI</t>
  </si>
  <si>
    <t>LT-055068-19/NY</t>
  </si>
  <si>
    <t>LT-074016-19/QU</t>
  </si>
  <si>
    <t>LT-053712-18/RI</t>
  </si>
  <si>
    <t>LT-023352-19/BX</t>
  </si>
  <si>
    <t>HQ-610020-B</t>
  </si>
  <si>
    <t>LT-031016-19/BX</t>
  </si>
  <si>
    <t>FPC#0615864</t>
  </si>
  <si>
    <t>LT-059214-19/QU</t>
  </si>
  <si>
    <t>LT-059937-19/NY</t>
  </si>
  <si>
    <t>711397/2019</t>
  </si>
  <si>
    <t>LT-069019-19/QU</t>
  </si>
  <si>
    <t>LT-017260-19/BX</t>
  </si>
  <si>
    <t>LT-051537-19/RI</t>
  </si>
  <si>
    <t>LT-002013-15/KI</t>
  </si>
  <si>
    <t>LT-070434-19/QU</t>
  </si>
  <si>
    <t>GT310007RO</t>
  </si>
  <si>
    <t>LT-082830-19/KI</t>
  </si>
  <si>
    <t>LT-077550-18/QU</t>
  </si>
  <si>
    <t>LT-103276-11/KI</t>
  </si>
  <si>
    <t>LT-019907-19/BX</t>
  </si>
  <si>
    <t>LT-050985-19/RI</t>
  </si>
  <si>
    <t>LT-056564-19/QU</t>
  </si>
  <si>
    <t>LT-074071-18/KI</t>
  </si>
  <si>
    <t>LT-077855-19/KI</t>
  </si>
  <si>
    <t>LT-050512-19/RI</t>
  </si>
  <si>
    <t>LT-034283-19/BX</t>
  </si>
  <si>
    <t>LT-000811-19/QU</t>
  </si>
  <si>
    <t>LT-074644-19/KI</t>
  </si>
  <si>
    <t>LT-051465-19/RT</t>
  </si>
  <si>
    <t>LT-075894-19/KI</t>
  </si>
  <si>
    <t>GN-630012-B</t>
  </si>
  <si>
    <t>LT-044551-19/BX</t>
  </si>
  <si>
    <t>LT-064107-19/NY</t>
  </si>
  <si>
    <t>LT-051297-19/RI</t>
  </si>
  <si>
    <t>LT-083501-19/KI</t>
  </si>
  <si>
    <t>LT-074239-19/KI</t>
  </si>
  <si>
    <t>LT-082926-19/KI</t>
  </si>
  <si>
    <t>LT-075062-19/KI</t>
  </si>
  <si>
    <t>LT-082706-19/KI</t>
  </si>
  <si>
    <t>LT-082954-19/KI</t>
  </si>
  <si>
    <t>LT-082440-19/KI</t>
  </si>
  <si>
    <t>LT-032562-19/BX</t>
  </si>
  <si>
    <t>LT-057814-18/BX</t>
  </si>
  <si>
    <t>LT R19052519</t>
  </si>
  <si>
    <t>LT-067845-19/QU</t>
  </si>
  <si>
    <t>LT-055447-18/KI</t>
  </si>
  <si>
    <t>LT-051730-19/RI</t>
  </si>
  <si>
    <t>LT-052566-18/NY</t>
  </si>
  <si>
    <t>LT-050930-19/RI</t>
  </si>
  <si>
    <t>LT-052291-19/RI</t>
  </si>
  <si>
    <t>LT-048748-19/BX</t>
  </si>
  <si>
    <t>LT-050958-19/RI</t>
  </si>
  <si>
    <t>HM-110041-OM</t>
  </si>
  <si>
    <t>LT-063006-19/QU</t>
  </si>
  <si>
    <t>LT-079200-19/KI</t>
  </si>
  <si>
    <t>LT-000055-19/RI</t>
  </si>
  <si>
    <t>LT-029231-19/BX</t>
  </si>
  <si>
    <t>LT-053861-19/QU</t>
  </si>
  <si>
    <t>LT-43242/2019</t>
  </si>
  <si>
    <t>60057/19</t>
  </si>
  <si>
    <t>LT-079371-19/KI</t>
  </si>
  <si>
    <t>LT-062648-16/KI</t>
  </si>
  <si>
    <t>HP 6100111 B</t>
  </si>
  <si>
    <t>LT-039103-19/BX</t>
  </si>
  <si>
    <t>LT-100755-16/KI</t>
  </si>
  <si>
    <t>40820/2019</t>
  </si>
  <si>
    <t>FR-210086-OM</t>
  </si>
  <si>
    <t>LT-521413-2019</t>
  </si>
  <si>
    <t>LT-083752-18/KI</t>
  </si>
  <si>
    <t>LT- 026972-19/BX</t>
  </si>
  <si>
    <t>LT-66520-16/qu</t>
  </si>
  <si>
    <t>LT-71095-18/KI</t>
  </si>
  <si>
    <t>LT-013619-19/BX</t>
  </si>
  <si>
    <t>60711/19</t>
  </si>
  <si>
    <t>LT-072623-16/KI</t>
  </si>
  <si>
    <t>LT-022027-19/BX</t>
  </si>
  <si>
    <t>LT-032140-19/BX</t>
  </si>
  <si>
    <t>092112-18</t>
  </si>
  <si>
    <t>LT-030251-19/BX</t>
  </si>
  <si>
    <t>LT-031649-19/BX</t>
  </si>
  <si>
    <t>LT-033707-19/BX</t>
  </si>
  <si>
    <t>LT-030238-19/BX</t>
  </si>
  <si>
    <t>LT-805815/19-BX</t>
  </si>
  <si>
    <t>LT-031964-19/BX</t>
  </si>
  <si>
    <t>LT-012281-19/QU</t>
  </si>
  <si>
    <t>T-037547-19/BX</t>
  </si>
  <si>
    <t>LT-058549-19/KI</t>
  </si>
  <si>
    <t>L&amp;T 016877/18</t>
  </si>
  <si>
    <t>LT-035794-19/BX</t>
  </si>
  <si>
    <t>6265/18</t>
  </si>
  <si>
    <t>LT-039837-19/BX</t>
  </si>
  <si>
    <t>LT-036904-19/BX</t>
  </si>
  <si>
    <t>LT-040680-19/BX</t>
  </si>
  <si>
    <t>LT-044270-19/BX</t>
  </si>
  <si>
    <t>LT-039048-19/BX</t>
  </si>
  <si>
    <t>LT-078846-19/KI</t>
  </si>
  <si>
    <t>050663/19</t>
  </si>
  <si>
    <t>L&amp;T-050663-19/RI</t>
  </si>
  <si>
    <t>LT-079339-17/KI</t>
  </si>
  <si>
    <t>14367/2019</t>
  </si>
  <si>
    <t>LT-076247-18/KI</t>
  </si>
  <si>
    <t>LT-084499-18/KI</t>
  </si>
  <si>
    <t>L&amp;T 075034/19</t>
  </si>
  <si>
    <t>LT-052062-19/QU</t>
  </si>
  <si>
    <t>LT-066794-19/KI</t>
  </si>
  <si>
    <t>LT-075832-19/KI</t>
  </si>
  <si>
    <t>1614 scb 2019/BX</t>
  </si>
  <si>
    <t>94923/18-KI</t>
  </si>
  <si>
    <t>64828/15</t>
  </si>
  <si>
    <t>LT-018425-19/BX</t>
  </si>
  <si>
    <t>LT-059506-19/KI</t>
  </si>
  <si>
    <t>907007-CR-2019</t>
  </si>
  <si>
    <t>LT-082832-19/KI</t>
  </si>
  <si>
    <t>LT-031295-19/BX</t>
  </si>
  <si>
    <t>LT-082711-19/KI</t>
  </si>
  <si>
    <t>LT-087619-18/KI</t>
  </si>
  <si>
    <t>LT-092848-18/KI</t>
  </si>
  <si>
    <t>LT-075158-17/KI</t>
  </si>
  <si>
    <t>dint have it</t>
  </si>
  <si>
    <t>62945/16</t>
  </si>
  <si>
    <t>LT-064106-19/QU</t>
  </si>
  <si>
    <t>LT-069497/18</t>
  </si>
  <si>
    <t>LT-002415-19/BX</t>
  </si>
  <si>
    <t>L&amp;T-052668-18/KI</t>
  </si>
  <si>
    <t>LT-069037-19/KI</t>
  </si>
  <si>
    <t>LT-081511-19/KI</t>
  </si>
  <si>
    <t>LT-022273-18/BX</t>
  </si>
  <si>
    <t>2943/2018</t>
  </si>
  <si>
    <t>LT-081613-18/KI</t>
  </si>
  <si>
    <t>LT-071288-19/KI</t>
  </si>
  <si>
    <t>LT-048647-19/BX</t>
  </si>
  <si>
    <t>LT-054989-17/KI</t>
  </si>
  <si>
    <t>LT-084841-18/ki</t>
  </si>
  <si>
    <t>LT-809598-17/BX</t>
  </si>
  <si>
    <t>LT-069436-19/KI</t>
  </si>
  <si>
    <t>LT-251547-19/HA</t>
  </si>
  <si>
    <t>LT-012147-19/BX</t>
  </si>
  <si>
    <t>LT-058109-19/KI</t>
  </si>
  <si>
    <t>LT-035277-19/BX</t>
  </si>
  <si>
    <t>LT-51696-18/KI</t>
  </si>
  <si>
    <t>LT-068345-18/KI</t>
  </si>
  <si>
    <t>LT-063136-19/KI</t>
  </si>
  <si>
    <t>LT-038691-19/BX</t>
  </si>
  <si>
    <t>LT-032313-19/BX</t>
  </si>
  <si>
    <t>LT-811658-18/BX</t>
  </si>
  <si>
    <t>LT-045306-19/BX</t>
  </si>
  <si>
    <t>LT-727933-18/KI</t>
  </si>
  <si>
    <t>LT-029986-19/BX</t>
  </si>
  <si>
    <t>LT-75975-17/QU</t>
  </si>
  <si>
    <t>LT-053572-19/KI</t>
  </si>
  <si>
    <t>LT-058473-19/KI</t>
  </si>
  <si>
    <t>LT-007688-19/BX</t>
  </si>
  <si>
    <t>LT-057728-17/KI</t>
  </si>
  <si>
    <t>LT-069491-19/KI</t>
  </si>
  <si>
    <t>LTHP-3556-18</t>
  </si>
  <si>
    <t>LT-033562-19/BX</t>
  </si>
  <si>
    <t>LT-030063-19/BX</t>
  </si>
  <si>
    <t>LT-019707-19/BX</t>
  </si>
  <si>
    <t>LT-079630-17/KI</t>
  </si>
  <si>
    <t>1669/17</t>
  </si>
  <si>
    <t>LT-031894-19/BX</t>
  </si>
  <si>
    <t>LT-071563-19/KI</t>
  </si>
  <si>
    <t>62815/16</t>
  </si>
  <si>
    <t>LT-3402-17/KI</t>
  </si>
  <si>
    <t>50537/15</t>
  </si>
  <si>
    <t>FR 210088 S</t>
  </si>
  <si>
    <t>LT-58762-17/NY</t>
  </si>
  <si>
    <t>LT-62816-16/KI</t>
  </si>
  <si>
    <t>FR 210080 S</t>
  </si>
  <si>
    <t>62817/16</t>
  </si>
  <si>
    <t>LT-010500-19/RI</t>
  </si>
  <si>
    <t>NYCHA Hearing</t>
  </si>
  <si>
    <t>LT-051556-19/RI</t>
  </si>
  <si>
    <t>LID #909826-2019</t>
  </si>
  <si>
    <t>LT-52268-19</t>
  </si>
  <si>
    <t>LT-051623-19/RI</t>
  </si>
  <si>
    <t>LT-051498-19/RI</t>
  </si>
  <si>
    <t>LT-051542-19/RI</t>
  </si>
  <si>
    <t>LT-010089-19/RI</t>
  </si>
  <si>
    <t>LT-051846-19/RI</t>
  </si>
  <si>
    <t>LT-051854-19/RI</t>
  </si>
  <si>
    <t>LT-051717-19/RI</t>
  </si>
  <si>
    <t>LT-051390-19/RI</t>
  </si>
  <si>
    <t>LT-051857-19/RI</t>
  </si>
  <si>
    <t>LT-051993-19/RI</t>
  </si>
  <si>
    <t>LT-050162-19/RI</t>
  </si>
  <si>
    <t>LT-051787-19/RI</t>
  </si>
  <si>
    <t>LT-011093-18/RI</t>
  </si>
  <si>
    <t>LT-052448-19/RI</t>
  </si>
  <si>
    <t>LT-010228-17/RI</t>
  </si>
  <si>
    <t>LT-052258-19/RI</t>
  </si>
  <si>
    <t>9084224-AN-2019</t>
  </si>
  <si>
    <t>9111217-TD-2019</t>
  </si>
  <si>
    <t>909354-AN-2019</t>
  </si>
  <si>
    <t>124350-014-049-07G</t>
  </si>
  <si>
    <t>LT-052205-19/RI</t>
  </si>
  <si>
    <t>LT 052282-19/RI</t>
  </si>
  <si>
    <t>LT-010617-19/RI</t>
  </si>
  <si>
    <t>LT-052442-19/RI</t>
  </si>
  <si>
    <t>LT-10215-19/RI</t>
  </si>
  <si>
    <t>906205-NB-2018</t>
  </si>
  <si>
    <t>LT-052419-19/RI</t>
  </si>
  <si>
    <t>LT 010712-19</t>
  </si>
  <si>
    <t>152337/2017</t>
  </si>
  <si>
    <t>LT-052384-19/RI</t>
  </si>
  <si>
    <t>LT-10825-19/RI</t>
  </si>
  <si>
    <t>LT-052276-19/RI</t>
  </si>
  <si>
    <t>911337-TD2019</t>
  </si>
  <si>
    <t>LT-010877-18/RI</t>
  </si>
  <si>
    <t>LT-069625-18/KI</t>
  </si>
  <si>
    <t>LT-016824-19/KI</t>
  </si>
  <si>
    <t>LT-092551-18/KI</t>
  </si>
  <si>
    <t>LT-001778-19/KI</t>
  </si>
  <si>
    <t>L&amp;T-77037-17/KI</t>
  </si>
  <si>
    <t>LT-071415-19/KI</t>
  </si>
  <si>
    <t>LT-014951-19/KI</t>
  </si>
  <si>
    <t>LT-057738-18/KI</t>
  </si>
  <si>
    <t>LT-069127-19/KI</t>
  </si>
  <si>
    <t>LT-017993-19</t>
  </si>
  <si>
    <t>LT-072724-19/KI</t>
  </si>
  <si>
    <t>LT-011782-19/KI</t>
  </si>
  <si>
    <t>LT-016685-19/KI</t>
  </si>
  <si>
    <t>LT-074658-19/KI</t>
  </si>
  <si>
    <t>LT-060605-19/KI</t>
  </si>
  <si>
    <t>LT-074611-19/KI</t>
  </si>
  <si>
    <t>LT-019027-17/KI</t>
  </si>
  <si>
    <t>LT-074696-19/KI</t>
  </si>
  <si>
    <t>LT-75329-19/KI</t>
  </si>
  <si>
    <t>LT-075975-19/KI</t>
  </si>
  <si>
    <t>LT-002209-19/KI</t>
  </si>
  <si>
    <t>LT-075504-19/KI</t>
  </si>
  <si>
    <t>LT-077954-19/KI</t>
  </si>
  <si>
    <t>LT-076317-19/KI</t>
  </si>
  <si>
    <t>LT-075919-19/KI</t>
  </si>
  <si>
    <t>LT-002487-19/KI</t>
  </si>
  <si>
    <t>LT-001133-19/KI</t>
  </si>
  <si>
    <t>LT-090399/18</t>
  </si>
  <si>
    <t>LT-076744-19/KI</t>
  </si>
  <si>
    <t>LT-002528-19/ki</t>
  </si>
  <si>
    <t>LT-078068-19/KI</t>
  </si>
  <si>
    <t>LT-006320-19/KI</t>
  </si>
  <si>
    <t>LT-075150-19/KI</t>
  </si>
  <si>
    <t>LT-018395-18/KI</t>
  </si>
  <si>
    <t>LT-078781-19/KI</t>
  </si>
  <si>
    <t>LT-052827-19/KI</t>
  </si>
  <si>
    <t>LT-080909-19/KI</t>
  </si>
  <si>
    <t>LT-002615-19/KI</t>
  </si>
  <si>
    <t>LT-068680-19/KI</t>
  </si>
  <si>
    <t>LT-018207-19/KI</t>
  </si>
  <si>
    <t>LT-081695-19/KI</t>
  </si>
  <si>
    <t>LT-072659-19/KI</t>
  </si>
  <si>
    <t>LT-078489-19/KI</t>
  </si>
  <si>
    <t>LT-002379-19/KI</t>
  </si>
  <si>
    <t>LT-079236-17/KI</t>
  </si>
  <si>
    <t>94369/13</t>
  </si>
  <si>
    <t>LT-050684-18/KI</t>
  </si>
  <si>
    <t>LT-071361-19/KI</t>
  </si>
  <si>
    <t>LT-781120-19/ki</t>
  </si>
  <si>
    <t>LT-059339-19/KI</t>
  </si>
  <si>
    <t>LT-068243-19/KI</t>
  </si>
  <si>
    <t>LT-071749-19/KI</t>
  </si>
  <si>
    <t>LT-052288-19/KI</t>
  </si>
  <si>
    <t>LT-064287-19/KI</t>
  </si>
  <si>
    <t>66193/19</t>
  </si>
  <si>
    <t>LT-069040-19/KI</t>
  </si>
  <si>
    <t>LT-019983-18/KI</t>
  </si>
  <si>
    <t>LT-068828-19/KI</t>
  </si>
  <si>
    <t>LT-067003-19/KI</t>
  </si>
  <si>
    <t>LT-052346-19/KI</t>
  </si>
  <si>
    <t>LT-096595-18/KI</t>
  </si>
  <si>
    <t>LT-071865-19/KI</t>
  </si>
  <si>
    <t>LT-052112-18</t>
  </si>
  <si>
    <t>LT-071723-19</t>
  </si>
  <si>
    <t>LT-014831-16/KI</t>
  </si>
  <si>
    <t>LT-065217-19/KI</t>
  </si>
  <si>
    <t>LT-071696-19/KI</t>
  </si>
  <si>
    <t>LT-071394-19/KI</t>
  </si>
  <si>
    <t>100999/2019</t>
  </si>
  <si>
    <t>LT-066314-19/KI</t>
  </si>
  <si>
    <t>LT-065941-19/KI</t>
  </si>
  <si>
    <t>LT-014727-19</t>
  </si>
  <si>
    <t>LT-015032-19/KI</t>
  </si>
  <si>
    <t>LT-071566-19</t>
  </si>
  <si>
    <t>LT-017851-18/KI</t>
  </si>
  <si>
    <t>LT-069298-19/KI</t>
  </si>
  <si>
    <t>LT-001988-19/KI</t>
  </si>
  <si>
    <t>LT-012935-19</t>
  </si>
  <si>
    <t>LT-072054-19/KI</t>
  </si>
  <si>
    <t>LT-018067-19/KI</t>
  </si>
  <si>
    <t>LT-016738-19/KI</t>
  </si>
  <si>
    <t>LT-060956-18/KI</t>
  </si>
  <si>
    <t>LT-072071-19/KI</t>
  </si>
  <si>
    <t>LT-015423-19/BX</t>
  </si>
  <si>
    <t>LT-073880-19/KI</t>
  </si>
  <si>
    <t>LT-051327-19/KI</t>
  </si>
  <si>
    <t>LT-073837-19/KI</t>
  </si>
  <si>
    <t>LT-069904-19/KI</t>
  </si>
  <si>
    <t>LT-59727-19/KI</t>
  </si>
  <si>
    <t>LT-013657-19/KI</t>
  </si>
  <si>
    <t>L&amp;T-057365-19/KI</t>
  </si>
  <si>
    <t>LT-073881-19/KI</t>
  </si>
  <si>
    <t>LT-050764-19/KI</t>
  </si>
  <si>
    <t>LT-075104-19/KI</t>
  </si>
  <si>
    <t>LT-018210-19/KI</t>
  </si>
  <si>
    <t>LT-018223-19/KI</t>
  </si>
  <si>
    <t>LT-066377-19/KI</t>
  </si>
  <si>
    <t>LT-074788-19/KI</t>
  </si>
  <si>
    <t>LT-065924-19/KI</t>
  </si>
  <si>
    <t>LT-074697-19/KI</t>
  </si>
  <si>
    <t>LT-075096-19/KI</t>
  </si>
  <si>
    <t>LT-073418-19/KI</t>
  </si>
  <si>
    <t>LT-075380-19/KI</t>
  </si>
  <si>
    <t>LT-075146-19/KI</t>
  </si>
  <si>
    <t>LT-074396-19/KI</t>
  </si>
  <si>
    <t>LT-076748-19/KI</t>
  </si>
  <si>
    <t>LT-054901-19/KI</t>
  </si>
  <si>
    <t>LT-073882-19/KI</t>
  </si>
  <si>
    <t>LT-60176-19/QU</t>
  </si>
  <si>
    <t>LT-077559-19/KI</t>
  </si>
  <si>
    <t>LT-002369-19/KI</t>
  </si>
  <si>
    <t>LT-075323-19/KI</t>
  </si>
  <si>
    <t>LT-072876-19/KI</t>
  </si>
  <si>
    <t>LT-075868-19/KI</t>
  </si>
  <si>
    <t>LT-014982-19/KI</t>
  </si>
  <si>
    <t>LT-096789-18/KI</t>
  </si>
  <si>
    <t>LT-058396-19/KI</t>
  </si>
  <si>
    <t>LT-075455-19/KI</t>
  </si>
  <si>
    <t>LT-076068-19/KI</t>
  </si>
  <si>
    <t>LT-078703-19/KI</t>
  </si>
  <si>
    <t>LT-023909-18/KI</t>
  </si>
  <si>
    <t>LT-078855-19/KI</t>
  </si>
  <si>
    <t>LT-078159-/KI</t>
  </si>
  <si>
    <t>LT-006289-19/KI</t>
  </si>
  <si>
    <t>LT-079247-19/KI</t>
  </si>
  <si>
    <t>LT-069913-19/KI</t>
  </si>
  <si>
    <t>LT-018289-19/KI</t>
  </si>
  <si>
    <t>LT-053439-19/KI</t>
  </si>
  <si>
    <t>LT-075620-19/KI</t>
  </si>
  <si>
    <t>LT-078836-19/KI</t>
  </si>
  <si>
    <t>LT-059638-19/KI</t>
  </si>
  <si>
    <t>LT-071278-19/KI</t>
  </si>
  <si>
    <t>LT-080278-19/KI</t>
  </si>
  <si>
    <t>LT-080659-19/KI</t>
  </si>
  <si>
    <t>LT-075899-19/KI</t>
  </si>
  <si>
    <t>LT-013622-19/KI</t>
  </si>
  <si>
    <t>LT-078858-19/KI</t>
  </si>
  <si>
    <t>LT-073532-19/KI</t>
  </si>
  <si>
    <t>LT-076060-19/KI</t>
  </si>
  <si>
    <t>L&amp;T-077806-2019/KI</t>
  </si>
  <si>
    <t>LT-080219-19/KI</t>
  </si>
  <si>
    <t>910816-AN-2019</t>
  </si>
  <si>
    <t>LT-002783-19/KI</t>
  </si>
  <si>
    <t>LT-076755-19/KI</t>
  </si>
  <si>
    <t>LT-053495-19/KI</t>
  </si>
  <si>
    <t>LT-018209-19/KI</t>
  </si>
  <si>
    <t>LT-075322-19/KI</t>
  </si>
  <si>
    <t>LT-086106/18</t>
  </si>
  <si>
    <t>LT-080220-19/KI</t>
  </si>
  <si>
    <t>LT-069604-18/KI</t>
  </si>
  <si>
    <t>LT-017346-17/KI</t>
  </si>
  <si>
    <t>LT-080041-19/KI</t>
  </si>
  <si>
    <t>LT-083109-19/KI</t>
  </si>
  <si>
    <t>LT-082574-19/KI</t>
  </si>
  <si>
    <t>LT-079442-19/KI</t>
  </si>
  <si>
    <t>LT-080825-19/KI</t>
  </si>
  <si>
    <t>LT-083088-19/KI</t>
  </si>
  <si>
    <t>LT-067874-19/KI</t>
  </si>
  <si>
    <t>LT-090565-18/KI</t>
  </si>
  <si>
    <t>LT-093816-18/KI</t>
  </si>
  <si>
    <t>LT- 019671-16/KI</t>
  </si>
  <si>
    <t>LT-078008-19/KI</t>
  </si>
  <si>
    <t>L&amp;T-17553-19</t>
  </si>
  <si>
    <t>LT-064495-18/KI</t>
  </si>
  <si>
    <t>LT-063180-19/KI</t>
  </si>
  <si>
    <t>LT-072061-19/KI</t>
  </si>
  <si>
    <t>LT-003977-18/KI</t>
  </si>
  <si>
    <t>LT-061363-19/KI</t>
  </si>
  <si>
    <t>LT-068551-19/KI</t>
  </si>
  <si>
    <t>LT-076853-19/KI</t>
  </si>
  <si>
    <t>LT-014641-19/KI</t>
  </si>
  <si>
    <t>LT-053792-19/KI</t>
  </si>
  <si>
    <t>LT-094133-18/KI</t>
  </si>
  <si>
    <t>L&amp;T - 07351619</t>
  </si>
  <si>
    <t>51180/2014</t>
  </si>
  <si>
    <t>LT-18158-19/KI</t>
  </si>
  <si>
    <t>LT-060119-18/KI</t>
  </si>
  <si>
    <t>83468/14</t>
  </si>
  <si>
    <t>LT-012282-18/KI</t>
  </si>
  <si>
    <t>LT-13486-18/KI</t>
  </si>
  <si>
    <t>LT-084118-18/KI</t>
  </si>
  <si>
    <t>LT-14080-19/KI</t>
  </si>
  <si>
    <t>L&amp;T-74956-17/KI</t>
  </si>
  <si>
    <t>LT-056157/19-KI</t>
  </si>
  <si>
    <t>LT-090218-18/KI</t>
  </si>
  <si>
    <t>LT-079495-19/KI</t>
  </si>
  <si>
    <t>73467/2014</t>
  </si>
  <si>
    <t>LT-077283-19/KI</t>
  </si>
  <si>
    <t>LT-058871-19/KI</t>
  </si>
  <si>
    <t>LT-088538-18/KI</t>
  </si>
  <si>
    <t>19-1911704</t>
  </si>
  <si>
    <t>LT-066127-19/KI</t>
  </si>
  <si>
    <t>LT-073094-19/KI</t>
  </si>
  <si>
    <t>LT-086911-18/KI</t>
  </si>
  <si>
    <t>LT-052329-19/KI</t>
  </si>
  <si>
    <t>LT-081497-18/KI</t>
  </si>
  <si>
    <t>LT-075327-19/KI</t>
  </si>
  <si>
    <t>LT-057818-19/KI</t>
  </si>
  <si>
    <t>L&amp;T-061805-19/KI</t>
  </si>
  <si>
    <t>LT-023159-17/KI</t>
  </si>
  <si>
    <t>LT-064181-19/KI</t>
  </si>
  <si>
    <t>LT-75157-17/KI</t>
  </si>
  <si>
    <t>LT-062635-19/QU</t>
  </si>
  <si>
    <t>LT-063262-19/QU</t>
  </si>
  <si>
    <t>LT-076889-18/QU</t>
  </si>
  <si>
    <t>LT-011992-19/QU</t>
  </si>
  <si>
    <t>LT-011993-19/QU</t>
  </si>
  <si>
    <t>LT-076248-18/QU</t>
  </si>
  <si>
    <t>LT-061275-19/QU</t>
  </si>
  <si>
    <t>LT-065038-18/QU</t>
  </si>
  <si>
    <t>LT-054976-19/QU</t>
  </si>
  <si>
    <t>LT-012262-19/QU</t>
  </si>
  <si>
    <t>LT-013124-19/QU</t>
  </si>
  <si>
    <t>LT-063899-19/QU</t>
  </si>
  <si>
    <t>LT-078842-18/QU</t>
  </si>
  <si>
    <t>LT-063172-19/QU</t>
  </si>
  <si>
    <t>LT-062197-19/QU</t>
  </si>
  <si>
    <t>LT-061067-19/QU</t>
  </si>
  <si>
    <t>LT-067164-18/QU</t>
  </si>
  <si>
    <t>LT-075283-18/QU</t>
  </si>
  <si>
    <t>LT-052797-19/QU</t>
  </si>
  <si>
    <t>LT-053965-19/QU</t>
  </si>
  <si>
    <t>LT-065300-19/QU</t>
  </si>
  <si>
    <t>LT-065066-19/QU</t>
  </si>
  <si>
    <t>LT-061538-19/QU</t>
  </si>
  <si>
    <t>LT-063572-19/QU</t>
  </si>
  <si>
    <t>LT-057933-19/QU</t>
  </si>
  <si>
    <t>LT-061970-19/QU</t>
  </si>
  <si>
    <t>LT-063337-18/QU</t>
  </si>
  <si>
    <t>LT-072819-18/QU</t>
  </si>
  <si>
    <t>LT-066260-19/QU</t>
  </si>
  <si>
    <t>LT-068039-17/QU</t>
  </si>
  <si>
    <t>LT-65632-17/QU</t>
  </si>
  <si>
    <t>LT-077774-18/QU</t>
  </si>
  <si>
    <t>LT-057616-19/QU</t>
  </si>
  <si>
    <t>LT-063330-19/QU</t>
  </si>
  <si>
    <t>LT-063569-19/QU</t>
  </si>
  <si>
    <t>LT-066631-19/QU</t>
  </si>
  <si>
    <t>LT-011796-19/QU</t>
  </si>
  <si>
    <t>LT-000000-19/QU</t>
  </si>
  <si>
    <t>LT-060476-19/QU</t>
  </si>
  <si>
    <t>LT-067998-18/QU</t>
  </si>
  <si>
    <t>LT-078824-18/QU</t>
  </si>
  <si>
    <t>LT-001630-18/QU</t>
  </si>
  <si>
    <t>LT-064603-18/QU</t>
  </si>
  <si>
    <t>HP-0001400-17/QU</t>
  </si>
  <si>
    <t>LT-10933-16/QU</t>
  </si>
  <si>
    <t>LT-068759-19/QU</t>
  </si>
  <si>
    <t>LT-012494-19/QU</t>
  </si>
  <si>
    <t>LT-066389-18/QU</t>
  </si>
  <si>
    <t>LT-063939-19/QU</t>
  </si>
  <si>
    <t>LT-059436-19/QU</t>
  </si>
  <si>
    <t>LT-064166-19/QU</t>
  </si>
  <si>
    <t>LT-064129-19/QU</t>
  </si>
  <si>
    <t>no Case</t>
  </si>
  <si>
    <t>LT-078831-18/QU</t>
  </si>
  <si>
    <t>LT-14387-18/QU</t>
  </si>
  <si>
    <t>LT-069634-19</t>
  </si>
  <si>
    <t>LT-059179-19/QU</t>
  </si>
  <si>
    <t>LT-078421-17/QU</t>
  </si>
  <si>
    <t>LT-065532-19/QU</t>
  </si>
  <si>
    <t>LT-012516-19/QU</t>
  </si>
  <si>
    <t>LT-067668-19/QU</t>
  </si>
  <si>
    <t>LT-064590-19/QU</t>
  </si>
  <si>
    <t>LT-068387/19-QU</t>
  </si>
  <si>
    <t>LT-057717-19/QU</t>
  </si>
  <si>
    <t>LT-012073-19/QU</t>
  </si>
  <si>
    <t>LT 055703-19 QU</t>
  </si>
  <si>
    <t>LT-011168-19/QU</t>
  </si>
  <si>
    <t>LT-057271-19/QU</t>
  </si>
  <si>
    <t>LT-012235-19/QU</t>
  </si>
  <si>
    <t>LT-063832-19/QU</t>
  </si>
  <si>
    <t>LT-063883-19/QU</t>
  </si>
  <si>
    <t>LT-062771-19/QU</t>
  </si>
  <si>
    <t>LT-063963-19/QU</t>
  </si>
  <si>
    <t>LT-060402-19/QU</t>
  </si>
  <si>
    <t>LT-063718-19/QU</t>
  </si>
  <si>
    <t>LT-051340-19/QU</t>
  </si>
  <si>
    <t>LT-060818-19/QU</t>
  </si>
  <si>
    <t>LT-063570-19/QU</t>
  </si>
  <si>
    <t>LT-064959-18/QU</t>
  </si>
  <si>
    <t>LT-063924-19/QU</t>
  </si>
  <si>
    <t>LT-057789-19/QU</t>
  </si>
  <si>
    <t>LT-058554-19/QU</t>
  </si>
  <si>
    <t>LT-054888-19/QU</t>
  </si>
  <si>
    <t>LT-012024-19/QU</t>
  </si>
  <si>
    <t>LT-011108-18/QU</t>
  </si>
  <si>
    <t>LT-064669-19/QU</t>
  </si>
  <si>
    <t>LT-065385-19/QU</t>
  </si>
  <si>
    <t>LT-064731-19/QU</t>
  </si>
  <si>
    <t>LT-061995-19/QU</t>
  </si>
  <si>
    <t>LT-065568-19/QU</t>
  </si>
  <si>
    <t>LT-065183-19/QU</t>
  </si>
  <si>
    <t>LT-064877-19/QU</t>
  </si>
  <si>
    <t>LT-062031-19/QU</t>
  </si>
  <si>
    <t>LT-065374-19/QU</t>
  </si>
  <si>
    <t>LT-053548-19/QU</t>
  </si>
  <si>
    <t>LT-072496-19/QU</t>
  </si>
  <si>
    <t>LT-065580-19/QU</t>
  </si>
  <si>
    <t>LT-064117-19/QU</t>
  </si>
  <si>
    <t>LT-065655-19/QU</t>
  </si>
  <si>
    <t>LT-065446-19/QU</t>
  </si>
  <si>
    <t>LT-063596-19/QU</t>
  </si>
  <si>
    <t>LT-056607-19/QU</t>
  </si>
  <si>
    <t>LT-066606-19/QU</t>
  </si>
  <si>
    <t>LT-067136-19/QU</t>
  </si>
  <si>
    <t>LT-059450-19/QU</t>
  </si>
  <si>
    <t>LT-066910-19/QU</t>
  </si>
  <si>
    <t>LT-055357-19/QU</t>
  </si>
  <si>
    <t>LT-067007-19/QU</t>
  </si>
  <si>
    <t>LT-064168-19/QU</t>
  </si>
  <si>
    <t>LT-064567-19/QU</t>
  </si>
  <si>
    <t>LT--060699-19/QU</t>
  </si>
  <si>
    <t>LT-65063-19/QU</t>
  </si>
  <si>
    <t>LT-066582-19/QU</t>
  </si>
  <si>
    <t>LT-059890-19/QU</t>
  </si>
  <si>
    <t>LT-059888-19/QU</t>
  </si>
  <si>
    <t>LT-066617-19/QU</t>
  </si>
  <si>
    <t>LT-066581-19/QU</t>
  </si>
  <si>
    <t>LT-066795-19/QU</t>
  </si>
  <si>
    <t>LT-067161-19/QU</t>
  </si>
  <si>
    <t>LT-012486-19/QU</t>
  </si>
  <si>
    <t>LT-067720-19QU</t>
  </si>
  <si>
    <t>LT-067268-19/QU</t>
  </si>
  <si>
    <t>LT-061535-19/QU</t>
  </si>
  <si>
    <t>LT-064636-19/QU</t>
  </si>
  <si>
    <t>LT-066289-19/QU</t>
  </si>
  <si>
    <t>LT-067263-19/QU</t>
  </si>
  <si>
    <t>LT-064234-19/QU</t>
  </si>
  <si>
    <t>LT-067723-19/QU</t>
  </si>
  <si>
    <t>LT-67226-19/QU</t>
  </si>
  <si>
    <t>LT-067215-19/QU</t>
  </si>
  <si>
    <t>LT-067623-19/QU</t>
  </si>
  <si>
    <t>LT-066834-19/QU</t>
  </si>
  <si>
    <t>LT-067452-19/QU</t>
  </si>
  <si>
    <t>LT-058918-19/QU</t>
  </si>
  <si>
    <t>LT-064644-19/QU</t>
  </si>
  <si>
    <t>LT-066901-19/QU</t>
  </si>
  <si>
    <t>LT-068739-19/QU</t>
  </si>
  <si>
    <t>LT-067779-1/QU</t>
  </si>
  <si>
    <t>LT-068631-19/QU</t>
  </si>
  <si>
    <t>LT-068309-19/QU</t>
  </si>
  <si>
    <t>LT-012550-19/QU</t>
  </si>
  <si>
    <t>LT-065783-19/QU</t>
  </si>
  <si>
    <t>LT-057535-19/QU</t>
  </si>
  <si>
    <t>LT-067874-19/QU</t>
  </si>
  <si>
    <t>LT-061452-19/QU</t>
  </si>
  <si>
    <t>LT-067822-19/QU</t>
  </si>
  <si>
    <t>LT-067821-19/QU</t>
  </si>
  <si>
    <t>LT-068951-19/QU</t>
  </si>
  <si>
    <t>LT-67994-19/QU</t>
  </si>
  <si>
    <t>LT-068021-19/QU</t>
  </si>
  <si>
    <t>LT-068346-19/QU</t>
  </si>
  <si>
    <t>LT000556-19/QU</t>
  </si>
  <si>
    <t>LT-068741-19/QU</t>
  </si>
  <si>
    <t>LT-067066-19/QU</t>
  </si>
  <si>
    <t>LT-067393-19/QU</t>
  </si>
  <si>
    <t>LT-006375-19/QU</t>
  </si>
  <si>
    <t>LT-067952-19/QU</t>
  </si>
  <si>
    <t>LT-069177-19/QU</t>
  </si>
  <si>
    <t>LT-068618-19/QU</t>
  </si>
  <si>
    <t>LT-068977-19/QU</t>
  </si>
  <si>
    <t>LT-068592-19/QU</t>
  </si>
  <si>
    <t>LT-053482-19/QU</t>
  </si>
  <si>
    <t>LT-063279-19/QU</t>
  </si>
  <si>
    <t>LT-012541-19/QU</t>
  </si>
  <si>
    <t>LT-069253-19/QU</t>
  </si>
  <si>
    <t>LT-067955-19/QU</t>
  </si>
  <si>
    <t>LT-069039-19/QU</t>
  </si>
  <si>
    <t>LT-069074-19/QU</t>
  </si>
  <si>
    <t>LT-065867-19/QU</t>
  </si>
  <si>
    <t>LT-063770-19/QU</t>
  </si>
  <si>
    <t>LT-057617-19/QU</t>
  </si>
  <si>
    <t>LT-070115-19/QU</t>
  </si>
  <si>
    <t>LT-06867-19/QU</t>
  </si>
  <si>
    <t>LT-059832-19/QU</t>
  </si>
  <si>
    <t>LT-065396-19/QU</t>
  </si>
  <si>
    <t>LT-070122-19/QU</t>
  </si>
  <si>
    <t>LT-070224-19/QU</t>
  </si>
  <si>
    <t>LT-067767-19/QU</t>
  </si>
  <si>
    <t>LT-068487-19/QU</t>
  </si>
  <si>
    <t>LT-070666-19/QU</t>
  </si>
  <si>
    <t>LT-069744-19/QU</t>
  </si>
  <si>
    <t>no active case</t>
  </si>
  <si>
    <t>LT-070649-19/QU</t>
  </si>
  <si>
    <t>LT-0071572-19/QU</t>
  </si>
  <si>
    <t>LT-071709-19/QU</t>
  </si>
  <si>
    <t>LT0071632-19/QU</t>
  </si>
  <si>
    <t>LT-070855-19/QU</t>
  </si>
  <si>
    <t>LT-076923-18/QU</t>
  </si>
  <si>
    <t>LT-058540-18/QU</t>
  </si>
  <si>
    <t>LT-012520-19/QU</t>
  </si>
  <si>
    <t>LT-069092-19/QU</t>
  </si>
  <si>
    <t>LT-077252-18/QU</t>
  </si>
  <si>
    <t>LT-075821-18/QU</t>
  </si>
  <si>
    <t>LT:62844-14/QU</t>
  </si>
  <si>
    <t>LT-69919-19/QU</t>
  </si>
  <si>
    <t>LT-064756-19/QU</t>
  </si>
  <si>
    <t>LT-074122-16/QU</t>
  </si>
  <si>
    <t>LT-050674-18/QU</t>
  </si>
  <si>
    <t>LT-72762-16/QU</t>
  </si>
  <si>
    <t>2019-00586 Q C</t>
  </si>
  <si>
    <t>LT-67431-19/QU</t>
  </si>
  <si>
    <t>LT-050328-18/QU</t>
  </si>
  <si>
    <t>LT-68427-19/QU</t>
  </si>
  <si>
    <t>LT-11700-19/QU</t>
  </si>
  <si>
    <t>LT-069960-18/QU</t>
  </si>
  <si>
    <t>LT-068410-19/QU</t>
  </si>
  <si>
    <t>LT-070232-19/QU</t>
  </si>
  <si>
    <t>LT-069899-18/QU</t>
  </si>
  <si>
    <t>LT-067625-19/QU</t>
  </si>
  <si>
    <t>LT-077681-18/QU</t>
  </si>
  <si>
    <t>LT-068621-19/QU</t>
  </si>
  <si>
    <t>LT-076071-18/QU</t>
  </si>
  <si>
    <t>LT-059180-17/QU</t>
  </si>
  <si>
    <t>LT-051181-19/QU</t>
  </si>
  <si>
    <t>LT-051155-19/QU</t>
  </si>
  <si>
    <t>LT-53608-17/QU</t>
  </si>
  <si>
    <t>LT-83896-14/QN</t>
  </si>
  <si>
    <t>LT-60616-14/QN</t>
  </si>
  <si>
    <t>LT-014451-18/QU</t>
  </si>
  <si>
    <t>LT-069481-18/QU</t>
  </si>
  <si>
    <t>LT-079859-17/QU</t>
  </si>
  <si>
    <t>LT-062226-19/QU</t>
  </si>
  <si>
    <t>LT- 067436-19/QU</t>
  </si>
  <si>
    <t>LT-62758-19</t>
  </si>
  <si>
    <t>LT-059140-17/QU</t>
  </si>
  <si>
    <t>LT-063582-17/QU</t>
  </si>
  <si>
    <t>LT-069063-18/QU</t>
  </si>
  <si>
    <t>LT-57062-16/QU</t>
  </si>
  <si>
    <t>LT-065176-19/QU</t>
  </si>
  <si>
    <t>LT-51825-15/QU</t>
  </si>
  <si>
    <t>LT-064227-19/QU</t>
  </si>
  <si>
    <t>LT-068123-17/QU</t>
  </si>
  <si>
    <t>LT-070076-19/QU</t>
  </si>
  <si>
    <t>LT-073312-18/QU</t>
  </si>
  <si>
    <t>LT-06263-7/QU</t>
  </si>
  <si>
    <t>LT-074289-17/QU</t>
  </si>
  <si>
    <t>LT-57535-19/QU</t>
  </si>
  <si>
    <t>LT-070106-17/QU</t>
  </si>
  <si>
    <t>LT-070645-19/QU</t>
  </si>
  <si>
    <t>LT-068915-19/QU</t>
  </si>
  <si>
    <t>LT-63490-17/QU</t>
  </si>
  <si>
    <t>LT-050757-19/QU</t>
  </si>
  <si>
    <t>LT-068749-18/QU</t>
  </si>
  <si>
    <t>LT-060765-19/QU</t>
  </si>
  <si>
    <t>LT-06793-19/QU</t>
  </si>
  <si>
    <t>LT-065832-19/QU</t>
  </si>
  <si>
    <t>LT-078610-16/QU</t>
  </si>
  <si>
    <t>LT-050521-19/QU</t>
  </si>
  <si>
    <t>LT-052927-18/QU</t>
  </si>
  <si>
    <t>LT-068216-18/QU</t>
  </si>
  <si>
    <t>LT-069923-18/QU</t>
  </si>
  <si>
    <t>LT-078777-18/QU</t>
  </si>
  <si>
    <t>LT-068355-18/QU</t>
  </si>
  <si>
    <t>LT-61903-19/QU</t>
  </si>
  <si>
    <t>LT-063125-18/QU</t>
  </si>
  <si>
    <t>LT-059928-18/Qu</t>
  </si>
  <si>
    <t>LT-050126-19/QU</t>
  </si>
  <si>
    <t>LT-065746-19/QU</t>
  </si>
  <si>
    <t>LT68852-19/QU</t>
  </si>
  <si>
    <t>LT-066507-17/QU</t>
  </si>
  <si>
    <t>LT-680152-19/QU</t>
  </si>
  <si>
    <t>LT-011930-19-QU</t>
  </si>
  <si>
    <t>LT-077861-18/QU</t>
  </si>
  <si>
    <t>LT-066499-18/QU</t>
  </si>
  <si>
    <t>LT-052310-19/QU</t>
  </si>
  <si>
    <t>LT-074489-18/QU</t>
  </si>
  <si>
    <t>LT-059955-19/QU</t>
  </si>
  <si>
    <t>LT-12725-19/QU</t>
  </si>
  <si>
    <t>LT-074902-18/QU</t>
  </si>
  <si>
    <t>LT-063681-19/QU</t>
  </si>
  <si>
    <t>LT-057693-18/QU</t>
  </si>
  <si>
    <t>LT-66784-17/QU</t>
  </si>
  <si>
    <t>LT-071653-18/QU</t>
  </si>
  <si>
    <t>LT-066105-19/QU</t>
  </si>
  <si>
    <t>LT-011801-18/QU</t>
  </si>
  <si>
    <t>LT-069299-19/QU</t>
  </si>
  <si>
    <t>LT-060995-19/QU</t>
  </si>
  <si>
    <t>LT-077375-18/QU</t>
  </si>
  <si>
    <t>LT-012742-19/QU</t>
  </si>
  <si>
    <t>LT-068831-19/QU</t>
  </si>
  <si>
    <t>LT-066796-18/QU</t>
  </si>
  <si>
    <t>LT-067993-19/QU</t>
  </si>
  <si>
    <t>LT-063478-19/QU</t>
  </si>
  <si>
    <t>LT-063096-18/QU</t>
  </si>
  <si>
    <t>LT-069689-19/QU</t>
  </si>
  <si>
    <t>LT-054464-19/QU</t>
  </si>
  <si>
    <t>LT-014432-18/QU</t>
  </si>
  <si>
    <t>LT-076840-16/QU</t>
  </si>
  <si>
    <t>LT-073101-18/QU</t>
  </si>
  <si>
    <t>LT-050969-19/QU</t>
  </si>
  <si>
    <t>SC 11164-16/QU</t>
  </si>
  <si>
    <t>LT-070664-19/QU</t>
  </si>
  <si>
    <t>LT-069849-19/QU</t>
  </si>
  <si>
    <t>LT-063360-18/QU</t>
  </si>
  <si>
    <t>LT-077889-18/QU</t>
  </si>
  <si>
    <t>LT-058574-19/QU</t>
  </si>
  <si>
    <t>LT-60371-19/QU</t>
  </si>
  <si>
    <t>LT-065453-19/QU</t>
  </si>
  <si>
    <t>LT-062394-19/QU</t>
  </si>
  <si>
    <t>LT-066839-19/QU</t>
  </si>
  <si>
    <t>LT-065442-19/QU</t>
  </si>
  <si>
    <t>LT-059619-19/QU</t>
  </si>
  <si>
    <t>LT-071627-18/QU</t>
  </si>
  <si>
    <t>LT-073888-18/QU</t>
  </si>
  <si>
    <t>LT-054856-19/QU</t>
  </si>
  <si>
    <t>LT-071549-18/QU</t>
  </si>
  <si>
    <t>LT-052223-19/QU</t>
  </si>
  <si>
    <t>LT-075356-18/QU</t>
  </si>
  <si>
    <t>LT-064869-19/QU</t>
  </si>
  <si>
    <t>LT-051451-18/QU</t>
  </si>
  <si>
    <t>LT-068922-19/QU</t>
  </si>
  <si>
    <t>LT-061421-19/QU</t>
  </si>
  <si>
    <t>LT-069282-18/QU</t>
  </si>
  <si>
    <t>LT-063911-19/QU</t>
  </si>
  <si>
    <t>LT-069982-19/QU</t>
  </si>
  <si>
    <t>LT-74475-17/QU</t>
  </si>
  <si>
    <t>LT-071816-18/QU</t>
  </si>
  <si>
    <t>LT-067639-19/QU</t>
  </si>
  <si>
    <t>LT-067837-19/QU</t>
  </si>
  <si>
    <t>LT-057405-18/QU</t>
  </si>
  <si>
    <t>LT-068515-19/QU</t>
  </si>
  <si>
    <t>LT-61784-19/QU</t>
  </si>
  <si>
    <t>LT-064088-19/QU</t>
  </si>
  <si>
    <t>LT-</t>
  </si>
  <si>
    <t>LT-012069-16/QU</t>
  </si>
  <si>
    <t>LT-076825-18/QU</t>
  </si>
  <si>
    <t>LT-060810-19/QU</t>
  </si>
  <si>
    <t>LT-054007-19/QU</t>
  </si>
  <si>
    <t>LT-064539-19/QU</t>
  </si>
  <si>
    <t>LT-076285-17/QU</t>
  </si>
  <si>
    <t>LT-52553-15/QU</t>
  </si>
  <si>
    <t>LT-068315-19/QU</t>
  </si>
  <si>
    <t>LT-069179-19</t>
  </si>
  <si>
    <t>LT-060275-19/QU</t>
  </si>
  <si>
    <t>LT-050080-19/QU</t>
  </si>
  <si>
    <t>LT-070478-19/QU</t>
  </si>
  <si>
    <t>LT-078224-19/QU</t>
  </si>
  <si>
    <t>LT-059029-19/QU</t>
  </si>
  <si>
    <t>LT-077428-18/QU</t>
  </si>
  <si>
    <t>LT-056467-19/QU</t>
  </si>
  <si>
    <t>LT-068645-19/QU</t>
  </si>
  <si>
    <t>LT-077409-18/QU</t>
  </si>
  <si>
    <t>LT-058228/18</t>
  </si>
  <si>
    <t>LT-067322-19/QU</t>
  </si>
  <si>
    <t>LT-78943-18/QU</t>
  </si>
  <si>
    <t>LT-050058-19/QU</t>
  </si>
  <si>
    <t>LT-065872-19/QU</t>
  </si>
  <si>
    <t>LT-053348-19/QU</t>
  </si>
  <si>
    <t>LT-059599-18/BX</t>
  </si>
  <si>
    <t>LT-025908-19/BX</t>
  </si>
  <si>
    <t>LT-803587-19/BX</t>
  </si>
  <si>
    <t>816188-AN-2015</t>
  </si>
  <si>
    <t>HO-610065-R</t>
  </si>
  <si>
    <t>LT-035793-18/BX</t>
  </si>
  <si>
    <t>LT-027698-19/BX</t>
  </si>
  <si>
    <t>LT-009769-19/BX</t>
  </si>
  <si>
    <t>LT-813546-18/BX</t>
  </si>
  <si>
    <t>LT-028108-19/BX</t>
  </si>
  <si>
    <t>LT-022734-19/BX</t>
  </si>
  <si>
    <t>LT-029544-19/BX</t>
  </si>
  <si>
    <t>LT-018667-19/BX</t>
  </si>
  <si>
    <t>LT-009316-18/BX</t>
  </si>
  <si>
    <t>LT-021609-19/BX</t>
  </si>
  <si>
    <t>LT-025905-19/BX</t>
  </si>
  <si>
    <t>LT-021613-13/BX</t>
  </si>
  <si>
    <t>LT-027891-19/BX</t>
  </si>
  <si>
    <t>LT-028107-19/BX</t>
  </si>
  <si>
    <t>LT-028220-19/BX</t>
  </si>
  <si>
    <t>LT-023131-19/BX</t>
  </si>
  <si>
    <t>LT-029999-19/BX</t>
  </si>
  <si>
    <t>LT-021409-19/BX</t>
  </si>
  <si>
    <t>LT-013729-19/BX</t>
  </si>
  <si>
    <t>LT-028032-19/BX</t>
  </si>
  <si>
    <t>LT-030279-19/BX</t>
  </si>
  <si>
    <t>LT-026372-19/BX</t>
  </si>
  <si>
    <t>LT-028667-19/BX</t>
  </si>
  <si>
    <t>LT-806356-18/BX</t>
  </si>
  <si>
    <t>LT-019189-19/BX</t>
  </si>
  <si>
    <t>LT-021753-19/BX</t>
  </si>
  <si>
    <t>LT-053237-19/BX</t>
  </si>
  <si>
    <t>LT-804639-17/BX</t>
  </si>
  <si>
    <t>LT-804603-15/BX</t>
  </si>
  <si>
    <t>LT-029217-19/BX</t>
  </si>
  <si>
    <t>LT-031779-19/BX</t>
  </si>
  <si>
    <t>LT-017044-19/BX</t>
  </si>
  <si>
    <t>LT-029358-19/BX</t>
  </si>
  <si>
    <t>LT-022097-19/BX</t>
  </si>
  <si>
    <t>LT-030510-19/BX</t>
  </si>
  <si>
    <t>LT-017430-19/BX</t>
  </si>
  <si>
    <t>LT-031693-19/BX</t>
  </si>
  <si>
    <t>LT-026497-19/BX</t>
  </si>
  <si>
    <t>LT-685987-18/BX</t>
  </si>
  <si>
    <t>LT-031673-19/BX</t>
  </si>
  <si>
    <t>LT-029199-19/BX</t>
  </si>
  <si>
    <t>LT-031264-19/BX</t>
  </si>
  <si>
    <t>LT-806729-19/BX</t>
  </si>
  <si>
    <t>LT-032387-19/BX</t>
  </si>
  <si>
    <t>LT-028501-19/BX</t>
  </si>
  <si>
    <t>LT-031530-19/BX</t>
  </si>
  <si>
    <t>LT-005801-19/BX</t>
  </si>
  <si>
    <t>LT-802471- 16/BX</t>
  </si>
  <si>
    <t>LT-034332-19/BX</t>
  </si>
  <si>
    <t>LT-001094-19/BX</t>
  </si>
  <si>
    <t>LT-801495-19/BX</t>
  </si>
  <si>
    <t>LT-014279-19/BX</t>
  </si>
  <si>
    <t>LT-033900-19/BX</t>
  </si>
  <si>
    <t>LT-033889-19/BX</t>
  </si>
  <si>
    <t>LT-032284-19/BX</t>
  </si>
  <si>
    <t>LT-035741-19/BX</t>
  </si>
  <si>
    <t>LT-024670-19/BX</t>
  </si>
  <si>
    <t>LT-031329-19/BX</t>
  </si>
  <si>
    <t>LT-030598-19/BX</t>
  </si>
  <si>
    <t>LT-018118-19/BX</t>
  </si>
  <si>
    <t>LT-041058-16/BX</t>
  </si>
  <si>
    <t>LT-033409-19/BX</t>
  </si>
  <si>
    <t>LT-033453-19/BX</t>
  </si>
  <si>
    <t>LT-027974-19/BX</t>
  </si>
  <si>
    <t>LT-003356-19/BX</t>
  </si>
  <si>
    <t>LT-001763-18/BX</t>
  </si>
  <si>
    <t>002783/2016</t>
  </si>
  <si>
    <t>LT-040640-18/BX</t>
  </si>
  <si>
    <t>LT-034540-19/BX</t>
  </si>
  <si>
    <t>LT-011663-19/BX</t>
  </si>
  <si>
    <t>LT-034107-19/BX</t>
  </si>
  <si>
    <t>LT-073738-17/BX</t>
  </si>
  <si>
    <t>LT-035317-19/BX</t>
  </si>
  <si>
    <t>LT-023994-19/BX</t>
  </si>
  <si>
    <t>LT-031731-19/BX</t>
  </si>
  <si>
    <t>LT-066911-18/BX</t>
  </si>
  <si>
    <t>LT-019848-19/BX</t>
  </si>
  <si>
    <t>LT-003808-19/BX</t>
  </si>
  <si>
    <t>LT-034802-19/BX</t>
  </si>
  <si>
    <t>LT-035573-19/BX</t>
  </si>
  <si>
    <t>LT-036362-19/BX</t>
  </si>
  <si>
    <t>LT-805496-19/BX</t>
  </si>
  <si>
    <t>LT-025017-19/BX</t>
  </si>
  <si>
    <t>LT-023919-18/BX</t>
  </si>
  <si>
    <t>LT-035321-19/BX</t>
  </si>
  <si>
    <t>LT-033939-19/BX</t>
  </si>
  <si>
    <t>LT-331298-19/BX</t>
  </si>
  <si>
    <t>LT-004707-19/BX</t>
  </si>
  <si>
    <t>LT-037263-19/BX</t>
  </si>
  <si>
    <t>LT-008693-19/BX</t>
  </si>
  <si>
    <t>LT-014875-19/BX</t>
  </si>
  <si>
    <t>LT-031522-19/BX</t>
  </si>
  <si>
    <t>LT-022641-19/BX</t>
  </si>
  <si>
    <t>LT-026148-19/BX</t>
  </si>
  <si>
    <t>LT-014438-19/BX</t>
  </si>
  <si>
    <t>LT-033199-19/BX</t>
  </si>
  <si>
    <t>LT-019223-19/BX</t>
  </si>
  <si>
    <t>LT-007081-19/BX</t>
  </si>
  <si>
    <t>LT-022251-19/BX</t>
  </si>
  <si>
    <t>LT-047644-19/BX</t>
  </si>
  <si>
    <t>LT-032974-19/BX</t>
  </si>
  <si>
    <t>LT-038183-19/BX</t>
  </si>
  <si>
    <t>LT-008444-19/BX</t>
  </si>
  <si>
    <t>LT-037742-19/BX</t>
  </si>
  <si>
    <t>LT-016498-19/BX</t>
  </si>
  <si>
    <t>LT-028590-19/BX</t>
  </si>
  <si>
    <t>LT-018661-19/BX</t>
  </si>
  <si>
    <t>LT-030388-19/BX</t>
  </si>
  <si>
    <t>LT-040438-19/BX</t>
  </si>
  <si>
    <t>LT-043231-19/BX</t>
  </si>
  <si>
    <t>LT-065030-16/BX</t>
  </si>
  <si>
    <t>LT-058934-18/BX</t>
  </si>
  <si>
    <t>LT-032135-19/BX</t>
  </si>
  <si>
    <t>LT-42559-19/BX</t>
  </si>
  <si>
    <t>LT-040328-19/BX</t>
  </si>
  <si>
    <t>LT-042410-19/BX</t>
  </si>
  <si>
    <t>LT-041712-19/BX</t>
  </si>
  <si>
    <t>LT-040782-19/BX</t>
  </si>
  <si>
    <t>LT-030833-19/BX</t>
  </si>
  <si>
    <t>LT-804027-19/BX</t>
  </si>
  <si>
    <t>LT-802225-15/BX</t>
  </si>
  <si>
    <t>LT-050784-18/BX</t>
  </si>
  <si>
    <t>LT-041349-19/BX</t>
  </si>
  <si>
    <t>LT-027756-19/BX</t>
  </si>
  <si>
    <t>LT-030593-18/BX</t>
  </si>
  <si>
    <t>LT-025057</t>
  </si>
  <si>
    <t>LT-044196/19-BX</t>
  </si>
  <si>
    <t>LT-033072-19/BX</t>
  </si>
  <si>
    <t>LT-042379-19/BX</t>
  </si>
  <si>
    <t>LT-013597-19/BX</t>
  </si>
  <si>
    <t>LT-022940-19/BX</t>
  </si>
  <si>
    <t>LT-046138-19/BX</t>
  </si>
  <si>
    <t>LT-008337-19/BX</t>
  </si>
  <si>
    <t>LT-003838-18/BX</t>
  </si>
  <si>
    <t>LT-070773-17/BX</t>
  </si>
  <si>
    <t>LT-017744-19/BX</t>
  </si>
  <si>
    <t>LT-022693-19/BX</t>
  </si>
  <si>
    <t>LT-056954-18/BX</t>
  </si>
  <si>
    <t>LT-022736-19/BX</t>
  </si>
  <si>
    <t>LT-002960-19/BX</t>
  </si>
  <si>
    <t>LT-017546-19/BX</t>
  </si>
  <si>
    <t>LT-023130-19/BX</t>
  </si>
  <si>
    <t>LT-028446-19/BX</t>
  </si>
  <si>
    <t>LT-008522-19/BX</t>
  </si>
  <si>
    <t>LT-029472-19/BX</t>
  </si>
  <si>
    <t>LT-028033-19/BX</t>
  </si>
  <si>
    <t>LT-062700-18/BX</t>
  </si>
  <si>
    <t>LT-020781-19/BX</t>
  </si>
  <si>
    <t>LT-019216-19/BX</t>
  </si>
  <si>
    <t>LT-073121-19/BX</t>
  </si>
  <si>
    <t>LT-014462-19/BX</t>
  </si>
  <si>
    <t>LT-006407-19/BX</t>
  </si>
  <si>
    <t>LT-031710-19/BX</t>
  </si>
  <si>
    <t>LT-066033-19/BX</t>
  </si>
  <si>
    <t>LT-025515-19/BX</t>
  </si>
  <si>
    <t>LT-006522-19/BX</t>
  </si>
  <si>
    <t>LT-013499-18/BX</t>
  </si>
  <si>
    <t>LT-031322-19/BX</t>
  </si>
  <si>
    <t>LT-021736-19/BX</t>
  </si>
  <si>
    <t>LT-010222-19/BX</t>
  </si>
  <si>
    <t>LT-026462-19/BX</t>
  </si>
  <si>
    <t>LT-021636-19/BX</t>
  </si>
  <si>
    <t>LT-022616-19/BX</t>
  </si>
  <si>
    <t>LT-021007-19/BX</t>
  </si>
  <si>
    <t>LT-016738-19/BX</t>
  </si>
  <si>
    <t>LT-800016-19/BX</t>
  </si>
  <si>
    <t>LT-028869-19/BX</t>
  </si>
  <si>
    <t>LT-066329-18/BX</t>
  </si>
  <si>
    <t>LT-005853-19/BX</t>
  </si>
  <si>
    <t>LT-029200-19/BX</t>
  </si>
  <si>
    <t>LT-056995-18/BX</t>
  </si>
  <si>
    <t>LT-031084-19/BX</t>
  </si>
  <si>
    <t>LT-031204-19/BX</t>
  </si>
  <si>
    <t>LT-057737-18/BX</t>
  </si>
  <si>
    <t>LT-022537-18/BX</t>
  </si>
  <si>
    <t>LT-023615-19/BX</t>
  </si>
  <si>
    <t>LT-031207-19/BX</t>
  </si>
  <si>
    <t>LT-031489-19/BX</t>
  </si>
  <si>
    <t>LT-033100-19/BX</t>
  </si>
  <si>
    <t>LT-001173-19/BX</t>
  </si>
  <si>
    <t>LT-015796-19/BX</t>
  </si>
  <si>
    <t>LT-031350-19/BX</t>
  </si>
  <si>
    <t>LT-006078-19/BX</t>
  </si>
  <si>
    <t>LT-029014-19/BX</t>
  </si>
  <si>
    <t>LT-036248-18/BX</t>
  </si>
  <si>
    <t>LT-012906-19/BX</t>
  </si>
  <si>
    <t>LT-057837-18/BX</t>
  </si>
  <si>
    <t>LT-036063-19/BX</t>
  </si>
  <si>
    <t>LT-031958-19/BX</t>
  </si>
  <si>
    <t>LT-012023-19/BX</t>
  </si>
  <si>
    <t>LT-022034-19/BX</t>
  </si>
  <si>
    <t>LT-059244-18/BX</t>
  </si>
  <si>
    <t>LT-059537-18/BX</t>
  </si>
  <si>
    <t>LT-023424-19/BX</t>
  </si>
  <si>
    <t>LT-028535-19/BX</t>
  </si>
  <si>
    <t>LT-806255-19/BX</t>
  </si>
  <si>
    <t>LT-037196-19/BX</t>
  </si>
  <si>
    <t>LT-005885-19/BX</t>
  </si>
  <si>
    <t>LT-014407-19/BX</t>
  </si>
  <si>
    <t>LT-028391-19/BX</t>
  </si>
  <si>
    <t>LT-803288-19/BX</t>
  </si>
  <si>
    <t>LT-054961-18/BX</t>
  </si>
  <si>
    <t>LT-018743-19/BX</t>
  </si>
  <si>
    <t>LT-033517-19/BX</t>
  </si>
  <si>
    <t>LT-032882-19/BX</t>
  </si>
  <si>
    <t>LT-029477-19/BX</t>
  </si>
  <si>
    <t>LT-039300-19/BX</t>
  </si>
  <si>
    <t>LT-027894-19/BX</t>
  </si>
  <si>
    <t>LT-029645-19/BX</t>
  </si>
  <si>
    <t>LT 043904-18/BX</t>
  </si>
  <si>
    <t>LT-038070-19/BX</t>
  </si>
  <si>
    <t>LT-037749-19/BX</t>
  </si>
  <si>
    <t>LT-037526-19/BX</t>
  </si>
  <si>
    <t>LT-040400-19/BX</t>
  </si>
  <si>
    <t>LT-011010-19/BX</t>
  </si>
  <si>
    <t>LT-037166-19/BX</t>
  </si>
  <si>
    <t>LT-025230-19/BX</t>
  </si>
  <si>
    <t>LT-030033-19/BX</t>
  </si>
  <si>
    <t>LT-039326-19/BX</t>
  </si>
  <si>
    <t>LT-012046-19/BX</t>
  </si>
  <si>
    <t>LT-019656-19/BX</t>
  </si>
  <si>
    <t>LT-045078-19/BX</t>
  </si>
  <si>
    <t>LT-039174-19/BX</t>
  </si>
  <si>
    <t>LT-026492-19/BX</t>
  </si>
  <si>
    <t>LT-026134-19/BX</t>
  </si>
  <si>
    <t>LT-022699-19/BX</t>
  </si>
  <si>
    <t>LT-055039-19/BX</t>
  </si>
  <si>
    <t>LT-023300-19/BX</t>
  </si>
  <si>
    <t>LT-048689-18/BX</t>
  </si>
  <si>
    <t>LT-804621-19/BX</t>
  </si>
  <si>
    <t>LT-035706-19/BX</t>
  </si>
  <si>
    <t>LT-042501-19/BX</t>
  </si>
  <si>
    <t>LT-042507-19/BX</t>
  </si>
  <si>
    <t>LT-047350-18/BX</t>
  </si>
  <si>
    <t>LT-045947-19/BX</t>
  </si>
  <si>
    <t>LT-032622-19/BX</t>
  </si>
  <si>
    <t>L&amp;T-047052-19/BX</t>
  </si>
  <si>
    <t>LT-021432-19/BX</t>
  </si>
  <si>
    <t>LT-810376-17/BX</t>
  </si>
  <si>
    <t>LT-041268-19/BX</t>
  </si>
  <si>
    <t>LT-044873-19/BX</t>
  </si>
  <si>
    <t>LT-04437-19/BX</t>
  </si>
  <si>
    <t>LT-46179-19</t>
  </si>
  <si>
    <t>LT-045630-19/BX</t>
  </si>
  <si>
    <t>GV 610104 R</t>
  </si>
  <si>
    <t>LT-023383-19/BX</t>
  </si>
  <si>
    <t>LT-043435-19/BX</t>
  </si>
  <si>
    <t>LT-039340-19/BX</t>
  </si>
  <si>
    <t>L&amp;T-46483-19/BX</t>
  </si>
  <si>
    <t>LT-039628-19/BX</t>
  </si>
  <si>
    <t>LT-007186-19/BX</t>
  </si>
  <si>
    <t>LT-027440-19/BX</t>
  </si>
  <si>
    <t>LT-036069-19/BX</t>
  </si>
  <si>
    <t>LT-034311-19/BX</t>
  </si>
  <si>
    <t>LT-044397-19/BX</t>
  </si>
  <si>
    <t>LT-001985-19/BX</t>
  </si>
  <si>
    <t>LT-044398-19/BX</t>
  </si>
  <si>
    <t>LT-030390-19/BX</t>
  </si>
  <si>
    <t>LT-043193-19/BX</t>
  </si>
  <si>
    <t>LT-048153-19/BX</t>
  </si>
  <si>
    <t>L&amp;T-41626-19/BX</t>
  </si>
  <si>
    <t>LT-054650-18/BX</t>
  </si>
  <si>
    <t>LT-045545-19/BX</t>
  </si>
  <si>
    <t>LT-028536-19/BX</t>
  </si>
  <si>
    <t>LT-020421-19/BX</t>
  </si>
  <si>
    <t>LT-032890-19/BX</t>
  </si>
  <si>
    <t>LT-039947-19/BX</t>
  </si>
  <si>
    <t>LT-016768-19/BX</t>
  </si>
  <si>
    <t>LT-44933/19</t>
  </si>
  <si>
    <t>L&amp;T-46832-19/BX</t>
  </si>
  <si>
    <t>LT-045407-19/BX</t>
  </si>
  <si>
    <t>LT-023705/17-BX</t>
  </si>
  <si>
    <t>LT-044786-19/BX</t>
  </si>
  <si>
    <t>LT-006448-19/BX</t>
  </si>
  <si>
    <t>LT-6448-19/BX</t>
  </si>
  <si>
    <t>48206/19</t>
  </si>
  <si>
    <t>903278-NB-2018</t>
  </si>
  <si>
    <t>LT-021706-19/BX</t>
  </si>
  <si>
    <t>LT-044399-19/BX</t>
  </si>
  <si>
    <t>L&amp;T-047198-19/BX</t>
  </si>
  <si>
    <t>LT-043250-19/BX</t>
  </si>
  <si>
    <t>LT-018136-19/BX</t>
  </si>
  <si>
    <t>LT-052689-18/BX</t>
  </si>
  <si>
    <t>LT 020871-19/BX</t>
  </si>
  <si>
    <t>LT-046036-19/BX</t>
  </si>
  <si>
    <t>LT-010998-19/BX</t>
  </si>
  <si>
    <t>LT- 022580-19/BX</t>
  </si>
  <si>
    <t>LT-036200-19/BX</t>
  </si>
  <si>
    <t>LT-042096-19/BX</t>
  </si>
  <si>
    <t>LT-031892-19/BX</t>
  </si>
  <si>
    <t>LT-048095-19/BX</t>
  </si>
  <si>
    <t>LT-031634-19/BX</t>
  </si>
  <si>
    <t>LT-035598-19/BX</t>
  </si>
  <si>
    <t>LT-039057-19/BX</t>
  </si>
  <si>
    <t>LT-045649-19/BX</t>
  </si>
  <si>
    <t>LT-28833/19</t>
  </si>
  <si>
    <t>LT 030923-19/BX</t>
  </si>
  <si>
    <t>LT-041682-19/BX</t>
  </si>
  <si>
    <t>LT-017024-17/BX</t>
  </si>
  <si>
    <t>LT-006247-19/BX</t>
  </si>
  <si>
    <t>L&amp;T-042631-19/BX</t>
  </si>
  <si>
    <t>LT-047453-19/BX</t>
  </si>
  <si>
    <t>LT-802311-17/BX</t>
  </si>
  <si>
    <t>LT-068290-18/BX</t>
  </si>
  <si>
    <t>LT-030036-19/BX</t>
  </si>
  <si>
    <t>LT-026818-19/BX</t>
  </si>
  <si>
    <t>LT-047943-19/BX</t>
  </si>
  <si>
    <t>LT-021554-19/BX</t>
  </si>
  <si>
    <t>LT- 044394-19/BX</t>
  </si>
  <si>
    <t>LT-041333-19/BX</t>
  </si>
  <si>
    <t>911637-AN-2019</t>
  </si>
  <si>
    <t>LT-030280-19/BX</t>
  </si>
  <si>
    <t>LT-028831-19/BX</t>
  </si>
  <si>
    <t>LT-813600-18/BX</t>
  </si>
  <si>
    <t>LT-061984-11/BX</t>
  </si>
  <si>
    <t>LT-061706-18/BX</t>
  </si>
  <si>
    <t>LT-033842-19/BX</t>
  </si>
  <si>
    <t>LT-038363-19/BX</t>
  </si>
  <si>
    <t>LT-041254-19/BX</t>
  </si>
  <si>
    <t>LT-039600-19/BX</t>
  </si>
  <si>
    <t>LT-031077-19/BX</t>
  </si>
  <si>
    <t>LT-028963-19/BX</t>
  </si>
  <si>
    <t>LT-025758-19/BX</t>
  </si>
  <si>
    <t>LT-008596-19/BX</t>
  </si>
  <si>
    <t>19-421</t>
  </si>
  <si>
    <t>LT-032075-19/BX</t>
  </si>
  <si>
    <t>LT-807157-19/BX</t>
  </si>
  <si>
    <t>LT-039338-19/BX</t>
  </si>
  <si>
    <t>LT-068421-18/BX</t>
  </si>
  <si>
    <t>LT-013820-19/NY</t>
  </si>
  <si>
    <t>LT-252351-HA/NY</t>
  </si>
  <si>
    <t>879776-AN-2017</t>
  </si>
  <si>
    <t>LT-076566-18/NY</t>
  </si>
  <si>
    <t>LT-063016-19/NY</t>
  </si>
  <si>
    <t>LT-066630-19/NY</t>
  </si>
  <si>
    <t>LT-066512-19/NY</t>
  </si>
  <si>
    <t>LT-250558-19/NY</t>
  </si>
  <si>
    <t>LT-066238-19/NY</t>
  </si>
  <si>
    <t>LT-065946-19/NY</t>
  </si>
  <si>
    <t>LT-052566-19/NY</t>
  </si>
  <si>
    <t>LT-064714-19/NY</t>
  </si>
  <si>
    <t>LT-065548-19/NY</t>
  </si>
  <si>
    <t>HP1000/2019</t>
  </si>
  <si>
    <t>LT-076638-18/NY</t>
  </si>
  <si>
    <t>LT-058517-19/NY</t>
  </si>
  <si>
    <t>LT-066095-19/NY</t>
  </si>
  <si>
    <t>LT-014172-19/NY</t>
  </si>
  <si>
    <t>LT-055486-19/NY</t>
  </si>
  <si>
    <t>LT-064034-19/NY</t>
  </si>
  <si>
    <t>LT-064296-19/NY</t>
  </si>
  <si>
    <t>LT-016275-19/NY</t>
  </si>
  <si>
    <t>LT-250009-HA/NY</t>
  </si>
  <si>
    <t>LT-070894-18/NY</t>
  </si>
  <si>
    <t>LT-018260-18/NY</t>
  </si>
  <si>
    <t>HP-1445-2019</t>
  </si>
  <si>
    <t>LT-250778-19/NY</t>
  </si>
  <si>
    <t>LT-064874-19/NY</t>
  </si>
  <si>
    <t>LT-065110-19/NY</t>
  </si>
  <si>
    <t>LT-068192-19/NY</t>
  </si>
  <si>
    <t>LT-069727-19/NY</t>
  </si>
  <si>
    <t>909768-AN-2019</t>
  </si>
  <si>
    <t>LT-068891-17/NY</t>
  </si>
  <si>
    <t>LT-65257-9/NY</t>
  </si>
  <si>
    <t>LT-016278-17/NY</t>
  </si>
  <si>
    <t>LT-252616-17/HA</t>
  </si>
  <si>
    <t>LT-061674-18/NY</t>
  </si>
  <si>
    <t>910790-TD-2019</t>
  </si>
  <si>
    <t>835770-TD-2016</t>
  </si>
  <si>
    <t>LT-058040-19/NY</t>
  </si>
  <si>
    <t>LT-055554-19/NY</t>
  </si>
  <si>
    <t>LT-064229-19/NY</t>
  </si>
  <si>
    <t>LT-016518-16/NY</t>
  </si>
  <si>
    <t>LT-211609-18/NY</t>
  </si>
  <si>
    <t>910368-NB-2019</t>
  </si>
  <si>
    <t>LT-015798-19/NY</t>
  </si>
  <si>
    <t>LT-063261-19/NY</t>
  </si>
  <si>
    <t>910569-AN-2019</t>
  </si>
  <si>
    <t>LT-063465-18/NY</t>
  </si>
  <si>
    <t>LT-059978-19/NY</t>
  </si>
  <si>
    <t>LT-064037-19/NY</t>
  </si>
  <si>
    <t>LT-011579-19/NY</t>
  </si>
  <si>
    <t>LT-064497-19/NY</t>
  </si>
  <si>
    <t>LT-014680-19/NY</t>
  </si>
  <si>
    <t>LT-059192-19/NY</t>
  </si>
  <si>
    <t>LT-064422-19/NY</t>
  </si>
  <si>
    <t>LT-065629-19/NY</t>
  </si>
  <si>
    <t>LT-063400-19/NY</t>
  </si>
  <si>
    <t>906305-TD-2018</t>
  </si>
  <si>
    <t>LT-250962-19/NY</t>
  </si>
  <si>
    <t>LT-061824-19/NY</t>
  </si>
  <si>
    <t>LT-064923-19/NY</t>
  </si>
  <si>
    <t>LT-065250-19/NY</t>
  </si>
  <si>
    <t>LT-064830-19/NY</t>
  </si>
  <si>
    <t>LT-065372-19/NY</t>
  </si>
  <si>
    <t>LT-014292-19/NY</t>
  </si>
  <si>
    <t>LT-066431-19/NY</t>
  </si>
  <si>
    <t>LT-056120-19/NY</t>
  </si>
  <si>
    <t>LT-064372-19/NY</t>
  </si>
  <si>
    <t>LT-058602-19/NY</t>
  </si>
  <si>
    <t>LT-064677-19/NY</t>
  </si>
  <si>
    <t>LT-066133-19/NY</t>
  </si>
  <si>
    <t>LT-065881-19/NY</t>
  </si>
  <si>
    <t>LT-013516-19/NY</t>
  </si>
  <si>
    <t>LT-066795-19/NY</t>
  </si>
  <si>
    <t>LT-210767-19/NY</t>
  </si>
  <si>
    <t>LT-064895-19/NY</t>
  </si>
  <si>
    <t>LT-251897-18/HA</t>
  </si>
  <si>
    <t>LT-063246-19/NY</t>
  </si>
  <si>
    <t>LT-062661-19/NY</t>
  </si>
  <si>
    <t>LT-061979-18/NY</t>
  </si>
  <si>
    <t>LT-015237-18/NY</t>
  </si>
  <si>
    <t>LT-067811-19</t>
  </si>
  <si>
    <t>LT-068088-19/NY</t>
  </si>
  <si>
    <t>LT-068887-19/NY</t>
  </si>
  <si>
    <t>LT-068866-19/NY</t>
  </si>
  <si>
    <t>LT-158718-19/NY</t>
  </si>
  <si>
    <t>LT-018588-16/NY</t>
  </si>
  <si>
    <t>LT-069234-19/NY</t>
  </si>
  <si>
    <t>LT-066198-19/NY</t>
  </si>
  <si>
    <t>LT-63725-19/NY</t>
  </si>
  <si>
    <t>LT-069477-19/NY</t>
  </si>
  <si>
    <t>LT-070294-19/NY</t>
  </si>
  <si>
    <t>LT-014962-19/NY</t>
  </si>
  <si>
    <t>LT-070363</t>
  </si>
  <si>
    <t>LT-064004-19/NY</t>
  </si>
  <si>
    <t>LT-074213-18/NY</t>
  </si>
  <si>
    <t>LT-250749-19/NY</t>
  </si>
  <si>
    <t>LT-017383-19/NY</t>
  </si>
  <si>
    <t>LT-016895-19/NY</t>
  </si>
  <si>
    <t>LT-070568-19/NY</t>
  </si>
  <si>
    <t>LT-067730/19</t>
  </si>
  <si>
    <t>LT-250713-19/NY</t>
  </si>
  <si>
    <t>LT-250343-18/HA</t>
  </si>
  <si>
    <t>LT-056211-18/NY</t>
  </si>
  <si>
    <t>LT-062930-19/NY</t>
  </si>
  <si>
    <t>LT-65750-17/NY</t>
  </si>
  <si>
    <t>LT-060781-19/NY</t>
  </si>
  <si>
    <t>LT-061404-18/NY</t>
  </si>
  <si>
    <t>LT-062388-19/NY</t>
  </si>
  <si>
    <t>LT-069355-18/NY</t>
  </si>
  <si>
    <t>LT-014957-19/NY</t>
  </si>
  <si>
    <t>LT-072012-08/NY</t>
  </si>
  <si>
    <t>LT-211453-16/NY</t>
  </si>
  <si>
    <t>LT-064595-19/NY</t>
  </si>
  <si>
    <t>LT-078059-18/NY</t>
  </si>
  <si>
    <t>LT-075030-18/NY</t>
  </si>
  <si>
    <t>LT-069387-19/NY</t>
  </si>
  <si>
    <t>0151596/2019</t>
  </si>
  <si>
    <t>LT-075041-18/NY</t>
  </si>
  <si>
    <t>906402-NB-2018</t>
  </si>
  <si>
    <t>LT-062738-18/NY</t>
  </si>
  <si>
    <t>LT-012860-18/NY</t>
  </si>
  <si>
    <t>LT-052817-19/NY</t>
  </si>
  <si>
    <t>LT-067247-17/NY</t>
  </si>
  <si>
    <t>LT-060780-18/NY</t>
  </si>
  <si>
    <t>LT-060915-18/NY</t>
  </si>
  <si>
    <t>LT-016533-19/NY</t>
  </si>
  <si>
    <t>LT-014518-17/NY</t>
  </si>
  <si>
    <t>LT-075005-16/NY</t>
  </si>
  <si>
    <t>LT-089842-13/NY</t>
  </si>
  <si>
    <t>LT-089774-13/NY</t>
  </si>
  <si>
    <t>LT-063091-18/NY</t>
  </si>
  <si>
    <t>LT-082076-17/NY</t>
  </si>
  <si>
    <t>LT-081373-18/NY</t>
  </si>
  <si>
    <t>LT-060641-19/NY</t>
  </si>
  <si>
    <t>LT-063580-19/NY</t>
  </si>
  <si>
    <t>LT-013070-18/NY</t>
  </si>
  <si>
    <t>LT-065907-18/NY</t>
  </si>
  <si>
    <t>LT-060812-18/NY</t>
  </si>
  <si>
    <t>LT-057937-19/NY</t>
  </si>
  <si>
    <t>LT-050207-19/NY</t>
  </si>
  <si>
    <t>LT-080022-17/NY</t>
  </si>
  <si>
    <t>LT-068567-18/NY</t>
  </si>
  <si>
    <t>LT-058530-19/NY</t>
  </si>
  <si>
    <t>LT-051895-19/NY</t>
  </si>
  <si>
    <t>LT-075411-17/NY</t>
  </si>
  <si>
    <t>LT-067557-19/KI</t>
  </si>
  <si>
    <t>LT-082203-18/KI</t>
  </si>
  <si>
    <t>LT-056370-19/KI</t>
  </si>
  <si>
    <t>LT-65002-18/KI</t>
  </si>
  <si>
    <t>LT-060046-19/KI</t>
  </si>
  <si>
    <t>LT-056789-19/KI</t>
  </si>
  <si>
    <t>LT-067794-19/KI</t>
  </si>
  <si>
    <t>LT-074211-18/K</t>
  </si>
  <si>
    <t>LT-069393-19/KI</t>
  </si>
  <si>
    <t>LT-069302-19/KI</t>
  </si>
  <si>
    <t>LT-071132-19/KI</t>
  </si>
  <si>
    <t>LT-090289-18/KI</t>
  </si>
  <si>
    <t>57603-19</t>
  </si>
  <si>
    <t>LT-016309-19/KI</t>
  </si>
  <si>
    <t>LT-089751-19/KI</t>
  </si>
  <si>
    <t>LT-068894-19/KI</t>
  </si>
  <si>
    <t>LT-057513-19/KI</t>
  </si>
  <si>
    <t>LT-073671-19/KI</t>
  </si>
  <si>
    <t>LT-010692-18/BX</t>
  </si>
  <si>
    <t>LT-089219-18/KI</t>
  </si>
  <si>
    <t>LT-068062-19/KI</t>
  </si>
  <si>
    <t>LT-078569-18/KI</t>
  </si>
  <si>
    <t>LT-016450-19/KI</t>
  </si>
  <si>
    <t>LT-50155-19/KI</t>
  </si>
  <si>
    <t>LT-070248-19/KI</t>
  </si>
  <si>
    <t>LT-064569-19/KI</t>
  </si>
  <si>
    <t>LT-090290-18/KI</t>
  </si>
  <si>
    <t>LT-064044-19/KI</t>
  </si>
  <si>
    <t>LT-013224-19/KI</t>
  </si>
  <si>
    <t>LT-071806-19/KI</t>
  </si>
  <si>
    <t>LT-073559-19/KI</t>
  </si>
  <si>
    <t>LT-067733-19/KI</t>
  </si>
  <si>
    <t>LT-064231-19/KI</t>
  </si>
  <si>
    <t>LT-068771-19/KI</t>
  </si>
  <si>
    <t>LT-077033/19-ki</t>
  </si>
  <si>
    <t>LT-072725-19/KI</t>
  </si>
  <si>
    <t>LT-067830-19/KI</t>
  </si>
  <si>
    <t>LT-063887-19/KI</t>
  </si>
  <si>
    <t>LT-072698-19/KI</t>
  </si>
  <si>
    <t>LT-064893-19/KI</t>
  </si>
  <si>
    <t>LT-089380-18/KI</t>
  </si>
  <si>
    <t>LT-016013-19/KI</t>
  </si>
  <si>
    <t>LT-070095-19/KI</t>
  </si>
  <si>
    <t>LT-064374-19/KI</t>
  </si>
  <si>
    <t>LT-060771-19/KI</t>
  </si>
  <si>
    <t>LT-056662-19/KI</t>
  </si>
  <si>
    <t>LT-068359-19/KI</t>
  </si>
  <si>
    <t>LT-60358-17/KI</t>
  </si>
  <si>
    <t>LT-071220-19/KI</t>
  </si>
  <si>
    <t>LT-071564-19/KI</t>
  </si>
  <si>
    <t>LT-079013-19/KI</t>
  </si>
  <si>
    <t>LT-077304-19/KI</t>
  </si>
  <si>
    <t>LT-065893-19/KI</t>
  </si>
  <si>
    <t>LT-067228-19/KI</t>
  </si>
  <si>
    <t>LT-072867-19/KI</t>
  </si>
  <si>
    <t>LT-078412-19/KI</t>
  </si>
  <si>
    <t>LT-081798-19/ki</t>
  </si>
  <si>
    <t>LT-071918-19/KI</t>
  </si>
  <si>
    <t>LT-075753-19/KI</t>
  </si>
  <si>
    <t>L&amp;T-094615-18/KI</t>
  </si>
  <si>
    <t>LT-065796-19/KI</t>
  </si>
  <si>
    <t>LT-063158-18/KI</t>
  </si>
  <si>
    <t>LT-016312-19/KI</t>
  </si>
  <si>
    <t>LT-068895-19/KI</t>
  </si>
  <si>
    <t>LT-067667-19/KI</t>
  </si>
  <si>
    <t>LT-085625-18/KI</t>
  </si>
  <si>
    <t>LT-055592-19/KI</t>
  </si>
  <si>
    <t>LT-068295-19/KI</t>
  </si>
  <si>
    <t>LT-069807-19/KI</t>
  </si>
  <si>
    <t>LT-068581-19/KI</t>
  </si>
  <si>
    <t>LT-062996-19/KI</t>
  </si>
  <si>
    <t>LT-068819-19/KI</t>
  </si>
  <si>
    <t>LT-064339-19/KI</t>
  </si>
  <si>
    <t>LT-068646-19/KI</t>
  </si>
  <si>
    <t>LT-065709-19/KI</t>
  </si>
  <si>
    <t>LT-064826-19/KI</t>
  </si>
  <si>
    <t>LT-052548-19/KI</t>
  </si>
  <si>
    <t>LT-016009-19/KI</t>
  </si>
  <si>
    <t>LT-016449-19/KI</t>
  </si>
  <si>
    <t>LT-069908-19/KI</t>
  </si>
  <si>
    <t>LT-070300-19/KI</t>
  </si>
  <si>
    <t>LT-069809-19/KI</t>
  </si>
  <si>
    <t>LT-069741-19/KI</t>
  </si>
  <si>
    <t>LT-068666-19/KI</t>
  </si>
  <si>
    <t>LT-062394-19/KI</t>
  </si>
  <si>
    <t>LT-068118-19/KI</t>
  </si>
  <si>
    <t>LT-069568-19/KI</t>
  </si>
  <si>
    <t>LT-055489-19/KI</t>
  </si>
  <si>
    <t>LT-069761-19/KI</t>
  </si>
  <si>
    <t>LT-070165-19/KI</t>
  </si>
  <si>
    <t>LT-016119-19/KI</t>
  </si>
  <si>
    <t>LT-069721-19/KI</t>
  </si>
  <si>
    <t>070743-19</t>
  </si>
  <si>
    <t>LT-062237-19/KI</t>
  </si>
  <si>
    <t>LT-061076-19/KI</t>
  </si>
  <si>
    <t>LT-069591-19/KI</t>
  </si>
  <si>
    <t>LT-071993-19/KI</t>
  </si>
  <si>
    <t>LT-071586-19/KI</t>
  </si>
  <si>
    <t>LT-068809-19/KI</t>
  </si>
  <si>
    <t>LT-071565-19/KI</t>
  </si>
  <si>
    <t>LT-064001-19/KI</t>
  </si>
  <si>
    <t>LT-71000-19/KI</t>
  </si>
  <si>
    <t>LT-072104-19/KI</t>
  </si>
  <si>
    <t>LT-071969-19/KI</t>
  </si>
  <si>
    <t>LT-069474-19/KI</t>
  </si>
  <si>
    <t>LT-076313-19/KI</t>
  </si>
  <si>
    <t>LT-060824-19/KI</t>
  </si>
  <si>
    <t>LT-064051-19/KI</t>
  </si>
  <si>
    <t>LT-073871-19/KI</t>
  </si>
  <si>
    <t>LT-071261-19/KI</t>
  </si>
  <si>
    <t>LT-068790-19/KI</t>
  </si>
  <si>
    <t>LT-071291-19/KI</t>
  </si>
  <si>
    <t>LT-072138-19/KI</t>
  </si>
  <si>
    <t>LT-072299-19/KI</t>
  </si>
  <si>
    <t>LT-072680-19/KI</t>
  </si>
  <si>
    <t>LT-067966-19/KI</t>
  </si>
  <si>
    <t>LT-053787-19</t>
  </si>
  <si>
    <t>LT-068266-19/KI</t>
  </si>
  <si>
    <t>LT-072565-19/KI</t>
  </si>
  <si>
    <t>LT-072447-19/KI</t>
  </si>
  <si>
    <t>67207/19</t>
  </si>
  <si>
    <t>LT-072962-19/KI</t>
  </si>
  <si>
    <t>LT-065971-19/KI</t>
  </si>
  <si>
    <t>LT-073738-19/KI</t>
  </si>
  <si>
    <t>LT-072882-19/KI</t>
  </si>
  <si>
    <t>LT-074230-19/KI</t>
  </si>
  <si>
    <t>LT-067015-19/KI</t>
  </si>
  <si>
    <t>LT-066171-19/KI</t>
  </si>
  <si>
    <t>LT-073634-19/KI</t>
  </si>
  <si>
    <t>LT-074222-19/KI</t>
  </si>
  <si>
    <t>LT-075549-19/KI</t>
  </si>
  <si>
    <t>LT-073002-19/KI</t>
  </si>
  <si>
    <t>LT-074091-19/KI</t>
  </si>
  <si>
    <t>LT-074850-19/KI</t>
  </si>
  <si>
    <t>LT-073607-19/KI</t>
  </si>
  <si>
    <t>LT-073972-19/KI</t>
  </si>
  <si>
    <t>LT-018324-19/KI</t>
  </si>
  <si>
    <t>LT-074257-19/KI</t>
  </si>
  <si>
    <t>LT-071011-19/KI</t>
  </si>
  <si>
    <t>LT-074780-19/KI</t>
  </si>
  <si>
    <t>LT-072813-19/KI</t>
  </si>
  <si>
    <t>LT-071585-19/KI</t>
  </si>
  <si>
    <t>LT-074023-19/KI</t>
  </si>
  <si>
    <t>LT-074631-19/KI</t>
  </si>
  <si>
    <t>LT-092975-18/KI</t>
  </si>
  <si>
    <t>LT-073807-19/KI</t>
  </si>
  <si>
    <t>LT-073137-19/KI</t>
  </si>
  <si>
    <t>LT-075889-19/KI</t>
  </si>
  <si>
    <t>LT-077301-19/KI</t>
  </si>
  <si>
    <t>LT-075789-19/KI</t>
  </si>
  <si>
    <t>LT-075186-19/KI</t>
  </si>
  <si>
    <t>LT-071292-19/KI</t>
  </si>
  <si>
    <t>LT-076463-19/KI</t>
  </si>
  <si>
    <t>LT-074935-19/KI</t>
  </si>
  <si>
    <t>LT-077406-19/KI</t>
  </si>
  <si>
    <t>LT-077541-19/KI</t>
  </si>
  <si>
    <t>LT-073280-19/KI</t>
  </si>
  <si>
    <t>LT-076298-19/KI</t>
  </si>
  <si>
    <t>LT-077114-19/KI</t>
  </si>
  <si>
    <t>LT-077039-19/KI</t>
  </si>
  <si>
    <t>LT-075130-19/KI</t>
  </si>
  <si>
    <t>LT-078408-19/KI</t>
  </si>
  <si>
    <t>LT-076826-19/KI</t>
  </si>
  <si>
    <t>LT-076497-19/KI</t>
  </si>
  <si>
    <t>LT-076891-19/KI</t>
  </si>
  <si>
    <t>LT-075571-19/KI</t>
  </si>
  <si>
    <t>LT-059457-19/KI</t>
  </si>
  <si>
    <t>LT-079152-19/KI</t>
  </si>
  <si>
    <t>LT-071119-19/KI</t>
  </si>
  <si>
    <t>LT-069590-19/KI</t>
  </si>
  <si>
    <t>LT-076219-19/KI</t>
  </si>
  <si>
    <t>LT-076422-19/KI</t>
  </si>
  <si>
    <t>LT-074514-19/KI</t>
  </si>
  <si>
    <t>LT-077494-19/KI</t>
  </si>
  <si>
    <t>LT-078404-19/KI</t>
  </si>
  <si>
    <t>LT-073266-19/KI</t>
  </si>
  <si>
    <t>LT-077303-19/KI</t>
  </si>
  <si>
    <t>LT-076024-19/KI</t>
  </si>
  <si>
    <t>LT-070225-19/KI</t>
  </si>
  <si>
    <t>LT-066302-19/KI</t>
  </si>
  <si>
    <t>LT-077637-19/KI</t>
  </si>
  <si>
    <t>LT-076678-19/KI</t>
  </si>
  <si>
    <t>LT-077414-19/KI</t>
  </si>
  <si>
    <t>LT-077540-19/KI</t>
  </si>
  <si>
    <t>LT-077111-19/KI</t>
  </si>
  <si>
    <t>LT-076268-19/KI</t>
  </si>
  <si>
    <t>LT-077647-19/KI</t>
  </si>
  <si>
    <t>LT-075907-19/KI</t>
  </si>
  <si>
    <t>LT-076217-19/KI</t>
  </si>
  <si>
    <t>LT-075935-19/KI</t>
  </si>
  <si>
    <t>LT-077631-19/KI</t>
  </si>
  <si>
    <t>LT-076486-19/ki</t>
  </si>
  <si>
    <t>LT-075545-19/KI</t>
  </si>
  <si>
    <t>LT-076913-19/KI</t>
  </si>
  <si>
    <t>LT-077115-19/KI</t>
  </si>
  <si>
    <t>LT-072801-19/KI</t>
  </si>
  <si>
    <t>LT-072854-19/KI</t>
  </si>
  <si>
    <t>LT-078648-19/KI</t>
  </si>
  <si>
    <t>LT-076303-19/KI</t>
  </si>
  <si>
    <t>LT-070122-19/KI</t>
  </si>
  <si>
    <t>LT-073886-19/KI</t>
  </si>
  <si>
    <t>LT-078457-19/KI</t>
  </si>
  <si>
    <t>LT-078456-19/KI</t>
  </si>
  <si>
    <t>LT-078317-19/KI</t>
  </si>
  <si>
    <t>074750/19</t>
  </si>
  <si>
    <t>LT-076548-19/KI</t>
  </si>
  <si>
    <t>LT-077492-19/KI</t>
  </si>
  <si>
    <t>LT-093028-18/KI</t>
  </si>
  <si>
    <t>LT-077180-19/KI</t>
  </si>
  <si>
    <t>LT-079202-19/KI</t>
  </si>
  <si>
    <t>LT-073853-19/KI</t>
  </si>
  <si>
    <t>LT-077486-19/KI</t>
  </si>
  <si>
    <t>LT-073971-19/KI</t>
  </si>
  <si>
    <t>LT-076459-19/KI</t>
  </si>
  <si>
    <t>LT-077360-19/KI</t>
  </si>
  <si>
    <t>LT-079043-19/KI</t>
  </si>
  <si>
    <t>LT-016496-18/KI</t>
  </si>
  <si>
    <t>LT-017795-19/KI</t>
  </si>
  <si>
    <t>LT-078287-19/KI</t>
  </si>
  <si>
    <t>LT-015614-19</t>
  </si>
  <si>
    <t>LT-079126-19/KI</t>
  </si>
  <si>
    <t>LT-068802-19/KI</t>
  </si>
  <si>
    <t>LT-075926/19/ki</t>
  </si>
  <si>
    <t>LT-079103-19/KI</t>
  </si>
  <si>
    <t>LT-078073-19/KI</t>
  </si>
  <si>
    <t>LT-067690-19/KI</t>
  </si>
  <si>
    <t>LT-051224-19/KI</t>
  </si>
  <si>
    <t>LT-077127-19/KI</t>
  </si>
  <si>
    <t>LT-078820-19/KI</t>
  </si>
  <si>
    <t>LT-081472-19/KI</t>
  </si>
  <si>
    <t>LT-080887-19/KI</t>
  </si>
  <si>
    <t>LT-080962-19/KI</t>
  </si>
  <si>
    <t>LT-076269-19/KI</t>
  </si>
  <si>
    <t>LT-080108-19/KI</t>
  </si>
  <si>
    <t>854486-NB-2016</t>
  </si>
  <si>
    <t>LT-063876-19/KI</t>
  </si>
  <si>
    <t>LT-076562-19/KI</t>
  </si>
  <si>
    <t>LT-089220-18/KI</t>
  </si>
  <si>
    <t>LT-080344-19/KI</t>
  </si>
  <si>
    <t>LT-073557-19/KI</t>
  </si>
  <si>
    <t>LT-078828-19/KI</t>
  </si>
  <si>
    <t>LT-074314-19/KI</t>
  </si>
  <si>
    <t>LT-072977-19/KI</t>
  </si>
  <si>
    <t>LT-076348-19/KI</t>
  </si>
  <si>
    <t>LT-081400-19/KI</t>
  </si>
  <si>
    <t>LT-081516-19/KI</t>
  </si>
  <si>
    <t>LT-081856-19/KI</t>
  </si>
  <si>
    <t>LT-075541-19/KI</t>
  </si>
  <si>
    <t>LT-083467-19/KI</t>
  </si>
  <si>
    <t>LT-082225-19/KI</t>
  </si>
  <si>
    <t>L&amp;T 79853-19/KI</t>
  </si>
  <si>
    <t>LT-081363-19/KI</t>
  </si>
  <si>
    <t>LT-074162-19/KI</t>
  </si>
  <si>
    <t>LT-083197-19/ki</t>
  </si>
  <si>
    <t>LT-082421-19/ki</t>
  </si>
  <si>
    <t>LT-19-082607</t>
  </si>
  <si>
    <t>LT-082558-19/KI</t>
  </si>
  <si>
    <t>LT-067689-19/KI</t>
  </si>
  <si>
    <t>LT-082244-19/KI</t>
  </si>
  <si>
    <t>LT-082608-19/KI</t>
  </si>
  <si>
    <t>LT-075956-19/KI</t>
  </si>
  <si>
    <t>LT-076261-19</t>
  </si>
  <si>
    <t>LT-083036-19/KI</t>
  </si>
  <si>
    <t>LT-018852-19/KI</t>
  </si>
  <si>
    <t>LT-094225-18/KI</t>
  </si>
  <si>
    <t>LT-075930-19/KI</t>
  </si>
  <si>
    <t>LT-061180-19/KI</t>
  </si>
  <si>
    <t>LT-073621-19/KI</t>
  </si>
  <si>
    <t>LT-072488-19/KI</t>
  </si>
  <si>
    <t>LT-067719-19/KI</t>
  </si>
  <si>
    <t>LT-068253-19/KI</t>
  </si>
  <si>
    <t>LT-066979-19/KI</t>
  </si>
  <si>
    <t>L&amp;T-19128-17/KI</t>
  </si>
  <si>
    <t>LT-075535/KI</t>
  </si>
  <si>
    <t>LT-079173-19/KI</t>
  </si>
  <si>
    <t>LT-74111-2019/KI</t>
  </si>
  <si>
    <t>LT-064199-19/KI</t>
  </si>
  <si>
    <t>LT-080677-19/KI</t>
  </si>
  <si>
    <t>LT-084354-19/KI</t>
  </si>
  <si>
    <t>LT-072855-19/KI</t>
  </si>
  <si>
    <t>LT-068361-19/KI</t>
  </si>
  <si>
    <t>LT-81021-19/KI</t>
  </si>
  <si>
    <t>lt 075958/19</t>
  </si>
  <si>
    <t>LT-064083-19/KI</t>
  </si>
  <si>
    <t>LT-074977-19/KI</t>
  </si>
  <si>
    <t>LT-082813-19/KI</t>
  </si>
  <si>
    <t>06355727-19</t>
  </si>
  <si>
    <t>LT-052525-19/KI</t>
  </si>
  <si>
    <t>LT-081714-19/KI</t>
  </si>
  <si>
    <t>LT-081396-19/KI</t>
  </si>
  <si>
    <t>LT-082675-19/KI</t>
  </si>
  <si>
    <t>LT-069059-19/KI</t>
  </si>
  <si>
    <t>LT-082200-19/ki</t>
  </si>
  <si>
    <t>LT-074837-19/KI</t>
  </si>
  <si>
    <t>LT-070486-19/KI</t>
  </si>
  <si>
    <t>LT-085018-18/KI</t>
  </si>
  <si>
    <t>LT-067543-18/KI</t>
  </si>
  <si>
    <t>L&amp;T-071608-19/KI</t>
  </si>
  <si>
    <t>LT-069605-19/KI</t>
  </si>
  <si>
    <t>LT-012137-19/KI</t>
  </si>
  <si>
    <t>LT-076926-19/KI</t>
  </si>
  <si>
    <t>LT-077112-19/KI</t>
  </si>
  <si>
    <t>LT-063387-19/KI</t>
  </si>
  <si>
    <t>LT-051987-19/KI</t>
  </si>
  <si>
    <t>LT-018640-19/BX</t>
  </si>
  <si>
    <t>LT-058304-18/BX</t>
  </si>
  <si>
    <t>LT-041406-17/BX</t>
  </si>
  <si>
    <t>LT-020258-19/BX</t>
  </si>
  <si>
    <t>LT-026735-19/BX</t>
  </si>
  <si>
    <t>LT-030016-19/BX</t>
  </si>
  <si>
    <t>LT-033025-19/BX</t>
  </si>
  <si>
    <t>LT-031781-19/BX</t>
  </si>
  <si>
    <t>LT-025690-19/BX</t>
  </si>
  <si>
    <t>LT-029771-19/BX</t>
  </si>
  <si>
    <t>LT-012424-18/BX</t>
  </si>
  <si>
    <t>LT-001744-19/BX</t>
  </si>
  <si>
    <t>LT-027825-19/BX</t>
  </si>
  <si>
    <t>LT-054735-18/BX</t>
  </si>
  <si>
    <t>LT-028581-19/BX</t>
  </si>
  <si>
    <t>LT-029474-19/BX</t>
  </si>
  <si>
    <t>LT-031160-19/BX</t>
  </si>
  <si>
    <t>LT-005574-19/BX</t>
  </si>
  <si>
    <t>LT-029859-19/BX</t>
  </si>
  <si>
    <t>LT-032000-19/BX</t>
  </si>
  <si>
    <t>LT-026480-19/BX</t>
  </si>
  <si>
    <t>LT-028131-19/BX</t>
  </si>
  <si>
    <t>LT-029604-19/BX</t>
  </si>
  <si>
    <t>LT-028120-19/BX</t>
  </si>
  <si>
    <t>LT-027490-19/BX</t>
  </si>
  <si>
    <t>LT-021910-19/BX</t>
  </si>
  <si>
    <t>LT-021798-19/BX</t>
  </si>
  <si>
    <t>LT-020463-19/BX</t>
  </si>
  <si>
    <t>LT-014642-19/BX</t>
  </si>
  <si>
    <t>LT-020059-19/BX</t>
  </si>
  <si>
    <t>LT-027704-19/BX</t>
  </si>
  <si>
    <t>LT-028420-19/BX</t>
  </si>
  <si>
    <t>LT- 038893-19/BX</t>
  </si>
  <si>
    <t>LT-011376-19/BX</t>
  </si>
  <si>
    <t>LT-035917-19/BX</t>
  </si>
  <si>
    <t>LT-058075-18/BX</t>
  </si>
  <si>
    <t>LT-019401-19/BX</t>
  </si>
  <si>
    <t>LT-050971-18/BX</t>
  </si>
  <si>
    <t>LT-036216-19/BX</t>
  </si>
  <si>
    <t>LT-026231-19/BX</t>
  </si>
  <si>
    <t>LT-038794-18/BX</t>
  </si>
  <si>
    <t>LT-026248-19/BX</t>
  </si>
  <si>
    <t>LT-037357-19/BX</t>
  </si>
  <si>
    <t>LT-015463-19/BX</t>
  </si>
  <si>
    <t>LT-033421-19/BX</t>
  </si>
  <si>
    <t>LT-023923-19/BX</t>
  </si>
  <si>
    <t>LT-019177-19/BX</t>
  </si>
  <si>
    <t>LT-027570-19/BX</t>
  </si>
  <si>
    <t>LT-018158-19/BX</t>
  </si>
  <si>
    <t>LT-020747-19/BX</t>
  </si>
  <si>
    <t>LT-022445-19/BX</t>
  </si>
  <si>
    <t>LT-030456-19/BX</t>
  </si>
  <si>
    <t>LT-029224-19/BX</t>
  </si>
  <si>
    <t>LT-024804-19/BX</t>
  </si>
  <si>
    <t>LT-028084-19/BX</t>
  </si>
  <si>
    <t>LT-025450-19/BX</t>
  </si>
  <si>
    <t>LT-036390-18/BX</t>
  </si>
  <si>
    <t>LT-029207-19/BX</t>
  </si>
  <si>
    <t>LT-010677-19/BX</t>
  </si>
  <si>
    <t>LT-028734-19/BX</t>
  </si>
  <si>
    <t>LT-028284-19/BX</t>
  </si>
  <si>
    <t>LT-026365-19/BX</t>
  </si>
  <si>
    <t>LT-012169-19/BX</t>
  </si>
  <si>
    <t>LT-029990-19/BX</t>
  </si>
  <si>
    <t>LT-028441-19/BX</t>
  </si>
  <si>
    <t>LT-027712-19/BX</t>
  </si>
  <si>
    <t>LT-030060-19/BX</t>
  </si>
  <si>
    <t>LT-027492-19/BX</t>
  </si>
  <si>
    <t>LT-030292-19/BX</t>
  </si>
  <si>
    <t>LT-029546-19/BX</t>
  </si>
  <si>
    <t>LT-029610-19/BX</t>
  </si>
  <si>
    <t>LT-026816-19/BX</t>
  </si>
  <si>
    <t>LT-028426-19/BX</t>
  </si>
  <si>
    <t>LT-030488-19/BX</t>
  </si>
  <si>
    <t>LT-028652-19/BX</t>
  </si>
  <si>
    <t>LT-021899-19/BX</t>
  </si>
  <si>
    <t>LT-029526-19/BX</t>
  </si>
  <si>
    <t>LT-015660-19/BX</t>
  </si>
  <si>
    <t>LT-024141-19/BX</t>
  </si>
  <si>
    <t>LT-063503-18/BX</t>
  </si>
  <si>
    <t>LT-026854-19/BX</t>
  </si>
  <si>
    <t>LT-029011-19/BX</t>
  </si>
  <si>
    <t>LT-031037-19/BX</t>
  </si>
  <si>
    <t>LT-059773-11/BX</t>
  </si>
  <si>
    <t>LT-028022-19/BX</t>
  </si>
  <si>
    <t>LT-028790-19/BX</t>
  </si>
  <si>
    <t>LT-031017-19/BX</t>
  </si>
  <si>
    <t>LT-026354-19/BX</t>
  </si>
  <si>
    <t>LT-029010-19/BX</t>
  </si>
  <si>
    <t>LT-026967-19/BX</t>
  </si>
  <si>
    <t>LT-017798-19/BX</t>
  </si>
  <si>
    <t>LT-031261-19/BX</t>
  </si>
  <si>
    <t>LT-031036-19/BX</t>
  </si>
  <si>
    <t>LT-018087-19/BX</t>
  </si>
  <si>
    <t>LT-026489-19/BX</t>
  </si>
  <si>
    <t>LT-029220-19/BX</t>
  </si>
  <si>
    <t>LT-025032-19/BX</t>
  </si>
  <si>
    <t>LT-027462-19/BX</t>
  </si>
  <si>
    <t>LT-030907-19/BX</t>
  </si>
  <si>
    <t>LT-027727-19/BX</t>
  </si>
  <si>
    <t>LT-023787-19/BX</t>
  </si>
  <si>
    <t>LT-028026-19/BX</t>
  </si>
  <si>
    <t>LT-031171-19/BX</t>
  </si>
  <si>
    <t>LT-027755-19/BX</t>
  </si>
  <si>
    <t>LT-027892-19/BX</t>
  </si>
  <si>
    <t>LT-020949-19/BX</t>
  </si>
  <si>
    <t>LT-022502-19/BX</t>
  </si>
  <si>
    <t>LT-023483-19/BX</t>
  </si>
  <si>
    <t>LT-026250-19/BX</t>
  </si>
  <si>
    <t>LT-047481-18/BX</t>
  </si>
  <si>
    <t>LT-024822-19/BX</t>
  </si>
  <si>
    <t>LT-013273-19/BX</t>
  </si>
  <si>
    <t>LT-803487-19/BX</t>
  </si>
  <si>
    <t>LT-024618-19/BX</t>
  </si>
  <si>
    <t>LT-008277-18/BX</t>
  </si>
  <si>
    <t>LT-027986-19/BX</t>
  </si>
  <si>
    <t>LT-018702-19/BX</t>
  </si>
  <si>
    <t>LT-030469-19/BX</t>
  </si>
  <si>
    <t>LT-036746-18/BX</t>
  </si>
  <si>
    <t>LT-805823-19/BX</t>
  </si>
  <si>
    <t>LT-029022-19/BX</t>
  </si>
  <si>
    <t>LT-023325-19/BX</t>
  </si>
  <si>
    <t>LT-001473-19/BX</t>
  </si>
  <si>
    <t>LT-031080-19/BX</t>
  </si>
  <si>
    <t>LT-064320-18/BX</t>
  </si>
  <si>
    <t>LT-029508-19/BX</t>
  </si>
  <si>
    <t>LT-025785-19/BX</t>
  </si>
  <si>
    <t>LT-031949-19/BX</t>
  </si>
  <si>
    <t>LT-032181-19/BX</t>
  </si>
  <si>
    <t>LT-031999-19/BX</t>
  </si>
  <si>
    <t>LT-032084-19/BX</t>
  </si>
  <si>
    <t>LT-031883-19/BX</t>
  </si>
  <si>
    <t>LT-018316-19/BX</t>
  </si>
  <si>
    <t>LT-031771-19/BX</t>
  </si>
  <si>
    <t>LT-028521-19/BX</t>
  </si>
  <si>
    <t>LT-024161-19/BX</t>
  </si>
  <si>
    <t>LT-031337-19/BX</t>
  </si>
  <si>
    <t>LT-030407-19/BX</t>
  </si>
  <si>
    <t>LT-032330-19/BX</t>
  </si>
  <si>
    <t>LT-030832-19/BX</t>
  </si>
  <si>
    <t>LT-032188-19/BX</t>
  </si>
  <si>
    <t>LT-029933-19/BX</t>
  </si>
  <si>
    <t>LT-027400-19/BX</t>
  </si>
  <si>
    <t>LT-027080-19/BX</t>
  </si>
  <si>
    <t>LT-027996-19/BX</t>
  </si>
  <si>
    <t>LT-032455-19/BX</t>
  </si>
  <si>
    <t>LT-030297-19/BX</t>
  </si>
  <si>
    <t>LT-029021-19/BX</t>
  </si>
  <si>
    <t>LT-805344-19/BX</t>
  </si>
  <si>
    <t>LT-024396-19/BX</t>
  </si>
  <si>
    <t>LT-032454-19/BX</t>
  </si>
  <si>
    <t>LT-032613-19/BX</t>
  </si>
  <si>
    <t>LT-024503-19/BX</t>
  </si>
  <si>
    <t>LT-024152-19/BX</t>
  </si>
  <si>
    <t>LT-031741-19/BX</t>
  </si>
  <si>
    <t>LT-020714-19/BX</t>
  </si>
  <si>
    <t>LT-028765-19/BX</t>
  </si>
  <si>
    <t>LT-031387-19/BX</t>
  </si>
  <si>
    <t>LT-034949-19/BX</t>
  </si>
  <si>
    <t>LT-029025-19/BX</t>
  </si>
  <si>
    <t>LT-033668-19/BX</t>
  </si>
  <si>
    <t>LT-805438-19/BX</t>
  </si>
  <si>
    <t>LT-030529-19/BX</t>
  </si>
  <si>
    <t>LT-032733-19/BX</t>
  </si>
  <si>
    <t>LT-032155-19/BX</t>
  </si>
  <si>
    <t>LT-033469-19/BX</t>
  </si>
  <si>
    <t>LT-032855-19/BX</t>
  </si>
  <si>
    <t>LT-033753-19/BX</t>
  </si>
  <si>
    <t>LT-031336-19/BX</t>
  </si>
  <si>
    <t>LT-035452-19/BX</t>
  </si>
  <si>
    <t>LT-017711-19/BX</t>
  </si>
  <si>
    <t>LT-031577-19/BX</t>
  </si>
  <si>
    <t>LT-032634-19/BX</t>
  </si>
  <si>
    <t>LT-036356-19/BX</t>
  </si>
  <si>
    <t>LT-035515-19/BX</t>
  </si>
  <si>
    <t>LT-034050-19/BX</t>
  </si>
  <si>
    <t>LT-036869-19/BX</t>
  </si>
  <si>
    <t>LT-034757-19/BX</t>
  </si>
  <si>
    <t>LT-033459-19/BX</t>
  </si>
  <si>
    <t>LT-035065-19/BX</t>
  </si>
  <si>
    <t>LT-034852-19/BX</t>
  </si>
  <si>
    <t>LT-036520-19/BX</t>
  </si>
  <si>
    <t>LT-035254-19/BX</t>
  </si>
  <si>
    <t>LT-035338-19/BX</t>
  </si>
  <si>
    <t>LT-036355-19/BX</t>
  </si>
  <si>
    <t>LT-035295-19/BX</t>
  </si>
  <si>
    <t>LT-035604-19/BX</t>
  </si>
  <si>
    <t>LT-034146-19/BX</t>
  </si>
  <si>
    <t>LT-026431-19/BX</t>
  </si>
  <si>
    <t>LT-804388-19/BX</t>
  </si>
  <si>
    <t>LT-009380-19/BX</t>
  </si>
  <si>
    <t>LT-028295-19/BX</t>
  </si>
  <si>
    <t>LT-031033-19/BX</t>
  </si>
  <si>
    <t>LT-035012-19/BX</t>
  </si>
  <si>
    <t>LT-034941-19/BX</t>
  </si>
  <si>
    <t>LT-032611-19/BX</t>
  </si>
  <si>
    <t>LT-034966-19/BX</t>
  </si>
  <si>
    <t>LT-033748-19/BX</t>
  </si>
  <si>
    <t>LT-025073-19/BX</t>
  </si>
  <si>
    <t>LT-034161-19/BX</t>
  </si>
  <si>
    <t>LT-001956-19/BX</t>
  </si>
  <si>
    <t>LT-037096-19/BX</t>
  </si>
  <si>
    <t>LT-032141-19/BX</t>
  </si>
  <si>
    <t>LT-025412-19/BX</t>
  </si>
  <si>
    <t>LT-033954-19/BX</t>
  </si>
  <si>
    <t>LT-034568-19/BX</t>
  </si>
  <si>
    <t>LT-033952-19/BX</t>
  </si>
  <si>
    <t>LT-036135-19/BX</t>
  </si>
  <si>
    <t>LT-031335-19/BX</t>
  </si>
  <si>
    <t>LT-039138-19/BX</t>
  </si>
  <si>
    <t>LT-033164-19/BX</t>
  </si>
  <si>
    <t>LT-036840-19/BX</t>
  </si>
  <si>
    <t>LT-032682-19/BX</t>
  </si>
  <si>
    <t>LT-037362-19/BX</t>
  </si>
  <si>
    <t>LT-034487-19/BX</t>
  </si>
  <si>
    <t>LT-033694-19/BX</t>
  </si>
  <si>
    <t>LT-021629-19/BX</t>
  </si>
  <si>
    <t>LT-037423-19/BX</t>
  </si>
  <si>
    <t>LT-035686-19/BX</t>
  </si>
  <si>
    <t>LT-033898-19/BX</t>
  </si>
  <si>
    <t>LT-037702-19/BX</t>
  </si>
  <si>
    <t>LT-034558-19/BX</t>
  </si>
  <si>
    <t>LT-037246-19/BX</t>
  </si>
  <si>
    <t>LT-000797-19/BX</t>
  </si>
  <si>
    <t>LT-032739-19/BX</t>
  </si>
  <si>
    <t>LT-035123-19/BX</t>
  </si>
  <si>
    <t>LT-034316-19/BX</t>
  </si>
  <si>
    <t>LT-035459-19/BX</t>
  </si>
  <si>
    <t>LT-037897-19/BX</t>
  </si>
  <si>
    <t>LT-031477-19/BX</t>
  </si>
  <si>
    <t>LT-033255-19/BX</t>
  </si>
  <si>
    <t>LT-031849-19/BX</t>
  </si>
  <si>
    <t>LT-026145-19/BX</t>
  </si>
  <si>
    <t>LT-032144-19/BX</t>
  </si>
  <si>
    <t>LT-025343-19/BX</t>
  </si>
  <si>
    <t>LT-017727-19/BX</t>
  </si>
  <si>
    <t>LT-031914-19/BX</t>
  </si>
  <si>
    <t>LT-030220-19/BX</t>
  </si>
  <si>
    <t>LT-034826-19/BX</t>
  </si>
  <si>
    <t>LT-028452-19/BX</t>
  </si>
  <si>
    <t>LT-036720-19/BX</t>
  </si>
  <si>
    <t>LT-024939-19/BX</t>
  </si>
  <si>
    <t>LT-039425-19/BX</t>
  </si>
  <si>
    <t>LT-031954-19/BX</t>
  </si>
  <si>
    <t>LT-001753-18/BX</t>
  </si>
  <si>
    <t>LT-040778-19/BX</t>
  </si>
  <si>
    <t>LT-024344-19/BX</t>
  </si>
  <si>
    <t>LT-039523-19/BX</t>
  </si>
  <si>
    <t>LT-037514-19/BX</t>
  </si>
  <si>
    <t>LT-036438-19/BX</t>
  </si>
  <si>
    <t>LT-041047-19/BX</t>
  </si>
  <si>
    <t>LT-036354-19/BX</t>
  </si>
  <si>
    <t>LT 033361-19BX</t>
  </si>
  <si>
    <t>LT-040744-19/BX</t>
  </si>
  <si>
    <t>LT-037179-19/BX</t>
  </si>
  <si>
    <t>LT-033836-19/BX</t>
  </si>
  <si>
    <t>LT-037829-19/BX</t>
  </si>
  <si>
    <t>LT-035911-19/BX</t>
  </si>
  <si>
    <t>LT-033209-19/BX</t>
  </si>
  <si>
    <t>LT-032928-19/BX</t>
  </si>
  <si>
    <t>LT-043174-19/BX</t>
  </si>
  <si>
    <t>LT-036207-19/BX</t>
  </si>
  <si>
    <t>LT-041436-19/BX</t>
  </si>
  <si>
    <t>LT-005510-19/BX</t>
  </si>
  <si>
    <t>LT-025448-19/BX</t>
  </si>
  <si>
    <t>LT-040767-19/BX</t>
  </si>
  <si>
    <t>LT-038473-19/BX</t>
  </si>
  <si>
    <t>LT-040471-19/BX</t>
  </si>
  <si>
    <t>LT-042424-19/BX</t>
  </si>
  <si>
    <t>LT-042398-19/BX</t>
  </si>
  <si>
    <t>LT-033573-19/BX</t>
  </si>
  <si>
    <t>LT-041999-19/BX</t>
  </si>
  <si>
    <t>LT-040406-19/BX</t>
  </si>
  <si>
    <t>LT-042420-19/BX</t>
  </si>
  <si>
    <t>LT-036305-19/BX</t>
  </si>
  <si>
    <t>LT-406711-19/BX</t>
  </si>
  <si>
    <t>LT-042565-19/BX</t>
  </si>
  <si>
    <t>LT-039587-19/BX</t>
  </si>
  <si>
    <t>LT-041771-19/BX</t>
  </si>
  <si>
    <t>LT-043027-19/BX</t>
  </si>
  <si>
    <t>LT-042618-19/BX</t>
  </si>
  <si>
    <t>LT-042517-19/BX</t>
  </si>
  <si>
    <t>LT-027239-19/BX</t>
  </si>
  <si>
    <t>LT-036757-19/BX</t>
  </si>
  <si>
    <t>LT-026493-19/BX</t>
  </si>
  <si>
    <t>LT-036972-19/BX</t>
  </si>
  <si>
    <t>LT-034794-19/BX</t>
  </si>
  <si>
    <t>LT-040779-19/BX</t>
  </si>
  <si>
    <t>LT-035835-19/BX</t>
  </si>
  <si>
    <t>LT-038291-19/BX</t>
  </si>
  <si>
    <t>LT-037414-19/BX</t>
  </si>
  <si>
    <t>LT-37132-19/BX</t>
  </si>
  <si>
    <t>LT-028819-19/BX</t>
  </si>
  <si>
    <t>LT-033444-19/BX</t>
  </si>
  <si>
    <t>LT-038157-19/BX</t>
  </si>
  <si>
    <t>LT-040594-19/BX</t>
  </si>
  <si>
    <t>LT-042594-19/BX</t>
  </si>
  <si>
    <t>LT-039567-19/BX</t>
  </si>
  <si>
    <t>LT-040852-19/BX</t>
  </si>
  <si>
    <t>LT-042928-19/BX</t>
  </si>
  <si>
    <t>LT-044591-19/BX</t>
  </si>
  <si>
    <t>LT-037159-19/BX</t>
  </si>
  <si>
    <t>LT-034366-19/BX</t>
  </si>
  <si>
    <t>LT-036317-19/BX</t>
  </si>
  <si>
    <t>LT-033455-19/BX</t>
  </si>
  <si>
    <t>LT-042172-19/BX</t>
  </si>
  <si>
    <t>LT-039232-19/BX</t>
  </si>
  <si>
    <t>LT-803684-19/BX</t>
  </si>
  <si>
    <t>LT-045449-19/BX</t>
  </si>
  <si>
    <t>LT-042383-19/BX</t>
  </si>
  <si>
    <t>LT-042162-19/BX</t>
  </si>
  <si>
    <t>LT-807263-19/BX</t>
  </si>
  <si>
    <t>LT-044057-19/BX</t>
  </si>
  <si>
    <t>LT-042425-19/BX</t>
  </si>
  <si>
    <t>LT-045566-19/BX</t>
  </si>
  <si>
    <t>LT-040369-19/BX</t>
  </si>
  <si>
    <t>LT-056051-18/BX</t>
  </si>
  <si>
    <t>LT-040102-19/BX</t>
  </si>
  <si>
    <t>LT-803032-19/BX</t>
  </si>
  <si>
    <t>LT-800650-19/BX</t>
  </si>
  <si>
    <t>LT-033065-19/BX</t>
  </si>
  <si>
    <t>LT-006229-19/BX</t>
  </si>
  <si>
    <t>LT 039558-19/BX</t>
  </si>
  <si>
    <t>LT-067779-18/BX</t>
  </si>
  <si>
    <t>LT-41742-19/BX</t>
  </si>
  <si>
    <t>LT-064844-18/BX</t>
  </si>
  <si>
    <t>LT-813127-18/BX</t>
  </si>
  <si>
    <t>LT-042626-19/BX</t>
  </si>
  <si>
    <t>LT-039693-19/BX</t>
  </si>
  <si>
    <t>LT-040706-19/BX</t>
  </si>
  <si>
    <t>LT-055947-18/BX</t>
  </si>
  <si>
    <t>LT-042064-19/BX</t>
  </si>
  <si>
    <t>LT-044028-19/BX</t>
  </si>
  <si>
    <t>LT-023949-19/BX</t>
  </si>
  <si>
    <t>LT-046742-19/BX</t>
  </si>
  <si>
    <t>LT-048006-19/BX</t>
  </si>
  <si>
    <t>LT-040648-19/BX</t>
  </si>
  <si>
    <t>LT-047222-19/BX</t>
  </si>
  <si>
    <t>LT-040771-19/BX</t>
  </si>
  <si>
    <t>LT-043947-19/BX</t>
  </si>
  <si>
    <t>LT-034574-19/BX</t>
  </si>
  <si>
    <t>LT-044721-19/BX</t>
  </si>
  <si>
    <t>LT-033418-19/BX</t>
  </si>
  <si>
    <t>LT-040380-19/BX</t>
  </si>
  <si>
    <t>LT-025970-19/BX</t>
  </si>
  <si>
    <t>LT-020245-19/BX</t>
  </si>
  <si>
    <t>LT-026297-19/BX</t>
  </si>
  <si>
    <t>LT-042372-19/BX</t>
  </si>
  <si>
    <t>LT-027113-19/BX</t>
  </si>
  <si>
    <t>LT-002252-19/BX</t>
  </si>
  <si>
    <t>LT-054606-18/BX</t>
  </si>
  <si>
    <t>LT-039663-19/BX</t>
  </si>
  <si>
    <t>LT-045664-19/BX</t>
  </si>
  <si>
    <t>L&amp;T-45557-19/BX</t>
  </si>
  <si>
    <t>LT-027123-19/BX</t>
  </si>
  <si>
    <t>LT-046367-19/BX</t>
  </si>
  <si>
    <t>LT-045416-19/BX</t>
  </si>
  <si>
    <t>LT-047824-19/BX</t>
  </si>
  <si>
    <t>LT-041354-19/BX</t>
  </si>
  <si>
    <t>LT-042923-19/BX</t>
  </si>
  <si>
    <t>LT-049350-18/BX</t>
  </si>
  <si>
    <t>LT-033054-19/BX</t>
  </si>
  <si>
    <t>LT-038793-18/BX</t>
  </si>
  <si>
    <t>LT-042956-19/BX</t>
  </si>
  <si>
    <t>LT-044956-19/BX</t>
  </si>
  <si>
    <t>LT-043038-19/BX</t>
  </si>
  <si>
    <t>LT-045179-19/BX</t>
  </si>
  <si>
    <t>LT-044924-19/BX</t>
  </si>
  <si>
    <t>LT-035614-19/BX</t>
  </si>
  <si>
    <t>LT-048124-19/BX</t>
  </si>
  <si>
    <t>LT-042029-19/BX</t>
  </si>
  <si>
    <t>LT-032393-19/BX</t>
  </si>
  <si>
    <t>LT-067219-18/BX</t>
  </si>
  <si>
    <t>LT-067070-18/BX</t>
  </si>
  <si>
    <t>LT-036472-19/BX</t>
  </si>
  <si>
    <t>LT-043580-19/BX</t>
  </si>
  <si>
    <t>LT-043229-19/BX</t>
  </si>
  <si>
    <t>LT-040707-19/BX</t>
  </si>
  <si>
    <t>LT-039285-19/BX</t>
  </si>
  <si>
    <t>LT-046942-19/BX</t>
  </si>
  <si>
    <t>LT-024280-19/BX</t>
  </si>
  <si>
    <t>LT-032886-19/BX</t>
  </si>
  <si>
    <t>LT-045674-19/BX</t>
  </si>
  <si>
    <t>LT-038624-18/BX</t>
  </si>
  <si>
    <t>LT-042234-19/BX</t>
  </si>
  <si>
    <t>LT-042235-19/BX</t>
  </si>
  <si>
    <t>LT-035590-19/BX</t>
  </si>
  <si>
    <t>LT-045677-19/BX</t>
  </si>
  <si>
    <t>LT-034003-19/BX</t>
  </si>
  <si>
    <t>LT-013325-19/BX</t>
  </si>
  <si>
    <t>LT-021330-19/BX</t>
  </si>
  <si>
    <t>LT-38463-19/BX</t>
  </si>
  <si>
    <t>LT-036792-19/BX</t>
  </si>
  <si>
    <t>LT-004808-19/BX</t>
  </si>
  <si>
    <t>LT-029949-19/BX</t>
  </si>
  <si>
    <t>LT-068277-18/BX</t>
  </si>
  <si>
    <t>LT-021614-19/BX</t>
  </si>
  <si>
    <t>LT-067825-18/Bx</t>
  </si>
  <si>
    <t>LT-044156-19/BX</t>
  </si>
  <si>
    <t>LT-037310-19/BX</t>
  </si>
  <si>
    <t>LT-031906-19/BX</t>
  </si>
  <si>
    <t>LT-004539-19/BX</t>
  </si>
  <si>
    <t>LT-041118-19/BX</t>
  </si>
  <si>
    <t>LT-022488-19/BX</t>
  </si>
  <si>
    <t>LT-044842-19/BX</t>
  </si>
  <si>
    <t>L&amp;T-47447-19/BX</t>
  </si>
  <si>
    <t>LT-037494-19/BX</t>
  </si>
  <si>
    <t>LT-803083-15/BX</t>
  </si>
  <si>
    <t>LT-047968-19/BX</t>
  </si>
  <si>
    <t>LT-043433-19/BX</t>
  </si>
  <si>
    <t>LT-042066-19/BX</t>
  </si>
  <si>
    <t>LT-044262-19/BX</t>
  </si>
  <si>
    <t>LT-044352-19/BX</t>
  </si>
  <si>
    <t>LT-035266-19/BX</t>
  </si>
  <si>
    <t>LT-044929-19/BX</t>
  </si>
  <si>
    <t>LT 045694-19/BX</t>
  </si>
  <si>
    <t>LT-041106-19/BX</t>
  </si>
  <si>
    <t>044780-19/BX</t>
  </si>
  <si>
    <t>LT-033211-19/BX</t>
  </si>
  <si>
    <t>LT-021961-19/BX</t>
  </si>
  <si>
    <t>LT-041119-19/BX</t>
  </si>
  <si>
    <t>LT-045175-19/BX</t>
  </si>
  <si>
    <t>LT-045303-19/BX</t>
  </si>
  <si>
    <t>LT-033743-19/BX</t>
  </si>
  <si>
    <t>LT-031687-19/BX</t>
  </si>
  <si>
    <t>LT-044508-19/BX</t>
  </si>
  <si>
    <t>LT-009656-19/BX</t>
  </si>
  <si>
    <t>LT-040467-19/BX</t>
  </si>
  <si>
    <t>CV-300197-18/BX</t>
  </si>
  <si>
    <t>LT-043097-19/BX</t>
  </si>
  <si>
    <t>LT-033312-19/BX</t>
  </si>
  <si>
    <t>LT-045651-19/BX</t>
  </si>
  <si>
    <t>LT-047695-19/BX</t>
  </si>
  <si>
    <t>LT-022315-19/BX</t>
  </si>
  <si>
    <t>LT-019073-19/BX</t>
  </si>
  <si>
    <t>LT-032006-19/BX</t>
  </si>
  <si>
    <t>LT-043143-19/BX</t>
  </si>
  <si>
    <t>LT-044886-19/BX</t>
  </si>
  <si>
    <t>LT-036527-19/BX</t>
  </si>
  <si>
    <t>LT-046876-19/BX</t>
  </si>
  <si>
    <t>LT-014213-19/BX</t>
  </si>
  <si>
    <t>LT-002694-19/BX</t>
  </si>
  <si>
    <t>LT-038118-19/BX</t>
  </si>
  <si>
    <t>LT-036473-19/BX</t>
  </si>
  <si>
    <t>LT-036153-19/BX</t>
  </si>
  <si>
    <t>LT-043415-19/BX</t>
  </si>
  <si>
    <t>LT-043887-19/BX</t>
  </si>
  <si>
    <t>LT-041445-19/BX</t>
  </si>
  <si>
    <t>LT-036474-19/BX</t>
  </si>
  <si>
    <t>LT-014787-19/BX</t>
  </si>
  <si>
    <t>LT- 043397-19/BX</t>
  </si>
  <si>
    <t>LT-045323-19/BX</t>
  </si>
  <si>
    <t>LT-033769-19/BX</t>
  </si>
  <si>
    <t>LT-042370-19/BX</t>
  </si>
  <si>
    <t>LT-042361-19/BX</t>
  </si>
  <si>
    <t>LT-043778-19/BX</t>
  </si>
  <si>
    <t>LT-044376-19/BX</t>
  </si>
  <si>
    <t>LT-036395-19/BX</t>
  </si>
  <si>
    <t>LT-035834-19/BX</t>
  </si>
  <si>
    <t>LT-010673-19/BX</t>
  </si>
  <si>
    <t>LT-32295-19/BX</t>
  </si>
  <si>
    <t>LT-012718-19/BX</t>
  </si>
  <si>
    <t>LT-026976-19/BX</t>
  </si>
  <si>
    <t>LT-045801-19/BX</t>
  </si>
  <si>
    <t>LT-040575-19/BX</t>
  </si>
  <si>
    <t>LT-043538-19/BX</t>
  </si>
  <si>
    <t>LT-041099-19/BX</t>
  </si>
  <si>
    <t>LT-043602-19/BX</t>
  </si>
  <si>
    <t>LT-044460-16/BX</t>
  </si>
  <si>
    <t>LT-032435-19/BX</t>
  </si>
  <si>
    <t>LT-037962-19/BX</t>
  </si>
  <si>
    <t>LT-063992-19/NY</t>
  </si>
  <si>
    <t>LT-064209-19/NY</t>
  </si>
  <si>
    <t>LT-016211-18/NY</t>
  </si>
  <si>
    <t>LT-076019-17/NY</t>
  </si>
  <si>
    <t>LT-051189-19/NY</t>
  </si>
  <si>
    <t>LT-069961-18/NY</t>
  </si>
  <si>
    <t>LT-064261-19/NY</t>
  </si>
  <si>
    <t>LT-056299-19/NY</t>
  </si>
  <si>
    <t>LT-016280-17/NY</t>
  </si>
  <si>
    <t>LT-056981-19/NY</t>
  </si>
  <si>
    <t>LT-065081-19/NY</t>
  </si>
  <si>
    <t>LT-057960-18/NY</t>
  </si>
  <si>
    <t>LT-066183-19/NY</t>
  </si>
  <si>
    <t>LT-064982-19/NY</t>
  </si>
  <si>
    <t>LT-063980-19/NY</t>
  </si>
  <si>
    <t>LT-064091-19/NY</t>
  </si>
  <si>
    <t>LT-017991-18/NY</t>
  </si>
  <si>
    <t>LT-063807-19/NY</t>
  </si>
  <si>
    <t>LT-069439-19/NY</t>
  </si>
  <si>
    <t>LT-067012-18/NY</t>
  </si>
  <si>
    <t>LT-050289-19/NY</t>
  </si>
  <si>
    <t>LT-066914-19/NY</t>
  </si>
  <si>
    <t>LT-065906-19/NY</t>
  </si>
  <si>
    <t>LT-063560-19/NY</t>
  </si>
  <si>
    <t>LT-056172-19/NY</t>
  </si>
  <si>
    <t>LT-057324-19/NY</t>
  </si>
  <si>
    <t>LT-063784-19/NY</t>
  </si>
  <si>
    <t>LT-059234-19/NY</t>
  </si>
  <si>
    <t>LT-063235-19/NY</t>
  </si>
  <si>
    <t>LT-063836-19/NY</t>
  </si>
  <si>
    <t>LT-063764-19/NY</t>
  </si>
  <si>
    <t>LT-013595-19/NY</t>
  </si>
  <si>
    <t>LT-063986-19/NY</t>
  </si>
  <si>
    <t>LT-080137-16/NY</t>
  </si>
  <si>
    <t>LT-063738-19/NY</t>
  </si>
  <si>
    <t>LT-063432-19/NY</t>
  </si>
  <si>
    <t>LT-061067-19/NY</t>
  </si>
  <si>
    <t>LT-054447-19/NY</t>
  </si>
  <si>
    <t>LT-060434-19/NY</t>
  </si>
  <si>
    <t>LT-064108-19/NY</t>
  </si>
  <si>
    <t>LT-062096-19/NY</t>
  </si>
  <si>
    <t>LT-016369-19/NY</t>
  </si>
  <si>
    <t>LT-062853-19/NY</t>
  </si>
  <si>
    <t>LT-016341-19/NY</t>
  </si>
  <si>
    <t>LT-064503-19/NY</t>
  </si>
  <si>
    <t>LT-055152-19/NY</t>
  </si>
  <si>
    <t>LT-061202-19/NY</t>
  </si>
  <si>
    <t>LT-063404-19/NY</t>
  </si>
  <si>
    <t>LT-064279-19/NY</t>
  </si>
  <si>
    <t>LT-050467-19/NY</t>
  </si>
  <si>
    <t>LT-060054-19/NY</t>
  </si>
  <si>
    <t>LT-067474-18/NY</t>
  </si>
  <si>
    <t>LT-063791-19/NY</t>
  </si>
  <si>
    <t>LT-068451-18/NY</t>
  </si>
  <si>
    <t>LT-062643-19/NY</t>
  </si>
  <si>
    <t>LT-056901-19/NY</t>
  </si>
  <si>
    <t>LT-064700-19/NY</t>
  </si>
  <si>
    <t>LT-063077-19/NY</t>
  </si>
  <si>
    <t>LT-064012-19/NY</t>
  </si>
  <si>
    <t>908628-AN-2019</t>
  </si>
  <si>
    <t>LT-012377-19/NY</t>
  </si>
  <si>
    <t>LT-063355-19/NY</t>
  </si>
  <si>
    <t>LT-065162-19/NY</t>
  </si>
  <si>
    <t>LT-065663-19/NY</t>
  </si>
  <si>
    <t>LT-057650-19/NY</t>
  </si>
  <si>
    <t>LT-065169-19/NY</t>
  </si>
  <si>
    <t>LT-066350-19/NY</t>
  </si>
  <si>
    <t>LT-057999-19/NY</t>
  </si>
  <si>
    <t>LT-066163-19/NY</t>
  </si>
  <si>
    <t>LT-013699-18/NY</t>
  </si>
  <si>
    <t>LT-063588-19/NY</t>
  </si>
  <si>
    <t>LT-066481-19/NY</t>
  </si>
  <si>
    <t>LT-066011-19/NY</t>
  </si>
  <si>
    <t>LT-065534-19/NY</t>
  </si>
  <si>
    <t>LT-066280-19/NY</t>
  </si>
  <si>
    <t>LT-065383-19/NY</t>
  </si>
  <si>
    <t>LT-065097-19/NY</t>
  </si>
  <si>
    <t>LT-065573-19/NY</t>
  </si>
  <si>
    <t>LT-065631-19/NY</t>
  </si>
  <si>
    <t>LT-065814-19/NY</t>
  </si>
  <si>
    <t>LT-066009-19/NY</t>
  </si>
  <si>
    <t>LT-066683-19/NY</t>
  </si>
  <si>
    <t>LT-066262-19/NY</t>
  </si>
  <si>
    <t>LT-066682-19/NY</t>
  </si>
  <si>
    <t>LT-066846-19/NY</t>
  </si>
  <si>
    <t>LT-066802-19/NY</t>
  </si>
  <si>
    <t>LT-066954-19/NY</t>
  </si>
  <si>
    <t>LT-016612-19/NY</t>
  </si>
  <si>
    <t>LT-057026-19/NY</t>
  </si>
  <si>
    <t>LT-066688-19/NY</t>
  </si>
  <si>
    <t>LT-055023-19/NY</t>
  </si>
  <si>
    <t>LT-066883-19/NY</t>
  </si>
  <si>
    <t>LT-066638-19/NY</t>
  </si>
  <si>
    <t>LT-066962-19/NY</t>
  </si>
  <si>
    <t>LT-067763-19/NY</t>
  </si>
  <si>
    <t>LT-016616-19/NY</t>
  </si>
  <si>
    <t>LT-068240-19/NY</t>
  </si>
  <si>
    <t>LT-080401-18/NY</t>
  </si>
  <si>
    <t>LT-067823-19/NY</t>
  </si>
  <si>
    <t>LT-064527-19/NY</t>
  </si>
  <si>
    <t>LT-069028-19/NY</t>
  </si>
  <si>
    <t>LT-067482-19/NY</t>
  </si>
  <si>
    <t>LT-053768-19/NY</t>
  </si>
  <si>
    <t>LT-68914-19/NY</t>
  </si>
  <si>
    <t>LT-065633-19/NY</t>
  </si>
  <si>
    <t>LT-067879-19/NY</t>
  </si>
  <si>
    <t>LT-068132-19/NY</t>
  </si>
  <si>
    <t>LT-068495-19/NY</t>
  </si>
  <si>
    <t>LT-067277-19/NY</t>
  </si>
  <si>
    <t>LT-069449-19/NY</t>
  </si>
  <si>
    <t>LT-069422-19/NY</t>
  </si>
  <si>
    <t>LT-069442-19/NY</t>
  </si>
  <si>
    <t>LT-065662-19/NY</t>
  </si>
  <si>
    <t>LT-068535-19/NY</t>
  </si>
  <si>
    <t>LT-068966-19/NY</t>
  </si>
  <si>
    <t>LT-018231-18/NY</t>
  </si>
  <si>
    <t>LT-067921-19/NY</t>
  </si>
  <si>
    <t>LT-017057-19/NY</t>
  </si>
  <si>
    <t>LT-069664-19/NY</t>
  </si>
  <si>
    <t>LT-069162-19/NY</t>
  </si>
  <si>
    <t>LT-066973-19/NY</t>
  </si>
  <si>
    <t>LT-069920-19/NY</t>
  </si>
  <si>
    <t>LT-069746-19/NY</t>
  </si>
  <si>
    <t>LT-069847-19/NY</t>
  </si>
  <si>
    <t>LT-069323-19/NY</t>
  </si>
  <si>
    <t>LT-070350-19/NY</t>
  </si>
  <si>
    <t>LT-069331-19/NY</t>
  </si>
  <si>
    <t>LT-066278-19/NY</t>
  </si>
  <si>
    <t>LT-071380-19/NY</t>
  </si>
  <si>
    <t>911441-TD-2019</t>
  </si>
  <si>
    <t>LT-070060-19/NY</t>
  </si>
  <si>
    <t>LT-067584-19/NY</t>
  </si>
  <si>
    <t>LT-069874-19/NY</t>
  </si>
  <si>
    <t>LT-079581-18/NY</t>
  </si>
  <si>
    <t>LT-017251-19/NY</t>
  </si>
  <si>
    <t>LT-070473-19/NY</t>
  </si>
  <si>
    <t>LT-067328-19/NY</t>
  </si>
  <si>
    <t>LT-068508-19/NY</t>
  </si>
  <si>
    <t>LT-070970-19/NY</t>
  </si>
  <si>
    <t>LT-055418-19/NY</t>
  </si>
  <si>
    <t>LT-069871-19/NY</t>
  </si>
  <si>
    <t>LT-069977-19/NY</t>
  </si>
  <si>
    <t>LT-069170-19/NY</t>
  </si>
  <si>
    <t>LT-070977-19/NY</t>
  </si>
  <si>
    <t>LT-068566-19/NY</t>
  </si>
  <si>
    <t>LT-068540-19/NY</t>
  </si>
  <si>
    <t>907916-TD-2019</t>
  </si>
  <si>
    <t>LT-065697-19/NY</t>
  </si>
  <si>
    <t>LT-071803-19/NY</t>
  </si>
  <si>
    <t>LT-052280-19/NY</t>
  </si>
  <si>
    <t>LT-070871-18/NY</t>
  </si>
  <si>
    <t>LT-018671-17/NY</t>
  </si>
  <si>
    <t>LT-067538-18/NY</t>
  </si>
  <si>
    <t>LT-067485-18/NY</t>
  </si>
  <si>
    <t>LT-078915-18/NY</t>
  </si>
  <si>
    <t>LT-071304-19/NY</t>
  </si>
  <si>
    <t>LT-054751-19/NY</t>
  </si>
  <si>
    <t>LT-073070-18/NY</t>
  </si>
  <si>
    <t>LT-012758-19/NY</t>
  </si>
  <si>
    <t>LT-053595-17/NY</t>
  </si>
  <si>
    <t>LT-016063-19/NY</t>
  </si>
  <si>
    <t>LT-012271-19/NY</t>
  </si>
  <si>
    <t>LT-056378-19/NY</t>
  </si>
  <si>
    <t>LT-057534-19/NY</t>
  </si>
  <si>
    <t>LT-019609-18/NY</t>
  </si>
  <si>
    <t>LT-075402-18/NY</t>
  </si>
  <si>
    <t>LT-052950-19/NY</t>
  </si>
  <si>
    <t>LT-068642-19/NY</t>
  </si>
  <si>
    <t>LT-070830-19/NY</t>
  </si>
  <si>
    <t>LT-067904-19/NY</t>
  </si>
  <si>
    <t>LT-063772-19/NY</t>
  </si>
  <si>
    <t>LT-077195-18/NY</t>
  </si>
  <si>
    <t>LT-052290-19/NY</t>
  </si>
  <si>
    <t>LT-080332-18/NY</t>
  </si>
  <si>
    <t>LT-012800-19/NY</t>
  </si>
  <si>
    <t>LT-068954-19/NY</t>
  </si>
  <si>
    <t>LT-070200-19/NY</t>
  </si>
  <si>
    <t>LT-067500-18/NY</t>
  </si>
  <si>
    <t>LT-073066-18/NY</t>
  </si>
  <si>
    <t>LT-013600-18/NY</t>
  </si>
  <si>
    <t>LT-077113-18/NY</t>
  </si>
  <si>
    <t>LT-064889-19.NY</t>
  </si>
  <si>
    <t>LT-057984-19/NY</t>
  </si>
  <si>
    <t>LT-056948-18/NY</t>
  </si>
  <si>
    <t>LT-019874-16/NY</t>
  </si>
  <si>
    <t>LT-079965-18/NY</t>
  </si>
  <si>
    <t>LT-011990-19/NY</t>
  </si>
  <si>
    <t>LT-061344-19/NY</t>
  </si>
  <si>
    <t>LT-052435-19/NY</t>
  </si>
  <si>
    <t>LT-067858-19/NY</t>
  </si>
  <si>
    <t>LT-079782-18/NY</t>
  </si>
  <si>
    <t>LT-070211-19/NY</t>
  </si>
  <si>
    <t>LT-013323-18/NY</t>
  </si>
  <si>
    <t>LT-050987-19/NY</t>
  </si>
  <si>
    <t>LT-066623-19/NY</t>
  </si>
  <si>
    <t>LT-067613-19/NY</t>
  </si>
  <si>
    <t>LT-056477-19/QU</t>
  </si>
  <si>
    <t>LT-057699-19/QU</t>
  </si>
  <si>
    <t>LT-078352-18/QU</t>
  </si>
  <si>
    <t>LT-064344-19/QU</t>
  </si>
  <si>
    <t>LT-063349-19/QU</t>
  </si>
  <si>
    <t>LT-056657-18/QU</t>
  </si>
  <si>
    <t>LT-063385-19/QU</t>
  </si>
  <si>
    <t>LT-059605-19/QU</t>
  </si>
  <si>
    <t>LT-053125-19/QU</t>
  </si>
  <si>
    <t>LT-063917-19/QU</t>
  </si>
  <si>
    <t>LT-61576-19/QU</t>
  </si>
  <si>
    <t>LT-012076-19/QU</t>
  </si>
  <si>
    <t>LT-51069-19/QU</t>
  </si>
  <si>
    <t>LT-012276-19/QU</t>
  </si>
  <si>
    <t>LT-012301-19/QU</t>
  </si>
  <si>
    <t>LT-012280-19/QU</t>
  </si>
  <si>
    <t>LT-012309-19/QU</t>
  </si>
  <si>
    <t>LT-054710-19/QU</t>
  </si>
  <si>
    <t>LT-011479-19/QU</t>
  </si>
  <si>
    <t>LT-061405-19/QU</t>
  </si>
  <si>
    <t>LT-059603-19/QU</t>
  </si>
  <si>
    <t>LT-053042-19/QU</t>
  </si>
  <si>
    <t>LT-064780-19/QU</t>
  </si>
  <si>
    <t>LT-056255-19/QU</t>
  </si>
  <si>
    <t>LT-063636-19/QU</t>
  </si>
  <si>
    <t>LT-058366-19/QU</t>
  </si>
  <si>
    <t>LT-057263-19/QU</t>
  </si>
  <si>
    <t>LT-059398-19/QU</t>
  </si>
  <si>
    <t>LT-060043-19/QU</t>
  </si>
  <si>
    <t>LT-061806-19/QU</t>
  </si>
  <si>
    <t>LT-063578-19/QU</t>
  </si>
  <si>
    <t>LT-063597-19/QU</t>
  </si>
  <si>
    <t>LT-063491-19/QU</t>
  </si>
  <si>
    <t>LT-061295-19/QU</t>
  </si>
  <si>
    <t>LT-063546-19/QU</t>
  </si>
  <si>
    <t>LT-059736-19/QU</t>
  </si>
  <si>
    <t>LT-011872-19/QU</t>
  </si>
  <si>
    <t>LT-011866-19/QU</t>
  </si>
  <si>
    <t>LT-011863-19/QU</t>
  </si>
  <si>
    <t>LT-050319-19/QU</t>
  </si>
  <si>
    <t>LT-054573-19/QU</t>
  </si>
  <si>
    <t>LT-064431-19/QU</t>
  </si>
  <si>
    <t>LT-062555-19/QU</t>
  </si>
  <si>
    <t>LT-063968-19/QU</t>
  </si>
  <si>
    <t>LT-063356-19/QU</t>
  </si>
  <si>
    <t>LT-61035-19/QU</t>
  </si>
  <si>
    <t>LT-057820-19/QU</t>
  </si>
  <si>
    <t>LT-064462-19/QU</t>
  </si>
  <si>
    <t>LT-057293-19/QU</t>
  </si>
  <si>
    <t>LT-012318-19/QU</t>
  </si>
  <si>
    <t>LT-012286-19/QU</t>
  </si>
  <si>
    <t>LT-013492-19/QU</t>
  </si>
  <si>
    <t>LT-012293-19/QU</t>
  </si>
  <si>
    <t>LT-064661-19/QU</t>
  </si>
  <si>
    <t>LT-064014-19/QU</t>
  </si>
  <si>
    <t>LT-064107-19/QU</t>
  </si>
  <si>
    <t>LT-012466-19/QU</t>
  </si>
  <si>
    <t>LT-064807-19/QU</t>
  </si>
  <si>
    <t>LT-059643-19/QU</t>
  </si>
  <si>
    <t>LT-064915-19/QU</t>
  </si>
  <si>
    <t>LT-064851-19/QU</t>
  </si>
  <si>
    <t>LT-064912-19/QU</t>
  </si>
  <si>
    <t>LT-062936-19/QU</t>
  </si>
  <si>
    <t>LT-064716-19/QU</t>
  </si>
  <si>
    <t>LT-064619-19/QU</t>
  </si>
  <si>
    <t>LT-063993-19/QU</t>
  </si>
  <si>
    <t>LT-061532-19/QU</t>
  </si>
  <si>
    <t>LT-065283-19/QU</t>
  </si>
  <si>
    <t>LT-065379-19/QU</t>
  </si>
  <si>
    <t>LT-011277-19/QU</t>
  </si>
  <si>
    <t>LT-011762-19/QU</t>
  </si>
  <si>
    <t>LT-011826-19/QU</t>
  </si>
  <si>
    <t>LT-060607-19/QU</t>
  </si>
  <si>
    <t>LT-063530-19/QU</t>
  </si>
  <si>
    <t>LT-066584-19/QU</t>
  </si>
  <si>
    <t>LT-62807-19/QU</t>
  </si>
  <si>
    <t>LT- 066244-19/QU</t>
  </si>
  <si>
    <t>LT-065773-19/QU</t>
  </si>
  <si>
    <t>LT-066674-19/QU</t>
  </si>
  <si>
    <t>LT-066341-19/QU</t>
  </si>
  <si>
    <t>LT-12290-19/QU</t>
  </si>
  <si>
    <t>LT-067224-19/QU</t>
  </si>
  <si>
    <t>LT-055458-19/QU</t>
  </si>
  <si>
    <t>LT-066320-19/QU</t>
  </si>
  <si>
    <t>LT-063223-19/QU</t>
  </si>
  <si>
    <t>LT-066396-19/QU</t>
  </si>
  <si>
    <t>LT-059727-19/QU</t>
  </si>
  <si>
    <t>LT-067198-19/QU</t>
  </si>
  <si>
    <t>LT-067157-19/QU</t>
  </si>
  <si>
    <t>LT-055366-19/QU</t>
  </si>
  <si>
    <t>LT-056552-19/QU</t>
  </si>
  <si>
    <t>LT-066342-19/QU</t>
  </si>
  <si>
    <t>LT-064019-19/QU</t>
  </si>
  <si>
    <t>LT-065137-19/QU</t>
  </si>
  <si>
    <t>LT-58904-19/QU</t>
  </si>
  <si>
    <t>LT-060376-19/QU</t>
  </si>
  <si>
    <t>LT-60229-19/QU</t>
  </si>
  <si>
    <t>LT-065981-19/QU</t>
  </si>
  <si>
    <t>LT-012302-19/QU</t>
  </si>
  <si>
    <t>LT-066411-19/QU</t>
  </si>
  <si>
    <t>LT-063654-19/QU</t>
  </si>
  <si>
    <t>LT-066550-19/QU</t>
  </si>
  <si>
    <t>LT-066437-19/QU</t>
  </si>
  <si>
    <t>LT-067053-19/QU</t>
  </si>
  <si>
    <t>LT-067243-19/QU</t>
  </si>
  <si>
    <t>LT-067788-19/QU</t>
  </si>
  <si>
    <t>LT-067624-19/QU</t>
  </si>
  <si>
    <t>LT-067707-19/QU</t>
  </si>
  <si>
    <t>LT-063412-19/QU</t>
  </si>
  <si>
    <t>LT-067634-19/QU</t>
  </si>
  <si>
    <t>LT-067067-19/QU</t>
  </si>
  <si>
    <t>LT-067049-19/QU</t>
  </si>
  <si>
    <t>LT-067235-19/QU</t>
  </si>
  <si>
    <t>LT-067234-19/QU</t>
  </si>
  <si>
    <t>LT-057761-19/QU</t>
  </si>
  <si>
    <t>LT-069720-19/QU</t>
  </si>
  <si>
    <t>LT-069376-19/QU</t>
  </si>
  <si>
    <t>LT-068960-19/QU</t>
  </si>
  <si>
    <t>LT-068010-19/QU</t>
  </si>
  <si>
    <t>LT-067051/19</t>
  </si>
  <si>
    <t>LT-069124-19/QU</t>
  </si>
  <si>
    <t>LT-067911-19/QU</t>
  </si>
  <si>
    <t>LT-066227-19/QU</t>
  </si>
  <si>
    <t>LT-067866-19/QU</t>
  </si>
  <si>
    <t>LT-069015-19/QU</t>
  </si>
  <si>
    <t>LT-069639-19/QU</t>
  </si>
  <si>
    <t>LT-068380-19/QU</t>
  </si>
  <si>
    <t>LT-059210-19/QU</t>
  </si>
  <si>
    <t>LT-068004-19/QU</t>
  </si>
  <si>
    <t>LT-068348-19/QU</t>
  </si>
  <si>
    <t>LT-69325-19/QU</t>
  </si>
  <si>
    <t>LT-065418-19/QU</t>
  </si>
  <si>
    <t>LT-069264-19/QU</t>
  </si>
  <si>
    <t>LT-069977-19/QU</t>
  </si>
  <si>
    <t>LT-066766-19/QU</t>
  </si>
  <si>
    <t>LT-069664-19/QU</t>
  </si>
  <si>
    <t>LT-070074-19/QU</t>
  </si>
  <si>
    <t>LT-061943-19/QU</t>
  </si>
  <si>
    <t>LT-069277-19/QU</t>
  </si>
  <si>
    <t>LT-000581-19/QU</t>
  </si>
  <si>
    <t>LT-69978-19/QU</t>
  </si>
  <si>
    <t>LT-69979-19/QU</t>
  </si>
  <si>
    <t>LT-069648-19/QU</t>
  </si>
  <si>
    <t>LT-069529-19/QU</t>
  </si>
  <si>
    <t>LT-070412-19/QU</t>
  </si>
  <si>
    <t>LT-069835-19/QU</t>
  </si>
  <si>
    <t>LT-069973-19/QU</t>
  </si>
  <si>
    <t>LT-070492-19/QU</t>
  </si>
  <si>
    <t>LT-070228-19/QU</t>
  </si>
  <si>
    <t>LT-069882-19/QU</t>
  </si>
  <si>
    <t>LT-068810-19/QU</t>
  </si>
  <si>
    <t>LT-57069-19/QU</t>
  </si>
  <si>
    <t>LT-061422-19/QU</t>
  </si>
  <si>
    <t>LT-064694-19/QU</t>
  </si>
  <si>
    <t>LT-011423-19/QU</t>
  </si>
  <si>
    <t>LT:070256-19/QU</t>
  </si>
  <si>
    <t>LT-070511-19/QU</t>
  </si>
  <si>
    <t>LT-61911-19/QU</t>
  </si>
  <si>
    <t>LT-056886-18/QU</t>
  </si>
  <si>
    <t>LT-011427-19/QU</t>
  </si>
  <si>
    <t>LT-061278-19/QU</t>
  </si>
  <si>
    <t>LT-63821/19</t>
  </si>
  <si>
    <t>LT-68807-19/QU</t>
  </si>
  <si>
    <t>LT-64712-19/QU</t>
  </si>
  <si>
    <t>LT-068372-19/QU</t>
  </si>
  <si>
    <t>LT-068049-19/QU</t>
  </si>
  <si>
    <t>LT-012589-19/QU</t>
  </si>
  <si>
    <t>LT-54375-19/QU</t>
  </si>
  <si>
    <t>LT-063205-19/QU</t>
  </si>
  <si>
    <t>LT-058483-19/QU</t>
  </si>
  <si>
    <t>LT-063993-18/QU</t>
  </si>
  <si>
    <t>LT-064881-19/QU</t>
  </si>
  <si>
    <t>LT-57014-19/QU</t>
  </si>
  <si>
    <t>LT-070335-19/QU</t>
  </si>
  <si>
    <t>LT-067329-19/QU</t>
  </si>
  <si>
    <t>LT-064570-19/QU</t>
  </si>
  <si>
    <t>LT-066483-19/QU</t>
  </si>
  <si>
    <t>LT-66470-19/QU</t>
  </si>
  <si>
    <t>LT-071211-18/QU</t>
  </si>
  <si>
    <t>LT-69395-19/QU</t>
  </si>
  <si>
    <t>LT-064782-19/QU</t>
  </si>
  <si>
    <t>LT-075484-18/QU</t>
  </si>
  <si>
    <t>LT-059424-17/QU</t>
  </si>
  <si>
    <t>LT-61360-19/QU</t>
  </si>
  <si>
    <t>LT-052681-19/QU</t>
  </si>
  <si>
    <t>LT-062561-16/QU</t>
  </si>
  <si>
    <t>LT-068865-19/QU</t>
  </si>
  <si>
    <t>LT-10915-19/QU</t>
  </si>
  <si>
    <t>LT-057661-18/QU</t>
  </si>
  <si>
    <t>LT-0058453-19/Qu</t>
  </si>
  <si>
    <t>LT-065410-19/QU</t>
  </si>
  <si>
    <t>LT-011417-19/QU</t>
  </si>
  <si>
    <t>LT-52949-19/QU</t>
  </si>
  <si>
    <t>LT-078686-17/QU</t>
  </si>
  <si>
    <t>LT-063992-18/QU</t>
  </si>
  <si>
    <t>LT-61566-19/QU</t>
  </si>
  <si>
    <t>LT-077047-18/QU</t>
  </si>
  <si>
    <t>LT-062122-19/QU</t>
  </si>
  <si>
    <t>LT-064677-19/QU</t>
  </si>
  <si>
    <t>LT-070558-18/QU</t>
  </si>
  <si>
    <t>LT-054530-19/QU</t>
  </si>
  <si>
    <t>LT-063304-19/QU</t>
  </si>
  <si>
    <t>LT-080986-14/QU</t>
  </si>
  <si>
    <t>LT-066874-19/QU</t>
  </si>
  <si>
    <t>LT-062711-19/QU</t>
  </si>
  <si>
    <t>LT-059691-19/QU</t>
  </si>
  <si>
    <t>LT-62440-19/QU</t>
  </si>
  <si>
    <t>LT-064718-19/QU</t>
  </si>
  <si>
    <t>LT-063938-19/QU</t>
  </si>
  <si>
    <t>LT-070095-19/QU</t>
  </si>
  <si>
    <t>LT-075002-17/QU</t>
  </si>
  <si>
    <t>LT-052834-19/QU</t>
  </si>
  <si>
    <t>LT-064933-19/QU</t>
  </si>
  <si>
    <t>LT-067054-19/QU</t>
  </si>
  <si>
    <t>LT-071107-18/QU</t>
  </si>
  <si>
    <t>LT-070559-18/QU</t>
  </si>
  <si>
    <t>LT-011640-18/QU</t>
  </si>
  <si>
    <t>LT-072071-18/QU</t>
  </si>
  <si>
    <t>LT-66534-19/QU</t>
  </si>
  <si>
    <t>LT-061873-18/QU</t>
  </si>
  <si>
    <t>LT-68907-19/QU</t>
  </si>
  <si>
    <t>LT-069375-19/QU</t>
  </si>
  <si>
    <t>LT-076175-18/QU</t>
  </si>
  <si>
    <t>LT-10859-19/QU</t>
  </si>
  <si>
    <t>LT-068385-19/QU</t>
  </si>
  <si>
    <t>LT-069742-19/QU</t>
  </si>
  <si>
    <t>LT-069964-19/QU</t>
  </si>
  <si>
    <t>LT-070178-19/QU</t>
  </si>
  <si>
    <t>LT-011765-18/QU</t>
  </si>
  <si>
    <t>LT-068069-19/QU</t>
  </si>
  <si>
    <t>LT-63960-19/QU</t>
  </si>
  <si>
    <t>LT-64798-19/QU</t>
  </si>
  <si>
    <t>LT-69266-19-QU</t>
  </si>
  <si>
    <t>LT-63320-19/QU</t>
  </si>
  <si>
    <t>LT-069656-19/QU</t>
  </si>
  <si>
    <t>LT-057238-19/QU</t>
  </si>
  <si>
    <t>LT-053033-19/QU</t>
  </si>
  <si>
    <t>LT-068109-19/QU</t>
  </si>
  <si>
    <t>LT-063687-19/QU</t>
  </si>
  <si>
    <t>LT-050183-19/RI</t>
  </si>
  <si>
    <t>LT-051723-19/RI</t>
  </si>
  <si>
    <t>LT-010647-19/RI</t>
  </si>
  <si>
    <t>LT-010605-19/RI</t>
  </si>
  <si>
    <t>LT-052009-19/RI</t>
  </si>
  <si>
    <t>LT-010577-19/RI</t>
  </si>
  <si>
    <t>LT-052175-19/RI</t>
  </si>
  <si>
    <t>LT-010582-19/RI</t>
  </si>
  <si>
    <t>LT-051260-19/RI</t>
  </si>
  <si>
    <t>LT-051710-19/RI</t>
  </si>
  <si>
    <t>LT-051711-19/RI</t>
  </si>
  <si>
    <t>LT-051658-19/RI</t>
  </si>
  <si>
    <t>LT-010682-19/RI</t>
  </si>
  <si>
    <t>LT-051510-19/RI</t>
  </si>
  <si>
    <t>LT-051491-19/RI</t>
  </si>
  <si>
    <t>LT-010586-19/RI</t>
  </si>
  <si>
    <t>LT-010473-19/RI</t>
  </si>
  <si>
    <t>LT-010608-19/RI</t>
  </si>
  <si>
    <t>LT-051732-19/RI</t>
  </si>
  <si>
    <t>LT-051701-19/RI</t>
  </si>
  <si>
    <t>LT-051791-19/RI</t>
  </si>
  <si>
    <t>LT-051733-19/RI</t>
  </si>
  <si>
    <t>LT-051785-19/RI</t>
  </si>
  <si>
    <t>LT-051389-19/RI</t>
  </si>
  <si>
    <t>LT-051798-19/RI</t>
  </si>
  <si>
    <t>LT-051862-19/RI</t>
  </si>
  <si>
    <t>LT-051875-19/RI</t>
  </si>
  <si>
    <t>LT-051863-19/RI</t>
  </si>
  <si>
    <t>LT-051881-19/RI</t>
  </si>
  <si>
    <t>LT-051911-19/RI</t>
  </si>
  <si>
    <t>051900-19</t>
  </si>
  <si>
    <t>LT-051889-19/RI</t>
  </si>
  <si>
    <t>LT-052005-19/RI</t>
  </si>
  <si>
    <t>LT-051913-19/RI</t>
  </si>
  <si>
    <t>LT-051925-19/RI</t>
  </si>
  <si>
    <t>LT-051984-19/RI</t>
  </si>
  <si>
    <t>LT-052145-19/RI</t>
  </si>
  <si>
    <t>LT-052170-19/RI</t>
  </si>
  <si>
    <t>LT-052156-19/RI</t>
  </si>
  <si>
    <t>LT-052165-19/RI</t>
  </si>
  <si>
    <t>LT-052169-19/RI</t>
  </si>
  <si>
    <t>LT-052176-19/RI</t>
  </si>
  <si>
    <t>LT-052159-19/RI</t>
  </si>
  <si>
    <t>LT-052195-19/RI</t>
  </si>
  <si>
    <t>LT-052244-19/RI</t>
  </si>
  <si>
    <t>LT-010672-19/RI</t>
  </si>
  <si>
    <t>LT-010685-19/RI</t>
  </si>
  <si>
    <t>LT-010673-19/RI</t>
  </si>
  <si>
    <t>LT-052316-19/RI</t>
  </si>
  <si>
    <t>LT-052311-9/RI</t>
  </si>
  <si>
    <t>LT-051582-19/RI</t>
  </si>
  <si>
    <t>LT-052231-19/RI</t>
  </si>
  <si>
    <t>LT-052254-19/RI</t>
  </si>
  <si>
    <t>LT-052255-19/RI</t>
  </si>
  <si>
    <t>LT-052337-19/RI</t>
  </si>
  <si>
    <t>LT-010327-19/RI</t>
  </si>
  <si>
    <t>LT-010818-19/RI</t>
  </si>
  <si>
    <t>LT-010785-19/RI</t>
  </si>
  <si>
    <t>LT-010783-19/RI</t>
  </si>
  <si>
    <t>LT-052445-19/RI</t>
  </si>
  <si>
    <t>LT-010667-19/RI</t>
  </si>
  <si>
    <t>LT-052433-19/RI</t>
  </si>
  <si>
    <t>LT-052531-19/RI</t>
  </si>
  <si>
    <t>LT-052366-19/RI</t>
  </si>
  <si>
    <t>LT-052537-19/RI</t>
  </si>
  <si>
    <t>LT-51982-19/RI</t>
  </si>
  <si>
    <t>LT-52309-19/RI</t>
  </si>
  <si>
    <t>LT-010794-19/RI</t>
  </si>
  <si>
    <t>LT-010823-19/RI</t>
  </si>
  <si>
    <t>LT-010671-19/RI</t>
  </si>
  <si>
    <t>Lt-010826-19</t>
  </si>
  <si>
    <t>LT-052373-19/RI</t>
  </si>
  <si>
    <t>LT-052577-19/RI</t>
  </si>
  <si>
    <t>LT-052599-19/RI</t>
  </si>
  <si>
    <t>LT-052522-19/RI</t>
  </si>
  <si>
    <t>LT-052188-19/RI</t>
  </si>
  <si>
    <t>LT-052105-19/RI</t>
  </si>
  <si>
    <t>LT-052399-19/RI</t>
  </si>
  <si>
    <t>LT-052590-19/RI</t>
  </si>
  <si>
    <t>LT-052463-19/RI</t>
  </si>
  <si>
    <t>908310-TD-2019</t>
  </si>
  <si>
    <t>LT-052630-19/RI</t>
  </si>
  <si>
    <t>HP-173-19/RI</t>
  </si>
  <si>
    <t>LT-010713-18/RI</t>
  </si>
  <si>
    <t>LT-053717-18/RI</t>
  </si>
  <si>
    <t>LT-050913-19/RI</t>
  </si>
  <si>
    <t>LT-052288-19/RI</t>
  </si>
  <si>
    <t>052356-19</t>
  </si>
  <si>
    <t>LT-053435-18/RI</t>
  </si>
  <si>
    <t>LT-010875-19/RI</t>
  </si>
  <si>
    <t>LT-050579-19/RI</t>
  </si>
  <si>
    <t>052256-19</t>
  </si>
  <si>
    <t>LT-010821-19/RI</t>
  </si>
  <si>
    <t>80378-2017</t>
  </si>
  <si>
    <t>LT-58397-19/QU</t>
  </si>
  <si>
    <t>818558-AN-2016</t>
  </si>
  <si>
    <t>LT-11710-17/QU</t>
  </si>
  <si>
    <t>DU-110064-RV</t>
  </si>
  <si>
    <t>EP 110064R</t>
  </si>
  <si>
    <t>LT-010081-17/QU</t>
  </si>
  <si>
    <t>LT-62039-16/QU</t>
  </si>
  <si>
    <t>LT-059235-17/QU</t>
  </si>
  <si>
    <t>LT-58900-16/qu</t>
  </si>
  <si>
    <t>LT-59071-16/QU</t>
  </si>
  <si>
    <t>71686/15</t>
  </si>
  <si>
    <t>Q69961/16</t>
  </si>
  <si>
    <t>DX110104</t>
  </si>
  <si>
    <t>LT 069702-16/QU</t>
  </si>
  <si>
    <t>LT-52016/17QU</t>
  </si>
  <si>
    <t>LT-59235-17/QU</t>
  </si>
  <si>
    <t>54432/2015</t>
  </si>
  <si>
    <t>052489/2016</t>
  </si>
  <si>
    <t>082131/2015</t>
  </si>
  <si>
    <t>CV-11164-16/QU</t>
  </si>
  <si>
    <t>73875/16</t>
  </si>
  <si>
    <t>LT-059362-16/QU</t>
  </si>
  <si>
    <t>072170/16</t>
  </si>
  <si>
    <t>Lt-60177/17-QU</t>
  </si>
  <si>
    <t>LT-081028-16/QU</t>
  </si>
  <si>
    <t>54071/16</t>
  </si>
  <si>
    <t>LT-075938-15/QU</t>
  </si>
  <si>
    <t>LT-031372-16/BX</t>
  </si>
  <si>
    <t>71216/2015</t>
  </si>
  <si>
    <t>LT-808347-16/BX</t>
  </si>
  <si>
    <t>LT-066247-12/NY</t>
  </si>
  <si>
    <t>L&amp;T-251302/16NY</t>
  </si>
  <si>
    <t>LT-080511-17/NY</t>
  </si>
  <si>
    <t>LT-053403-17/NY</t>
  </si>
  <si>
    <t>57734/14</t>
  </si>
  <si>
    <t>53751/14</t>
  </si>
  <si>
    <t>LT-071725-16/NY</t>
  </si>
  <si>
    <t>LT-061088-17/NY</t>
  </si>
  <si>
    <t>LT-015406-17/NY</t>
  </si>
  <si>
    <t>LT-076246-16/NY</t>
  </si>
  <si>
    <t>LT-074743-16/KI</t>
  </si>
  <si>
    <t>6623/2014</t>
  </si>
  <si>
    <t>LT-99316-15/KI</t>
  </si>
  <si>
    <t>71403/2015</t>
  </si>
  <si>
    <t>78977/14</t>
  </si>
  <si>
    <t>21392/2014</t>
  </si>
  <si>
    <t>105513/2013</t>
  </si>
  <si>
    <t>LT- 68022-19/NY</t>
  </si>
  <si>
    <t>LT-251661-18/HA</t>
  </si>
  <si>
    <t>LT-070215-19/NY</t>
  </si>
  <si>
    <t>LT-070838-19/NY</t>
  </si>
  <si>
    <t>LT-050268-19/NY</t>
  </si>
  <si>
    <t>LT-068237-18/NY</t>
  </si>
  <si>
    <t>LT-250294-19 and LT-25142-17</t>
  </si>
  <si>
    <t>LT-062458-19/NY</t>
  </si>
  <si>
    <t>LT-51924-19</t>
  </si>
  <si>
    <t>LT-058143-19/NY</t>
  </si>
  <si>
    <t>LT-802893-19</t>
  </si>
  <si>
    <t>LT-015014-15/BX</t>
  </si>
  <si>
    <t>HP-64876-15/BX</t>
  </si>
  <si>
    <t>LT-050579-19/QU</t>
  </si>
  <si>
    <t>LT-60156-19/QU</t>
  </si>
  <si>
    <t>42003/2016E</t>
  </si>
  <si>
    <t>LT-077668-15/BX</t>
  </si>
  <si>
    <t>LT-052975-19/QU</t>
  </si>
  <si>
    <t>LT-54710-19/QU</t>
  </si>
  <si>
    <t>LT-66323-16/qu</t>
  </si>
  <si>
    <t>58901/16</t>
  </si>
  <si>
    <t>LT-64275-16/qu</t>
  </si>
  <si>
    <t>LT-66522-16/qu</t>
  </si>
  <si>
    <t>67350/18</t>
  </si>
  <si>
    <t>LT-66747-16/qu</t>
  </si>
  <si>
    <t>Holdover</t>
  </si>
  <si>
    <t>Non-payment</t>
  </si>
  <si>
    <t>Non-Litigation Advocacy</t>
  </si>
  <si>
    <t>HP Action</t>
  </si>
  <si>
    <t>Tenant Rights</t>
  </si>
  <si>
    <t>SCRIE/DRIE</t>
  </si>
  <si>
    <t>7A Proceeding</t>
  </si>
  <si>
    <t>NYCHA Housing Termination</t>
  </si>
  <si>
    <t>Public Nuisance</t>
  </si>
  <si>
    <t>NYCHA RFM</t>
  </si>
  <si>
    <t>Sec. 8 Termination</t>
  </si>
  <si>
    <t>Other Administrative Proceeding</t>
  </si>
  <si>
    <t>Other</t>
  </si>
  <si>
    <t>DHCR Proceeding</t>
  </si>
  <si>
    <t>PA Issue: RAU</t>
  </si>
  <si>
    <t>Section 8 other</t>
  </si>
  <si>
    <t>Ejectment Action</t>
  </si>
  <si>
    <t>Other Civil Court</t>
  </si>
  <si>
    <t>NYCHA Housing Grievance</t>
  </si>
  <si>
    <t>DHCR Administrative Action</t>
  </si>
  <si>
    <t>Affirmative Litigation Supreme</t>
  </si>
  <si>
    <t>Illegal Lockout</t>
  </si>
  <si>
    <t>PA Issue: LINC</t>
  </si>
  <si>
    <t>Article 78</t>
  </si>
  <si>
    <t>Section 8 share</t>
  </si>
  <si>
    <t>Human Rights Complaint</t>
  </si>
  <si>
    <t>PA Issue: Other</t>
  </si>
  <si>
    <t>Appeal-Appellate Term</t>
  </si>
  <si>
    <t>Certificate of No Harassment Case</t>
  </si>
  <si>
    <t>PA Issue: City FEPS/SEPS</t>
  </si>
  <si>
    <t>Other Affirmative Litigation</t>
  </si>
  <si>
    <t>Mitchell-Lama RFM</t>
  </si>
  <si>
    <t>Section 8 Grievance</t>
  </si>
  <si>
    <t>Affirmative Litigation Federal</t>
  </si>
  <si>
    <t>Appeal Supreme</t>
  </si>
  <si>
    <t>Advice</t>
  </si>
  <si>
    <t>Brief Service</t>
  </si>
  <si>
    <t>Out-of-Court Advocacy</t>
  </si>
  <si>
    <t>Representation - State Court</t>
  </si>
  <si>
    <t>Hold For Review</t>
  </si>
  <si>
    <t>Representation - Admin. Agency</t>
  </si>
  <si>
    <t>Representation - Federal Court</t>
  </si>
  <si>
    <t>Representation—EOIR</t>
  </si>
  <si>
    <t>A - Counsel and Advice</t>
  </si>
  <si>
    <t>B - Limited Action (Brief Service)</t>
  </si>
  <si>
    <t>G - Negotiated Settlement with Litigation</t>
  </si>
  <si>
    <t>F - Negotiated Settlement w/out Litigation</t>
  </si>
  <si>
    <t>H - Administrative Agency Decision</t>
  </si>
  <si>
    <t>L - Extensive Service (not resulting in Settlement of Court or Administrative Action)</t>
  </si>
  <si>
    <t>IA - Uncontested Court Decision</t>
  </si>
  <si>
    <t>IB - Contested Court Decision</t>
  </si>
  <si>
    <t>IC - Appeals</t>
  </si>
  <si>
    <t>2157 OCA-City-wide Civil Legal Services Grant</t>
  </si>
  <si>
    <t>3011 TRC FJC Initiative</t>
  </si>
  <si>
    <t>3018 Tenant Rights Coalition (TRC)</t>
  </si>
  <si>
    <t>3020 CLS-Civil Legal Services</t>
  </si>
  <si>
    <t>3111 HPLP-Homelessness Prevention Law Project</t>
  </si>
  <si>
    <t>3112 HPLP-Homelessness Prevention Law Project</t>
  </si>
  <si>
    <t>3113 HPLP-Homelessness Prevention Law Project</t>
  </si>
  <si>
    <t>3114 HRA-HPLP-Homelessness Prevention Law Project</t>
  </si>
  <si>
    <t>3115 HPLP-Homelessness Prevention Law Project</t>
  </si>
  <si>
    <t>3121 Universal Access to Counsel – (UAC)</t>
  </si>
  <si>
    <t>3122 Universal Access to Counsel – (UAC)</t>
  </si>
  <si>
    <t>3123 Universal Access to Counsel – (UAC)</t>
  </si>
  <si>
    <t>3124 Universal Access to Counsel – (UAC)</t>
  </si>
  <si>
    <t>3125 Universal Access to Counsel – (UAC)</t>
  </si>
  <si>
    <t>3306 Anti-Eviction and SRO Legal Services (formerly known as “HPD” Contracts)</t>
  </si>
  <si>
    <t>3307 Anti Eviction and SRO Legal Services (formerly "HPD")</t>
  </si>
  <si>
    <t>3308 Anti-Eviction and SRO Legal Services (formerly known as “HPD” Contracts)</t>
  </si>
  <si>
    <t>3311 Anti-Eviction and SRO Legal Services (formerly "HPD")</t>
  </si>
  <si>
    <t>3312 Housing Preservation Initiative (HPI)</t>
  </si>
  <si>
    <t>4000 LSC - Basic Grant</t>
  </si>
  <si>
    <t>4100 IOLA - General</t>
  </si>
  <si>
    <t>Prefer Not To Answer</t>
  </si>
  <si>
    <t>3168 NY City Council (Perkins)</t>
  </si>
  <si>
    <t>3019 NYC HRA Veterans Justice Project (VJP)</t>
  </si>
  <si>
    <t>3311 Anti-Eviction and SRO Legal Services (formerly "HPD"), 5556 Robin Hood-Foreclosure and Housing</t>
  </si>
  <si>
    <t>5556 Robin Hood-Foreclosure and Housing</t>
  </si>
  <si>
    <t>4302 PHS- ADV-Client Advocacy</t>
  </si>
  <si>
    <t>5227 RH VJP (Veterans Justice Project)</t>
  </si>
  <si>
    <t>5221 SSUSA-Single Stop USA</t>
  </si>
  <si>
    <t>2556 VOCA Victim Assistance Program:Attorney Services</t>
  </si>
  <si>
    <t>5510 CB9 Manhattanville-West Harlem Tenant Advocacy Project</t>
  </si>
  <si>
    <t>1417 HUD – Fair Housing Project (QLS)</t>
  </si>
  <si>
    <t>63 Private Landlord/Tenant</t>
  </si>
  <si>
    <t>64 Public Housing</t>
  </si>
  <si>
    <t>69 Other Housing</t>
  </si>
  <si>
    <t>61 Federally Subsidized Housing</t>
  </si>
  <si>
    <t>66 Housing Discrimination</t>
  </si>
  <si>
    <t>No Stipulation; No Judgment</t>
  </si>
  <si>
    <t>Post-Stipulation, No Judgment</t>
  </si>
  <si>
    <t>Post-Judgment, Tenant in Possession-Judgment Due to Other</t>
  </si>
  <si>
    <t>On for Trial</t>
  </si>
  <si>
    <t>Post-Judgment, Tenant Out of Possession</t>
  </si>
  <si>
    <t>Post-Judgment, Tenant in Possession-Judgment Due to Default</t>
  </si>
  <si>
    <t>No Stipulation; No Judgment, Post-Stipulation, No Judgment</t>
  </si>
  <si>
    <t>09/01/2019</t>
  </si>
  <si>
    <t>08/25/2019</t>
  </si>
  <si>
    <t>07/28/2019</t>
  </si>
  <si>
    <t>08/03/2019</t>
  </si>
  <si>
    <t>08/31/2019</t>
  </si>
  <si>
    <t>09/22/2019</t>
  </si>
  <si>
    <t>11/17/2019</t>
  </si>
  <si>
    <t>11/30/2019</t>
  </si>
  <si>
    <t>12/05/2019</t>
  </si>
  <si>
    <t>12/18/2019</t>
  </si>
  <si>
    <t>12/20/2019</t>
  </si>
  <si>
    <t>12/22/2019</t>
  </si>
  <si>
    <t>12/28/2019</t>
  </si>
  <si>
    <t>02/10/2020</t>
  </si>
  <si>
    <t>09/20/1019</t>
  </si>
  <si>
    <t>12/09/2019</t>
  </si>
  <si>
    <t>09/08/2019</t>
  </si>
  <si>
    <t>08/10/2019</t>
  </si>
  <si>
    <t>07/21/2019</t>
  </si>
  <si>
    <t>Bronx Legal Services</t>
  </si>
  <si>
    <t>Brooklyn Legal Services</t>
  </si>
  <si>
    <t>Manhattan Legal Services</t>
  </si>
  <si>
    <t>Queens Legal Services</t>
  </si>
  <si>
    <t>Staten Island Legal Services</t>
  </si>
  <si>
    <t>Court Referral-NON HRA</t>
  </si>
  <si>
    <t>Community Organization</t>
  </si>
  <si>
    <t>HRA</t>
  </si>
  <si>
    <t>3-1-1</t>
  </si>
  <si>
    <t>Self-referred</t>
  </si>
  <si>
    <t>Returning Client</t>
  </si>
  <si>
    <t>ADP Hotline</t>
  </si>
  <si>
    <t>Other City Agency</t>
  </si>
  <si>
    <t>In-House</t>
  </si>
  <si>
    <t>Friends/Family</t>
  </si>
  <si>
    <t>Word of mouth</t>
  </si>
  <si>
    <t>Court</t>
  </si>
  <si>
    <t>FJC Housing Intake</t>
  </si>
  <si>
    <t>Outreach</t>
  </si>
  <si>
    <t>Elected Official</t>
  </si>
  <si>
    <t>Legal Services</t>
  </si>
  <si>
    <t>Tenant Support Unit</t>
  </si>
  <si>
    <t>Home base</t>
  </si>
  <si>
    <t>HRA ELS Part F Brooklyn</t>
  </si>
  <si>
    <t>HRA ELS (Assigned Counsel)</t>
  </si>
  <si>
    <t>6014-Obtained advice and counsel on a Housing matter</t>
  </si>
  <si>
    <t>6015-Obtained non-litgation advocacy services on a Housing  matter</t>
  </si>
  <si>
    <t>6017-Obtained other benefit on a Housing matter</t>
  </si>
  <si>
    <t>6009-Obtained repairs, Improved housing conditions or otherwise enforced rights to decent, habitable housing</t>
  </si>
  <si>
    <t>6002-Prevented eviction from private housing</t>
  </si>
  <si>
    <t>6003-Delayed eviction providing time to seek alternative housing</t>
  </si>
  <si>
    <t>6004-Obtained access to housing</t>
  </si>
  <si>
    <t>ZZ-Client Withdrew—For ZZ Adm Closed Reason Closed Cases Only</t>
  </si>
  <si>
    <t>6021-Provided full representation in a Housing matter, but no legal benefit achieved for the client</t>
  </si>
  <si>
    <t>6013-Obtained assistance in development/renovation of affordable housing</t>
  </si>
  <si>
    <t>6007-Avoided, or obtained redress for charges by landlord</t>
  </si>
  <si>
    <t>6001-Prevented eviction from public housing</t>
  </si>
  <si>
    <t>6008-Overcame denial of tenants rights under lease</t>
  </si>
  <si>
    <t>0-No Main Benefit</t>
  </si>
  <si>
    <t>6018-Prevented eviction from subsidized housing</t>
  </si>
  <si>
    <t>6012-Overcame, or obtained redress for, discrimination of affordable housing</t>
  </si>
  <si>
    <t>6010-Preserved or restored access to personal property</t>
  </si>
  <si>
    <t>12/18/1934</t>
  </si>
  <si>
    <t>12/17/1994</t>
  </si>
  <si>
    <t>07/10/1939</t>
  </si>
  <si>
    <t>04/05/1995</t>
  </si>
  <si>
    <t>04/29/1965</t>
  </si>
  <si>
    <t>09/11/1943</t>
  </si>
  <si>
    <t>05/03/1984</t>
  </si>
  <si>
    <t>04/14/1949</t>
  </si>
  <si>
    <t>01/23/1980</t>
  </si>
  <si>
    <t>07/20/1954</t>
  </si>
  <si>
    <t>06/23/1962</t>
  </si>
  <si>
    <t>04/01/1964</t>
  </si>
  <si>
    <t>01/02/1989</t>
  </si>
  <si>
    <t>09/30/1957</t>
  </si>
  <si>
    <t>05/08/1934</t>
  </si>
  <si>
    <t>01/01/1952</t>
  </si>
  <si>
    <t>06/21/1952</t>
  </si>
  <si>
    <t>11/10/1956</t>
  </si>
  <si>
    <t>05/29/1967</t>
  </si>
  <si>
    <t>01/16/1960</t>
  </si>
  <si>
    <t>12/27/1976</t>
  </si>
  <si>
    <t>10/13/1973</t>
  </si>
  <si>
    <t>02/06/1957</t>
  </si>
  <si>
    <t>10/29/1973</t>
  </si>
  <si>
    <t>07/31/1972</t>
  </si>
  <si>
    <t>05/02/1957</t>
  </si>
  <si>
    <t>06/01/1994</t>
  </si>
  <si>
    <t>03/16/1980</t>
  </si>
  <si>
    <t>03/23/1956</t>
  </si>
  <si>
    <t>07/17/1974</t>
  </si>
  <si>
    <t>09/11/1946</t>
  </si>
  <si>
    <t>06/21/1966</t>
  </si>
  <si>
    <t>03/28/1962</t>
  </si>
  <si>
    <t>08/05/1953</t>
  </si>
  <si>
    <t>02/20/1965</t>
  </si>
  <si>
    <t>10/31/1969</t>
  </si>
  <si>
    <t>05/11/1991</t>
  </si>
  <si>
    <t>05/20/1965</t>
  </si>
  <si>
    <t>11/04/1986</t>
  </si>
  <si>
    <t>11/13/1957</t>
  </si>
  <si>
    <t>01/19/1941</t>
  </si>
  <si>
    <t>02/14/1955</t>
  </si>
  <si>
    <t>05/11/1953</t>
  </si>
  <si>
    <t>03/19/1960</t>
  </si>
  <si>
    <t>10/19/1979</t>
  </si>
  <si>
    <t>11/13/1958</t>
  </si>
  <si>
    <t>01/04/1946</t>
  </si>
  <si>
    <t>06/19/1953</t>
  </si>
  <si>
    <t>12/30/1965</t>
  </si>
  <si>
    <t>04/21/1987</t>
  </si>
  <si>
    <t>08/07/1991</t>
  </si>
  <si>
    <t>05/18/1993</t>
  </si>
  <si>
    <t>12/19/1963</t>
  </si>
  <si>
    <t>11/22/1951</t>
  </si>
  <si>
    <t>06/02/1967</t>
  </si>
  <si>
    <t>06/04/1946</t>
  </si>
  <si>
    <t>12/24/1968</t>
  </si>
  <si>
    <t>01/28/1998</t>
  </si>
  <si>
    <t>11/26/1977</t>
  </si>
  <si>
    <t>02/20/1973</t>
  </si>
  <si>
    <t>02/07/1977</t>
  </si>
  <si>
    <t>12/26/1995</t>
  </si>
  <si>
    <t>12/06/1987</t>
  </si>
  <si>
    <t>04/03/1993</t>
  </si>
  <si>
    <t>05/26/1967</t>
  </si>
  <si>
    <t>07/18/1951</t>
  </si>
  <si>
    <t>10/19/1962</t>
  </si>
  <si>
    <t>09/28/1976</t>
  </si>
  <si>
    <t>08/29/1990</t>
  </si>
  <si>
    <t>10/25/1966</t>
  </si>
  <si>
    <t>08/27/1958</t>
  </si>
  <si>
    <t>08/05/1945</t>
  </si>
  <si>
    <t>04/13/1956</t>
  </si>
  <si>
    <t>04/22/1957</t>
  </si>
  <si>
    <t>12/15/1955</t>
  </si>
  <si>
    <t>07/10/1975</t>
  </si>
  <si>
    <t>09/05/1974</t>
  </si>
  <si>
    <t>06/06/1973</t>
  </si>
  <si>
    <t>07/06/1963</t>
  </si>
  <si>
    <t>09/21/1985</t>
  </si>
  <si>
    <t>10/20/1987</t>
  </si>
  <si>
    <t>12/15/1964</t>
  </si>
  <si>
    <t>02/25/1991</t>
  </si>
  <si>
    <t>10/27/1946</t>
  </si>
  <si>
    <t>12/04/1943</t>
  </si>
  <si>
    <t>02/20/1947</t>
  </si>
  <si>
    <t>03/23/1975</t>
  </si>
  <si>
    <t>10/21/1951</t>
  </si>
  <si>
    <t>05/17/1942</t>
  </si>
  <si>
    <t>08/14/1986</t>
  </si>
  <si>
    <t>01/08/1988</t>
  </si>
  <si>
    <t>10/15/1963</t>
  </si>
  <si>
    <t>06/23/1971</t>
  </si>
  <si>
    <t>03/13/1992</t>
  </si>
  <si>
    <t>10/24/1979</t>
  </si>
  <si>
    <t>10/16/1965</t>
  </si>
  <si>
    <t>09/17/1964</t>
  </si>
  <si>
    <t>09/06/1951</t>
  </si>
  <si>
    <t>09/21/1960</t>
  </si>
  <si>
    <t>01/25/1962</t>
  </si>
  <si>
    <t>05/21/1975</t>
  </si>
  <si>
    <t>04/13/1979</t>
  </si>
  <si>
    <t>12/28/1965</t>
  </si>
  <si>
    <t>04/15/1960</t>
  </si>
  <si>
    <t>05/21/1946</t>
  </si>
  <si>
    <t>07/04/1990</t>
  </si>
  <si>
    <t>11/18/1999</t>
  </si>
  <si>
    <t>01/28/1985</t>
  </si>
  <si>
    <t>05/21/1970</t>
  </si>
  <si>
    <t>05/27/1968</t>
  </si>
  <si>
    <t>05/30/1946</t>
  </si>
  <si>
    <t>06/09/1974</t>
  </si>
  <si>
    <t>03/30/1963</t>
  </si>
  <si>
    <t>12/07/1977</t>
  </si>
  <si>
    <t>02/23/1958</t>
  </si>
  <si>
    <t>06/18/1981</t>
  </si>
  <si>
    <t>11/24/1972</t>
  </si>
  <si>
    <t>03/01/1947</t>
  </si>
  <si>
    <t>05/05/1985</t>
  </si>
  <si>
    <t>12/04/1947</t>
  </si>
  <si>
    <t>08/16/1985</t>
  </si>
  <si>
    <t>09/07/1956</t>
  </si>
  <si>
    <t>05/21/1987</t>
  </si>
  <si>
    <t>04/16/1962</t>
  </si>
  <si>
    <t>08/07/1990</t>
  </si>
  <si>
    <t>03/13/1984</t>
  </si>
  <si>
    <t>10/14/1981</t>
  </si>
  <si>
    <t>12/23/1975</t>
  </si>
  <si>
    <t>05/16/1972</t>
  </si>
  <si>
    <t>03/11/1986</t>
  </si>
  <si>
    <t>02/04/1957</t>
  </si>
  <si>
    <t>10/06/1953</t>
  </si>
  <si>
    <t>07/26/1988</t>
  </si>
  <si>
    <t>05/29/1970</t>
  </si>
  <si>
    <t>01/12/1957</t>
  </si>
  <si>
    <t>11/08/1961</t>
  </si>
  <si>
    <t>04/04/1966</t>
  </si>
  <si>
    <t>07/02/1957</t>
  </si>
  <si>
    <t>09/28/1974</t>
  </si>
  <si>
    <t>02/12/1960</t>
  </si>
  <si>
    <t>01/01/1995</t>
  </si>
  <si>
    <t>06/22/1936</t>
  </si>
  <si>
    <t>12/11/1969</t>
  </si>
  <si>
    <t>08/04/1965</t>
  </si>
  <si>
    <t>07/10/1962</t>
  </si>
  <si>
    <t>05/07/1960</t>
  </si>
  <si>
    <t>10/11/1990</t>
  </si>
  <si>
    <t>11/10/1970</t>
  </si>
  <si>
    <t>09/30/1964</t>
  </si>
  <si>
    <t>02/23/1967</t>
  </si>
  <si>
    <t>08/17/1992</t>
  </si>
  <si>
    <t>09/26/1977</t>
  </si>
  <si>
    <t>12/12/1958</t>
  </si>
  <si>
    <t>05/22/1975</t>
  </si>
  <si>
    <t>03/23/1933</t>
  </si>
  <si>
    <t>11/05/1954</t>
  </si>
  <si>
    <t>10/15/1969</t>
  </si>
  <si>
    <t>08/29/1963</t>
  </si>
  <si>
    <t>05/21/1956</t>
  </si>
  <si>
    <t>09/03/1963</t>
  </si>
  <si>
    <t>04/27/1939</t>
  </si>
  <si>
    <t>03/24/1968</t>
  </si>
  <si>
    <t>12/17/1974</t>
  </si>
  <si>
    <t>06/19/1951</t>
  </si>
  <si>
    <t>10/14/1982</t>
  </si>
  <si>
    <t>10/01/1977</t>
  </si>
  <si>
    <t>06/13/1945</t>
  </si>
  <si>
    <t>11/24/1969</t>
  </si>
  <si>
    <t>09/27/1983</t>
  </si>
  <si>
    <t>08/25/1986</t>
  </si>
  <si>
    <t>09/01/1958</t>
  </si>
  <si>
    <t>04/01/1955</t>
  </si>
  <si>
    <t>01/27/1965</t>
  </si>
  <si>
    <t>04/27/1999</t>
  </si>
  <si>
    <t>12/05/1978</t>
  </si>
  <si>
    <t>08/10/1961</t>
  </si>
  <si>
    <t>09/24/1951</t>
  </si>
  <si>
    <t>10/18/1957</t>
  </si>
  <si>
    <t>03/18/1947</t>
  </si>
  <si>
    <t>02/19/1967</t>
  </si>
  <si>
    <t>02/13/1962</t>
  </si>
  <si>
    <t>01/30/1983</t>
  </si>
  <si>
    <t>10/02/1987</t>
  </si>
  <si>
    <t>06/04/1980</t>
  </si>
  <si>
    <t>11/03/1964</t>
  </si>
  <si>
    <t>04/16/1933</t>
  </si>
  <si>
    <t>12/27/1950</t>
  </si>
  <si>
    <t>03/16/1960</t>
  </si>
  <si>
    <t>06/18/1968</t>
  </si>
  <si>
    <t>07/27/1958</t>
  </si>
  <si>
    <t>09/26/1966</t>
  </si>
  <si>
    <t>10/23/1978</t>
  </si>
  <si>
    <t>03/04/1988</t>
  </si>
  <si>
    <t>04/17/1959</t>
  </si>
  <si>
    <t>12/06/1978</t>
  </si>
  <si>
    <t>07/02/1982</t>
  </si>
  <si>
    <t>09/07/1959</t>
  </si>
  <si>
    <t>08/25/1963</t>
  </si>
  <si>
    <t>02/19/1977</t>
  </si>
  <si>
    <t>04/16/1961</t>
  </si>
  <si>
    <t>05/14/1985</t>
  </si>
  <si>
    <t>05/11/1988</t>
  </si>
  <si>
    <t>03/25/1974</t>
  </si>
  <si>
    <t>11/29/1988</t>
  </si>
  <si>
    <t>03/26/1978</t>
  </si>
  <si>
    <t>01/05/1988</t>
  </si>
  <si>
    <t>01/22/2000</t>
  </si>
  <si>
    <t>01/22/1942</t>
  </si>
  <si>
    <t>11/19/1966</t>
  </si>
  <si>
    <t>10/20/1986</t>
  </si>
  <si>
    <t>06/07/1993</t>
  </si>
  <si>
    <t>12/28/1984</t>
  </si>
  <si>
    <t>07/07/1988</t>
  </si>
  <si>
    <t>08/12/1990</t>
  </si>
  <si>
    <t>12/30/1973</t>
  </si>
  <si>
    <t>05/04/1960</t>
  </si>
  <si>
    <t>08/05/1959</t>
  </si>
  <si>
    <t>09/03/1981</t>
  </si>
  <si>
    <t>09/15/1958</t>
  </si>
  <si>
    <t>12/22/1986</t>
  </si>
  <si>
    <t>09/07/1973</t>
  </si>
  <si>
    <t>03/29/1982</t>
  </si>
  <si>
    <t>01/15/1958</t>
  </si>
  <si>
    <t>10/07/1952</t>
  </si>
  <si>
    <t>09/29/1968</t>
  </si>
  <si>
    <t>12/12/1979</t>
  </si>
  <si>
    <t>01/23/1967</t>
  </si>
  <si>
    <t>10/16/1986</t>
  </si>
  <si>
    <t>07/20/1966</t>
  </si>
  <si>
    <t>10/09/1975</t>
  </si>
  <si>
    <t>03/12/1984</t>
  </si>
  <si>
    <t>03/07/1972</t>
  </si>
  <si>
    <t>06/13/1975</t>
  </si>
  <si>
    <t>05/16/1971</t>
  </si>
  <si>
    <t>06/14/1977</t>
  </si>
  <si>
    <t>10/05/1982</t>
  </si>
  <si>
    <t>01/08/1948</t>
  </si>
  <si>
    <t>03/25/1988</t>
  </si>
  <si>
    <t>03/23/1988</t>
  </si>
  <si>
    <t>02/25/1984</t>
  </si>
  <si>
    <t>11/20/1955</t>
  </si>
  <si>
    <t>01/22/1955</t>
  </si>
  <si>
    <t>06/18/1979</t>
  </si>
  <si>
    <t>07/18/1989</t>
  </si>
  <si>
    <t>01/07/1976</t>
  </si>
  <si>
    <t>04/22/1958</t>
  </si>
  <si>
    <t>05/13/1977</t>
  </si>
  <si>
    <t>12/18/1979</t>
  </si>
  <si>
    <t>05/01/1993</t>
  </si>
  <si>
    <t>04/04/1953</t>
  </si>
  <si>
    <t>10/19/1977</t>
  </si>
  <si>
    <t>02/23/1951</t>
  </si>
  <si>
    <t>04/18/1962</t>
  </si>
  <si>
    <t>11/12/1981</t>
  </si>
  <si>
    <t>09/26/1970</t>
  </si>
  <si>
    <t>03/08/1971</t>
  </si>
  <si>
    <t>09/03/1998</t>
  </si>
  <si>
    <t>06/22/1970</t>
  </si>
  <si>
    <t>02/17/1962</t>
  </si>
  <si>
    <t>10/04/1969</t>
  </si>
  <si>
    <t>11/17/1964</t>
  </si>
  <si>
    <t>04/18/1959</t>
  </si>
  <si>
    <t>05/26/1972</t>
  </si>
  <si>
    <t>03/16/1943</t>
  </si>
  <si>
    <t>12/14/1977</t>
  </si>
  <si>
    <t>01/06/1968</t>
  </si>
  <si>
    <t>12/01/1958</t>
  </si>
  <si>
    <t>11/16/1937</t>
  </si>
  <si>
    <t>10/10/1939</t>
  </si>
  <si>
    <t>10/08/1940</t>
  </si>
  <si>
    <t>11/06/1958</t>
  </si>
  <si>
    <t>02/02/1949</t>
  </si>
  <si>
    <t>01/03/1967</t>
  </si>
  <si>
    <t>07/10/1952</t>
  </si>
  <si>
    <t>12/11/1971</t>
  </si>
  <si>
    <t>11/15/1958</t>
  </si>
  <si>
    <t>10/24/1951</t>
  </si>
  <si>
    <t>02/23/1946</t>
  </si>
  <si>
    <t>12/17/1989</t>
  </si>
  <si>
    <t>04/08/1956</t>
  </si>
  <si>
    <t>04/12/1960</t>
  </si>
  <si>
    <t>12/13/1947</t>
  </si>
  <si>
    <t>03/08/1972</t>
  </si>
  <si>
    <t>07/10/1954</t>
  </si>
  <si>
    <t>02/02/1968</t>
  </si>
  <si>
    <t>12/16/1944</t>
  </si>
  <si>
    <t>11/15/1973</t>
  </si>
  <si>
    <t>08/08/1989</t>
  </si>
  <si>
    <t>12/11/1968</t>
  </si>
  <si>
    <t>10/16/1958</t>
  </si>
  <si>
    <t>07/07/1953</t>
  </si>
  <si>
    <t>09/08/1960</t>
  </si>
  <si>
    <t>02/15/1986</t>
  </si>
  <si>
    <t>02/23/1947</t>
  </si>
  <si>
    <t>11/23/1974</t>
  </si>
  <si>
    <t>10/05/1981</t>
  </si>
  <si>
    <t>03/08/1942</t>
  </si>
  <si>
    <t>03/07/1955</t>
  </si>
  <si>
    <t>04/19/1961</t>
  </si>
  <si>
    <t>06/10/1978</t>
  </si>
  <si>
    <t>10/08/1947</t>
  </si>
  <si>
    <t>10/28/1987</t>
  </si>
  <si>
    <t>12/10/1960</t>
  </si>
  <si>
    <t>11/16/1979</t>
  </si>
  <si>
    <t>08/18/1954</t>
  </si>
  <si>
    <t>04/24/1968</t>
  </si>
  <si>
    <t>01/14/1957</t>
  </si>
  <si>
    <t>01/15/1953</t>
  </si>
  <si>
    <t>10/20/1968</t>
  </si>
  <si>
    <t>03/09/1970</t>
  </si>
  <si>
    <t>10/12/1959</t>
  </si>
  <si>
    <t>06/11/1976</t>
  </si>
  <si>
    <t>02/26/1953</t>
  </si>
  <si>
    <t>11/18/1956</t>
  </si>
  <si>
    <t>01/06/1990</t>
  </si>
  <si>
    <t>12/13/1957</t>
  </si>
  <si>
    <t>12/29/1956</t>
  </si>
  <si>
    <t>07/11/1959</t>
  </si>
  <si>
    <t>05/23/1956</t>
  </si>
  <si>
    <t>08/09/1959</t>
  </si>
  <si>
    <t>12/07/1934</t>
  </si>
  <si>
    <t>05/20/1986</t>
  </si>
  <si>
    <t>04/03/1982</t>
  </si>
  <si>
    <t>05/20/1984</t>
  </si>
  <si>
    <t>02/05/1999</t>
  </si>
  <si>
    <t>06/12/1980</t>
  </si>
  <si>
    <t>01/18/1945</t>
  </si>
  <si>
    <t>02/27/1993</t>
  </si>
  <si>
    <t>01/09/1965</t>
  </si>
  <si>
    <t>03/02/1942</t>
  </si>
  <si>
    <t>07/05/1975</t>
  </si>
  <si>
    <t>06/05/1945</t>
  </si>
  <si>
    <t>02/02/1958</t>
  </si>
  <si>
    <t>01/21/1933</t>
  </si>
  <si>
    <t>09/27/1979</t>
  </si>
  <si>
    <t>05/12/1987</t>
  </si>
  <si>
    <t>01/24/1961</t>
  </si>
  <si>
    <t>02/04/1991</t>
  </si>
  <si>
    <t>09/25/1956</t>
  </si>
  <si>
    <t>07/12/1943</t>
  </si>
  <si>
    <t>06/04/1958</t>
  </si>
  <si>
    <t>02/25/1985</t>
  </si>
  <si>
    <t>09/20/1987</t>
  </si>
  <si>
    <t>09/18/1997</t>
  </si>
  <si>
    <t>11/24/1960</t>
  </si>
  <si>
    <t>09/24/1972</t>
  </si>
  <si>
    <t>07/23/1969</t>
  </si>
  <si>
    <t>09/24/1954</t>
  </si>
  <si>
    <t>06/13/1961</t>
  </si>
  <si>
    <t>06/26/1968</t>
  </si>
  <si>
    <t>10/15/1954</t>
  </si>
  <si>
    <t>05/19/1966</t>
  </si>
  <si>
    <t>03/22/1938</t>
  </si>
  <si>
    <t>03/02/1957</t>
  </si>
  <si>
    <t>10/20/1980</t>
  </si>
  <si>
    <t>01/10/1956</t>
  </si>
  <si>
    <t>03/07/1964</t>
  </si>
  <si>
    <t>01/11/1971</t>
  </si>
  <si>
    <t>07/29/1989</t>
  </si>
  <si>
    <t>01/07/1987</t>
  </si>
  <si>
    <t>08/28/1995</t>
  </si>
  <si>
    <t>01/05/1953</t>
  </si>
  <si>
    <t>03/01/1970</t>
  </si>
  <si>
    <t>12/23/1953</t>
  </si>
  <si>
    <t>06/13/1972</t>
  </si>
  <si>
    <t>10/04/1961</t>
  </si>
  <si>
    <t>10/05/1944</t>
  </si>
  <si>
    <t>06/28/1979</t>
  </si>
  <si>
    <t>09/07/1947</t>
  </si>
  <si>
    <t>11/26/1952</t>
  </si>
  <si>
    <t>09/18/1974</t>
  </si>
  <si>
    <t>02/13/1978</t>
  </si>
  <si>
    <t>05/31/1936</t>
  </si>
  <si>
    <t>01/12/1983</t>
  </si>
  <si>
    <t>10/13/1957</t>
  </si>
  <si>
    <t>06/17/1983</t>
  </si>
  <si>
    <t>10/09/1987</t>
  </si>
  <si>
    <t>03/16/1979</t>
  </si>
  <si>
    <t>11/11/1933</t>
  </si>
  <si>
    <t>07/30/1980</t>
  </si>
  <si>
    <t>03/01/1924</t>
  </si>
  <si>
    <t>09/12/1990</t>
  </si>
  <si>
    <t>04/16/1945</t>
  </si>
  <si>
    <t>07/31/1973</t>
  </si>
  <si>
    <t>06/28/1962</t>
  </si>
  <si>
    <t>08/05/1952</t>
  </si>
  <si>
    <t>10/24/1978</t>
  </si>
  <si>
    <t>07/14/1984</t>
  </si>
  <si>
    <t>03/26/1948</t>
  </si>
  <si>
    <t>07/22/1978</t>
  </si>
  <si>
    <t>05/23/1975</t>
  </si>
  <si>
    <t>02/29/1992</t>
  </si>
  <si>
    <t>03/09/1969</t>
  </si>
  <si>
    <t>01/04/1957</t>
  </si>
  <si>
    <t>02/17/1956</t>
  </si>
  <si>
    <t>05/31/1942</t>
  </si>
  <si>
    <t>11/19/1955</t>
  </si>
  <si>
    <t>11/20/1967</t>
  </si>
  <si>
    <t>05/05/1980</t>
  </si>
  <si>
    <t>06/13/1962</t>
  </si>
  <si>
    <t>04/07/1972</t>
  </si>
  <si>
    <t>06/03/1971</t>
  </si>
  <si>
    <t>04/12/1974</t>
  </si>
  <si>
    <t>04/27/1945</t>
  </si>
  <si>
    <t>06/12/1972</t>
  </si>
  <si>
    <t>01/19/1948</t>
  </si>
  <si>
    <t>10/22/1965</t>
  </si>
  <si>
    <t>02/20/1955</t>
  </si>
  <si>
    <t>01/11/1987</t>
  </si>
  <si>
    <t>09/12/1984</t>
  </si>
  <si>
    <t>09/28/1980</t>
  </si>
  <si>
    <t>07/18/1988</t>
  </si>
  <si>
    <t>11/18/1975</t>
  </si>
  <si>
    <t>03/16/1961</t>
  </si>
  <si>
    <t>10/26/1958</t>
  </si>
  <si>
    <t>04/23/1944</t>
  </si>
  <si>
    <t>07/12/1970</t>
  </si>
  <si>
    <t>12/26/1953</t>
  </si>
  <si>
    <t>10/19/1963</t>
  </si>
  <si>
    <t>07/02/1938</t>
  </si>
  <si>
    <t>09/26/1984</t>
  </si>
  <si>
    <t>09/10/1987</t>
  </si>
  <si>
    <t>01/13/1957</t>
  </si>
  <si>
    <t>10/15/1971</t>
  </si>
  <si>
    <t>11/14/1986</t>
  </si>
  <si>
    <t>08/17/1975</t>
  </si>
  <si>
    <t>03/18/1956</t>
  </si>
  <si>
    <t>06/26/1966</t>
  </si>
  <si>
    <t>09/19/1948</t>
  </si>
  <si>
    <t>09/05/1979</t>
  </si>
  <si>
    <t>01/17/1973</t>
  </si>
  <si>
    <t>09/17/1971</t>
  </si>
  <si>
    <t>06/08/1986</t>
  </si>
  <si>
    <t>11/11/1994</t>
  </si>
  <si>
    <t>06/20/1986</t>
  </si>
  <si>
    <t>08/22/1963</t>
  </si>
  <si>
    <t>02/25/1974</t>
  </si>
  <si>
    <t>08/14/1964</t>
  </si>
  <si>
    <t>10/12/1987</t>
  </si>
  <si>
    <t>06/04/1954</t>
  </si>
  <si>
    <t>11/23/1981</t>
  </si>
  <si>
    <t>02/18/1965</t>
  </si>
  <si>
    <t>02/10/1977</t>
  </si>
  <si>
    <t>07/07/1974</t>
  </si>
  <si>
    <t>03/03/1976</t>
  </si>
  <si>
    <t>07/14/1954</t>
  </si>
  <si>
    <t>06/13/1960</t>
  </si>
  <si>
    <t>03/18/1960</t>
  </si>
  <si>
    <t>09/22/1984</t>
  </si>
  <si>
    <t>04/09/1985</t>
  </si>
  <si>
    <t>03/01/1943</t>
  </si>
  <si>
    <t>06/18/1977</t>
  </si>
  <si>
    <t>03/08/1965</t>
  </si>
  <si>
    <t>09/27/1986</t>
  </si>
  <si>
    <t>04/10/1972</t>
  </si>
  <si>
    <t>07/26/1946</t>
  </si>
  <si>
    <t>04/21/1967</t>
  </si>
  <si>
    <t>06/09/1958</t>
  </si>
  <si>
    <t>08/01/1970</t>
  </si>
  <si>
    <t>01/28/1967</t>
  </si>
  <si>
    <t>04/30/1958</t>
  </si>
  <si>
    <t>03/16/1955</t>
  </si>
  <si>
    <t>10/26/1964</t>
  </si>
  <si>
    <t>03/12/1961</t>
  </si>
  <si>
    <t>05/06/1953</t>
  </si>
  <si>
    <t>12/06/1965</t>
  </si>
  <si>
    <t>02/24/1993</t>
  </si>
  <si>
    <t>05/14/1982</t>
  </si>
  <si>
    <t>09/19/1967</t>
  </si>
  <si>
    <t>09/27/1969</t>
  </si>
  <si>
    <t>12/31/1982</t>
  </si>
  <si>
    <t>09/11/1991</t>
  </si>
  <si>
    <t>10/03/1985</t>
  </si>
  <si>
    <t>12/09/1981</t>
  </si>
  <si>
    <t>01/29/1975</t>
  </si>
  <si>
    <t>09/19/1986</t>
  </si>
  <si>
    <t>10/27/1974</t>
  </si>
  <si>
    <t>11/17/1982</t>
  </si>
  <si>
    <t>01/09/1973</t>
  </si>
  <si>
    <t>10/02/1979</t>
  </si>
  <si>
    <t>05/14/1986</t>
  </si>
  <si>
    <t>01/08/1981</t>
  </si>
  <si>
    <t>09/06/1993</t>
  </si>
  <si>
    <t>02/07/1958</t>
  </si>
  <si>
    <t>12/14/1981</t>
  </si>
  <si>
    <t>09/29/1971</t>
  </si>
  <si>
    <t>04/19/1985</t>
  </si>
  <si>
    <t>06/08/1977</t>
  </si>
  <si>
    <t>06/02/1982</t>
  </si>
  <si>
    <t>11/21/1962</t>
  </si>
  <si>
    <t>02/12/1982</t>
  </si>
  <si>
    <t>02/05/1982</t>
  </si>
  <si>
    <t>05/27/1976</t>
  </si>
  <si>
    <t>02/06/1965</t>
  </si>
  <si>
    <t>09/01/1988</t>
  </si>
  <si>
    <t>02/08/1958</t>
  </si>
  <si>
    <t>06/21/1990</t>
  </si>
  <si>
    <t>09/12/1995</t>
  </si>
  <si>
    <t>05/01/1969</t>
  </si>
  <si>
    <t>07/14/1969</t>
  </si>
  <si>
    <t>10/22/1984</t>
  </si>
  <si>
    <t>05/22/1992</t>
  </si>
  <si>
    <t>07/06/1977</t>
  </si>
  <si>
    <t>09/20/1979</t>
  </si>
  <si>
    <t>06/13/1977</t>
  </si>
  <si>
    <t>06/21/1977</t>
  </si>
  <si>
    <t>09/19/1980</t>
  </si>
  <si>
    <t>08/03/1988</t>
  </si>
  <si>
    <t>06/15/1987</t>
  </si>
  <si>
    <t>04/05/1977</t>
  </si>
  <si>
    <t>12/21/1982</t>
  </si>
  <si>
    <t>09/10/1974</t>
  </si>
  <si>
    <t>01/05/1977</t>
  </si>
  <si>
    <t>09/19/1961</t>
  </si>
  <si>
    <t>08/10/1981</t>
  </si>
  <si>
    <t>04/06/1958</t>
  </si>
  <si>
    <t>07/28/1969</t>
  </si>
  <si>
    <t>02/17/1986</t>
  </si>
  <si>
    <t>03/16/1983</t>
  </si>
  <si>
    <t>04/24/1950</t>
  </si>
  <si>
    <t>12/08/1950</t>
  </si>
  <si>
    <t>02/27/1989</t>
  </si>
  <si>
    <t>09/21/1976</t>
  </si>
  <si>
    <t>06/25/1940</t>
  </si>
  <si>
    <t>02/10/1944</t>
  </si>
  <si>
    <t>02/06/1941</t>
  </si>
  <si>
    <t>09/05/1934</t>
  </si>
  <si>
    <t>08/22/1989</t>
  </si>
  <si>
    <t>11/05/1962</t>
  </si>
  <si>
    <t>11/01/1982</t>
  </si>
  <si>
    <t>08/13/1973</t>
  </si>
  <si>
    <t>01/28/1960</t>
  </si>
  <si>
    <t>06/25/1980</t>
  </si>
  <si>
    <t>04/14/1975</t>
  </si>
  <si>
    <t>06/28/1966</t>
  </si>
  <si>
    <t>07/20/1968</t>
  </si>
  <si>
    <t>08/28/1976</t>
  </si>
  <si>
    <t>04/11/1951</t>
  </si>
  <si>
    <t>07/23/1984</t>
  </si>
  <si>
    <t>02/07/1954</t>
  </si>
  <si>
    <t>07/24/1973</t>
  </si>
  <si>
    <t>08/07/1977</t>
  </si>
  <si>
    <t>01/14/1971</t>
  </si>
  <si>
    <t>12/27/1946</t>
  </si>
  <si>
    <t>10/03/1983</t>
  </si>
  <si>
    <t>11/16/1981</t>
  </si>
  <si>
    <t>08/06/1966</t>
  </si>
  <si>
    <t>07/10/1960</t>
  </si>
  <si>
    <t>08/03/1982</t>
  </si>
  <si>
    <t>05/09/1970</t>
  </si>
  <si>
    <t>11/28/1967</t>
  </si>
  <si>
    <t>02/20/1990</t>
  </si>
  <si>
    <t>08/18/1947</t>
  </si>
  <si>
    <t>01/11/1953</t>
  </si>
  <si>
    <t>10/01/1950</t>
  </si>
  <si>
    <t>02/27/1983</t>
  </si>
  <si>
    <t>02/01/1972</t>
  </si>
  <si>
    <t>04/28/1959</t>
  </si>
  <si>
    <t>06/16/1941</t>
  </si>
  <si>
    <t>05/14/1952</t>
  </si>
  <si>
    <t>07/29/1963</t>
  </si>
  <si>
    <t>02/29/1960</t>
  </si>
  <si>
    <t>06/15/1967</t>
  </si>
  <si>
    <t>10/11/1955</t>
  </si>
  <si>
    <t>09/28/1971</t>
  </si>
  <si>
    <t>07/08/1989</t>
  </si>
  <si>
    <t>12/19/1975</t>
  </si>
  <si>
    <t>10/23/1958</t>
  </si>
  <si>
    <t>04/06/1959</t>
  </si>
  <si>
    <t>04/15/1983</t>
  </si>
  <si>
    <t>09/11/1959</t>
  </si>
  <si>
    <t>02/24/1995</t>
  </si>
  <si>
    <t>07/17/1959</t>
  </si>
  <si>
    <t>01/15/1954</t>
  </si>
  <si>
    <t>02/15/1978</t>
  </si>
  <si>
    <t>07/03/1960</t>
  </si>
  <si>
    <t>07/31/1969</t>
  </si>
  <si>
    <t>06/05/1965</t>
  </si>
  <si>
    <t>04/24/1989</t>
  </si>
  <si>
    <t>10/01/1986</t>
  </si>
  <si>
    <t>04/22/1985</t>
  </si>
  <si>
    <t>10/20/1962</t>
  </si>
  <si>
    <t>06/26/1978</t>
  </si>
  <si>
    <t>01/27/1952</t>
  </si>
  <si>
    <t>07/19/1964</t>
  </si>
  <si>
    <t>04/08/1942</t>
  </si>
  <si>
    <t>08/20/1943</t>
  </si>
  <si>
    <t>04/20/1983</t>
  </si>
  <si>
    <t>03/17/1950</t>
  </si>
  <si>
    <t>10/21/1965</t>
  </si>
  <si>
    <t>01/20/1958</t>
  </si>
  <si>
    <t>10/28/1965</t>
  </si>
  <si>
    <t>08/27/1957</t>
  </si>
  <si>
    <t>04/05/1971</t>
  </si>
  <si>
    <t>07/07/1948</t>
  </si>
  <si>
    <t>08/02/1977</t>
  </si>
  <si>
    <t>06/11/1956</t>
  </si>
  <si>
    <t>11/12/1975</t>
  </si>
  <si>
    <t>04/29/1977</t>
  </si>
  <si>
    <t>04/08/1988</t>
  </si>
  <si>
    <t>04/12/1972</t>
  </si>
  <si>
    <t>05/23/1962</t>
  </si>
  <si>
    <t>05/09/1978</t>
  </si>
  <si>
    <t>05/27/1988</t>
  </si>
  <si>
    <t>09/01/1982</t>
  </si>
  <si>
    <t>04/06/1952</t>
  </si>
  <si>
    <t>07/08/1972</t>
  </si>
  <si>
    <t>03/19/1992</t>
  </si>
  <si>
    <t>10/01/1982</t>
  </si>
  <si>
    <t>09/22/1962</t>
  </si>
  <si>
    <t>11/08/1967</t>
  </si>
  <si>
    <t>12/28/1980</t>
  </si>
  <si>
    <t>06/19/1955</t>
  </si>
  <si>
    <t>02/01/1946</t>
  </si>
  <si>
    <t>12/09/1950</t>
  </si>
  <si>
    <t>05/27/1958</t>
  </si>
  <si>
    <t>03/21/1958</t>
  </si>
  <si>
    <t>10/28/1993</t>
  </si>
  <si>
    <t>02/25/1998</t>
  </si>
  <si>
    <t>11/01/1954</t>
  </si>
  <si>
    <t>06/28/1971</t>
  </si>
  <si>
    <t>05/24/1971</t>
  </si>
  <si>
    <t>03/17/1957</t>
  </si>
  <si>
    <t>05/24/1959</t>
  </si>
  <si>
    <t>06/12/1988</t>
  </si>
  <si>
    <t>12/17/1984</t>
  </si>
  <si>
    <t>06/14/1968</t>
  </si>
  <si>
    <t>07/20/1953</t>
  </si>
  <si>
    <t>08/15/1952</t>
  </si>
  <si>
    <t>04/15/1977</t>
  </si>
  <si>
    <t>03/08/1962</t>
  </si>
  <si>
    <t>02/18/1937</t>
  </si>
  <si>
    <t>01/05/1979</t>
  </si>
  <si>
    <t>08/13/1965</t>
  </si>
  <si>
    <t>07/08/1970</t>
  </si>
  <si>
    <t>04/02/1966</t>
  </si>
  <si>
    <t>08/25/1962</t>
  </si>
  <si>
    <t>09/08/1977</t>
  </si>
  <si>
    <t>09/18/1990</t>
  </si>
  <si>
    <t>07/22/1966</t>
  </si>
  <si>
    <t>07/01/1974</t>
  </si>
  <si>
    <t>09/13/1983</t>
  </si>
  <si>
    <t>05/12/1991</t>
  </si>
  <si>
    <t>02/12/1986</t>
  </si>
  <si>
    <t>04/26/1963</t>
  </si>
  <si>
    <t>01/01/1973</t>
  </si>
  <si>
    <t>03/04/1981</t>
  </si>
  <si>
    <t>02/27/1997</t>
  </si>
  <si>
    <t>08/21/1950</t>
  </si>
  <si>
    <t>09/29/1962</t>
  </si>
  <si>
    <t>10/06/1974</t>
  </si>
  <si>
    <t>09/14/1969</t>
  </si>
  <si>
    <t>03/10/1971</t>
  </si>
  <si>
    <t>09/04/1959</t>
  </si>
  <si>
    <t>04/19/1977</t>
  </si>
  <si>
    <t>05/02/1959</t>
  </si>
  <si>
    <t>10/03/1982</t>
  </si>
  <si>
    <t>02/12/1955</t>
  </si>
  <si>
    <t>08/02/1980</t>
  </si>
  <si>
    <t>11/12/1982</t>
  </si>
  <si>
    <t>08/23/1964</t>
  </si>
  <si>
    <t>06/29/1986</t>
  </si>
  <si>
    <t>05/15/1968</t>
  </si>
  <si>
    <t>09/08/1962</t>
  </si>
  <si>
    <t>06/11/1967</t>
  </si>
  <si>
    <t>01/10/1963</t>
  </si>
  <si>
    <t>06/29/1979</t>
  </si>
  <si>
    <t>10/11/1969</t>
  </si>
  <si>
    <t>10/15/1950</t>
  </si>
  <si>
    <t>11/15/1954</t>
  </si>
  <si>
    <t>05/09/1993</t>
  </si>
  <si>
    <t>09/21/1978</t>
  </si>
  <si>
    <t>03/14/1945</t>
  </si>
  <si>
    <t>05/24/1964</t>
  </si>
  <si>
    <t>09/20/1963</t>
  </si>
  <si>
    <t>06/03/1975</t>
  </si>
  <si>
    <t>08/30/1968</t>
  </si>
  <si>
    <t>02/07/1956</t>
  </si>
  <si>
    <t>12/01/1987</t>
  </si>
  <si>
    <t>01/01/1936</t>
  </si>
  <si>
    <t>01/19/1975</t>
  </si>
  <si>
    <t>01/13/1985</t>
  </si>
  <si>
    <t>04/17/1978</t>
  </si>
  <si>
    <t>08/22/1961</t>
  </si>
  <si>
    <t>08/28/1966</t>
  </si>
  <si>
    <t>10/29/1961</t>
  </si>
  <si>
    <t>02/05/1952</t>
  </si>
  <si>
    <t>03/08/1979</t>
  </si>
  <si>
    <t>07/23/1966</t>
  </si>
  <si>
    <t>06/23/1978</t>
  </si>
  <si>
    <t>09/17/1989</t>
  </si>
  <si>
    <t>02/18/1990</t>
  </si>
  <si>
    <t>09/30/1973</t>
  </si>
  <si>
    <t>11/08/1946</t>
  </si>
  <si>
    <t>02/10/1937</t>
  </si>
  <si>
    <t>08/16/1964</t>
  </si>
  <si>
    <t>12/25/1963</t>
  </si>
  <si>
    <t>06/01/1967</t>
  </si>
  <si>
    <t>01/21/1991</t>
  </si>
  <si>
    <t>11/21/1992</t>
  </si>
  <si>
    <t>09/29/1985</t>
  </si>
  <si>
    <t>10/06/1961</t>
  </si>
  <si>
    <t>03/12/1948</t>
  </si>
  <si>
    <t>02/15/1950</t>
  </si>
  <si>
    <t>03/19/1989</t>
  </si>
  <si>
    <t>03/21/1989</t>
  </si>
  <si>
    <t>07/21/1990</t>
  </si>
  <si>
    <t>05/07/1967</t>
  </si>
  <si>
    <t>09/17/1975</t>
  </si>
  <si>
    <t>12/26/1964</t>
  </si>
  <si>
    <t>02/11/1990</t>
  </si>
  <si>
    <t>10/01/1962</t>
  </si>
  <si>
    <t>05/15/1944</t>
  </si>
  <si>
    <t>06/21/1963</t>
  </si>
  <si>
    <t>03/24/1967</t>
  </si>
  <si>
    <t>10/26/1954</t>
  </si>
  <si>
    <t>01/25/1955</t>
  </si>
  <si>
    <t>12/30/1971</t>
  </si>
  <si>
    <t>05/17/1964</t>
  </si>
  <si>
    <t>10/13/1959</t>
  </si>
  <si>
    <t>08/10/1960</t>
  </si>
  <si>
    <t>01/09/1988</t>
  </si>
  <si>
    <t>09/17/1952</t>
  </si>
  <si>
    <t>11/11/1956</t>
  </si>
  <si>
    <t>09/27/1959</t>
  </si>
  <si>
    <t>04/30/1979</t>
  </si>
  <si>
    <t>01/08/1955</t>
  </si>
  <si>
    <t>04/30/1953</t>
  </si>
  <si>
    <t>12/13/1946</t>
  </si>
  <si>
    <t>02/23/1959</t>
  </si>
  <si>
    <t>08/13/1968</t>
  </si>
  <si>
    <t>02/22/1980</t>
  </si>
  <si>
    <t>01/15/1950</t>
  </si>
  <si>
    <t>01/15/1983</t>
  </si>
  <si>
    <t>06/10/1957</t>
  </si>
  <si>
    <t>07/20/1986</t>
  </si>
  <si>
    <t>09/19/1959</t>
  </si>
  <si>
    <t>05/16/1957</t>
  </si>
  <si>
    <t>04/19/1996</t>
  </si>
  <si>
    <t>05/11/1983</t>
  </si>
  <si>
    <t>11/26/1987</t>
  </si>
  <si>
    <t>03/04/1977</t>
  </si>
  <si>
    <t>08/05/1986</t>
  </si>
  <si>
    <t>09/25/1946</t>
  </si>
  <si>
    <t>06/18/1961</t>
  </si>
  <si>
    <t>01/17/1957</t>
  </si>
  <si>
    <t>06/08/1961</t>
  </si>
  <si>
    <t>09/08/1996</t>
  </si>
  <si>
    <t>05/06/1976</t>
  </si>
  <si>
    <t>11/30/1930</t>
  </si>
  <si>
    <t>04/27/1990</t>
  </si>
  <si>
    <t>06/24/1951</t>
  </si>
  <si>
    <t>01/26/1956</t>
  </si>
  <si>
    <t>02/21/1974</t>
  </si>
  <si>
    <t>03/08/1949</t>
  </si>
  <si>
    <t>04/08/1975</t>
  </si>
  <si>
    <t>11/14/1957</t>
  </si>
  <si>
    <t>03/22/1963</t>
  </si>
  <si>
    <t>02/21/1938</t>
  </si>
  <si>
    <t>02/09/1976</t>
  </si>
  <si>
    <t>03/21/1969</t>
  </si>
  <si>
    <t>01/31/1967</t>
  </si>
  <si>
    <t>10/31/1981</t>
  </si>
  <si>
    <t>09/16/1984</t>
  </si>
  <si>
    <t>01/20/1951</t>
  </si>
  <si>
    <t>05/18/1957</t>
  </si>
  <si>
    <t>03/28/1981</t>
  </si>
  <si>
    <t>11/15/1952</t>
  </si>
  <si>
    <t>09/19/1956</t>
  </si>
  <si>
    <t>05/16/1976</t>
  </si>
  <si>
    <t>08/24/1973</t>
  </si>
  <si>
    <t>10/18/1985</t>
  </si>
  <si>
    <t>06/21/1979</t>
  </si>
  <si>
    <t>02/06/1983</t>
  </si>
  <si>
    <t>03/25/1980</t>
  </si>
  <si>
    <t>11/28/1974</t>
  </si>
  <si>
    <t>06/14/1988</t>
  </si>
  <si>
    <t>02/13/1966</t>
  </si>
  <si>
    <t>05/27/1989</t>
  </si>
  <si>
    <t>04/16/1943</t>
  </si>
  <si>
    <t>08/30/1971</t>
  </si>
  <si>
    <t>03/06/1961</t>
  </si>
  <si>
    <t>08/31/1973</t>
  </si>
  <si>
    <t>01/31/1990</t>
  </si>
  <si>
    <t>11/02/1985</t>
  </si>
  <si>
    <t>01/07/1946</t>
  </si>
  <si>
    <t>03/30/1937</t>
  </si>
  <si>
    <t>08/22/1974</t>
  </si>
  <si>
    <t>01/03/1955</t>
  </si>
  <si>
    <t>11/04/1953</t>
  </si>
  <si>
    <t>09/16/1968</t>
  </si>
  <si>
    <t>10/18/1996</t>
  </si>
  <si>
    <t>09/06/1968</t>
  </si>
  <si>
    <t>01/01/1964</t>
  </si>
  <si>
    <t>04/29/1974</t>
  </si>
  <si>
    <t>08/24/1944</t>
  </si>
  <si>
    <t>07/27/1967</t>
  </si>
  <si>
    <t>07/10/1961</t>
  </si>
  <si>
    <t>02/17/1981</t>
  </si>
  <si>
    <t>09/20/1989</t>
  </si>
  <si>
    <t>09/02/1971</t>
  </si>
  <si>
    <t>07/26/1937</t>
  </si>
  <si>
    <t>03/10/1951</t>
  </si>
  <si>
    <t>02/23/1952</t>
  </si>
  <si>
    <t>10/20/1952</t>
  </si>
  <si>
    <t>07/20/1970</t>
  </si>
  <si>
    <t>11/16/1931</t>
  </si>
  <si>
    <t>08/18/1974</t>
  </si>
  <si>
    <t>12/26/1952</t>
  </si>
  <si>
    <t>09/21/1945</t>
  </si>
  <si>
    <t>11/09/1961</t>
  </si>
  <si>
    <t>12/03/1982</t>
  </si>
  <si>
    <t>08/21/1967</t>
  </si>
  <si>
    <t>04/08/1962</t>
  </si>
  <si>
    <t>07/04/1955</t>
  </si>
  <si>
    <t>05/28/2002</t>
  </si>
  <si>
    <t>04/24/1975</t>
  </si>
  <si>
    <t>10/01/1975</t>
  </si>
  <si>
    <t>06/06/1978</t>
  </si>
  <si>
    <t>04/26/1976</t>
  </si>
  <si>
    <t>04/02/1971</t>
  </si>
  <si>
    <t>08/10/1951</t>
  </si>
  <si>
    <t>04/27/1989</t>
  </si>
  <si>
    <t>11/10/1974</t>
  </si>
  <si>
    <t>05/14/1933</t>
  </si>
  <si>
    <t>02/13/1967</t>
  </si>
  <si>
    <t>12/25/1962</t>
  </si>
  <si>
    <t>02/09/1952</t>
  </si>
  <si>
    <t>10/17/1980</t>
  </si>
  <si>
    <t>04/05/1968</t>
  </si>
  <si>
    <t>04/11/1962</t>
  </si>
  <si>
    <t>09/12/1991</t>
  </si>
  <si>
    <t>01/23/1970</t>
  </si>
  <si>
    <t>08/08/1938</t>
  </si>
  <si>
    <t>06/19/1952</t>
  </si>
  <si>
    <t>05/05/1953</t>
  </si>
  <si>
    <t>09/15/1948</t>
  </si>
  <si>
    <t>07/18/1950</t>
  </si>
  <si>
    <t>05/08/1971</t>
  </si>
  <si>
    <t>09/25/1971</t>
  </si>
  <si>
    <t>02/03/1956</t>
  </si>
  <si>
    <t>01/15/1952</t>
  </si>
  <si>
    <t>08/17/1990</t>
  </si>
  <si>
    <t>03/30/1980</t>
  </si>
  <si>
    <t>04/25/1975</t>
  </si>
  <si>
    <t>11/04/1984</t>
  </si>
  <si>
    <t>01/01/1959</t>
  </si>
  <si>
    <t>03/26/1961</t>
  </si>
  <si>
    <t>02/28/1945</t>
  </si>
  <si>
    <t>09/30/1960</t>
  </si>
  <si>
    <t>01/04/1970</t>
  </si>
  <si>
    <t>05/20/1967</t>
  </si>
  <si>
    <t>12/08/1960</t>
  </si>
  <si>
    <t>12/14/1954</t>
  </si>
  <si>
    <t>07/27/1964</t>
  </si>
  <si>
    <t>11/19/1963</t>
  </si>
  <si>
    <t>03/13/1967</t>
  </si>
  <si>
    <t>06/30/1970</t>
  </si>
  <si>
    <t>08/14/1988</t>
  </si>
  <si>
    <t>05/22/1978</t>
  </si>
  <si>
    <t>10/30/1978</t>
  </si>
  <si>
    <t>03/02/1941</t>
  </si>
  <si>
    <t>03/19/1980</t>
  </si>
  <si>
    <t>12/22/1982</t>
  </si>
  <si>
    <t>12/01/1978</t>
  </si>
  <si>
    <t>09/27/1949</t>
  </si>
  <si>
    <t>01/10/1953</t>
  </si>
  <si>
    <t>04/05/1961</t>
  </si>
  <si>
    <t>03/25/1971</t>
  </si>
  <si>
    <t>07/19/1981</t>
  </si>
  <si>
    <t>03/11/1962</t>
  </si>
  <si>
    <t>10/03/1969</t>
  </si>
  <si>
    <t>07/11/1966</t>
  </si>
  <si>
    <t>10/29/1971</t>
  </si>
  <si>
    <t>04/06/1982</t>
  </si>
  <si>
    <t>08/03/1989</t>
  </si>
  <si>
    <t>10/25/1984</t>
  </si>
  <si>
    <t>06/12/1958</t>
  </si>
  <si>
    <t>05/02/1950</t>
  </si>
  <si>
    <t>12/23/1966</t>
  </si>
  <si>
    <t>10/16/1953</t>
  </si>
  <si>
    <t>03/28/1945</t>
  </si>
  <si>
    <t>12/03/1973</t>
  </si>
  <si>
    <t>05/21/1980</t>
  </si>
  <si>
    <t>11/11/1954</t>
  </si>
  <si>
    <t>12/31/1980</t>
  </si>
  <si>
    <t>01/29/1968</t>
  </si>
  <si>
    <t>01/05/1995</t>
  </si>
  <si>
    <t>02/07/1997</t>
  </si>
  <si>
    <t>07/13/1954</t>
  </si>
  <si>
    <t>06/02/1947</t>
  </si>
  <si>
    <t>01/18/1958</t>
  </si>
  <si>
    <t>07/17/1962</t>
  </si>
  <si>
    <t>06/08/1956</t>
  </si>
  <si>
    <t>11/11/1962</t>
  </si>
  <si>
    <t>01/01/1954</t>
  </si>
  <si>
    <t>06/17/1953</t>
  </si>
  <si>
    <t>02/20/1977</t>
  </si>
  <si>
    <t>06/08/1944</t>
  </si>
  <si>
    <t>01/07/1957</t>
  </si>
  <si>
    <t>07/09/1979</t>
  </si>
  <si>
    <t>10/20/1961</t>
  </si>
  <si>
    <t>08/21/1990</t>
  </si>
  <si>
    <t>11/26/1970</t>
  </si>
  <si>
    <t>05/05/1983</t>
  </si>
  <si>
    <t>10/30/1929</t>
  </si>
  <si>
    <t>07/01/1994</t>
  </si>
  <si>
    <t>02/08/1967</t>
  </si>
  <si>
    <t>05/10/1995</t>
  </si>
  <si>
    <t>08/19/1969</t>
  </si>
  <si>
    <t>01/22/1993</t>
  </si>
  <si>
    <t>09/03/1983</t>
  </si>
  <si>
    <t>08/20/1948</t>
  </si>
  <si>
    <t>04/02/1956</t>
  </si>
  <si>
    <t>08/14/1955</t>
  </si>
  <si>
    <t>06/03/1963</t>
  </si>
  <si>
    <t>04/02/1970</t>
  </si>
  <si>
    <t>05/22/1965</t>
  </si>
  <si>
    <t>12/28/1951</t>
  </si>
  <si>
    <t>05/28/1933</t>
  </si>
  <si>
    <t>12/13/1971</t>
  </si>
  <si>
    <t>12/13/1964</t>
  </si>
  <si>
    <t>07/14/1966</t>
  </si>
  <si>
    <t>01/31/1968</t>
  </si>
  <si>
    <t>12/04/1973</t>
  </si>
  <si>
    <t>04/26/1989</t>
  </si>
  <si>
    <t>11/04/1969</t>
  </si>
  <si>
    <t>03/20/1947</t>
  </si>
  <si>
    <t>08/13/1975</t>
  </si>
  <si>
    <t>12/09/1969</t>
  </si>
  <si>
    <t>05/21/1984</t>
  </si>
  <si>
    <t>06/23/1984</t>
  </si>
  <si>
    <t>05/07/1978</t>
  </si>
  <si>
    <t>08/02/1978</t>
  </si>
  <si>
    <t>09/22/1937</t>
  </si>
  <si>
    <t>06/24/1954</t>
  </si>
  <si>
    <t>12/31/1967</t>
  </si>
  <si>
    <t>05/13/1961</t>
  </si>
  <si>
    <t>05/08/1959</t>
  </si>
  <si>
    <t>04/30/1968</t>
  </si>
  <si>
    <t>09/03/1961</t>
  </si>
  <si>
    <t>08/10/1962</t>
  </si>
  <si>
    <t>01/03/1972</t>
  </si>
  <si>
    <t>05/25/1936</t>
  </si>
  <si>
    <t>04/06/1973</t>
  </si>
  <si>
    <t>02/01/1954</t>
  </si>
  <si>
    <t>09/17/1981</t>
  </si>
  <si>
    <t>11/15/1969</t>
  </si>
  <si>
    <t>09/12/1981</t>
  </si>
  <si>
    <t>02/16/1992</t>
  </si>
  <si>
    <t>08/19/1949</t>
  </si>
  <si>
    <t>01/05/1966</t>
  </si>
  <si>
    <t>04/10/1958</t>
  </si>
  <si>
    <t>01/19/1954</t>
  </si>
  <si>
    <t>07/24/1957</t>
  </si>
  <si>
    <t>09/22/1963</t>
  </si>
  <si>
    <t>09/04/1986</t>
  </si>
  <si>
    <t>08/03/1969</t>
  </si>
  <si>
    <t>08/23/1968</t>
  </si>
  <si>
    <t>02/25/1989</t>
  </si>
  <si>
    <t>05/31/1962</t>
  </si>
  <si>
    <t>02/10/1987</t>
  </si>
  <si>
    <t>05/03/1956</t>
  </si>
  <si>
    <t>02/04/1983</t>
  </si>
  <si>
    <t>12/29/1989</t>
  </si>
  <si>
    <t>12/06/1946</t>
  </si>
  <si>
    <t>10/16/1979</t>
  </si>
  <si>
    <t>11/01/1951</t>
  </si>
  <si>
    <t>03/12/1978</t>
  </si>
  <si>
    <t>03/04/1951</t>
  </si>
  <si>
    <t>04/12/1963</t>
  </si>
  <si>
    <t>09/14/1956</t>
  </si>
  <si>
    <t>06/06/1968</t>
  </si>
  <si>
    <t>09/22/1969</t>
  </si>
  <si>
    <t>10/02/1967</t>
  </si>
  <si>
    <t>06/11/1971</t>
  </si>
  <si>
    <t>05/03/1968</t>
  </si>
  <si>
    <t>11/01/1968</t>
  </si>
  <si>
    <t>12/25/1979</t>
  </si>
  <si>
    <t>04/19/1953</t>
  </si>
  <si>
    <t>04/14/1945</t>
  </si>
  <si>
    <t>12/20/1948</t>
  </si>
  <si>
    <t>06/08/1960</t>
  </si>
  <si>
    <t>09/05/1972</t>
  </si>
  <si>
    <t>06/27/1966</t>
  </si>
  <si>
    <t>10/28/1975</t>
  </si>
  <si>
    <t>06/21/1961</t>
  </si>
  <si>
    <t>07/21/1984</t>
  </si>
  <si>
    <t>06/21/1986</t>
  </si>
  <si>
    <t>08/08/1946</t>
  </si>
  <si>
    <t>11/13/1951</t>
  </si>
  <si>
    <t>09/22/1980</t>
  </si>
  <si>
    <t>01/26/1944</t>
  </si>
  <si>
    <t>02/08/1939</t>
  </si>
  <si>
    <t>04/19/1987</t>
  </si>
  <si>
    <t>06/04/1967</t>
  </si>
  <si>
    <t>07/10/1968</t>
  </si>
  <si>
    <t>08/19/1986</t>
  </si>
  <si>
    <t>01/17/1950</t>
  </si>
  <si>
    <t>08/10/1957</t>
  </si>
  <si>
    <t>09/27/1957</t>
  </si>
  <si>
    <t>03/02/1937</t>
  </si>
  <si>
    <t>11/03/1966</t>
  </si>
  <si>
    <t>12/24/1954</t>
  </si>
  <si>
    <t>01/01/1986</t>
  </si>
  <si>
    <t>06/03/1987</t>
  </si>
  <si>
    <t>11/18/1989</t>
  </si>
  <si>
    <t>06/26/1988</t>
  </si>
  <si>
    <t>10/02/1956</t>
  </si>
  <si>
    <t>02/05/1985</t>
  </si>
  <si>
    <t>09/04/1954</t>
  </si>
  <si>
    <t>09/20/1959</t>
  </si>
  <si>
    <t>11/26/1976</t>
  </si>
  <si>
    <t>10/02/1955</t>
  </si>
  <si>
    <t>11/25/1968</t>
  </si>
  <si>
    <t>07/09/1972</t>
  </si>
  <si>
    <t>08/01/1943</t>
  </si>
  <si>
    <t>04/16/1967</t>
  </si>
  <si>
    <t>06/08/1964</t>
  </si>
  <si>
    <t>11/07/1956</t>
  </si>
  <si>
    <t>06/06/1971</t>
  </si>
  <si>
    <t>05/12/1976</t>
  </si>
  <si>
    <t>10/16/1991</t>
  </si>
  <si>
    <t>01/12/1988</t>
  </si>
  <si>
    <t>06/10/1970</t>
  </si>
  <si>
    <t>02/04/1956</t>
  </si>
  <si>
    <t>12/26/1966</t>
  </si>
  <si>
    <t>03/05/1952</t>
  </si>
  <si>
    <t>10/01/1957</t>
  </si>
  <si>
    <t>02/20/1958</t>
  </si>
  <si>
    <t>11/30/1979</t>
  </si>
  <si>
    <t>12/31/1970</t>
  </si>
  <si>
    <t>11/21/1977</t>
  </si>
  <si>
    <t>12/20/1960</t>
  </si>
  <si>
    <t>09/19/1949</t>
  </si>
  <si>
    <t>09/04/1970</t>
  </si>
  <si>
    <t>01/06/1979</t>
  </si>
  <si>
    <t>11/08/1993</t>
  </si>
  <si>
    <t>06/29/1991</t>
  </si>
  <si>
    <t>08/18/1967</t>
  </si>
  <si>
    <t>09/15/1969</t>
  </si>
  <si>
    <t>03/15/1955</t>
  </si>
  <si>
    <t>01/20/1999</t>
  </si>
  <si>
    <t>08/23/1976</t>
  </si>
  <si>
    <t>04/15/1987</t>
  </si>
  <si>
    <t>12/18/1963</t>
  </si>
  <si>
    <t>10/26/1957</t>
  </si>
  <si>
    <t>02/28/1978</t>
  </si>
  <si>
    <t>08/23/1965</t>
  </si>
  <si>
    <t>04/07/1970</t>
  </si>
  <si>
    <t>12/13/1984</t>
  </si>
  <si>
    <t>05/09/1961</t>
  </si>
  <si>
    <t>10/22/1987</t>
  </si>
  <si>
    <t>09/22/1973</t>
  </si>
  <si>
    <t>08/26/1972</t>
  </si>
  <si>
    <t>11/17/1936</t>
  </si>
  <si>
    <t>03/12/1971</t>
  </si>
  <si>
    <t>05/30/1980</t>
  </si>
  <si>
    <t>03/30/1960</t>
  </si>
  <si>
    <t>08/01/1975</t>
  </si>
  <si>
    <t>05/15/1961</t>
  </si>
  <si>
    <t>10/17/1961</t>
  </si>
  <si>
    <t>06/23/1974</t>
  </si>
  <si>
    <t>08/08/1955</t>
  </si>
  <si>
    <t>11/23/1967</t>
  </si>
  <si>
    <t>05/24/1969</t>
  </si>
  <si>
    <t>07/09/1986</t>
  </si>
  <si>
    <t>03/20/1963</t>
  </si>
  <si>
    <t>02/12/1973</t>
  </si>
  <si>
    <t>06/27/1960</t>
  </si>
  <si>
    <t>05/01/1942</t>
  </si>
  <si>
    <t>05/26/1961</t>
  </si>
  <si>
    <t>02/13/1971</t>
  </si>
  <si>
    <t>12/14/1989</t>
  </si>
  <si>
    <t>01/01/1978</t>
  </si>
  <si>
    <t>10/25/1944</t>
  </si>
  <si>
    <t>05/07/1946</t>
  </si>
  <si>
    <t>05/16/1982</t>
  </si>
  <si>
    <t>03/25/1984</t>
  </si>
  <si>
    <t>11/10/1988</t>
  </si>
  <si>
    <t>06/06/1965</t>
  </si>
  <si>
    <t>06/19/1981</t>
  </si>
  <si>
    <t>11/08/1976</t>
  </si>
  <si>
    <t>08/15/1958</t>
  </si>
  <si>
    <t>02/15/1962</t>
  </si>
  <si>
    <t>08/31/1976</t>
  </si>
  <si>
    <t>10/30/1954</t>
  </si>
  <si>
    <t>12/03/1960</t>
  </si>
  <si>
    <t>03/04/1989</t>
  </si>
  <si>
    <t>01/19/1936</t>
  </si>
  <si>
    <t>12/29/1962</t>
  </si>
  <si>
    <t>03/08/1993</t>
  </si>
  <si>
    <t>08/05/1956</t>
  </si>
  <si>
    <t>07/30/1962</t>
  </si>
  <si>
    <t>03/04/1958</t>
  </si>
  <si>
    <t>08/26/1945</t>
  </si>
  <si>
    <t>10/29/1943</t>
  </si>
  <si>
    <t>07/13/1959</t>
  </si>
  <si>
    <t>06/09/1965</t>
  </si>
  <si>
    <t>10/11/1958</t>
  </si>
  <si>
    <t>03/31/1985</t>
  </si>
  <si>
    <t>02/12/1975</t>
  </si>
  <si>
    <t>08/15/1981</t>
  </si>
  <si>
    <t>09/09/1966</t>
  </si>
  <si>
    <t>10/11/1956</t>
  </si>
  <si>
    <t>01/19/1988</t>
  </si>
  <si>
    <t>05/21/1964</t>
  </si>
  <si>
    <t>03/25/1954</t>
  </si>
  <si>
    <t>04/19/1995</t>
  </si>
  <si>
    <t>11/08/1972</t>
  </si>
  <si>
    <t>01/09/1946</t>
  </si>
  <si>
    <t>05/29/1988</t>
  </si>
  <si>
    <t>10/08/1956</t>
  </si>
  <si>
    <t>02/03/1977</t>
  </si>
  <si>
    <t>02/25/1981</t>
  </si>
  <si>
    <t>03/16/1986</t>
  </si>
  <si>
    <t>08/31/1983</t>
  </si>
  <si>
    <t>10/05/1993</t>
  </si>
  <si>
    <t>09/05/1962</t>
  </si>
  <si>
    <t>05/23/1947</t>
  </si>
  <si>
    <t>12/23/1961</t>
  </si>
  <si>
    <t>11/30/1976</t>
  </si>
  <si>
    <t>07/08/1967</t>
  </si>
  <si>
    <t>09/24/1984</t>
  </si>
  <si>
    <t>05/23/1980</t>
  </si>
  <si>
    <t>12/24/1961</t>
  </si>
  <si>
    <t>07/16/1978</t>
  </si>
  <si>
    <t>06/30/1963</t>
  </si>
  <si>
    <t>04/06/1970</t>
  </si>
  <si>
    <t>03/29/1990</t>
  </si>
  <si>
    <t>04/15/1945</t>
  </si>
  <si>
    <t>03/01/1993</t>
  </si>
  <si>
    <t>10/26/1972</t>
  </si>
  <si>
    <t>07/04/1980</t>
  </si>
  <si>
    <t>12/22/1990</t>
  </si>
  <si>
    <t>07/18/1972</t>
  </si>
  <si>
    <t>05/29/1958</t>
  </si>
  <si>
    <t>01/07/1967</t>
  </si>
  <si>
    <t>03/03/1965</t>
  </si>
  <si>
    <t>10/15/1957</t>
  </si>
  <si>
    <t>09/22/1949</t>
  </si>
  <si>
    <t>11/29/1963</t>
  </si>
  <si>
    <t>07/03/1986</t>
  </si>
  <si>
    <t>09/15/1973</t>
  </si>
  <si>
    <t>06/09/1984</t>
  </si>
  <si>
    <t>06/03/1941</t>
  </si>
  <si>
    <t>06/04/1956</t>
  </si>
  <si>
    <t>05/15/1970</t>
  </si>
  <si>
    <t>11/10/1984</t>
  </si>
  <si>
    <t>02/19/1978</t>
  </si>
  <si>
    <t>08/22/1991</t>
  </si>
  <si>
    <t>11/02/1969</t>
  </si>
  <si>
    <t>10/28/1974</t>
  </si>
  <si>
    <t>12/08/1966</t>
  </si>
  <si>
    <t>01/10/1989</t>
  </si>
  <si>
    <t>11/23/1977</t>
  </si>
  <si>
    <t>10/05/1978</t>
  </si>
  <si>
    <t>07/04/1945</t>
  </si>
  <si>
    <t>04/25/1967</t>
  </si>
  <si>
    <t>07/09/1962</t>
  </si>
  <si>
    <t>10/15/1983</t>
  </si>
  <si>
    <t>10/11/1954</t>
  </si>
  <si>
    <t>03/25/1958</t>
  </si>
  <si>
    <t>04/23/1968</t>
  </si>
  <si>
    <t>02/01/1965</t>
  </si>
  <si>
    <t>05/26/1960</t>
  </si>
  <si>
    <t>12/13/1949</t>
  </si>
  <si>
    <t>11/07/1960</t>
  </si>
  <si>
    <t>12/20/1946</t>
  </si>
  <si>
    <t>07/06/1947</t>
  </si>
  <si>
    <t>08/11/1974</t>
  </si>
  <si>
    <t>11/18/1982</t>
  </si>
  <si>
    <t>09/04/1944</t>
  </si>
  <si>
    <t>01/02/1939</t>
  </si>
  <si>
    <t>08/17/1974</t>
  </si>
  <si>
    <t>03/21/1980</t>
  </si>
  <si>
    <t>09/19/1957</t>
  </si>
  <si>
    <t>06/25/1956</t>
  </si>
  <si>
    <t>02/10/1972</t>
  </si>
  <si>
    <t>09/15/1961</t>
  </si>
  <si>
    <t>07/31/1961</t>
  </si>
  <si>
    <t>11/16/1960</t>
  </si>
  <si>
    <t>08/06/1952</t>
  </si>
  <si>
    <t>04/24/1946</t>
  </si>
  <si>
    <t>08/23/1948</t>
  </si>
  <si>
    <t>03/14/1955</t>
  </si>
  <si>
    <t>12/09/1989</t>
  </si>
  <si>
    <t>02/17/1991</t>
  </si>
  <si>
    <t>08/29/1974</t>
  </si>
  <si>
    <t>04/28/1949</t>
  </si>
  <si>
    <t>03/21/1957</t>
  </si>
  <si>
    <t>09/23/1959</t>
  </si>
  <si>
    <t>07/13/1956</t>
  </si>
  <si>
    <t>09/02/1961</t>
  </si>
  <si>
    <t>06/25/1984</t>
  </si>
  <si>
    <t>02/14/1987</t>
  </si>
  <si>
    <t>12/03/1965</t>
  </si>
  <si>
    <t>05/18/1971</t>
  </si>
  <si>
    <t>06/29/1958</t>
  </si>
  <si>
    <t>07/08/1962</t>
  </si>
  <si>
    <t>01/22/1965</t>
  </si>
  <si>
    <t>05/15/1955</t>
  </si>
  <si>
    <t>01/22/1987</t>
  </si>
  <si>
    <t>05/25/1958</t>
  </si>
  <si>
    <t>02/28/1955</t>
  </si>
  <si>
    <t>01/02/1941</t>
  </si>
  <si>
    <t>09/24/1937</t>
  </si>
  <si>
    <t>09/13/1962</t>
  </si>
  <si>
    <t>03/09/1988</t>
  </si>
  <si>
    <t>04/04/1967</t>
  </si>
  <si>
    <t>04/17/1963</t>
  </si>
  <si>
    <t>10/18/1984</t>
  </si>
  <si>
    <t>09/01/1940</t>
  </si>
  <si>
    <t>10/30/1977</t>
  </si>
  <si>
    <t>01/23/1962</t>
  </si>
  <si>
    <t>06/12/1952</t>
  </si>
  <si>
    <t>09/10/1981</t>
  </si>
  <si>
    <t>04/21/1986</t>
  </si>
  <si>
    <t>03/22/1972</t>
  </si>
  <si>
    <t>12/21/1967</t>
  </si>
  <si>
    <t>11/12/1956</t>
  </si>
  <si>
    <t>11/21/1954</t>
  </si>
  <si>
    <t>02/03/1964</t>
  </si>
  <si>
    <t>06/04/1984</t>
  </si>
  <si>
    <t>10/31/1934</t>
  </si>
  <si>
    <t>01/19/1967</t>
  </si>
  <si>
    <t>10/08/1981</t>
  </si>
  <si>
    <t>07/24/1945</t>
  </si>
  <si>
    <t>11/10/1981</t>
  </si>
  <si>
    <t>05/03/1980</t>
  </si>
  <si>
    <t>12/27/1978</t>
  </si>
  <si>
    <t>05/29/1991</t>
  </si>
  <si>
    <t>03/21/1964</t>
  </si>
  <si>
    <t>08/12/1937</t>
  </si>
  <si>
    <t>05/01/1951</t>
  </si>
  <si>
    <t>07/01/1964</t>
  </si>
  <si>
    <t>06/10/1947</t>
  </si>
  <si>
    <t>04/04/1954</t>
  </si>
  <si>
    <t>10/06/1986</t>
  </si>
  <si>
    <t>09/09/1962</t>
  </si>
  <si>
    <t>03/25/1957</t>
  </si>
  <si>
    <t>05/22/1963</t>
  </si>
  <si>
    <t>08/09/1975</t>
  </si>
  <si>
    <t>12/03/1979</t>
  </si>
  <si>
    <t>03/06/1970</t>
  </si>
  <si>
    <t>10/23/1962</t>
  </si>
  <si>
    <t>01/22/1956</t>
  </si>
  <si>
    <t>01/30/1969</t>
  </si>
  <si>
    <t>04/10/1967</t>
  </si>
  <si>
    <t>01/16/1976</t>
  </si>
  <si>
    <t>06/13/1947</t>
  </si>
  <si>
    <t>09/23/1975</t>
  </si>
  <si>
    <t>03/22/1978</t>
  </si>
  <si>
    <t>01/01/1974</t>
  </si>
  <si>
    <t>10/22/1969</t>
  </si>
  <si>
    <t>06/04/1959</t>
  </si>
  <si>
    <t>04/17/1960</t>
  </si>
  <si>
    <t>07/05/1966</t>
  </si>
  <si>
    <t>12/29/1973</t>
  </si>
  <si>
    <t>06/05/1950</t>
  </si>
  <si>
    <t>04/15/1950</t>
  </si>
  <si>
    <t>11/05/1948</t>
  </si>
  <si>
    <t>11/02/1976</t>
  </si>
  <si>
    <t>06/02/1955</t>
  </si>
  <si>
    <t>07/17/1984</t>
  </si>
  <si>
    <t>05/24/2012</t>
  </si>
  <si>
    <t>11/23/1989</t>
  </si>
  <si>
    <t>09/05/1982</t>
  </si>
  <si>
    <t>01/09/1955</t>
  </si>
  <si>
    <t>09/03/1970</t>
  </si>
  <si>
    <t>10/05/1951</t>
  </si>
  <si>
    <t>06/14/1965</t>
  </si>
  <si>
    <t>06/13/1963</t>
  </si>
  <si>
    <t>01/18/1956</t>
  </si>
  <si>
    <t>06/07/1944</t>
  </si>
  <si>
    <t>08/07/1966</t>
  </si>
  <si>
    <t>08/18/1980</t>
  </si>
  <si>
    <t>08/25/1952</t>
  </si>
  <si>
    <t>10/05/1968</t>
  </si>
  <si>
    <t>08/31/1940</t>
  </si>
  <si>
    <t>08/11/1958</t>
  </si>
  <si>
    <t>05/02/1992</t>
  </si>
  <si>
    <t>04/23/1996</t>
  </si>
  <si>
    <t>06/14/1958</t>
  </si>
  <si>
    <t>01/01/1971</t>
  </si>
  <si>
    <t>08/07/1955</t>
  </si>
  <si>
    <t>09/14/1963</t>
  </si>
  <si>
    <t>02/11/1978</t>
  </si>
  <si>
    <t>02/01/1945</t>
  </si>
  <si>
    <t>07/05/1977</t>
  </si>
  <si>
    <t>04/26/1987</t>
  </si>
  <si>
    <t>12/24/1925</t>
  </si>
  <si>
    <t>04/13/1965</t>
  </si>
  <si>
    <t>10/26/1959</t>
  </si>
  <si>
    <t>10/10/1942</t>
  </si>
  <si>
    <t>01/10/1992</t>
  </si>
  <si>
    <t>10/04/1972</t>
  </si>
  <si>
    <t>07/23/1977</t>
  </si>
  <si>
    <t>08/11/1980</t>
  </si>
  <si>
    <t>10/24/1959</t>
  </si>
  <si>
    <t>05/26/1985</t>
  </si>
  <si>
    <t>04/13/1946</t>
  </si>
  <si>
    <t>05/21/1955</t>
  </si>
  <si>
    <t>01/18/1971</t>
  </si>
  <si>
    <t>09/30/1972</t>
  </si>
  <si>
    <t>07/25/1979</t>
  </si>
  <si>
    <t>06/15/1991</t>
  </si>
  <si>
    <t>06/25/1977</t>
  </si>
  <si>
    <t>05/21/1951</t>
  </si>
  <si>
    <t>03/11/1935</t>
  </si>
  <si>
    <t>01/31/1981</t>
  </si>
  <si>
    <t>06/02/1964</t>
  </si>
  <si>
    <t>05/25/1975</t>
  </si>
  <si>
    <t>09/02/1948</t>
  </si>
  <si>
    <t>09/04/1979</t>
  </si>
  <si>
    <t>09/13/1955</t>
  </si>
  <si>
    <t>04/27/1970</t>
  </si>
  <si>
    <t>06/17/1994</t>
  </si>
  <si>
    <t>06/11/1980</t>
  </si>
  <si>
    <t>10/09/1961</t>
  </si>
  <si>
    <t>03/22/1993</t>
  </si>
  <si>
    <t>12/04/1955</t>
  </si>
  <si>
    <t>02/04/1968</t>
  </si>
  <si>
    <t>08/31/1968</t>
  </si>
  <si>
    <t>08/07/1950</t>
  </si>
  <si>
    <t>10/08/1958</t>
  </si>
  <si>
    <t>06/02/1989</t>
  </si>
  <si>
    <t>11/29/1942</t>
  </si>
  <si>
    <t>02/10/1957</t>
  </si>
  <si>
    <t>02/19/1980</t>
  </si>
  <si>
    <t>01/01/1979</t>
  </si>
  <si>
    <t>02/23/1961</t>
  </si>
  <si>
    <t>08/04/1964</t>
  </si>
  <si>
    <t>10/10/1949</t>
  </si>
  <si>
    <t>04/30/1939</t>
  </si>
  <si>
    <t>12/17/1969</t>
  </si>
  <si>
    <t>11/02/1962</t>
  </si>
  <si>
    <t>06/30/1960</t>
  </si>
  <si>
    <t>09/12/1985</t>
  </si>
  <si>
    <t>01/20/1973</t>
  </si>
  <si>
    <t>11/06/1978</t>
  </si>
  <si>
    <t>10/06/1966</t>
  </si>
  <si>
    <t>04/13/1959</t>
  </si>
  <si>
    <t>08/26/1989</t>
  </si>
  <si>
    <t>12/27/1960</t>
  </si>
  <si>
    <t>04/17/1988</t>
  </si>
  <si>
    <t>07/10/1978</t>
  </si>
  <si>
    <t>08/23/1936</t>
  </si>
  <si>
    <t>10/04/1973</t>
  </si>
  <si>
    <t>12/23/1980</t>
  </si>
  <si>
    <t>02/20/1962</t>
  </si>
  <si>
    <t>08/13/1983</t>
  </si>
  <si>
    <t>12/29/1966</t>
  </si>
  <si>
    <t>11/04/1968</t>
  </si>
  <si>
    <t>06/25/1970</t>
  </si>
  <si>
    <t>02/15/1989</t>
  </si>
  <si>
    <t>12/14/1959</t>
  </si>
  <si>
    <t>06/19/1975</t>
  </si>
  <si>
    <t>07/18/1960</t>
  </si>
  <si>
    <t>10/17/1992</t>
  </si>
  <si>
    <t>11/02/1972</t>
  </si>
  <si>
    <t>04/20/1965</t>
  </si>
  <si>
    <t>02/20/1956</t>
  </si>
  <si>
    <t>09/06/1952</t>
  </si>
  <si>
    <t>10/01/1981</t>
  </si>
  <si>
    <t>05/18/1977</t>
  </si>
  <si>
    <t>09/30/1975</t>
  </si>
  <si>
    <t>06/06/1986</t>
  </si>
  <si>
    <t>08/19/1971</t>
  </si>
  <si>
    <t>06/01/1938</t>
  </si>
  <si>
    <t>02/23/1986</t>
  </si>
  <si>
    <t>04/03/1962</t>
  </si>
  <si>
    <t>01/14/1953</t>
  </si>
  <si>
    <t>02/26/1965</t>
  </si>
  <si>
    <t>08/23/1975</t>
  </si>
  <si>
    <t>08/14/1954</t>
  </si>
  <si>
    <t>08/14/1982</t>
  </si>
  <si>
    <t>09/15/1993</t>
  </si>
  <si>
    <t>09/07/1990</t>
  </si>
  <si>
    <t>08/10/1982</t>
  </si>
  <si>
    <t>06/10/1952</t>
  </si>
  <si>
    <t>06/19/1968</t>
  </si>
  <si>
    <t>11/21/1965</t>
  </si>
  <si>
    <t>08/08/1972</t>
  </si>
  <si>
    <t>11/01/1969</t>
  </si>
  <si>
    <t>01/27/1956</t>
  </si>
  <si>
    <t>01/09/1995</t>
  </si>
  <si>
    <t>01/17/1996</t>
  </si>
  <si>
    <t>02/26/1977</t>
  </si>
  <si>
    <t>03/30/1956</t>
  </si>
  <si>
    <t>06/10/1976</t>
  </si>
  <si>
    <t>02/17/1969</t>
  </si>
  <si>
    <t>04/06/1990</t>
  </si>
  <si>
    <t>10/05/1966</t>
  </si>
  <si>
    <t>10/14/1952</t>
  </si>
  <si>
    <t>02/28/1962</t>
  </si>
  <si>
    <t>11/03/1968</t>
  </si>
  <si>
    <t>05/08/1960</t>
  </si>
  <si>
    <t>12/09/1964</t>
  </si>
  <si>
    <t>12/16/1961</t>
  </si>
  <si>
    <t>10/30/1937</t>
  </si>
  <si>
    <t>02/28/1951</t>
  </si>
  <si>
    <t>03/29/1974</t>
  </si>
  <si>
    <t>12/23/1947</t>
  </si>
  <si>
    <t>03/20/1943</t>
  </si>
  <si>
    <t>09/10/1963</t>
  </si>
  <si>
    <t>04/29/1963</t>
  </si>
  <si>
    <t>07/31/1970</t>
  </si>
  <si>
    <t>05/18/1940</t>
  </si>
  <si>
    <t>01/10/1976</t>
  </si>
  <si>
    <t>04/12/1957</t>
  </si>
  <si>
    <t>11/10/1979</t>
  </si>
  <si>
    <t>01/15/1937</t>
  </si>
  <si>
    <t>11/25/1970</t>
  </si>
  <si>
    <t>01/09/1941</t>
  </si>
  <si>
    <t>06/07/1966</t>
  </si>
  <si>
    <t>09/08/1987</t>
  </si>
  <si>
    <t>02/01/1979</t>
  </si>
  <si>
    <t>08/13/1967</t>
  </si>
  <si>
    <t>01/11/1984</t>
  </si>
  <si>
    <t>07/16/1947</t>
  </si>
  <si>
    <t>03/05/1975</t>
  </si>
  <si>
    <t>06/06/1950</t>
  </si>
  <si>
    <t>11/28/1960</t>
  </si>
  <si>
    <t>12/03/1981</t>
  </si>
  <si>
    <t>09/23/1963</t>
  </si>
  <si>
    <t>09/19/1978</t>
  </si>
  <si>
    <t>07/20/1984</t>
  </si>
  <si>
    <t>12/17/1960</t>
  </si>
  <si>
    <t>03/29/1947</t>
  </si>
  <si>
    <t>03/15/1959</t>
  </si>
  <si>
    <t>02/03/1993</t>
  </si>
  <si>
    <t>11/13/1965</t>
  </si>
  <si>
    <t>05/20/1995</t>
  </si>
  <si>
    <t>05/18/1983</t>
  </si>
  <si>
    <t>03/06/1965</t>
  </si>
  <si>
    <t>09/24/1969</t>
  </si>
  <si>
    <t>10/29/1972</t>
  </si>
  <si>
    <t>10/10/1986</t>
  </si>
  <si>
    <t>09/24/1980</t>
  </si>
  <si>
    <t>08/07/1992</t>
  </si>
  <si>
    <t>09/22/1958</t>
  </si>
  <si>
    <t>03/27/1963</t>
  </si>
  <si>
    <t>06/14/1986</t>
  </si>
  <si>
    <t>11/05/1940</t>
  </si>
  <si>
    <t>06/03/1958</t>
  </si>
  <si>
    <t>11/20/1951</t>
  </si>
  <si>
    <t>11/03/1984</t>
  </si>
  <si>
    <t>09/21/1965</t>
  </si>
  <si>
    <t>04/28/1974</t>
  </si>
  <si>
    <t>03/07/1975</t>
  </si>
  <si>
    <t>07/02/1971</t>
  </si>
  <si>
    <t>09/09/1979</t>
  </si>
  <si>
    <t>04/23/1981</t>
  </si>
  <si>
    <t>02/05/1965</t>
  </si>
  <si>
    <t>06/30/1959</t>
  </si>
  <si>
    <t>05/02/1982</t>
  </si>
  <si>
    <t>12/04/1964</t>
  </si>
  <si>
    <t>06/13/1954</t>
  </si>
  <si>
    <t>12/26/1989</t>
  </si>
  <si>
    <t>07/12/1952</t>
  </si>
  <si>
    <t>08/16/1967</t>
  </si>
  <si>
    <t>07/04/1970</t>
  </si>
  <si>
    <t>09/09/1984</t>
  </si>
  <si>
    <t>03/27/1952</t>
  </si>
  <si>
    <t>08/26/1957</t>
  </si>
  <si>
    <t>01/02/1958</t>
  </si>
  <si>
    <t>11/18/1941</t>
  </si>
  <si>
    <t>08/18/1945</t>
  </si>
  <si>
    <t>01/16/1968</t>
  </si>
  <si>
    <t>01/01/1958</t>
  </si>
  <si>
    <t>10/26/1945</t>
  </si>
  <si>
    <t>04/12/1966</t>
  </si>
  <si>
    <t>01/13/1969</t>
  </si>
  <si>
    <t>04/21/1961</t>
  </si>
  <si>
    <t>03/21/1974</t>
  </si>
  <si>
    <t>08/07/1969</t>
  </si>
  <si>
    <t>03/28/1980</t>
  </si>
  <si>
    <t>12/12/1969</t>
  </si>
  <si>
    <t>07/19/1962</t>
  </si>
  <si>
    <t>07/01/1978</t>
  </si>
  <si>
    <t>07/13/1983</t>
  </si>
  <si>
    <t>09/24/1971</t>
  </si>
  <si>
    <t>06/15/1952</t>
  </si>
  <si>
    <t>12/19/2011</t>
  </si>
  <si>
    <t>01/19/1965</t>
  </si>
  <si>
    <t>10/19/1944</t>
  </si>
  <si>
    <t>05/03/1962</t>
  </si>
  <si>
    <t>10/21/1966</t>
  </si>
  <si>
    <t>03/21/1955</t>
  </si>
  <si>
    <t>03/27/1989</t>
  </si>
  <si>
    <t>11/19/1973</t>
  </si>
  <si>
    <t>11/07/1967</t>
  </si>
  <si>
    <t>02/03/1966</t>
  </si>
  <si>
    <t>05/01/1941</t>
  </si>
  <si>
    <t>05/08/1972</t>
  </si>
  <si>
    <t>02/23/1973</t>
  </si>
  <si>
    <t>07/20/1992</t>
  </si>
  <si>
    <t>12/05/1963</t>
  </si>
  <si>
    <t>01/27/1957</t>
  </si>
  <si>
    <t>03/10/1982</t>
  </si>
  <si>
    <t>09/05/1967</t>
  </si>
  <si>
    <t>12/15/1960</t>
  </si>
  <si>
    <t>10/30/1960</t>
  </si>
  <si>
    <t>03/20/1993</t>
  </si>
  <si>
    <t>10/04/1957</t>
  </si>
  <si>
    <t>09/05/1997</t>
  </si>
  <si>
    <t>04/16/1970</t>
  </si>
  <si>
    <t>07/23/1976</t>
  </si>
  <si>
    <t>03/07/1940</t>
  </si>
  <si>
    <t>06/19/1960</t>
  </si>
  <si>
    <t>05/01/1996</t>
  </si>
  <si>
    <t>01/16/1962</t>
  </si>
  <si>
    <t>10/13/1991</t>
  </si>
  <si>
    <t>12/30/1959</t>
  </si>
  <si>
    <t>12/12/1953</t>
  </si>
  <si>
    <t>11/16/1993</t>
  </si>
  <si>
    <t>03/11/1941</t>
  </si>
  <si>
    <t>01/18/1947</t>
  </si>
  <si>
    <t>02/28/1953</t>
  </si>
  <si>
    <t>09/02/1960</t>
  </si>
  <si>
    <t>01/22/1961</t>
  </si>
  <si>
    <t>03/09/1993</t>
  </si>
  <si>
    <t>03/04/1968</t>
  </si>
  <si>
    <t>02/18/1995</t>
  </si>
  <si>
    <t>10/27/1950</t>
  </si>
  <si>
    <t>09/18/1975</t>
  </si>
  <si>
    <t>03/26/1982</t>
  </si>
  <si>
    <t>01/12/1975</t>
  </si>
  <si>
    <t>11/28/1986</t>
  </si>
  <si>
    <t>12/14/1960</t>
  </si>
  <si>
    <t>04/29/1976</t>
  </si>
  <si>
    <t>10/02/1995</t>
  </si>
  <si>
    <t>08/17/1956</t>
  </si>
  <si>
    <t>12/19/1958</t>
  </si>
  <si>
    <t>12/22/1943</t>
  </si>
  <si>
    <t>05/07/1959</t>
  </si>
  <si>
    <t>03/01/1972</t>
  </si>
  <si>
    <t>06/09/1951</t>
  </si>
  <si>
    <t>06/08/1968</t>
  </si>
  <si>
    <t>09/08/1980</t>
  </si>
  <si>
    <t>04/01/1958</t>
  </si>
  <si>
    <t>11/08/1974</t>
  </si>
  <si>
    <t>10/07/1973</t>
  </si>
  <si>
    <t>08/18/1993</t>
  </si>
  <si>
    <t>10/08/1983</t>
  </si>
  <si>
    <t>04/09/1988</t>
  </si>
  <si>
    <t>06/09/1976</t>
  </si>
  <si>
    <t>08/11/1939</t>
  </si>
  <si>
    <t>01/01/1976</t>
  </si>
  <si>
    <t>09/19/1984</t>
  </si>
  <si>
    <t>12/16/1970</t>
  </si>
  <si>
    <t>12/20/1979</t>
  </si>
  <si>
    <t>05/01/1963</t>
  </si>
  <si>
    <t>12/16/1968</t>
  </si>
  <si>
    <t>07/27/1966</t>
  </si>
  <si>
    <t>01/01/1972</t>
  </si>
  <si>
    <t>03/06/1990</t>
  </si>
  <si>
    <t>12/22/1967</t>
  </si>
  <si>
    <t>07/03/1958</t>
  </si>
  <si>
    <t>03/09/1979</t>
  </si>
  <si>
    <t>08/10/1980</t>
  </si>
  <si>
    <t>05/20/1994</t>
  </si>
  <si>
    <t>01/11/1991</t>
  </si>
  <si>
    <t>02/07/1996</t>
  </si>
  <si>
    <t>07/25/1968</t>
  </si>
  <si>
    <t>10/30/1962</t>
  </si>
  <si>
    <t>09/25/1995</t>
  </si>
  <si>
    <t>03/16/1948</t>
  </si>
  <si>
    <t>12/09/1960</t>
  </si>
  <si>
    <t>01/15/1981</t>
  </si>
  <si>
    <t>12/22/1929</t>
  </si>
  <si>
    <t>01/14/1980</t>
  </si>
  <si>
    <t>05/25/1986</t>
  </si>
  <si>
    <t>12/26/1967</t>
  </si>
  <si>
    <t>09/26/1989</t>
  </si>
  <si>
    <t>07/06/1948</t>
  </si>
  <si>
    <t>03/19/1956</t>
  </si>
  <si>
    <t>12/15/1991</t>
  </si>
  <si>
    <t>01/05/1971</t>
  </si>
  <si>
    <t>08/06/1984</t>
  </si>
  <si>
    <t>11/19/1980</t>
  </si>
  <si>
    <t>12/31/1955</t>
  </si>
  <si>
    <t>01/18/1980</t>
  </si>
  <si>
    <t>01/22/1983</t>
  </si>
  <si>
    <t>04/13/1934</t>
  </si>
  <si>
    <t>11/15/1965</t>
  </si>
  <si>
    <t>09/19/1958</t>
  </si>
  <si>
    <t>12/07/1991</t>
  </si>
  <si>
    <t>04/23/1985</t>
  </si>
  <si>
    <t>03/09/1987</t>
  </si>
  <si>
    <t>02/25/1977</t>
  </si>
  <si>
    <t>03/28/1989</t>
  </si>
  <si>
    <t>10/24/1983</t>
  </si>
  <si>
    <t>07/18/1987</t>
  </si>
  <si>
    <t>05/21/1959</t>
  </si>
  <si>
    <t>11/10/1969</t>
  </si>
  <si>
    <t>09/15/1984</t>
  </si>
  <si>
    <t>11/16/1984</t>
  </si>
  <si>
    <t>09/17/1977</t>
  </si>
  <si>
    <t>03/24/1966</t>
  </si>
  <si>
    <t>04/14/1967</t>
  </si>
  <si>
    <t>03/25/1973</t>
  </si>
  <si>
    <t>06/27/1986</t>
  </si>
  <si>
    <t>08/09/1970</t>
  </si>
  <si>
    <t>10/05/1976</t>
  </si>
  <si>
    <t>12/31/1976</t>
  </si>
  <si>
    <t>02/19/1970</t>
  </si>
  <si>
    <t>11/11/1970</t>
  </si>
  <si>
    <t>08/10/1995</t>
  </si>
  <si>
    <t>08/20/1999</t>
  </si>
  <si>
    <t>10/19/1965</t>
  </si>
  <si>
    <t>01/05/1978</t>
  </si>
  <si>
    <t>01/25/1956</t>
  </si>
  <si>
    <t>01/23/1959</t>
  </si>
  <si>
    <t>05/24/1994</t>
  </si>
  <si>
    <t>10/08/1986</t>
  </si>
  <si>
    <t>02/26/1992</t>
  </si>
  <si>
    <t>10/10/1961</t>
  </si>
  <si>
    <t>07/13/1945</t>
  </si>
  <si>
    <t>11/15/1975</t>
  </si>
  <si>
    <t>11/16/1955</t>
  </si>
  <si>
    <t>05/20/1988</t>
  </si>
  <si>
    <t>01/30/1971</t>
  </si>
  <si>
    <t>03/03/1949</t>
  </si>
  <si>
    <t>01/04/1947</t>
  </si>
  <si>
    <t>10/30/1952</t>
  </si>
  <si>
    <t>01/13/1959</t>
  </si>
  <si>
    <t>06/17/1963</t>
  </si>
  <si>
    <t>03/07/1983</t>
  </si>
  <si>
    <t>02/26/1981</t>
  </si>
  <si>
    <t>07/22/1948</t>
  </si>
  <si>
    <t>08/18/1982</t>
  </si>
  <si>
    <t>06/07/1951</t>
  </si>
  <si>
    <t>06/23/1972</t>
  </si>
  <si>
    <t>03/18/1936</t>
  </si>
  <si>
    <t>04/03/1952</t>
  </si>
  <si>
    <t>10/01/1978</t>
  </si>
  <si>
    <t>07/30/1968</t>
  </si>
  <si>
    <t>03/17/1987</t>
  </si>
  <si>
    <t>06/06/1992</t>
  </si>
  <si>
    <t>09/15/1955</t>
  </si>
  <si>
    <t>06/22/1963</t>
  </si>
  <si>
    <t>01/30/1978</t>
  </si>
  <si>
    <t>06/19/1978</t>
  </si>
  <si>
    <t>02/17/1963</t>
  </si>
  <si>
    <t>08/20/1964</t>
  </si>
  <si>
    <t>08/15/1959</t>
  </si>
  <si>
    <t>05/13/1959</t>
  </si>
  <si>
    <t>07/16/1977</t>
  </si>
  <si>
    <t>06/24/1995</t>
  </si>
  <si>
    <t>03/05/1972</t>
  </si>
  <si>
    <t>09/09/1971</t>
  </si>
  <si>
    <t>07/12/1949</t>
  </si>
  <si>
    <t>05/30/1969</t>
  </si>
  <si>
    <t>04/05/1980</t>
  </si>
  <si>
    <t>04/05/1972</t>
  </si>
  <si>
    <t>04/30/1975</t>
  </si>
  <si>
    <t>07/08/1958</t>
  </si>
  <si>
    <t>01/12/1964</t>
  </si>
  <si>
    <t>06/14/1975</t>
  </si>
  <si>
    <t>12/31/1981</t>
  </si>
  <si>
    <t>04/10/1951</t>
  </si>
  <si>
    <t>06/10/1956</t>
  </si>
  <si>
    <t>01/10/1995</t>
  </si>
  <si>
    <t>01/20/1950</t>
  </si>
  <si>
    <t>10/14/1961</t>
  </si>
  <si>
    <t>02/14/1961</t>
  </si>
  <si>
    <t>09/07/1955</t>
  </si>
  <si>
    <t>05/25/1968</t>
  </si>
  <si>
    <t>05/10/1933</t>
  </si>
  <si>
    <t>08/19/1960</t>
  </si>
  <si>
    <t>05/15/1965</t>
  </si>
  <si>
    <t>05/22/1966</t>
  </si>
  <si>
    <t>12/04/1953</t>
  </si>
  <si>
    <t>04/27/1961</t>
  </si>
  <si>
    <t>01/07/1982</t>
  </si>
  <si>
    <t>01/05/1946</t>
  </si>
  <si>
    <t>06/24/1957</t>
  </si>
  <si>
    <t>03/17/1961</t>
  </si>
  <si>
    <t>07/24/1949</t>
  </si>
  <si>
    <t>01/19/1942</t>
  </si>
  <si>
    <t>06/10/1922</t>
  </si>
  <si>
    <t>09/18/1940</t>
  </si>
  <si>
    <t>10/04/1987</t>
  </si>
  <si>
    <t>01/20/1955</t>
  </si>
  <si>
    <t>12/30/1945</t>
  </si>
  <si>
    <t>11/13/1979</t>
  </si>
  <si>
    <t>11/07/1970</t>
  </si>
  <si>
    <t>08/10/1942</t>
  </si>
  <si>
    <t>03/26/1956</t>
  </si>
  <si>
    <t>05/11/1959</t>
  </si>
  <si>
    <t>04/22/1966</t>
  </si>
  <si>
    <t>11/06/1980</t>
  </si>
  <si>
    <t>10/10/1969</t>
  </si>
  <si>
    <t>02/15/1957</t>
  </si>
  <si>
    <t>02/12/1965</t>
  </si>
  <si>
    <t>03/23/1978</t>
  </si>
  <si>
    <t>04/26/1953</t>
  </si>
  <si>
    <t>01/23/1956</t>
  </si>
  <si>
    <t>07/22/1967</t>
  </si>
  <si>
    <t>05/23/1944</t>
  </si>
  <si>
    <t>12/12/1972</t>
  </si>
  <si>
    <t>10/26/1978</t>
  </si>
  <si>
    <t>01/17/1959</t>
  </si>
  <si>
    <t>12/11/1952</t>
  </si>
  <si>
    <t>06/14/1949</t>
  </si>
  <si>
    <t>11/29/1950</t>
  </si>
  <si>
    <t>01/01/1938</t>
  </si>
  <si>
    <t>06/19/1956</t>
  </si>
  <si>
    <t>01/27/1974</t>
  </si>
  <si>
    <t>12/26/1982</t>
  </si>
  <si>
    <t>03/01/1951</t>
  </si>
  <si>
    <t>06/05/1953</t>
  </si>
  <si>
    <t>01/02/1972</t>
  </si>
  <si>
    <t>09/30/1958</t>
  </si>
  <si>
    <t>12/13/1956</t>
  </si>
  <si>
    <t>12/27/1977</t>
  </si>
  <si>
    <t>10/11/1959</t>
  </si>
  <si>
    <t>03/11/1943</t>
  </si>
  <si>
    <t>10/03/1949</t>
  </si>
  <si>
    <t>03/15/1977</t>
  </si>
  <si>
    <t>02/08/1972</t>
  </si>
  <si>
    <t>10/11/1950</t>
  </si>
  <si>
    <t>04/22/1950</t>
  </si>
  <si>
    <t>02/11/1962</t>
  </si>
  <si>
    <t>03/25/1960</t>
  </si>
  <si>
    <t>12/16/1973</t>
  </si>
  <si>
    <t>03/22/1977</t>
  </si>
  <si>
    <t>07/25/1969</t>
  </si>
  <si>
    <t>02/05/1959</t>
  </si>
  <si>
    <t>08/15/1963</t>
  </si>
  <si>
    <t>09/25/1966</t>
  </si>
  <si>
    <t>08/26/1969</t>
  </si>
  <si>
    <t>10/31/1968</t>
  </si>
  <si>
    <t>10/14/1960</t>
  </si>
  <si>
    <t>11/14/1953</t>
  </si>
  <si>
    <t>01/28/1961</t>
  </si>
  <si>
    <t>05/27/1977</t>
  </si>
  <si>
    <t>01/20/1959</t>
  </si>
  <si>
    <t>09/26/1955</t>
  </si>
  <si>
    <t>01/14/1963</t>
  </si>
  <si>
    <t>08/03/1958</t>
  </si>
  <si>
    <t>12/26/1970</t>
  </si>
  <si>
    <t>08/06/1992</t>
  </si>
  <si>
    <t>01/20/1984</t>
  </si>
  <si>
    <t>12/15/1977</t>
  </si>
  <si>
    <t>07/11/1989</t>
  </si>
  <si>
    <t>07/25/1966</t>
  </si>
  <si>
    <t>11/27/1958</t>
  </si>
  <si>
    <t>04/30/1941</t>
  </si>
  <si>
    <t>08/04/1955</t>
  </si>
  <si>
    <t>12/23/1956</t>
  </si>
  <si>
    <t>05/31/1951</t>
  </si>
  <si>
    <t>03/20/1965</t>
  </si>
  <si>
    <t>09/04/1966</t>
  </si>
  <si>
    <t>03/15/1948</t>
  </si>
  <si>
    <t>01/25/1945</t>
  </si>
  <si>
    <t>09/03/1964</t>
  </si>
  <si>
    <t>05/04/1953</t>
  </si>
  <si>
    <t>02/16/1980</t>
  </si>
  <si>
    <t>05/01/1992</t>
  </si>
  <si>
    <t>07/10/2001</t>
  </si>
  <si>
    <t>11/09/1977</t>
  </si>
  <si>
    <t>06/20/1981</t>
  </si>
  <si>
    <t>01/26/1971</t>
  </si>
  <si>
    <t>04/11/1959</t>
  </si>
  <si>
    <t>10/18/1955</t>
  </si>
  <si>
    <t>05/03/1979</t>
  </si>
  <si>
    <t>06/27/1948</t>
  </si>
  <si>
    <t>06/06/1967</t>
  </si>
  <si>
    <t>12/07/1953</t>
  </si>
  <si>
    <t>02/11/1951</t>
  </si>
  <si>
    <t>06/16/1969</t>
  </si>
  <si>
    <t>12/28/1968</t>
  </si>
  <si>
    <t>03/16/1967</t>
  </si>
  <si>
    <t>10/09/1945</t>
  </si>
  <si>
    <t>12/13/1945</t>
  </si>
  <si>
    <t>07/10/1984</t>
  </si>
  <si>
    <t>02/06/1970</t>
  </si>
  <si>
    <t>10/16/1967</t>
  </si>
  <si>
    <t>08/14/1981</t>
  </si>
  <si>
    <t>03/11/1979</t>
  </si>
  <si>
    <t>11/22/1932</t>
  </si>
  <si>
    <t>03/22/1959</t>
  </si>
  <si>
    <t>01/02/1960</t>
  </si>
  <si>
    <t>06/12/1945</t>
  </si>
  <si>
    <t>09/15/1960</t>
  </si>
  <si>
    <t>03/14/1966</t>
  </si>
  <si>
    <t>01/01/1945</t>
  </si>
  <si>
    <t>01/20/1956</t>
  </si>
  <si>
    <t>02/22/1981</t>
  </si>
  <si>
    <t>05/15/1989</t>
  </si>
  <si>
    <t>05/18/1954</t>
  </si>
  <si>
    <t>06/09/1970</t>
  </si>
  <si>
    <t>03/08/1981</t>
  </si>
  <si>
    <t>07/20/1963</t>
  </si>
  <si>
    <t>02/02/1970</t>
  </si>
  <si>
    <t>06/10/1943</t>
  </si>
  <si>
    <t>12/14/1978</t>
  </si>
  <si>
    <t>05/17/1995</t>
  </si>
  <si>
    <t>01/08/1956</t>
  </si>
  <si>
    <t>12/10/1991</t>
  </si>
  <si>
    <t>12/25/1957</t>
  </si>
  <si>
    <t>01/23/1986</t>
  </si>
  <si>
    <t>03/09/1983</t>
  </si>
  <si>
    <t>09/12/1987</t>
  </si>
  <si>
    <t>05/26/1980</t>
  </si>
  <si>
    <t>09/28/1990</t>
  </si>
  <si>
    <t>07/01/1979</t>
  </si>
  <si>
    <t>01/12/1981</t>
  </si>
  <si>
    <t>08/28/1970</t>
  </si>
  <si>
    <t>06/22/1967</t>
  </si>
  <si>
    <t>06/13/1942</t>
  </si>
  <si>
    <t>08/05/1972</t>
  </si>
  <si>
    <t>02/08/1992</t>
  </si>
  <si>
    <t>05/29/1986</t>
  </si>
  <si>
    <t>02/10/1964</t>
  </si>
  <si>
    <t>06/11/1957</t>
  </si>
  <si>
    <t>12/17/1970</t>
  </si>
  <si>
    <t>10/13/1972</t>
  </si>
  <si>
    <t>02/24/1974</t>
  </si>
  <si>
    <t>12/25/1950</t>
  </si>
  <si>
    <t>03/29/1980</t>
  </si>
  <si>
    <t>01/08/1983</t>
  </si>
  <si>
    <t>03/17/1975</t>
  </si>
  <si>
    <t>05/10/1956</t>
  </si>
  <si>
    <t>09/23/1986</t>
  </si>
  <si>
    <t>10/14/1959</t>
  </si>
  <si>
    <t>08/04/1960</t>
  </si>
  <si>
    <t>04/14/1996</t>
  </si>
  <si>
    <t>05/10/1927</t>
  </si>
  <si>
    <t>08/04/1971</t>
  </si>
  <si>
    <t>04/19/1958</t>
  </si>
  <si>
    <t>07/20/1981</t>
  </si>
  <si>
    <t>10/30/1985</t>
  </si>
  <si>
    <t>05/09/1983</t>
  </si>
  <si>
    <t>04/10/1980</t>
  </si>
  <si>
    <t>10/09/1972</t>
  </si>
  <si>
    <t>11/29/1957</t>
  </si>
  <si>
    <t>02/21/1983</t>
  </si>
  <si>
    <t>08/20/1992</t>
  </si>
  <si>
    <t>09/23/1981</t>
  </si>
  <si>
    <t>03/07/1977</t>
  </si>
  <si>
    <t>04/06/1971</t>
  </si>
  <si>
    <t>07/06/1955</t>
  </si>
  <si>
    <t>07/30/1966</t>
  </si>
  <si>
    <t>04/02/1967</t>
  </si>
  <si>
    <t>04/15/1976</t>
  </si>
  <si>
    <t>04/06/1988</t>
  </si>
  <si>
    <t>08/19/1961</t>
  </si>
  <si>
    <t>09/20/1980</t>
  </si>
  <si>
    <t>02/01/1955</t>
  </si>
  <si>
    <t>03/12/1977</t>
  </si>
  <si>
    <t>02/04/1980</t>
  </si>
  <si>
    <t>05/06/1989</t>
  </si>
  <si>
    <t>05/17/1990</t>
  </si>
  <si>
    <t>11/06/1977</t>
  </si>
  <si>
    <t>06/24/1963</t>
  </si>
  <si>
    <t>08/11/1968</t>
  </si>
  <si>
    <t>04/24/1967</t>
  </si>
  <si>
    <t>02/07/1961</t>
  </si>
  <si>
    <t>08/14/1983</t>
  </si>
  <si>
    <t>05/09/1990</t>
  </si>
  <si>
    <t>11/17/1983</t>
  </si>
  <si>
    <t>02/06/1944</t>
  </si>
  <si>
    <t>04/01/1981</t>
  </si>
  <si>
    <t>04/11/1961</t>
  </si>
  <si>
    <t>08/27/1970</t>
  </si>
  <si>
    <t>05/27/1956</t>
  </si>
  <si>
    <t>03/02/1963</t>
  </si>
  <si>
    <t>04/22/1968</t>
  </si>
  <si>
    <t>02/16/1975</t>
  </si>
  <si>
    <t>08/13/1974</t>
  </si>
  <si>
    <t>01/09/1983</t>
  </si>
  <si>
    <t>10/10/1974</t>
  </si>
  <si>
    <t>10/22/1949</t>
  </si>
  <si>
    <t>11/06/1941</t>
  </si>
  <si>
    <t>02/18/1981</t>
  </si>
  <si>
    <t>01/18/1976</t>
  </si>
  <si>
    <t>05/07/1943</t>
  </si>
  <si>
    <t>02/22/1973</t>
  </si>
  <si>
    <t>07/05/1953</t>
  </si>
  <si>
    <t>03/21/1950</t>
  </si>
  <si>
    <t>04/02/1982</t>
  </si>
  <si>
    <t>02/03/1958</t>
  </si>
  <si>
    <t>11/23/1942</t>
  </si>
  <si>
    <t>12/27/1991</t>
  </si>
  <si>
    <t>05/27/1953</t>
  </si>
  <si>
    <t>09/18/1936</t>
  </si>
  <si>
    <t>08/12/1974</t>
  </si>
  <si>
    <t>02/24/1966</t>
  </si>
  <si>
    <t>02/18/1968</t>
  </si>
  <si>
    <t>11/29/1972</t>
  </si>
  <si>
    <t>07/01/1949</t>
  </si>
  <si>
    <t>11/18/1984</t>
  </si>
  <si>
    <t>05/29/1962</t>
  </si>
  <si>
    <t>01/07/1979</t>
  </si>
  <si>
    <t>12/12/1954</t>
  </si>
  <si>
    <t>09/26/1992</t>
  </si>
  <si>
    <t>03/08/1964</t>
  </si>
  <si>
    <t>08/23/1949</t>
  </si>
  <si>
    <t>04/23/2009</t>
  </si>
  <si>
    <t>02/17/1949</t>
  </si>
  <si>
    <t>01/09/1978</t>
  </si>
  <si>
    <t>12/23/1959</t>
  </si>
  <si>
    <t>03/04/1938</t>
  </si>
  <si>
    <t>07/09/1984</t>
  </si>
  <si>
    <t>09/29/1960</t>
  </si>
  <si>
    <t>12/11/1955</t>
  </si>
  <si>
    <t>12/10/1954</t>
  </si>
  <si>
    <t>12/01/1969</t>
  </si>
  <si>
    <t>07/22/1986</t>
  </si>
  <si>
    <t>06/03/1968</t>
  </si>
  <si>
    <t>12/11/1970</t>
  </si>
  <si>
    <t>01/21/1948</t>
  </si>
  <si>
    <t>03/11/1984</t>
  </si>
  <si>
    <t>09/02/1991</t>
  </si>
  <si>
    <t>09/20/1957</t>
  </si>
  <si>
    <t>06/22/1975</t>
  </si>
  <si>
    <t>02/17/1985</t>
  </si>
  <si>
    <t>12/21/1974</t>
  </si>
  <si>
    <t>10/06/1958</t>
  </si>
  <si>
    <t>06/12/1967</t>
  </si>
  <si>
    <t>01/14/1954</t>
  </si>
  <si>
    <t>07/11/1962</t>
  </si>
  <si>
    <t>10/18/1983</t>
  </si>
  <si>
    <t>08/13/1956</t>
  </si>
  <si>
    <t>01/28/1988</t>
  </si>
  <si>
    <t>12/15/1970</t>
  </si>
  <si>
    <t>01/14/1959</t>
  </si>
  <si>
    <t>01/15/1992</t>
  </si>
  <si>
    <t>04/26/1975</t>
  </si>
  <si>
    <t>05/14/1990</t>
  </si>
  <si>
    <t>01/07/1970</t>
  </si>
  <si>
    <t>11/08/1952</t>
  </si>
  <si>
    <t>10/18/1952</t>
  </si>
  <si>
    <t>05/19/1959</t>
  </si>
  <si>
    <t>02/20/1949</t>
  </si>
  <si>
    <t>02/09/1943</t>
  </si>
  <si>
    <t>02/09/1983</t>
  </si>
  <si>
    <t>05/11/1961</t>
  </si>
  <si>
    <t>10/12/1975</t>
  </si>
  <si>
    <t>02/05/1980</t>
  </si>
  <si>
    <t>02/23/1968</t>
  </si>
  <si>
    <t>02/10/1971</t>
  </si>
  <si>
    <t>11/04/1955</t>
  </si>
  <si>
    <t>10/13/1967</t>
  </si>
  <si>
    <t>06/08/1973</t>
  </si>
  <si>
    <t>04/27/1988</t>
  </si>
  <si>
    <t>04/16/1979</t>
  </si>
  <si>
    <t>11/18/1986</t>
  </si>
  <si>
    <t>09/28/1965</t>
  </si>
  <si>
    <t>01/26/1976</t>
  </si>
  <si>
    <t>02/16/1986</t>
  </si>
  <si>
    <t>08/16/1988</t>
  </si>
  <si>
    <t>12/06/1958</t>
  </si>
  <si>
    <t>10/10/1992</t>
  </si>
  <si>
    <t>09/04/1990</t>
  </si>
  <si>
    <t>05/06/1935</t>
  </si>
  <si>
    <t>03/27/1973</t>
  </si>
  <si>
    <t>01/25/1963</t>
  </si>
  <si>
    <t>07/06/1960</t>
  </si>
  <si>
    <t>07/10/1970</t>
  </si>
  <si>
    <t>12/15/1961</t>
  </si>
  <si>
    <t>08/29/1987</t>
  </si>
  <si>
    <t>11/02/1964</t>
  </si>
  <si>
    <t>04/23/1993</t>
  </si>
  <si>
    <t>04/15/1989</t>
  </si>
  <si>
    <t>12/10/1963</t>
  </si>
  <si>
    <t>03/06/1956</t>
  </si>
  <si>
    <t>05/26/1948</t>
  </si>
  <si>
    <t>06/13/1949</t>
  </si>
  <si>
    <t>09/13/1990</t>
  </si>
  <si>
    <t>04/09/1986</t>
  </si>
  <si>
    <t>10/11/1952</t>
  </si>
  <si>
    <t>06/01/1979</t>
  </si>
  <si>
    <t>01/22/1962</t>
  </si>
  <si>
    <t>11/14/1975</t>
  </si>
  <si>
    <t>06/06/1970</t>
  </si>
  <si>
    <t>11/26/1974</t>
  </si>
  <si>
    <t>06/06/1963</t>
  </si>
  <si>
    <t>05/29/1965</t>
  </si>
  <si>
    <t>06/08/1975</t>
  </si>
  <si>
    <t>07/01/1963</t>
  </si>
  <si>
    <t>01/18/1974</t>
  </si>
  <si>
    <t>07/05/1988</t>
  </si>
  <si>
    <t>06/06/1990</t>
  </si>
  <si>
    <t>08/20/1960</t>
  </si>
  <si>
    <t>12/20/1970</t>
  </si>
  <si>
    <t>02/29/1968</t>
  </si>
  <si>
    <t>03/10/1967</t>
  </si>
  <si>
    <t>05/12/1972</t>
  </si>
  <si>
    <t>03/19/1973</t>
  </si>
  <si>
    <t>08/01/1971</t>
  </si>
  <si>
    <t>08/08/1993</t>
  </si>
  <si>
    <t>05/07/1971</t>
  </si>
  <si>
    <t>08/27/1984</t>
  </si>
  <si>
    <t>02/07/1979</t>
  </si>
  <si>
    <t>12/14/1988</t>
  </si>
  <si>
    <t>01/15/1966</t>
  </si>
  <si>
    <t>05/13/1973</t>
  </si>
  <si>
    <t>01/04/1963</t>
  </si>
  <si>
    <t>05/27/1990</t>
  </si>
  <si>
    <t>10/28/1984</t>
  </si>
  <si>
    <t>10/07/1988</t>
  </si>
  <si>
    <t>09/26/1964</t>
  </si>
  <si>
    <t>02/08/1961</t>
  </si>
  <si>
    <t>01/01/1975</t>
  </si>
  <si>
    <t>09/18/1955</t>
  </si>
  <si>
    <t>03/11/1975</t>
  </si>
  <si>
    <t>04/24/1988</t>
  </si>
  <si>
    <t>01/17/1984</t>
  </si>
  <si>
    <t>06/10/1962</t>
  </si>
  <si>
    <t>10/16/1968</t>
  </si>
  <si>
    <t>11/23/1960</t>
  </si>
  <si>
    <t>05/07/1975</t>
  </si>
  <si>
    <t>06/01/1946</t>
  </si>
  <si>
    <t>08/01/1965</t>
  </si>
  <si>
    <t>03/05/1961</t>
  </si>
  <si>
    <t>12/20/1980</t>
  </si>
  <si>
    <t>06/22/1947</t>
  </si>
  <si>
    <t>09/09/1948</t>
  </si>
  <si>
    <t>12/07/1969</t>
  </si>
  <si>
    <t>08/21/1959</t>
  </si>
  <si>
    <t>06/30/1967</t>
  </si>
  <si>
    <t>12/16/1963</t>
  </si>
  <si>
    <t>03/22/1974</t>
  </si>
  <si>
    <t>11/03/1978</t>
  </si>
  <si>
    <t>11/30/1970</t>
  </si>
  <si>
    <t>12/11/1966</t>
  </si>
  <si>
    <t>06/03/1938</t>
  </si>
  <si>
    <t>10/02/1986</t>
  </si>
  <si>
    <t>08/09/1986</t>
  </si>
  <si>
    <t>01/01/1961</t>
  </si>
  <si>
    <t>11/19/1985</t>
  </si>
  <si>
    <t>05/22/1959</t>
  </si>
  <si>
    <t>03/15/1983</t>
  </si>
  <si>
    <t>11/01/1950</t>
  </si>
  <si>
    <t>10/25/1979</t>
  </si>
  <si>
    <t>08/26/1962</t>
  </si>
  <si>
    <t>03/21/1973</t>
  </si>
  <si>
    <t>04/05/1962</t>
  </si>
  <si>
    <t>11/10/1939</t>
  </si>
  <si>
    <t>07/26/1973</t>
  </si>
  <si>
    <t>11/03/1979</t>
  </si>
  <si>
    <t>02/09/1949</t>
  </si>
  <si>
    <t>12/13/1973</t>
  </si>
  <si>
    <t>07/10/1966</t>
  </si>
  <si>
    <t>08/18/1987</t>
  </si>
  <si>
    <t>02/19/1973</t>
  </si>
  <si>
    <t>07/27/1990</t>
  </si>
  <si>
    <t>06/11/1994</t>
  </si>
  <si>
    <t>04/17/1950</t>
  </si>
  <si>
    <t>07/01/1986</t>
  </si>
  <si>
    <t>11/10/1972</t>
  </si>
  <si>
    <t>03/17/1995</t>
  </si>
  <si>
    <t>05/20/1964</t>
  </si>
  <si>
    <t>03/31/1982</t>
  </si>
  <si>
    <t>04/24/1979</t>
  </si>
  <si>
    <t>01/18/1982</t>
  </si>
  <si>
    <t>12/26/1936</t>
  </si>
  <si>
    <t>12/05/1976</t>
  </si>
  <si>
    <t>04/26/1979</t>
  </si>
  <si>
    <t>06/12/1973</t>
  </si>
  <si>
    <t>11/08/1949</t>
  </si>
  <si>
    <t>01/09/1950</t>
  </si>
  <si>
    <t>09/23/1995</t>
  </si>
  <si>
    <t>02/22/1976</t>
  </si>
  <si>
    <t>06/23/1980</t>
  </si>
  <si>
    <t>02/08/1969</t>
  </si>
  <si>
    <t>06/21/1951</t>
  </si>
  <si>
    <t>02/13/1986</t>
  </si>
  <si>
    <t>05/12/1943</t>
  </si>
  <si>
    <t>02/17/1966</t>
  </si>
  <si>
    <t>05/02/1963</t>
  </si>
  <si>
    <t>08/23/1939</t>
  </si>
  <si>
    <t>02/25/1963</t>
  </si>
  <si>
    <t>03/07/1991</t>
  </si>
  <si>
    <t>09/07/1980</t>
  </si>
  <si>
    <t>01/25/1957</t>
  </si>
  <si>
    <t>10/15/1985</t>
  </si>
  <si>
    <t>08/12/1956</t>
  </si>
  <si>
    <t>05/11/1954</t>
  </si>
  <si>
    <t>02/21/1949</t>
  </si>
  <si>
    <t>03/31/1972</t>
  </si>
  <si>
    <t>04/06/1966</t>
  </si>
  <si>
    <t>05/15/1967</t>
  </si>
  <si>
    <t>03/11/1987</t>
  </si>
  <si>
    <t>12/05/1965</t>
  </si>
  <si>
    <t>05/05/1960</t>
  </si>
  <si>
    <t>03/29/1956</t>
  </si>
  <si>
    <t>10/04/1954</t>
  </si>
  <si>
    <t>08/15/1976</t>
  </si>
  <si>
    <t>07/04/1979</t>
  </si>
  <si>
    <t>05/14/1948</t>
  </si>
  <si>
    <t>02/20/1971</t>
  </si>
  <si>
    <t>01/30/1964</t>
  </si>
  <si>
    <t>12/05/1994</t>
  </si>
  <si>
    <t>09/24/1981</t>
  </si>
  <si>
    <t>09/02/1970</t>
  </si>
  <si>
    <t>09/21/1956</t>
  </si>
  <si>
    <t>11/11/1983</t>
  </si>
  <si>
    <t>12/27/1967</t>
  </si>
  <si>
    <t>07/27/1992</t>
  </si>
  <si>
    <t>03/12/1989</t>
  </si>
  <si>
    <t>09/25/1961</t>
  </si>
  <si>
    <t>12/21/1981</t>
  </si>
  <si>
    <t>01/29/1951</t>
  </si>
  <si>
    <t>08/10/1973</t>
  </si>
  <si>
    <t>09/21/1981</t>
  </si>
  <si>
    <t>08/23/1984</t>
  </si>
  <si>
    <t>11/09/1978</t>
  </si>
  <si>
    <t>11/08/1958</t>
  </si>
  <si>
    <t>09/09/1970</t>
  </si>
  <si>
    <t>10/11/1972</t>
  </si>
  <si>
    <t>06/22/1966</t>
  </si>
  <si>
    <t>09/27/1987</t>
  </si>
  <si>
    <t>05/09/1977</t>
  </si>
  <si>
    <t>03/02/1981</t>
  </si>
  <si>
    <t>09/03/1993</t>
  </si>
  <si>
    <t>07/19/1950</t>
  </si>
  <si>
    <t>01/08/1995</t>
  </si>
  <si>
    <t>09/25/1950</t>
  </si>
  <si>
    <t>11/11/1992</t>
  </si>
  <si>
    <t>10/31/1975</t>
  </si>
  <si>
    <t>11/26/1950</t>
  </si>
  <si>
    <t>10/28/1986</t>
  </si>
  <si>
    <t>11/10/1959</t>
  </si>
  <si>
    <t>07/07/1984</t>
  </si>
  <si>
    <t>01/16/1990</t>
  </si>
  <si>
    <t>12/16/1986</t>
  </si>
  <si>
    <t>11/13/1978</t>
  </si>
  <si>
    <t>07/13/1982</t>
  </si>
  <si>
    <t>10/19/1982</t>
  </si>
  <si>
    <t>12/15/1971</t>
  </si>
  <si>
    <t>05/26/1988</t>
  </si>
  <si>
    <t>05/09/1976</t>
  </si>
  <si>
    <t>12/06/1945</t>
  </si>
  <si>
    <t>07/27/1968</t>
  </si>
  <si>
    <t>07/13/1976</t>
  </si>
  <si>
    <t>04/17/1961</t>
  </si>
  <si>
    <t>11/12/1957</t>
  </si>
  <si>
    <t>12/09/1945</t>
  </si>
  <si>
    <t>02/04/1955</t>
  </si>
  <si>
    <t>04/20/1974</t>
  </si>
  <si>
    <t>03/24/1986</t>
  </si>
  <si>
    <t>08/25/1997</t>
  </si>
  <si>
    <t>09/20/1981</t>
  </si>
  <si>
    <t>12/25/1976</t>
  </si>
  <si>
    <t>07/10/1955</t>
  </si>
  <si>
    <t>06/07/1986</t>
  </si>
  <si>
    <t>09/09/1935</t>
  </si>
  <si>
    <t>09/26/1967</t>
  </si>
  <si>
    <t>10/18/1978</t>
  </si>
  <si>
    <t>09/11/1936</t>
  </si>
  <si>
    <t>03/09/1942</t>
  </si>
  <si>
    <t>04/25/1961</t>
  </si>
  <si>
    <t>05/07/1963</t>
  </si>
  <si>
    <t>05/05/1970</t>
  </si>
  <si>
    <t>12/07/1951</t>
  </si>
  <si>
    <t>04/28/1972</t>
  </si>
  <si>
    <t>07/25/1983</t>
  </si>
  <si>
    <t>07/06/1989</t>
  </si>
  <si>
    <t>07/30/1989</t>
  </si>
  <si>
    <t>06/09/1962</t>
  </si>
  <si>
    <t>05/13/1953</t>
  </si>
  <si>
    <t>03/23/1964</t>
  </si>
  <si>
    <t>01/11/1969</t>
  </si>
  <si>
    <t>09/20/1966</t>
  </si>
  <si>
    <t>05/24/1962</t>
  </si>
  <si>
    <t>08/03/1946</t>
  </si>
  <si>
    <t>03/08/1990</t>
  </si>
  <si>
    <t>05/12/1931</t>
  </si>
  <si>
    <t>04/01/1977</t>
  </si>
  <si>
    <t>07/11/1967</t>
  </si>
  <si>
    <t>03/05/1963</t>
  </si>
  <si>
    <t>10/29/1953</t>
  </si>
  <si>
    <t>09/25/1996</t>
  </si>
  <si>
    <t>08/24/1990</t>
  </si>
  <si>
    <t>11/02/1939</t>
  </si>
  <si>
    <t>12/24/1984</t>
  </si>
  <si>
    <t>08/15/1966</t>
  </si>
  <si>
    <t>01/16/1989</t>
  </si>
  <si>
    <t>04/29/1954</t>
  </si>
  <si>
    <t>01/07/1965</t>
  </si>
  <si>
    <t>01/31/1964</t>
  </si>
  <si>
    <t>12/01/1967</t>
  </si>
  <si>
    <t>02/17/1967</t>
  </si>
  <si>
    <t>07/25/1964</t>
  </si>
  <si>
    <t>01/29/1990</t>
  </si>
  <si>
    <t>05/23/1954</t>
  </si>
  <si>
    <t>01/14/1983</t>
  </si>
  <si>
    <t>07/20/1982</t>
  </si>
  <si>
    <t>07/31/1979</t>
  </si>
  <si>
    <t>09/19/1995</t>
  </si>
  <si>
    <t>10/02/1983</t>
  </si>
  <si>
    <t>03/20/1955</t>
  </si>
  <si>
    <t>08/29/1983</t>
  </si>
  <si>
    <t>11/22/1966</t>
  </si>
  <si>
    <t>10/13/1994</t>
  </si>
  <si>
    <t>10/10/1971</t>
  </si>
  <si>
    <t>04/15/1998</t>
  </si>
  <si>
    <t>09/21/1988</t>
  </si>
  <si>
    <t>06/13/1988</t>
  </si>
  <si>
    <t>01/21/1993</t>
  </si>
  <si>
    <t>10/13/1981</t>
  </si>
  <si>
    <t>05/12/1947</t>
  </si>
  <si>
    <t>02/01/1960</t>
  </si>
  <si>
    <t>12/22/1969</t>
  </si>
  <si>
    <t>06/28/1950</t>
  </si>
  <si>
    <t>01/16/1972</t>
  </si>
  <si>
    <t>07/07/1981</t>
  </si>
  <si>
    <t>02/04/1982</t>
  </si>
  <si>
    <t>08/17/1979</t>
  </si>
  <si>
    <t>05/10/1959</t>
  </si>
  <si>
    <t>08/06/1958</t>
  </si>
  <si>
    <t>06/24/1939</t>
  </si>
  <si>
    <t>01/26/1985</t>
  </si>
  <si>
    <t>07/29/1988</t>
  </si>
  <si>
    <t>10/16/1985</t>
  </si>
  <si>
    <t>07/20/1959</t>
  </si>
  <si>
    <t>08/15/1962</t>
  </si>
  <si>
    <t>07/01/1973</t>
  </si>
  <si>
    <t>02/05/1960</t>
  </si>
  <si>
    <t>01/25/1974</t>
  </si>
  <si>
    <t>12/09/1963</t>
  </si>
  <si>
    <t>10/27/1949</t>
  </si>
  <si>
    <t>08/08/1985</t>
  </si>
  <si>
    <t>10/05/1975</t>
  </si>
  <si>
    <t>05/01/1957</t>
  </si>
  <si>
    <t>01/03/1958</t>
  </si>
  <si>
    <t>08/27/1981</t>
  </si>
  <si>
    <t>07/12/1980</t>
  </si>
  <si>
    <t>05/11/1960</t>
  </si>
  <si>
    <t>09/03/1978</t>
  </si>
  <si>
    <t>06/12/1969</t>
  </si>
  <si>
    <t>09/02/1978</t>
  </si>
  <si>
    <t>03/02/1994</t>
  </si>
  <si>
    <t>03/22/1951</t>
  </si>
  <si>
    <t>11/11/1968</t>
  </si>
  <si>
    <t>11/07/1953</t>
  </si>
  <si>
    <t>10/29/1965</t>
  </si>
  <si>
    <t>10/02/1976</t>
  </si>
  <si>
    <t>02/18/1971</t>
  </si>
  <si>
    <t>08/01/1942</t>
  </si>
  <si>
    <t>06/17/1990</t>
  </si>
  <si>
    <t>10/24/1982</t>
  </si>
  <si>
    <t>11/02/1959</t>
  </si>
  <si>
    <t>10/30/1975</t>
  </si>
  <si>
    <t>12/12/1991</t>
  </si>
  <si>
    <t>06/13/1956</t>
  </si>
  <si>
    <t>06/20/1987</t>
  </si>
  <si>
    <t>04/15/1966</t>
  </si>
  <si>
    <t>01/10/1986</t>
  </si>
  <si>
    <t>04/18/1980</t>
  </si>
  <si>
    <t>06/24/1972</t>
  </si>
  <si>
    <t>06/26/1973</t>
  </si>
  <si>
    <t>08/23/1987</t>
  </si>
  <si>
    <t>10/12/1958</t>
  </si>
  <si>
    <t>04/18/1958</t>
  </si>
  <si>
    <t>05/07/2014</t>
  </si>
  <si>
    <t>09/22/1986</t>
  </si>
  <si>
    <t>07/31/1946</t>
  </si>
  <si>
    <t>02/01/1970</t>
  </si>
  <si>
    <t>05/21/1958</t>
  </si>
  <si>
    <t>11/18/1968</t>
  </si>
  <si>
    <t>08/21/1976</t>
  </si>
  <si>
    <t>06/11/1985</t>
  </si>
  <si>
    <t>06/25/1979</t>
  </si>
  <si>
    <t>04/17/1949</t>
  </si>
  <si>
    <t>05/22/1954</t>
  </si>
  <si>
    <t>03/11/1964</t>
  </si>
  <si>
    <t>06/11/1950</t>
  </si>
  <si>
    <t>12/11/1987</t>
  </si>
  <si>
    <t>02/23/1970</t>
  </si>
  <si>
    <t>01/11/1992</t>
  </si>
  <si>
    <t>12/16/1996</t>
  </si>
  <si>
    <t>04/15/1972</t>
  </si>
  <si>
    <t>03/30/1950</t>
  </si>
  <si>
    <t>10/07/1968</t>
  </si>
  <si>
    <t>04/27/1968</t>
  </si>
  <si>
    <t>05/16/1967</t>
  </si>
  <si>
    <t>03/18/1948</t>
  </si>
  <si>
    <t>09/02/1986</t>
  </si>
  <si>
    <t>01/06/1948</t>
  </si>
  <si>
    <t>12/20/1952</t>
  </si>
  <si>
    <t>05/26/1982</t>
  </si>
  <si>
    <t>07/02/1983</t>
  </si>
  <si>
    <t>09/26/1997</t>
  </si>
  <si>
    <t>02/19/1964</t>
  </si>
  <si>
    <t>05/12/1982</t>
  </si>
  <si>
    <t>02/12/1950</t>
  </si>
  <si>
    <t>09/10/1990</t>
  </si>
  <si>
    <t>07/27/1961</t>
  </si>
  <si>
    <t>01/16/1969</t>
  </si>
  <si>
    <t>02/14/1969</t>
  </si>
  <si>
    <t>02/19/1972</t>
  </si>
  <si>
    <t>11/18/1961</t>
  </si>
  <si>
    <t>11/24/1980</t>
  </si>
  <si>
    <t>03/13/1985</t>
  </si>
  <si>
    <t>03/03/1986</t>
  </si>
  <si>
    <t>07/03/1957</t>
  </si>
  <si>
    <t>07/02/1955</t>
  </si>
  <si>
    <t>02/15/1953</t>
  </si>
  <si>
    <t>11/30/1951</t>
  </si>
  <si>
    <t>08/12/1951</t>
  </si>
  <si>
    <t>07/07/1951</t>
  </si>
  <si>
    <t>12/28/1939</t>
  </si>
  <si>
    <t>05/11/1957</t>
  </si>
  <si>
    <t>07/07/1979</t>
  </si>
  <si>
    <t>10/30/1968</t>
  </si>
  <si>
    <t>07/14/1970</t>
  </si>
  <si>
    <t>06/22/1964</t>
  </si>
  <si>
    <t>05/10/1963</t>
  </si>
  <si>
    <t>06/08/1984</t>
  </si>
  <si>
    <t>01/22/1966</t>
  </si>
  <si>
    <t>12/06/1959</t>
  </si>
  <si>
    <t>07/19/1991</t>
  </si>
  <si>
    <t>06/21/1976</t>
  </si>
  <si>
    <t>07/15/1944</t>
  </si>
  <si>
    <t>02/07/1959</t>
  </si>
  <si>
    <t>09/23/1978</t>
  </si>
  <si>
    <t>05/30/1972</t>
  </si>
  <si>
    <t>03/29/1961</t>
  </si>
  <si>
    <t>02/27/1969</t>
  </si>
  <si>
    <t>06/14/1979</t>
  </si>
  <si>
    <t>07/11/1980</t>
  </si>
  <si>
    <t>08/02/1972</t>
  </si>
  <si>
    <t>03/29/1969</t>
  </si>
  <si>
    <t>06/16/1951</t>
  </si>
  <si>
    <t>01/04/1984</t>
  </si>
  <si>
    <t>09/14/1979</t>
  </si>
  <si>
    <t>08/02/1976</t>
  </si>
  <si>
    <t>06/28/1975</t>
  </si>
  <si>
    <t>05/09/1955</t>
  </si>
  <si>
    <t>10/21/1980</t>
  </si>
  <si>
    <t>07/13/1963</t>
  </si>
  <si>
    <t>04/28/1970</t>
  </si>
  <si>
    <t>12/29/1965</t>
  </si>
  <si>
    <t>01/10/1949</t>
  </si>
  <si>
    <t>06/10/1946</t>
  </si>
  <si>
    <t>06/26/1981</t>
  </si>
  <si>
    <t>01/14/1964</t>
  </si>
  <si>
    <t>07/26/1963</t>
  </si>
  <si>
    <t>03/08/1985</t>
  </si>
  <si>
    <t>10/04/1943</t>
  </si>
  <si>
    <t>04/19/1983</t>
  </si>
  <si>
    <t>04/28/1954</t>
  </si>
  <si>
    <t>04/01/1962</t>
  </si>
  <si>
    <t>02/09/1972</t>
  </si>
  <si>
    <t>01/29/1988</t>
  </si>
  <si>
    <t>04/28/1955</t>
  </si>
  <si>
    <t>04/02/1940</t>
  </si>
  <si>
    <t>03/21/1986</t>
  </si>
  <si>
    <t>09/20/1982</t>
  </si>
  <si>
    <t>01/23/1932</t>
  </si>
  <si>
    <t>12/13/1966</t>
  </si>
  <si>
    <t>02/12/1966</t>
  </si>
  <si>
    <t>11/25/1944</t>
  </si>
  <si>
    <t>10/26/1966</t>
  </si>
  <si>
    <t>03/19/1974</t>
  </si>
  <si>
    <t>10/21/1972</t>
  </si>
  <si>
    <t>08/28/1943</t>
  </si>
  <si>
    <t>11/12/1952</t>
  </si>
  <si>
    <t>02/15/1973</t>
  </si>
  <si>
    <t>08/31/1955</t>
  </si>
  <si>
    <t>07/19/1969</t>
  </si>
  <si>
    <t>08/25/1970</t>
  </si>
  <si>
    <t>11/18/1994</t>
  </si>
  <si>
    <t>01/25/1961</t>
  </si>
  <si>
    <t>09/03/1958</t>
  </si>
  <si>
    <t>01/07/1972</t>
  </si>
  <si>
    <t>11/04/1989</t>
  </si>
  <si>
    <t>01/03/1980</t>
  </si>
  <si>
    <t>01/06/1985</t>
  </si>
  <si>
    <t>01/15/1974</t>
  </si>
  <si>
    <t>09/04/1957</t>
  </si>
  <si>
    <t>06/13/1971</t>
  </si>
  <si>
    <t>03/07/1954</t>
  </si>
  <si>
    <t>04/08/1950</t>
  </si>
  <si>
    <t>06/08/1989</t>
  </si>
  <si>
    <t>09/20/1974</t>
  </si>
  <si>
    <t>04/07/1964</t>
  </si>
  <si>
    <t>10/27/1965</t>
  </si>
  <si>
    <t>08/10/1985</t>
  </si>
  <si>
    <t>09/21/1982</t>
  </si>
  <si>
    <t>03/09/1937</t>
  </si>
  <si>
    <t>11/27/1989</t>
  </si>
  <si>
    <t>01/09/1975</t>
  </si>
  <si>
    <t>02/26/1982</t>
  </si>
  <si>
    <t>11/10/1978</t>
  </si>
  <si>
    <t>02/18/1970</t>
  </si>
  <si>
    <t>06/05/1970</t>
  </si>
  <si>
    <t>12/18/1953</t>
  </si>
  <si>
    <t>09/26/1960</t>
  </si>
  <si>
    <t>06/16/1999</t>
  </si>
  <si>
    <t>10/19/1953</t>
  </si>
  <si>
    <t>01/30/1973</t>
  </si>
  <si>
    <t>03/25/1985</t>
  </si>
  <si>
    <t>01/31/1995</t>
  </si>
  <si>
    <t>06/25/1982</t>
  </si>
  <si>
    <t>10/06/1990</t>
  </si>
  <si>
    <t>04/12/1968</t>
  </si>
  <si>
    <t>11/22/1963</t>
  </si>
  <si>
    <t>12/08/1969</t>
  </si>
  <si>
    <t>11/18/1977</t>
  </si>
  <si>
    <t>07/01/1943</t>
  </si>
  <si>
    <t>07/08/1988</t>
  </si>
  <si>
    <t>10/05/1980</t>
  </si>
  <si>
    <t>11/17/1971</t>
  </si>
  <si>
    <t>09/14/1968</t>
  </si>
  <si>
    <t>09/22/1988</t>
  </si>
  <si>
    <t>08/07/1960</t>
  </si>
  <si>
    <t>11/18/1925</t>
  </si>
  <si>
    <t>09/28/2000</t>
  </si>
  <si>
    <t>01/23/1992</t>
  </si>
  <si>
    <t>10/23/1946</t>
  </si>
  <si>
    <t>08/06/1942</t>
  </si>
  <si>
    <t>01/25/1970</t>
  </si>
  <si>
    <t>04/06/1996</t>
  </si>
  <si>
    <t>11/22/1977</t>
  </si>
  <si>
    <t>03/14/1983</t>
  </si>
  <si>
    <t>03/24/1987</t>
  </si>
  <si>
    <t>12/01/1990</t>
  </si>
  <si>
    <t>08/04/1966</t>
  </si>
  <si>
    <t>03/17/1958</t>
  </si>
  <si>
    <t>12/12/1952</t>
  </si>
  <si>
    <t>02/24/1956</t>
  </si>
  <si>
    <t>05/24/1990</t>
  </si>
  <si>
    <t>03/20/1962</t>
  </si>
  <si>
    <t>05/10/1965</t>
  </si>
  <si>
    <t>01/11/1973</t>
  </si>
  <si>
    <t>01/09/1953</t>
  </si>
  <si>
    <t>12/23/1955</t>
  </si>
  <si>
    <t>02/02/1953</t>
  </si>
  <si>
    <t>06/08/1969</t>
  </si>
  <si>
    <t>05/29/1966</t>
  </si>
  <si>
    <t>06/15/1984</t>
  </si>
  <si>
    <t>01/28/1993</t>
  </si>
  <si>
    <t>08/31/1970</t>
  </si>
  <si>
    <t>11/15/1964</t>
  </si>
  <si>
    <t>06/06/1996</t>
  </si>
  <si>
    <t>03/01/1976</t>
  </si>
  <si>
    <t>05/10/1982</t>
  </si>
  <si>
    <t>07/16/1986</t>
  </si>
  <si>
    <t>04/28/1952</t>
  </si>
  <si>
    <t>09/29/1987</t>
  </si>
  <si>
    <t>07/15/1961</t>
  </si>
  <si>
    <t>12/28/1972</t>
  </si>
  <si>
    <t>02/16/1962</t>
  </si>
  <si>
    <t>12/01/1975</t>
  </si>
  <si>
    <t>03/11/1950</t>
  </si>
  <si>
    <t>11/11/1964</t>
  </si>
  <si>
    <t>06/05/1968</t>
  </si>
  <si>
    <t>09/13/1981</t>
  </si>
  <si>
    <t>05/01/1965</t>
  </si>
  <si>
    <t>08/24/1965</t>
  </si>
  <si>
    <t>01/10/1982</t>
  </si>
  <si>
    <t>11/13/1987</t>
  </si>
  <si>
    <t>07/31/1967</t>
  </si>
  <si>
    <t>03/06/1974</t>
  </si>
  <si>
    <t>10/29/1945</t>
  </si>
  <si>
    <t>12/28/1967</t>
  </si>
  <si>
    <t>05/20/1970</t>
  </si>
  <si>
    <t>06/05/1963</t>
  </si>
  <si>
    <t>07/10/1945</t>
  </si>
  <si>
    <t>06/20/1993</t>
  </si>
  <si>
    <t>08/14/1969</t>
  </si>
  <si>
    <t>02/15/1979</t>
  </si>
  <si>
    <t>07/01/1972</t>
  </si>
  <si>
    <t>10/17/1955</t>
  </si>
  <si>
    <t>03/26/1954</t>
  </si>
  <si>
    <t>11/25/1998</t>
  </si>
  <si>
    <t>01/28/1980</t>
  </si>
  <si>
    <t>08/06/1951</t>
  </si>
  <si>
    <t>12/25/1983</t>
  </si>
  <si>
    <t>04/28/1978</t>
  </si>
  <si>
    <t>04/25/1973</t>
  </si>
  <si>
    <t>01/06/1936</t>
  </si>
  <si>
    <t>04/21/1970</t>
  </si>
  <si>
    <t>07/28/1970</t>
  </si>
  <si>
    <t>05/31/1979</t>
  </si>
  <si>
    <t>09/28/1964</t>
  </si>
  <si>
    <t>06/25/1983</t>
  </si>
  <si>
    <t>04/25/1959</t>
  </si>
  <si>
    <t>02/22/1959</t>
  </si>
  <si>
    <t>02/12/1958</t>
  </si>
  <si>
    <t>09/26/1953</t>
  </si>
  <si>
    <t>02/27/1974</t>
  </si>
  <si>
    <t>11/11/1957</t>
  </si>
  <si>
    <t>12/29/1985</t>
  </si>
  <si>
    <t>11/13/1982</t>
  </si>
  <si>
    <t>02/27/1970</t>
  </si>
  <si>
    <t>09/30/1985</t>
  </si>
  <si>
    <t>09/09/1986</t>
  </si>
  <si>
    <t>08/15/1997</t>
  </si>
  <si>
    <t>02/05/1991</t>
  </si>
  <si>
    <t>09/24/1944</t>
  </si>
  <si>
    <t>07/28/1960</t>
  </si>
  <si>
    <t>07/29/1968</t>
  </si>
  <si>
    <t>08/20/1951</t>
  </si>
  <si>
    <t>05/07/1977</t>
  </si>
  <si>
    <t>10/18/1962</t>
  </si>
  <si>
    <t>11/16/1954</t>
  </si>
  <si>
    <t>04/29/1959</t>
  </si>
  <si>
    <t>12/31/1983</t>
  </si>
  <si>
    <t>03/23/1986</t>
  </si>
  <si>
    <t>01/14/1969</t>
  </si>
  <si>
    <t>06/11/1981</t>
  </si>
  <si>
    <t>09/24/1975</t>
  </si>
  <si>
    <t>08/17/1972</t>
  </si>
  <si>
    <t>10/11/1989</t>
  </si>
  <si>
    <t>11/15/1933</t>
  </si>
  <si>
    <t>01/20/1982</t>
  </si>
  <si>
    <t>11/11/1974</t>
  </si>
  <si>
    <t>12/15/1965</t>
  </si>
  <si>
    <t>06/07/1988</t>
  </si>
  <si>
    <t>04/08/1968</t>
  </si>
  <si>
    <t>08/12/1959</t>
  </si>
  <si>
    <t>08/16/1978</t>
  </si>
  <si>
    <t>08/08/1963</t>
  </si>
  <si>
    <t>09/15/1988</t>
  </si>
  <si>
    <t>03/27/1990</t>
  </si>
  <si>
    <t>01/24/1963</t>
  </si>
  <si>
    <t>10/06/1960</t>
  </si>
  <si>
    <t>05/17/1978</t>
  </si>
  <si>
    <t>08/09/1991</t>
  </si>
  <si>
    <t>02/10/1955</t>
  </si>
  <si>
    <t>12/30/1974</t>
  </si>
  <si>
    <t>03/24/1970</t>
  </si>
  <si>
    <t>06/30/1969</t>
  </si>
  <si>
    <t>09/11/1976</t>
  </si>
  <si>
    <t>11/14/1985</t>
  </si>
  <si>
    <t>08/15/1948</t>
  </si>
  <si>
    <t>10/26/1971</t>
  </si>
  <si>
    <t>05/17/1972</t>
  </si>
  <si>
    <t>08/01/1980</t>
  </si>
  <si>
    <t>12/09/1956</t>
  </si>
  <si>
    <t>05/18/1985</t>
  </si>
  <si>
    <t>06/07/1964</t>
  </si>
  <si>
    <t>06/29/1973</t>
  </si>
  <si>
    <t>04/21/1956</t>
  </si>
  <si>
    <t>11/18/1943</t>
  </si>
  <si>
    <t>04/23/1960</t>
  </si>
  <si>
    <t>10/02/1938</t>
  </si>
  <si>
    <t>06/14/1964</t>
  </si>
  <si>
    <t>08/03/1963</t>
  </si>
  <si>
    <t>08/22/1964</t>
  </si>
  <si>
    <t>05/04/1990</t>
  </si>
  <si>
    <t>01/11/1981</t>
  </si>
  <si>
    <t>08/12/1976</t>
  </si>
  <si>
    <t>02/14/1984</t>
  </si>
  <si>
    <t>04/16/1980</t>
  </si>
  <si>
    <t>03/25/1969</t>
  </si>
  <si>
    <t>07/12/1964</t>
  </si>
  <si>
    <t>08/27/1994</t>
  </si>
  <si>
    <t>12/24/1935</t>
  </si>
  <si>
    <t>03/30/1935</t>
  </si>
  <si>
    <t>12/06/1954</t>
  </si>
  <si>
    <t>05/07/1981</t>
  </si>
  <si>
    <t>10/04/1963</t>
  </si>
  <si>
    <t>08/30/1995</t>
  </si>
  <si>
    <t>06/17/1957</t>
  </si>
  <si>
    <t>07/27/1987</t>
  </si>
  <si>
    <t>05/28/1946</t>
  </si>
  <si>
    <t>03/12/1985</t>
  </si>
  <si>
    <t>04/03/1951</t>
  </si>
  <si>
    <t>01/12/1992</t>
  </si>
  <si>
    <t>07/09/1981</t>
  </si>
  <si>
    <t>08/09/1969</t>
  </si>
  <si>
    <t>09/09/1977</t>
  </si>
  <si>
    <t>04/23/1982</t>
  </si>
  <si>
    <t>07/18/1985</t>
  </si>
  <si>
    <t>04/16/1976</t>
  </si>
  <si>
    <t>05/08/1984</t>
  </si>
  <si>
    <t>04/28/1985</t>
  </si>
  <si>
    <t>05/11/1967</t>
  </si>
  <si>
    <t>05/31/1961</t>
  </si>
  <si>
    <t>02/26/1994</t>
  </si>
  <si>
    <t>10/03/1984</t>
  </si>
  <si>
    <t>08/05/1966</t>
  </si>
  <si>
    <t>05/27/1969</t>
  </si>
  <si>
    <t>11/03/1976</t>
  </si>
  <si>
    <t>08/26/1975</t>
  </si>
  <si>
    <t>08/26/1981</t>
  </si>
  <si>
    <t>10/17/1968</t>
  </si>
  <si>
    <t>11/27/1968</t>
  </si>
  <si>
    <t>06/10/1941</t>
  </si>
  <si>
    <t>11/25/1963</t>
  </si>
  <si>
    <t>02/21/1961</t>
  </si>
  <si>
    <t>08/05/1969</t>
  </si>
  <si>
    <t>08/12/1967</t>
  </si>
  <si>
    <t>03/06/1975</t>
  </si>
  <si>
    <t>01/25/1950</t>
  </si>
  <si>
    <t>03/17/1994</t>
  </si>
  <si>
    <t>06/01/1989</t>
  </si>
  <si>
    <t>08/26/1984</t>
  </si>
  <si>
    <t>07/20/1949</t>
  </si>
  <si>
    <t>06/08/1965</t>
  </si>
  <si>
    <t>09/20/1972</t>
  </si>
  <si>
    <t>04/19/1942</t>
  </si>
  <si>
    <t>05/11/1965</t>
  </si>
  <si>
    <t>02/13/1976</t>
  </si>
  <si>
    <t>07/04/1949</t>
  </si>
  <si>
    <t>11/05/1977</t>
  </si>
  <si>
    <t>11/20/1962</t>
  </si>
  <si>
    <t>12/16/1958</t>
  </si>
  <si>
    <t>12/17/1967</t>
  </si>
  <si>
    <t>06/01/1947</t>
  </si>
  <si>
    <t>09/08/1985</t>
  </si>
  <si>
    <t>05/14/1963</t>
  </si>
  <si>
    <t>01/23/1965</t>
  </si>
  <si>
    <t>10/22/1951</t>
  </si>
  <si>
    <t>05/11/1962</t>
  </si>
  <si>
    <t>03/21/1947</t>
  </si>
  <si>
    <t>06/29/1981</t>
  </si>
  <si>
    <t>05/31/1963</t>
  </si>
  <si>
    <t>08/13/1953</t>
  </si>
  <si>
    <t>03/05/1965</t>
  </si>
  <si>
    <t>11/02/1983</t>
  </si>
  <si>
    <t>08/23/1940</t>
  </si>
  <si>
    <t>07/15/1965</t>
  </si>
  <si>
    <t>05/10/1972</t>
  </si>
  <si>
    <t>05/13/1988</t>
  </si>
  <si>
    <t>08/11/1955</t>
  </si>
  <si>
    <t>02/11/1958</t>
  </si>
  <si>
    <t>03/15/1967</t>
  </si>
  <si>
    <t>09/07/1970</t>
  </si>
  <si>
    <t>09/06/1942</t>
  </si>
  <si>
    <t>03/03/1981</t>
  </si>
  <si>
    <t>11/11/1939</t>
  </si>
  <si>
    <t>01/15/1985</t>
  </si>
  <si>
    <t>02/05/1945</t>
  </si>
  <si>
    <t>07/27/1981</t>
  </si>
  <si>
    <t>10/08/1967</t>
  </si>
  <si>
    <t>07/02/1961</t>
  </si>
  <si>
    <t>12/17/1985</t>
  </si>
  <si>
    <t>05/13/1962</t>
  </si>
  <si>
    <t>12/04/1983</t>
  </si>
  <si>
    <t>05/28/1970</t>
  </si>
  <si>
    <t>06/03/1952</t>
  </si>
  <si>
    <t>06/26/1976</t>
  </si>
  <si>
    <t>03/19/1951</t>
  </si>
  <si>
    <t>03/03/1978</t>
  </si>
  <si>
    <t>08/08/1975</t>
  </si>
  <si>
    <t>12/16/1978</t>
  </si>
  <si>
    <t>03/30/1962</t>
  </si>
  <si>
    <t>10/15/1997</t>
  </si>
  <si>
    <t>01/30/1950</t>
  </si>
  <si>
    <t>03/30/1977</t>
  </si>
  <si>
    <t>11/15/1962</t>
  </si>
  <si>
    <t>10/12/1991</t>
  </si>
  <si>
    <t>03/03/1974</t>
  </si>
  <si>
    <t>03/02/1955</t>
  </si>
  <si>
    <t>02/07/1980</t>
  </si>
  <si>
    <t>02/01/1977</t>
  </si>
  <si>
    <t>06/03/1969</t>
  </si>
  <si>
    <t>11/15/1957</t>
  </si>
  <si>
    <t>04/30/1973</t>
  </si>
  <si>
    <t>03/04/1956</t>
  </si>
  <si>
    <t>04/04/1976</t>
  </si>
  <si>
    <t>09/28/1966</t>
  </si>
  <si>
    <t>02/13/1941</t>
  </si>
  <si>
    <t>05/26/1970</t>
  </si>
  <si>
    <t>05/05/1965</t>
  </si>
  <si>
    <t>02/22/1963</t>
  </si>
  <si>
    <t>02/19/1992</t>
  </si>
  <si>
    <t>08/01/1989</t>
  </si>
  <si>
    <t>11/09/1967</t>
  </si>
  <si>
    <t>09/26/1996</t>
  </si>
  <si>
    <t>11/21/1981</t>
  </si>
  <si>
    <t>08/18/1959</t>
  </si>
  <si>
    <t>08/28/1979</t>
  </si>
  <si>
    <t>11/14/1945</t>
  </si>
  <si>
    <t>07/28/1959</t>
  </si>
  <si>
    <t>10/30/1956</t>
  </si>
  <si>
    <t>12/18/1989</t>
  </si>
  <si>
    <t>02/07/1972</t>
  </si>
  <si>
    <t>08/15/1970</t>
  </si>
  <si>
    <t>07/19/1968</t>
  </si>
  <si>
    <t>02/16/1956</t>
  </si>
  <si>
    <t>01/01/1983</t>
  </si>
  <si>
    <t>07/28/1947</t>
  </si>
  <si>
    <t>07/04/1973</t>
  </si>
  <si>
    <t>01/09/1970</t>
  </si>
  <si>
    <t>09/25/1976</t>
  </si>
  <si>
    <t>07/14/1980</t>
  </si>
  <si>
    <t>07/15/1967</t>
  </si>
  <si>
    <t>06/11/1986</t>
  </si>
  <si>
    <t>11/12/1976</t>
  </si>
  <si>
    <t>01/13/1995</t>
  </si>
  <si>
    <t>12/16/1950</t>
  </si>
  <si>
    <t>12/31/1962</t>
  </si>
  <si>
    <t>08/10/1966</t>
  </si>
  <si>
    <t>02/27/1951</t>
  </si>
  <si>
    <t>12/15/1976</t>
  </si>
  <si>
    <t>01/13/1954</t>
  </si>
  <si>
    <t>05/20/1952</t>
  </si>
  <si>
    <t>11/13/1983</t>
  </si>
  <si>
    <t>10/09/1953</t>
  </si>
  <si>
    <t>11/10/2018</t>
  </si>
  <si>
    <t>05/08/1970</t>
  </si>
  <si>
    <t>03/02/1939</t>
  </si>
  <si>
    <t>07/16/1968</t>
  </si>
  <si>
    <t>11/04/1956</t>
  </si>
  <si>
    <t>03/27/1985</t>
  </si>
  <si>
    <t>06/27/1953</t>
  </si>
  <si>
    <t>08/06/1976</t>
  </si>
  <si>
    <t>09/26/1981</t>
  </si>
  <si>
    <t>05/31/1972</t>
  </si>
  <si>
    <t>05/05/1967</t>
  </si>
  <si>
    <t>04/21/1994</t>
  </si>
  <si>
    <t>11/30/1982</t>
  </si>
  <si>
    <t>04/29/1971</t>
  </si>
  <si>
    <t>04/21/1977</t>
  </si>
  <si>
    <t>09/04/1967</t>
  </si>
  <si>
    <t>04/16/1951</t>
  </si>
  <si>
    <t>10/23/1980</t>
  </si>
  <si>
    <t>12/31/1975</t>
  </si>
  <si>
    <t>05/06/1959</t>
  </si>
  <si>
    <t>12/17/1972</t>
  </si>
  <si>
    <t>10/03/1962</t>
  </si>
  <si>
    <t>02/19/1983</t>
  </si>
  <si>
    <t>05/04/1999</t>
  </si>
  <si>
    <t>11/22/1974</t>
  </si>
  <si>
    <t>05/12/1990</t>
  </si>
  <si>
    <t>02/19/1963</t>
  </si>
  <si>
    <t>06/28/1993</t>
  </si>
  <si>
    <t>12/18/1988</t>
  </si>
  <si>
    <t>01/09/1952</t>
  </si>
  <si>
    <t>03/18/1989</t>
  </si>
  <si>
    <t>04/15/1942</t>
  </si>
  <si>
    <t>08/11/1988</t>
  </si>
  <si>
    <t>11/16/1976</t>
  </si>
  <si>
    <t>02/17/1953</t>
  </si>
  <si>
    <t>07/07/1980</t>
  </si>
  <si>
    <t>08/15/1967</t>
  </si>
  <si>
    <t>07/01/1981</t>
  </si>
  <si>
    <t>09/10/1979</t>
  </si>
  <si>
    <t>12/28/1964</t>
  </si>
  <si>
    <t>07/24/1963</t>
  </si>
  <si>
    <t>10/31/1946</t>
  </si>
  <si>
    <t>02/16/1974</t>
  </si>
  <si>
    <t>02/10/1991</t>
  </si>
  <si>
    <t>02/20/1967</t>
  </si>
  <si>
    <t>09/18/1962</t>
  </si>
  <si>
    <t>12/03/1976</t>
  </si>
  <si>
    <t>01/21/1959</t>
  </si>
  <si>
    <t>07/07/1965</t>
  </si>
  <si>
    <t>02/09/1991</t>
  </si>
  <si>
    <t>10/08/1965</t>
  </si>
  <si>
    <t>02/27/1984</t>
  </si>
  <si>
    <t>11/07/1957</t>
  </si>
  <si>
    <t>04/05/1992</t>
  </si>
  <si>
    <t>04/30/1976</t>
  </si>
  <si>
    <t>10/09/1990</t>
  </si>
  <si>
    <t>05/15/1985</t>
  </si>
  <si>
    <t>01/21/1944</t>
  </si>
  <si>
    <t>05/10/1964</t>
  </si>
  <si>
    <t>09/23/1949</t>
  </si>
  <si>
    <t>01/21/1992</t>
  </si>
  <si>
    <t>02/10/1994</t>
  </si>
  <si>
    <t>05/30/1964</t>
  </si>
  <si>
    <t>11/22/1988</t>
  </si>
  <si>
    <t>03/16/1982</t>
  </si>
  <si>
    <t>07/10/1957</t>
  </si>
  <si>
    <t>10/01/1968</t>
  </si>
  <si>
    <t>04/30/1965</t>
  </si>
  <si>
    <t>10/11/1983</t>
  </si>
  <si>
    <t>03/20/1985</t>
  </si>
  <si>
    <t>03/07/1973</t>
  </si>
  <si>
    <t>07/25/1990</t>
  </si>
  <si>
    <t>02/14/1926</t>
  </si>
  <si>
    <t>05/17/1993</t>
  </si>
  <si>
    <t>06/08/1976</t>
  </si>
  <si>
    <t>10/25/1957</t>
  </si>
  <si>
    <t>01/31/1989</t>
  </si>
  <si>
    <t>09/23/1993</t>
  </si>
  <si>
    <t>02/01/1947</t>
  </si>
  <si>
    <t>01/28/1992</t>
  </si>
  <si>
    <t>06/02/1961</t>
  </si>
  <si>
    <t>11/04/1961</t>
  </si>
  <si>
    <t>02/12/1948</t>
  </si>
  <si>
    <t>03/31/1971</t>
  </si>
  <si>
    <t>11/17/1979</t>
  </si>
  <si>
    <t>04/21/1995</t>
  </si>
  <si>
    <t>01/25/1960</t>
  </si>
  <si>
    <t>07/13/1984</t>
  </si>
  <si>
    <t>07/09/1993</t>
  </si>
  <si>
    <t>04/25/1980</t>
  </si>
  <si>
    <t>07/02/1973</t>
  </si>
  <si>
    <t>06/28/1961</t>
  </si>
  <si>
    <t>11/24/1984</t>
  </si>
  <si>
    <t>05/30/1999</t>
  </si>
  <si>
    <t>08/25/1988</t>
  </si>
  <si>
    <t>01/11/1982</t>
  </si>
  <si>
    <t>05/20/1981</t>
  </si>
  <si>
    <t>01/27/1951</t>
  </si>
  <si>
    <t>09/21/1959</t>
  </si>
  <si>
    <t>06/05/1967</t>
  </si>
  <si>
    <t>06/12/1979</t>
  </si>
  <si>
    <t>08/23/1993</t>
  </si>
  <si>
    <t>04/06/1984</t>
  </si>
  <si>
    <t>02/07/1982</t>
  </si>
  <si>
    <t>12/18/1981</t>
  </si>
  <si>
    <t>11/05/1964</t>
  </si>
  <si>
    <t>09/27/1970</t>
  </si>
  <si>
    <t>11/06/1986</t>
  </si>
  <si>
    <t>12/10/1977</t>
  </si>
  <si>
    <t>02/15/1947</t>
  </si>
  <si>
    <t>01/25/1985</t>
  </si>
  <si>
    <t>09/02/1964</t>
  </si>
  <si>
    <t>07/07/1985</t>
  </si>
  <si>
    <t>07/16/1990</t>
  </si>
  <si>
    <t>12/09/1986</t>
  </si>
  <si>
    <t>01/13/1958</t>
  </si>
  <si>
    <t>01/06/1959</t>
  </si>
  <si>
    <t>05/06/1980</t>
  </si>
  <si>
    <t>07/17/1985</t>
  </si>
  <si>
    <t>03/09/1997</t>
  </si>
  <si>
    <t>09/07/1962</t>
  </si>
  <si>
    <t>05/04/1991</t>
  </si>
  <si>
    <t>04/12/1947</t>
  </si>
  <si>
    <t>09/04/1964</t>
  </si>
  <si>
    <t>06/10/1979</t>
  </si>
  <si>
    <t>09/05/1983</t>
  </si>
  <si>
    <t>05/16/1966</t>
  </si>
  <si>
    <t>12/17/1956</t>
  </si>
  <si>
    <t>03/03/1954</t>
  </si>
  <si>
    <t>05/25/1985</t>
  </si>
  <si>
    <t>11/02/1978</t>
  </si>
  <si>
    <t>12/08/1963</t>
  </si>
  <si>
    <t>07/10/1971</t>
  </si>
  <si>
    <t>06/24/1969</t>
  </si>
  <si>
    <t>03/14/1996</t>
  </si>
  <si>
    <t>01/27/1954</t>
  </si>
  <si>
    <t>01/29/1963</t>
  </si>
  <si>
    <t>03/15/1964</t>
  </si>
  <si>
    <t>05/15/1990</t>
  </si>
  <si>
    <t>12/03/1966</t>
  </si>
  <si>
    <t>05/13/1950</t>
  </si>
  <si>
    <t>01/31/1984</t>
  </si>
  <si>
    <t>03/20/1973</t>
  </si>
  <si>
    <t>08/28/1982</t>
  </si>
  <si>
    <t>05/04/1962</t>
  </si>
  <si>
    <t>05/13/1970</t>
  </si>
  <si>
    <t>01/10/1961</t>
  </si>
  <si>
    <t>07/24/1981</t>
  </si>
  <si>
    <t>04/11/1991</t>
  </si>
  <si>
    <t>01/27/1990</t>
  </si>
  <si>
    <t>10/18/1987</t>
  </si>
  <si>
    <t>11/20/1990</t>
  </si>
  <si>
    <t>04/15/1980</t>
  </si>
  <si>
    <t>08/11/1979</t>
  </si>
  <si>
    <t>05/18/1988</t>
  </si>
  <si>
    <t>05/26/1959</t>
  </si>
  <si>
    <t>01/06/1983</t>
  </si>
  <si>
    <t>08/05/1991</t>
  </si>
  <si>
    <t>02/03/1970</t>
  </si>
  <si>
    <t>01/12/1941</t>
  </si>
  <si>
    <t>02/01/1985</t>
  </si>
  <si>
    <t>01/24/1958</t>
  </si>
  <si>
    <t>10/19/1958</t>
  </si>
  <si>
    <t>01/09/1962</t>
  </si>
  <si>
    <t>10/31/1979</t>
  </si>
  <si>
    <t>10/01/1976</t>
  </si>
  <si>
    <t>01/16/1992</t>
  </si>
  <si>
    <t>12/04/1957</t>
  </si>
  <si>
    <t>09/15/1992</t>
  </si>
  <si>
    <t>04/08/1940</t>
  </si>
  <si>
    <t>08/13/1980</t>
  </si>
  <si>
    <t>04/27/1987</t>
  </si>
  <si>
    <t>12/16/1983</t>
  </si>
  <si>
    <t>10/03/1990</t>
  </si>
  <si>
    <t>01/14/1985</t>
  </si>
  <si>
    <t>06/11/1972</t>
  </si>
  <si>
    <t>07/23/1982</t>
  </si>
  <si>
    <t>04/13/1960</t>
  </si>
  <si>
    <t>06/04/1985</t>
  </si>
  <si>
    <t>09/17/1980</t>
  </si>
  <si>
    <t>02/27/1981</t>
  </si>
  <si>
    <t>11/25/1972</t>
  </si>
  <si>
    <t>04/29/1983</t>
  </si>
  <si>
    <t>12/11/1958</t>
  </si>
  <si>
    <t>07/24/1947</t>
  </si>
  <si>
    <t>12/05/1971</t>
  </si>
  <si>
    <t>10/18/1954</t>
  </si>
  <si>
    <t>04/13/1993</t>
  </si>
  <si>
    <t>12/30/1930</t>
  </si>
  <si>
    <t>08/16/1979</t>
  </si>
  <si>
    <t>08/06/1955</t>
  </si>
  <si>
    <t>11/20/1957</t>
  </si>
  <si>
    <t>10/23/1991</t>
  </si>
  <si>
    <t>04/10/1963</t>
  </si>
  <si>
    <t>03/12/1967</t>
  </si>
  <si>
    <t>05/07/1995</t>
  </si>
  <si>
    <t>03/20/1964</t>
  </si>
  <si>
    <t>07/30/1961</t>
  </si>
  <si>
    <t>09/14/1994</t>
  </si>
  <si>
    <t>10/21/1973</t>
  </si>
  <si>
    <t>08/02/1953</t>
  </si>
  <si>
    <t>07/25/1987</t>
  </si>
  <si>
    <t>11/25/1942</t>
  </si>
  <si>
    <t>12/25/1985</t>
  </si>
  <si>
    <t>12/14/1975</t>
  </si>
  <si>
    <t>07/24/1980</t>
  </si>
  <si>
    <t>04/03/1987</t>
  </si>
  <si>
    <t>02/11/1965</t>
  </si>
  <si>
    <t>07/02/1964</t>
  </si>
  <si>
    <t>06/20/1989</t>
  </si>
  <si>
    <t>09/06/1964</t>
  </si>
  <si>
    <t>02/05/1970</t>
  </si>
  <si>
    <t>09/15/1945</t>
  </si>
  <si>
    <t>02/07/1991</t>
  </si>
  <si>
    <t>07/02/1980</t>
  </si>
  <si>
    <t>01/01/1989</t>
  </si>
  <si>
    <t>08/13/1987</t>
  </si>
  <si>
    <t>02/10/1978</t>
  </si>
  <si>
    <t>07/08/1983</t>
  </si>
  <si>
    <t>08/17/1925</t>
  </si>
  <si>
    <t>04/26/1981</t>
  </si>
  <si>
    <t>02/14/1979</t>
  </si>
  <si>
    <t>01/02/1957</t>
  </si>
  <si>
    <t>03/04/1960</t>
  </si>
  <si>
    <t>10/22/1972</t>
  </si>
  <si>
    <t>12/16/1987</t>
  </si>
  <si>
    <t>11/29/1980</t>
  </si>
  <si>
    <t>08/30/1987</t>
  </si>
  <si>
    <t>11/12/1980</t>
  </si>
  <si>
    <t>10/16/1980</t>
  </si>
  <si>
    <t>04/04/1994</t>
  </si>
  <si>
    <t>10/29/1970</t>
  </si>
  <si>
    <t>05/15/1959</t>
  </si>
  <si>
    <t>10/01/1973</t>
  </si>
  <si>
    <t>11/22/1973</t>
  </si>
  <si>
    <t>12/28/1959</t>
  </si>
  <si>
    <t>08/28/1960</t>
  </si>
  <si>
    <t>12/20/1972</t>
  </si>
  <si>
    <t>10/01/1967</t>
  </si>
  <si>
    <t>11/01/1986</t>
  </si>
  <si>
    <t>07/30/1985</t>
  </si>
  <si>
    <t>03/29/1973</t>
  </si>
  <si>
    <t>10/27/1985</t>
  </si>
  <si>
    <t>01/10/1987</t>
  </si>
  <si>
    <t>04/22/1960</t>
  </si>
  <si>
    <t>09/04/1971</t>
  </si>
  <si>
    <t>04/09/1953</t>
  </si>
  <si>
    <t>05/13/1969</t>
  </si>
  <si>
    <t>08/13/1969</t>
  </si>
  <si>
    <t>01/28/1953</t>
  </si>
  <si>
    <t>11/04/1954</t>
  </si>
  <si>
    <t>02/18/1947</t>
  </si>
  <si>
    <t>03/04/1971</t>
  </si>
  <si>
    <t>10/26/1968</t>
  </si>
  <si>
    <t>10/28/1960</t>
  </si>
  <si>
    <t>05/08/1983</t>
  </si>
  <si>
    <t>02/21/1980</t>
  </si>
  <si>
    <t>07/23/1954</t>
  </si>
  <si>
    <t>05/25/1974</t>
  </si>
  <si>
    <t>12/27/1939</t>
  </si>
  <si>
    <t>12/25/1958</t>
  </si>
  <si>
    <t>09/30/1993</t>
  </si>
  <si>
    <t>11/11/1991</t>
  </si>
  <si>
    <t>09/24/1941</t>
  </si>
  <si>
    <t>11/13/1955</t>
  </si>
  <si>
    <t>07/25/1952</t>
  </si>
  <si>
    <t>04/13/1991</t>
  </si>
  <si>
    <t>01/26/1958</t>
  </si>
  <si>
    <t>03/05/1971</t>
  </si>
  <si>
    <t>03/01/1980</t>
  </si>
  <si>
    <t>02/06/1978</t>
  </si>
  <si>
    <t>08/30/1969</t>
  </si>
  <si>
    <t>01/23/1969</t>
  </si>
  <si>
    <t>12/30/1948</t>
  </si>
  <si>
    <t>10/08/1985</t>
  </si>
  <si>
    <t>03/27/1964</t>
  </si>
  <si>
    <t>07/22/1990</t>
  </si>
  <si>
    <t>10/17/1949</t>
  </si>
  <si>
    <t>12/27/1971</t>
  </si>
  <si>
    <t>10/25/1974</t>
  </si>
  <si>
    <t>03/19/1963</t>
  </si>
  <si>
    <t>12/05/1991</t>
  </si>
  <si>
    <t>08/27/1943</t>
  </si>
  <si>
    <t>12/29/1963</t>
  </si>
  <si>
    <t>08/07/1961</t>
  </si>
  <si>
    <t>12/06/1957</t>
  </si>
  <si>
    <t>07/05/1981</t>
  </si>
  <si>
    <t>03/06/1982</t>
  </si>
  <si>
    <t>06/12/1966</t>
  </si>
  <si>
    <t>06/27/1977</t>
  </si>
  <si>
    <t>09/26/1972</t>
  </si>
  <si>
    <t>02/13/1959</t>
  </si>
  <si>
    <t>09/24/1962</t>
  </si>
  <si>
    <t>06/29/1995</t>
  </si>
  <si>
    <t>01/19/1990</t>
  </si>
  <si>
    <t>09/20/1929</t>
  </si>
  <si>
    <t>01/16/1940</t>
  </si>
  <si>
    <t>03/28/1985</t>
  </si>
  <si>
    <t>02/15/1961</t>
  </si>
  <si>
    <t>01/24/1977</t>
  </si>
  <si>
    <t>09/09/1988</t>
  </si>
  <si>
    <t>07/16/1985</t>
  </si>
  <si>
    <t>04/21/1964</t>
  </si>
  <si>
    <t>09/20/1977</t>
  </si>
  <si>
    <t>11/07/1989</t>
  </si>
  <si>
    <t>05/06/1950</t>
  </si>
  <si>
    <t>06/17/1955</t>
  </si>
  <si>
    <t>07/31/1983</t>
  </si>
  <si>
    <t>07/03/1944</t>
  </si>
  <si>
    <t>05/27/1957</t>
  </si>
  <si>
    <t>01/26/1969</t>
  </si>
  <si>
    <t>07/26/1959</t>
  </si>
  <si>
    <t>11/24/1964</t>
  </si>
  <si>
    <t>06/10/1958</t>
  </si>
  <si>
    <t>12/04/1979</t>
  </si>
  <si>
    <t>07/21/1977</t>
  </si>
  <si>
    <t>10/15/1959</t>
  </si>
  <si>
    <t>12/08/1962</t>
  </si>
  <si>
    <t>06/21/1962</t>
  </si>
  <si>
    <t>01/02/1955</t>
  </si>
  <si>
    <t>05/09/1971</t>
  </si>
  <si>
    <t>01/06/1977</t>
  </si>
  <si>
    <t>09/09/1949</t>
  </si>
  <si>
    <t>09/22/1970</t>
  </si>
  <si>
    <t>10/23/1982</t>
  </si>
  <si>
    <t>02/06/1989</t>
  </si>
  <si>
    <t>04/12/1959</t>
  </si>
  <si>
    <t>08/09/1974</t>
  </si>
  <si>
    <t>04/03/1975</t>
  </si>
  <si>
    <t>10/20/1950</t>
  </si>
  <si>
    <t>04/18/1948</t>
  </si>
  <si>
    <t>07/20/1962</t>
  </si>
  <si>
    <t>05/03/1964</t>
  </si>
  <si>
    <t>06/02/1942</t>
  </si>
  <si>
    <t>06/07/1956</t>
  </si>
  <si>
    <t>08/31/1975</t>
  </si>
  <si>
    <t>05/24/1961</t>
  </si>
  <si>
    <t>01/08/1989</t>
  </si>
  <si>
    <t>01/16/1967</t>
  </si>
  <si>
    <t>07/12/1981</t>
  </si>
  <si>
    <t>11/19/1943</t>
  </si>
  <si>
    <t>10/06/1962</t>
  </si>
  <si>
    <t>06/20/1946</t>
  </si>
  <si>
    <t>06/29/1978</t>
  </si>
  <si>
    <t>03/15/1972</t>
  </si>
  <si>
    <t>12/04/1972</t>
  </si>
  <si>
    <t>12/03/1975</t>
  </si>
  <si>
    <t>11/05/1971</t>
  </si>
  <si>
    <t>12/31/1966</t>
  </si>
  <si>
    <t>10/23/1965</t>
  </si>
  <si>
    <t>04/10/1945</t>
  </si>
  <si>
    <t>05/12/2000</t>
  </si>
  <si>
    <t>01/03/1971</t>
  </si>
  <si>
    <t>03/23/1962</t>
  </si>
  <si>
    <t>06/12/1992</t>
  </si>
  <si>
    <t>12/01/1963</t>
  </si>
  <si>
    <t>08/11/1967</t>
  </si>
  <si>
    <t>07/23/1960</t>
  </si>
  <si>
    <t>03/08/1974</t>
  </si>
  <si>
    <t>11/18/1951</t>
  </si>
  <si>
    <t>05/08/1967</t>
  </si>
  <si>
    <t>06/12/1977</t>
  </si>
  <si>
    <t>04/20/1966</t>
  </si>
  <si>
    <t>07/05/1935</t>
  </si>
  <si>
    <t>07/31/1955</t>
  </si>
  <si>
    <t>04/09/1975</t>
  </si>
  <si>
    <t>11/26/1945</t>
  </si>
  <si>
    <t>10/17/1958</t>
  </si>
  <si>
    <t>01/02/1970</t>
  </si>
  <si>
    <t>12/25/1960</t>
  </si>
  <si>
    <t>09/30/1986</t>
  </si>
  <si>
    <t>12/21/1944</t>
  </si>
  <si>
    <t>12/24/1986</t>
  </si>
  <si>
    <t>05/17/1950</t>
  </si>
  <si>
    <t>11/19/1988</t>
  </si>
  <si>
    <t>10/07/1964</t>
  </si>
  <si>
    <t>02/20/1950</t>
  </si>
  <si>
    <t>06/16/1965</t>
  </si>
  <si>
    <t>11/09/1951</t>
  </si>
  <si>
    <t>08/04/1962</t>
  </si>
  <si>
    <t>07/25/1963</t>
  </si>
  <si>
    <t>06/22/1968</t>
  </si>
  <si>
    <t>05/05/1964</t>
  </si>
  <si>
    <t>05/21/1963</t>
  </si>
  <si>
    <t>10/01/1991</t>
  </si>
  <si>
    <t>03/17/1972</t>
  </si>
  <si>
    <t>02/28/1958</t>
  </si>
  <si>
    <t>02/11/1956</t>
  </si>
  <si>
    <t>07/20/1958</t>
  </si>
  <si>
    <t>04/24/1948</t>
  </si>
  <si>
    <t>06/21/1981</t>
  </si>
  <si>
    <t>09/07/1961</t>
  </si>
  <si>
    <t>06/02/1981</t>
  </si>
  <si>
    <t>07/21/1948</t>
  </si>
  <si>
    <t>03/01/1988</t>
  </si>
  <si>
    <t>04/04/1965</t>
  </si>
  <si>
    <t>11/19/1976</t>
  </si>
  <si>
    <t>08/04/1998</t>
  </si>
  <si>
    <t>07/11/1987</t>
  </si>
  <si>
    <t>07/27/1949</t>
  </si>
  <si>
    <t>03/10/1945</t>
  </si>
  <si>
    <t>02/26/1970</t>
  </si>
  <si>
    <t>11/28/1982</t>
  </si>
  <si>
    <t>11/26/1967</t>
  </si>
  <si>
    <t>12/26/1965</t>
  </si>
  <si>
    <t>01/11/1968</t>
  </si>
  <si>
    <t>03/02/1974</t>
  </si>
  <si>
    <t>06/30/1988</t>
  </si>
  <si>
    <t>01/03/1964</t>
  </si>
  <si>
    <t>07/31/1991</t>
  </si>
  <si>
    <t>12/25/1975</t>
  </si>
  <si>
    <t>09/23/1951</t>
  </si>
  <si>
    <t>06/26/1955</t>
  </si>
  <si>
    <t>06/29/1990</t>
  </si>
  <si>
    <t>12/14/1965</t>
  </si>
  <si>
    <t>07/04/1975</t>
  </si>
  <si>
    <t>12/26/1968</t>
  </si>
  <si>
    <t>05/12/1958</t>
  </si>
  <si>
    <t>04/29/1964</t>
  </si>
  <si>
    <t>09/04/1962</t>
  </si>
  <si>
    <t>02/05/1949</t>
  </si>
  <si>
    <t>04/01/1972</t>
  </si>
  <si>
    <t>05/19/1972</t>
  </si>
  <si>
    <t>03/07/1968</t>
  </si>
  <si>
    <t>06/22/1962</t>
  </si>
  <si>
    <t>07/11/1934</t>
  </si>
  <si>
    <t>04/16/1983</t>
  </si>
  <si>
    <t>08/02/1940</t>
  </si>
  <si>
    <t>10/30/1959</t>
  </si>
  <si>
    <t>12/15/1983</t>
  </si>
  <si>
    <t>06/02/1957</t>
  </si>
  <si>
    <t>12/04/1970</t>
  </si>
  <si>
    <t>08/20/1987</t>
  </si>
  <si>
    <t>06/10/1949</t>
  </si>
  <si>
    <t>05/10/1958</t>
  </si>
  <si>
    <t>11/06/1988</t>
  </si>
  <si>
    <t>05/16/1948</t>
  </si>
  <si>
    <t>06/23/1941</t>
  </si>
  <si>
    <t>05/31/1931</t>
  </si>
  <si>
    <t>08/23/1954</t>
  </si>
  <si>
    <t>08/08/1953</t>
  </si>
  <si>
    <t>02/14/1964</t>
  </si>
  <si>
    <t>09/17/1959</t>
  </si>
  <si>
    <t>12/02/1996</t>
  </si>
  <si>
    <t>01/25/1986</t>
  </si>
  <si>
    <t>08/24/1971</t>
  </si>
  <si>
    <t>10/28/1963</t>
  </si>
  <si>
    <t>09/28/1950</t>
  </si>
  <si>
    <t>10/28/1968</t>
  </si>
  <si>
    <t>12/02/1972</t>
  </si>
  <si>
    <t>10/24/1963</t>
  </si>
  <si>
    <t>02/21/1989</t>
  </si>
  <si>
    <t>12/03/1986</t>
  </si>
  <si>
    <t>10/26/1976</t>
  </si>
  <si>
    <t>12/07/1980</t>
  </si>
  <si>
    <t>04/02/1992</t>
  </si>
  <si>
    <t>01/18/1957</t>
  </si>
  <si>
    <t>05/12/1981</t>
  </si>
  <si>
    <t>12/11/1974</t>
  </si>
  <si>
    <t>11/18/1987</t>
  </si>
  <si>
    <t>05/15/1973</t>
  </si>
  <si>
    <t>08/10/1965</t>
  </si>
  <si>
    <t>02/14/1977</t>
  </si>
  <si>
    <t>03/13/1958</t>
  </si>
  <si>
    <t>09/19/1988</t>
  </si>
  <si>
    <t>10/18/1961</t>
  </si>
  <si>
    <t>09/14/1980</t>
  </si>
  <si>
    <t>11/14/1962</t>
  </si>
  <si>
    <t>10/10/1957</t>
  </si>
  <si>
    <t>02/07/1992</t>
  </si>
  <si>
    <t>09/06/1967</t>
  </si>
  <si>
    <t>08/14/1959</t>
  </si>
  <si>
    <t>08/26/1987</t>
  </si>
  <si>
    <t>10/17/1974</t>
  </si>
  <si>
    <t>12/29/1960</t>
  </si>
  <si>
    <t>12/06/1944</t>
  </si>
  <si>
    <t>06/08/1985</t>
  </si>
  <si>
    <t>01/14/1968</t>
  </si>
  <si>
    <t>04/15/1927</t>
  </si>
  <si>
    <t>05/16/1969</t>
  </si>
  <si>
    <t>12/28/1981</t>
  </si>
  <si>
    <t>01/12/1980</t>
  </si>
  <si>
    <t>01/16/1987</t>
  </si>
  <si>
    <t>04/25/1963</t>
  </si>
  <si>
    <t>12/19/1986</t>
  </si>
  <si>
    <t>04/16/1982</t>
  </si>
  <si>
    <t>06/06/1949</t>
  </si>
  <si>
    <t>08/05/1958</t>
  </si>
  <si>
    <t>03/05/1974</t>
  </si>
  <si>
    <t>08/03/1971</t>
  </si>
  <si>
    <t>08/18/1988</t>
  </si>
  <si>
    <t>01/01/1969</t>
  </si>
  <si>
    <t>05/05/1950</t>
  </si>
  <si>
    <t>04/05/1975</t>
  </si>
  <si>
    <t>01/21/1984</t>
  </si>
  <si>
    <t>08/20/1963</t>
  </si>
  <si>
    <t>09/05/1964</t>
  </si>
  <si>
    <t>07/16/1959</t>
  </si>
  <si>
    <t>04/02/1962</t>
  </si>
  <si>
    <t>06/17/1975</t>
  </si>
  <si>
    <t>08/17/1966</t>
  </si>
  <si>
    <t>11/30/1953</t>
  </si>
  <si>
    <t>11/03/1988</t>
  </si>
  <si>
    <t>07/06/1946</t>
  </si>
  <si>
    <t>02/01/1969</t>
  </si>
  <si>
    <t>12/28/1950</t>
  </si>
  <si>
    <t>04/13/1961</t>
  </si>
  <si>
    <t>02/20/1980</t>
  </si>
  <si>
    <t>10/26/1980</t>
  </si>
  <si>
    <t>08/25/1978</t>
  </si>
  <si>
    <t>05/01/1961</t>
  </si>
  <si>
    <t>10/06/1952</t>
  </si>
  <si>
    <t>02/04/1987</t>
  </si>
  <si>
    <t>01/19/1994</t>
  </si>
  <si>
    <t>02/08/1951</t>
  </si>
  <si>
    <t>09/10/1988</t>
  </si>
  <si>
    <t>01/15/1944</t>
  </si>
  <si>
    <t>06/18/1965</t>
  </si>
  <si>
    <t>02/12/1984</t>
  </si>
  <si>
    <t>01/12/1974</t>
  </si>
  <si>
    <t>11/20/1965</t>
  </si>
  <si>
    <t>08/12/1943</t>
  </si>
  <si>
    <t>10/25/1963</t>
  </si>
  <si>
    <t>08/20/1998</t>
  </si>
  <si>
    <t>02/05/1988</t>
  </si>
  <si>
    <t>09/29/1975</t>
  </si>
  <si>
    <t>10/13/1986</t>
  </si>
  <si>
    <t>07/16/1975</t>
  </si>
  <si>
    <t>02/24/1983</t>
  </si>
  <si>
    <t>03/14/1959</t>
  </si>
  <si>
    <t>10/27/1967</t>
  </si>
  <si>
    <t>03/18/1988</t>
  </si>
  <si>
    <t>03/18/1964</t>
  </si>
  <si>
    <t>02/07/1934</t>
  </si>
  <si>
    <t>12/23/1991</t>
  </si>
  <si>
    <t>07/10/1982</t>
  </si>
  <si>
    <t>11/16/1985</t>
  </si>
  <si>
    <t>12/18/1943</t>
  </si>
  <si>
    <t>03/01/1996</t>
  </si>
  <si>
    <t>11/28/1964</t>
  </si>
  <si>
    <t>04/20/1958</t>
  </si>
  <si>
    <t>01/19/1977</t>
  </si>
  <si>
    <t>02/11/1986</t>
  </si>
  <si>
    <t>06/26/1953</t>
  </si>
  <si>
    <t>01/10/1988</t>
  </si>
  <si>
    <t>12/10/1981</t>
  </si>
  <si>
    <t>06/22/1992</t>
  </si>
  <si>
    <t>05/31/1970</t>
  </si>
  <si>
    <t>06/11/1987</t>
  </si>
  <si>
    <t>01/14/1956</t>
  </si>
  <si>
    <t>04/17/1987</t>
  </si>
  <si>
    <t>08/07/1974</t>
  </si>
  <si>
    <t>02/01/1956</t>
  </si>
  <si>
    <t>04/20/1982</t>
  </si>
  <si>
    <t>04/03/1959</t>
  </si>
  <si>
    <t>09/12/1951</t>
  </si>
  <si>
    <t>02/04/1961</t>
  </si>
  <si>
    <t>06/22/1984</t>
  </si>
  <si>
    <t>05/22/1950</t>
  </si>
  <si>
    <t>03/04/1980</t>
  </si>
  <si>
    <t>08/15/1944</t>
  </si>
  <si>
    <t>08/08/1966</t>
  </si>
  <si>
    <t>01/06/1967</t>
  </si>
  <si>
    <t>07/30/1978</t>
  </si>
  <si>
    <t>03/02/1975</t>
  </si>
  <si>
    <t>09/15/1974</t>
  </si>
  <si>
    <t>04/18/1977</t>
  </si>
  <si>
    <t>05/06/1963</t>
  </si>
  <si>
    <t>10/27/1963</t>
  </si>
  <si>
    <t>07/24/1986</t>
  </si>
  <si>
    <t>10/23/1969</t>
  </si>
  <si>
    <t>01/13/1960</t>
  </si>
  <si>
    <t>05/19/1952</t>
  </si>
  <si>
    <t>05/31/1953</t>
  </si>
  <si>
    <t>08/11/1950</t>
  </si>
  <si>
    <t>09/27/1964</t>
  </si>
  <si>
    <t>03/30/1953</t>
  </si>
  <si>
    <t>06/03/1983</t>
  </si>
  <si>
    <t>10/18/1939</t>
  </si>
  <si>
    <t>01/21/1971</t>
  </si>
  <si>
    <t>12/08/1977</t>
  </si>
  <si>
    <t>01/13/1982</t>
  </si>
  <si>
    <t>04/10/1955</t>
  </si>
  <si>
    <t>03/18/1951</t>
  </si>
  <si>
    <t>05/19/1978</t>
  </si>
  <si>
    <t>01/15/1951</t>
  </si>
  <si>
    <t>01/27/1973</t>
  </si>
  <si>
    <t>04/28/1987</t>
  </si>
  <si>
    <t>06/11/1989</t>
  </si>
  <si>
    <t>06/20/1979</t>
  </si>
  <si>
    <t>04/03/1953</t>
  </si>
  <si>
    <t>05/19/1981</t>
  </si>
  <si>
    <t>10/19/1959</t>
  </si>
  <si>
    <t>01/28/1962</t>
  </si>
  <si>
    <t>01/30/1963</t>
  </si>
  <si>
    <t>09/20/1994</t>
  </si>
  <si>
    <t>02/18/1966</t>
  </si>
  <si>
    <t>04/20/1957</t>
  </si>
  <si>
    <t>11/30/1972</t>
  </si>
  <si>
    <t>06/27/1991</t>
  </si>
  <si>
    <t>02/02/1981</t>
  </si>
  <si>
    <t>06/14/1946</t>
  </si>
  <si>
    <t>06/25/1972</t>
  </si>
  <si>
    <t>12/26/1984</t>
  </si>
  <si>
    <t>08/16/1992</t>
  </si>
  <si>
    <t>04/26/1959</t>
  </si>
  <si>
    <t>02/05/1964</t>
  </si>
  <si>
    <t>01/05/1973</t>
  </si>
  <si>
    <t>05/04/1966</t>
  </si>
  <si>
    <t>02/17/1990</t>
  </si>
  <si>
    <t>08/23/1960</t>
  </si>
  <si>
    <t>12/06/1937</t>
  </si>
  <si>
    <t>10/17/1984</t>
  </si>
  <si>
    <t>02/27/1961</t>
  </si>
  <si>
    <t>06/06/1991</t>
  </si>
  <si>
    <t>10/10/1976</t>
  </si>
  <si>
    <t>03/30/1972</t>
  </si>
  <si>
    <t>11/21/1971</t>
  </si>
  <si>
    <t>07/02/1960</t>
  </si>
  <si>
    <t>01/24/1976</t>
  </si>
  <si>
    <t>11/30/1955</t>
  </si>
  <si>
    <t>09/13/1993</t>
  </si>
  <si>
    <t>08/31/1963</t>
  </si>
  <si>
    <t>01/15/1962</t>
  </si>
  <si>
    <t>02/06/1988</t>
  </si>
  <si>
    <t>07/07/1992</t>
  </si>
  <si>
    <t>10/14/1977</t>
  </si>
  <si>
    <t>03/01/1987</t>
  </si>
  <si>
    <t>10/07/1972</t>
  </si>
  <si>
    <t>09/15/1959</t>
  </si>
  <si>
    <t>08/06/1979</t>
  </si>
  <si>
    <t>07/18/1974</t>
  </si>
  <si>
    <t>05/28/1969</t>
  </si>
  <si>
    <t>02/04/1977</t>
  </si>
  <si>
    <t>03/31/1977</t>
  </si>
  <si>
    <t>10/23/1975</t>
  </si>
  <si>
    <t>12/15/1951</t>
  </si>
  <si>
    <t>01/02/1988</t>
  </si>
  <si>
    <t>04/17/1951</t>
  </si>
  <si>
    <t>11/27/1942</t>
  </si>
  <si>
    <t>08/23/1973</t>
  </si>
  <si>
    <t>02/02/1957</t>
  </si>
  <si>
    <t>03/04/1948</t>
  </si>
  <si>
    <t>06/19/1957</t>
  </si>
  <si>
    <t>06/23/1964</t>
  </si>
  <si>
    <t>11/21/1973</t>
  </si>
  <si>
    <t>12/28/1963</t>
  </si>
  <si>
    <t>01/21/1976</t>
  </si>
  <si>
    <t>07/19/1952</t>
  </si>
  <si>
    <t>10/05/1937</t>
  </si>
  <si>
    <t>02/18/1957</t>
  </si>
  <si>
    <t>07/19/1940</t>
  </si>
  <si>
    <t>11/17/1967</t>
  </si>
  <si>
    <t>01/09/1971</t>
  </si>
  <si>
    <t>02/22/1985</t>
  </si>
  <si>
    <t>06/26/1995</t>
  </si>
  <si>
    <t>10/06/1975</t>
  </si>
  <si>
    <t>01/13/1956</t>
  </si>
  <si>
    <t>09/18/1976</t>
  </si>
  <si>
    <t>08/17/1955</t>
  </si>
  <si>
    <t>12/23/1950</t>
  </si>
  <si>
    <t>09/18/1980</t>
  </si>
  <si>
    <t>02/11/1940</t>
  </si>
  <si>
    <t>01/27/1981</t>
  </si>
  <si>
    <t>09/02/1982</t>
  </si>
  <si>
    <t>11/01/1971</t>
  </si>
  <si>
    <t>05/22/1969</t>
  </si>
  <si>
    <t>10/13/1960</t>
  </si>
  <si>
    <t>09/18/1987</t>
  </si>
  <si>
    <t>12/12/1967</t>
  </si>
  <si>
    <t>08/27/1973</t>
  </si>
  <si>
    <t>11/26/1973</t>
  </si>
  <si>
    <t>11/14/1973</t>
  </si>
  <si>
    <t>05/14/1992</t>
  </si>
  <si>
    <t>05/09/1975</t>
  </si>
  <si>
    <t>04/13/1986</t>
  </si>
  <si>
    <t>02/26/1963</t>
  </si>
  <si>
    <t>11/27/1974</t>
  </si>
  <si>
    <t>07/23/1942</t>
  </si>
  <si>
    <t>09/10/1982</t>
  </si>
  <si>
    <t>03/03/1961</t>
  </si>
  <si>
    <t>05/24/1963</t>
  </si>
  <si>
    <t>02/27/1965</t>
  </si>
  <si>
    <t>10/27/1982</t>
  </si>
  <si>
    <t>09/15/1979</t>
  </si>
  <si>
    <t>09/15/1968</t>
  </si>
  <si>
    <t>07/15/1937</t>
  </si>
  <si>
    <t>10/19/1973</t>
  </si>
  <si>
    <t>06/30/1949</t>
  </si>
  <si>
    <t>07/20/1965</t>
  </si>
  <si>
    <t>08/21/1948</t>
  </si>
  <si>
    <t>06/24/1959</t>
  </si>
  <si>
    <t>05/16/1960</t>
  </si>
  <si>
    <t>11/02/1977</t>
  </si>
  <si>
    <t>08/08/1937</t>
  </si>
  <si>
    <t>08/06/1990</t>
  </si>
  <si>
    <t>04/11/1982</t>
  </si>
  <si>
    <t>08/31/1977</t>
  </si>
  <si>
    <t>01/10/1955</t>
  </si>
  <si>
    <t>10/12/1956</t>
  </si>
  <si>
    <t>08/30/1958</t>
  </si>
  <si>
    <t>12/20/1978</t>
  </si>
  <si>
    <t>08/21/1936</t>
  </si>
  <si>
    <t>08/15/1933</t>
  </si>
  <si>
    <t>08/01/1956</t>
  </si>
  <si>
    <t>11/20/1964</t>
  </si>
  <si>
    <t>11/14/1956</t>
  </si>
  <si>
    <t>03/19/1928</t>
  </si>
  <si>
    <t>01/17/1962</t>
  </si>
  <si>
    <t>12/07/1959</t>
  </si>
  <si>
    <t>01/01/1944</t>
  </si>
  <si>
    <t>02/24/1948</t>
  </si>
  <si>
    <t>02/10/1982</t>
  </si>
  <si>
    <t>07/20/1972</t>
  </si>
  <si>
    <t>12/04/1967</t>
  </si>
  <si>
    <t>03/10/1943</t>
  </si>
  <si>
    <t>01/19/1992</t>
  </si>
  <si>
    <t>05/03/1993</t>
  </si>
  <si>
    <t>11/09/1966</t>
  </si>
  <si>
    <t>08/03/1970</t>
  </si>
  <si>
    <t>09/27/1991</t>
  </si>
  <si>
    <t>09/27/1976</t>
  </si>
  <si>
    <t>09/08/1979</t>
  </si>
  <si>
    <t>10/11/1980</t>
  </si>
  <si>
    <t>10/13/1934</t>
  </si>
  <si>
    <t>09/30/1948</t>
  </si>
  <si>
    <t>04/02/1993</t>
  </si>
  <si>
    <t>10/22/1947</t>
  </si>
  <si>
    <t>02/04/1958</t>
  </si>
  <si>
    <t>05/18/1946</t>
  </si>
  <si>
    <t>06/19/1961</t>
  </si>
  <si>
    <t>11/07/1966</t>
  </si>
  <si>
    <t>05/24/1956</t>
  </si>
  <si>
    <t>09/01/1968</t>
  </si>
  <si>
    <t>07/15/1957</t>
  </si>
  <si>
    <t>10/01/1971</t>
  </si>
  <si>
    <t>05/11/1963</t>
  </si>
  <si>
    <t>10/01/1990</t>
  </si>
  <si>
    <t>01/04/1988</t>
  </si>
  <si>
    <t>11/16/1973</t>
  </si>
  <si>
    <t>05/20/1982</t>
  </si>
  <si>
    <t>07/17/1964</t>
  </si>
  <si>
    <t>07/03/1977</t>
  </si>
  <si>
    <t>04/30/1989</t>
  </si>
  <si>
    <t>05/31/1976</t>
  </si>
  <si>
    <t>05/03/1963</t>
  </si>
  <si>
    <t>10/03/1960</t>
  </si>
  <si>
    <t>02/15/1966</t>
  </si>
  <si>
    <t>09/27/1982</t>
  </si>
  <si>
    <t>04/03/1977</t>
  </si>
  <si>
    <t>04/04/1990</t>
  </si>
  <si>
    <t>06/22/1973</t>
  </si>
  <si>
    <t>06/06/1995</t>
  </si>
  <si>
    <t>05/31/1993</t>
  </si>
  <si>
    <t>06/30/1986</t>
  </si>
  <si>
    <t>10/23/1989</t>
  </si>
  <si>
    <t>09/09/1958</t>
  </si>
  <si>
    <t>03/23/1959</t>
  </si>
  <si>
    <t>02/22/1977</t>
  </si>
  <si>
    <t>01/23/1977</t>
  </si>
  <si>
    <t>10/08/1970</t>
  </si>
  <si>
    <t>05/05/1962</t>
  </si>
  <si>
    <t>04/22/1993</t>
  </si>
  <si>
    <t>02/08/1964</t>
  </si>
  <si>
    <t>03/19/1990</t>
  </si>
  <si>
    <t>03/21/1990</t>
  </si>
  <si>
    <t>08/21/1991</t>
  </si>
  <si>
    <t>12/12/1960</t>
  </si>
  <si>
    <t>10/17/1981</t>
  </si>
  <si>
    <t>04/01/1998</t>
  </si>
  <si>
    <t>06/20/1983</t>
  </si>
  <si>
    <t>04/29/1970</t>
  </si>
  <si>
    <t>01/30/1986</t>
  </si>
  <si>
    <t>05/30/1976</t>
  </si>
  <si>
    <t>07/22/1950</t>
  </si>
  <si>
    <t>04/02/1986</t>
  </si>
  <si>
    <t>12/27/1968</t>
  </si>
  <si>
    <t>09/06/1954</t>
  </si>
  <si>
    <t>05/14/1955</t>
  </si>
  <si>
    <t>09/13/1954</t>
  </si>
  <si>
    <t>01/19/1982</t>
  </si>
  <si>
    <t>01/31/1983</t>
  </si>
  <si>
    <t>11/29/1979</t>
  </si>
  <si>
    <t>09/10/1965</t>
  </si>
  <si>
    <t>04/05/1985</t>
  </si>
  <si>
    <t>04/23/1983</t>
  </si>
  <si>
    <t>09/15/1991</t>
  </si>
  <si>
    <t>11/26/1959</t>
  </si>
  <si>
    <t>01/02/1979</t>
  </si>
  <si>
    <t>06/04/1991</t>
  </si>
  <si>
    <t>05/17/1952</t>
  </si>
  <si>
    <t>08/27/1982</t>
  </si>
  <si>
    <t>06/18/1992</t>
  </si>
  <si>
    <t>02/26/1984</t>
  </si>
  <si>
    <t>11/06/1961</t>
  </si>
  <si>
    <t>02/25/1966</t>
  </si>
  <si>
    <t>01/14/1974</t>
  </si>
  <si>
    <t>02/08/1984</t>
  </si>
  <si>
    <t>05/13/1992</t>
  </si>
  <si>
    <t>10/13/1980</t>
  </si>
  <si>
    <t>04/06/1986</t>
  </si>
  <si>
    <t>01/22/1960</t>
  </si>
  <si>
    <t>10/24/1948</t>
  </si>
  <si>
    <t>07/18/1981</t>
  </si>
  <si>
    <t>01/12/1979</t>
  </si>
  <si>
    <t>07/02/1981</t>
  </si>
  <si>
    <t>04/24/1964</t>
  </si>
  <si>
    <t>10/20/1975</t>
  </si>
  <si>
    <t>11/26/1964</t>
  </si>
  <si>
    <t>07/09/1953</t>
  </si>
  <si>
    <t>11/14/1946</t>
  </si>
  <si>
    <t>01/03/1959</t>
  </si>
  <si>
    <t>12/30/1956</t>
  </si>
  <si>
    <t>06/17/1965</t>
  </si>
  <si>
    <t>11/21/1985</t>
  </si>
  <si>
    <t>06/16/1955</t>
  </si>
  <si>
    <t>12/25/1986</t>
  </si>
  <si>
    <t>01/19/1979</t>
  </si>
  <si>
    <t>05/07/1988</t>
  </si>
  <si>
    <t>06/09/1961</t>
  </si>
  <si>
    <t>09/14/1958</t>
  </si>
  <si>
    <t>01/21/1988</t>
  </si>
  <si>
    <t>09/22/1975</t>
  </si>
  <si>
    <t>08/14/1975</t>
  </si>
  <si>
    <t>06/16/1980</t>
  </si>
  <si>
    <t>01/28/1971</t>
  </si>
  <si>
    <t>02/18/1960</t>
  </si>
  <si>
    <t>05/12/1988</t>
  </si>
  <si>
    <t>12/08/1975</t>
  </si>
  <si>
    <t>05/27/1995</t>
  </si>
  <si>
    <t>06/22/1974</t>
  </si>
  <si>
    <t>06/11/1988</t>
  </si>
  <si>
    <t>11/07/1996</t>
  </si>
  <si>
    <t>05/11/1950</t>
  </si>
  <si>
    <t>08/10/1988</t>
  </si>
  <si>
    <t>09/26/1962</t>
  </si>
  <si>
    <t>07/05/1984</t>
  </si>
  <si>
    <t>04/27/1951</t>
  </si>
  <si>
    <t>05/20/1974</t>
  </si>
  <si>
    <t>12/10/1967</t>
  </si>
  <si>
    <t>12/19/1980</t>
  </si>
  <si>
    <t>07/14/1947</t>
  </si>
  <si>
    <t>11/08/1995</t>
  </si>
  <si>
    <t>12/06/1964</t>
  </si>
  <si>
    <t>07/14/1981</t>
  </si>
  <si>
    <t>07/06/1987</t>
  </si>
  <si>
    <t>04/03/1994</t>
  </si>
  <si>
    <t>05/22/1958</t>
  </si>
  <si>
    <t>10/20/1981</t>
  </si>
  <si>
    <t>02/15/1988</t>
  </si>
  <si>
    <t>03/07/1962</t>
  </si>
  <si>
    <t>02/23/1963</t>
  </si>
  <si>
    <t>05/05/1996</t>
  </si>
  <si>
    <t>04/27/1980</t>
  </si>
  <si>
    <t>02/11/1970</t>
  </si>
  <si>
    <t>10/06/1948</t>
  </si>
  <si>
    <t>09/09/1976</t>
  </si>
  <si>
    <t>04/12/1987</t>
  </si>
  <si>
    <t>04/22/1956</t>
  </si>
  <si>
    <t>05/04/1978</t>
  </si>
  <si>
    <t>05/23/1968</t>
  </si>
  <si>
    <t>03/04/1972</t>
  </si>
  <si>
    <t>08/10/1959</t>
  </si>
  <si>
    <t>07/26/1962</t>
  </si>
  <si>
    <t>05/02/1991</t>
  </si>
  <si>
    <t>11/20/1983</t>
  </si>
  <si>
    <t>08/16/1987</t>
  </si>
  <si>
    <t>03/09/1984</t>
  </si>
  <si>
    <t>04/05/1948</t>
  </si>
  <si>
    <t>09/21/1955</t>
  </si>
  <si>
    <t>04/14/1974</t>
  </si>
  <si>
    <t>05/30/1989</t>
  </si>
  <si>
    <t>02/03/1984</t>
  </si>
  <si>
    <t>09/26/1963</t>
  </si>
  <si>
    <t>09/23/1987</t>
  </si>
  <si>
    <t>06/08/1974</t>
  </si>
  <si>
    <t>01/21/1979</t>
  </si>
  <si>
    <t>04/14/1965</t>
  </si>
  <si>
    <t>08/18/1965</t>
  </si>
  <si>
    <t>05/02/1968</t>
  </si>
  <si>
    <t>09/14/1985</t>
  </si>
  <si>
    <t>10/15/1990</t>
  </si>
  <si>
    <t>04/02/1969</t>
  </si>
  <si>
    <t>11/30/1969</t>
  </si>
  <si>
    <t>09/11/1975</t>
  </si>
  <si>
    <t>09/23/1974</t>
  </si>
  <si>
    <t>08/18/1994</t>
  </si>
  <si>
    <t>10/22/1988</t>
  </si>
  <si>
    <t>03/10/1987</t>
  </si>
  <si>
    <t>06/21/1970</t>
  </si>
  <si>
    <t>09/14/1962</t>
  </si>
  <si>
    <t>07/03/1964</t>
  </si>
  <si>
    <t>05/17/1981</t>
  </si>
  <si>
    <t>11/27/1980</t>
  </si>
  <si>
    <t>02/19/1985</t>
  </si>
  <si>
    <t>02/07/1987</t>
  </si>
  <si>
    <t>11/12/1964</t>
  </si>
  <si>
    <t>11/30/1987</t>
  </si>
  <si>
    <t>02/05/1973</t>
  </si>
  <si>
    <t>10/29/1956</t>
  </si>
  <si>
    <t>05/19/1974</t>
  </si>
  <si>
    <t>01/10/1978</t>
  </si>
  <si>
    <t>04/22/1970</t>
  </si>
  <si>
    <t>11/04/1975</t>
  </si>
  <si>
    <t>09/06/1960</t>
  </si>
  <si>
    <t>08/03/1991</t>
  </si>
  <si>
    <t>09/11/1973</t>
  </si>
  <si>
    <t>10/24/1977</t>
  </si>
  <si>
    <t>03/27/1992</t>
  </si>
  <si>
    <t>05/22/1947</t>
  </si>
  <si>
    <t>06/16/1963</t>
  </si>
  <si>
    <t>04/09/1984</t>
  </si>
  <si>
    <t>03/21/1953</t>
  </si>
  <si>
    <t>09/06/1965</t>
  </si>
  <si>
    <t>09/23/1961</t>
  </si>
  <si>
    <t>08/12/1994</t>
  </si>
  <si>
    <t>09/25/1984</t>
  </si>
  <si>
    <t>04/22/1987</t>
  </si>
  <si>
    <t>11/25/1983</t>
  </si>
  <si>
    <t>12/19/1984</t>
  </si>
  <si>
    <t>03/06/1957</t>
  </si>
  <si>
    <t>05/18/1975</t>
  </si>
  <si>
    <t>03/22/1958</t>
  </si>
  <si>
    <t>08/11/1960</t>
  </si>
  <si>
    <t>03/13/1950</t>
  </si>
  <si>
    <t>06/19/1999</t>
  </si>
  <si>
    <t>08/20/1955</t>
  </si>
  <si>
    <t>12/17/1979</t>
  </si>
  <si>
    <t>05/21/1968</t>
  </si>
  <si>
    <t>09/13/1950</t>
  </si>
  <si>
    <t>05/12/1968</t>
  </si>
  <si>
    <t>09/02/1980</t>
  </si>
  <si>
    <t>11/04/1963</t>
  </si>
  <si>
    <t>01/20/1972</t>
  </si>
  <si>
    <t>09/06/1974</t>
  </si>
  <si>
    <t>09/02/1977</t>
  </si>
  <si>
    <t>02/16/1970</t>
  </si>
  <si>
    <t>03/06/1963</t>
  </si>
  <si>
    <t>09/13/1959</t>
  </si>
  <si>
    <t>10/02/1994</t>
  </si>
  <si>
    <t>05/31/1985</t>
  </si>
  <si>
    <t>10/28/1949</t>
  </si>
  <si>
    <t>12/12/1989</t>
  </si>
  <si>
    <t>06/16/1974</t>
  </si>
  <si>
    <t>05/31/1980</t>
  </si>
  <si>
    <t>10/01/1956</t>
  </si>
  <si>
    <t>12/01/1985</t>
  </si>
  <si>
    <t>09/20/1961</t>
  </si>
  <si>
    <t>07/29/1977</t>
  </si>
  <si>
    <t>04/12/1980</t>
  </si>
  <si>
    <t>12/24/1953</t>
  </si>
  <si>
    <t>06/08/1972</t>
  </si>
  <si>
    <t>03/14/1960</t>
  </si>
  <si>
    <t>01/31/1948</t>
  </si>
  <si>
    <t>09/27/1988</t>
  </si>
  <si>
    <t>05/03/1989</t>
  </si>
  <si>
    <t>04/06/1991</t>
  </si>
  <si>
    <t>07/20/1996</t>
  </si>
  <si>
    <t>04/11/1977</t>
  </si>
  <si>
    <t>02/27/1963</t>
  </si>
  <si>
    <t>08/19/1951</t>
  </si>
  <si>
    <t>06/20/1956</t>
  </si>
  <si>
    <t>01/13/1975</t>
  </si>
  <si>
    <t>11/02/1979</t>
  </si>
  <si>
    <t>08/08/1943</t>
  </si>
  <si>
    <t>10/17/1991</t>
  </si>
  <si>
    <t>06/27/1993</t>
  </si>
  <si>
    <t>07/10/1976</t>
  </si>
  <si>
    <t>05/22/1988</t>
  </si>
  <si>
    <t>05/31/1964</t>
  </si>
  <si>
    <t>08/02/1993</t>
  </si>
  <si>
    <t>03/16/1988</t>
  </si>
  <si>
    <t>09/18/1986</t>
  </si>
  <si>
    <t>07/31/1975</t>
  </si>
  <si>
    <t>03/12/1987</t>
  </si>
  <si>
    <t>01/12/1973</t>
  </si>
  <si>
    <t>04/29/1991</t>
  </si>
  <si>
    <t>10/24/1993</t>
  </si>
  <si>
    <t>12/12/1982</t>
  </si>
  <si>
    <t>04/07/1962</t>
  </si>
  <si>
    <t>11/25/1964</t>
  </si>
  <si>
    <t>07/09/1987</t>
  </si>
  <si>
    <t>01/05/1962</t>
  </si>
  <si>
    <t>11/18/1978</t>
  </si>
  <si>
    <t>05/17/1977</t>
  </si>
  <si>
    <t>05/13/1960</t>
  </si>
  <si>
    <t>02/03/1949</t>
  </si>
  <si>
    <t>09/13/1975</t>
  </si>
  <si>
    <t>11/20/1981</t>
  </si>
  <si>
    <t>03/26/1991</t>
  </si>
  <si>
    <t>05/21/1981</t>
  </si>
  <si>
    <t>07/16/1980</t>
  </si>
  <si>
    <t>07/13/1989</t>
  </si>
  <si>
    <t>02/08/1970</t>
  </si>
  <si>
    <t>11/25/1962</t>
  </si>
  <si>
    <t>07/31/1959</t>
  </si>
  <si>
    <t>05/10/1977</t>
  </si>
  <si>
    <t>10/27/1975</t>
  </si>
  <si>
    <t>10/30/1984</t>
  </si>
  <si>
    <t>08/14/2000</t>
  </si>
  <si>
    <t>05/25/1987</t>
  </si>
  <si>
    <t>11/20/1993</t>
  </si>
  <si>
    <t>10/13/1969</t>
  </si>
  <si>
    <t>07/21/1972</t>
  </si>
  <si>
    <t>10/17/1964</t>
  </si>
  <si>
    <t>09/06/1977</t>
  </si>
  <si>
    <t>11/19/1972</t>
  </si>
  <si>
    <t>10/15/1972</t>
  </si>
  <si>
    <t>10/18/1993</t>
  </si>
  <si>
    <t>06/21/1988</t>
  </si>
  <si>
    <t>11/17/1972</t>
  </si>
  <si>
    <t>12/20/1981</t>
  </si>
  <si>
    <t>05/23/1961</t>
  </si>
  <si>
    <t>10/06/1969</t>
  </si>
  <si>
    <t>08/20/1997</t>
  </si>
  <si>
    <t>07/23/1995</t>
  </si>
  <si>
    <t>10/30/1996</t>
  </si>
  <si>
    <t>04/12/1969</t>
  </si>
  <si>
    <t>03/01/1982</t>
  </si>
  <si>
    <t>08/06/1980</t>
  </si>
  <si>
    <t>06/23/1966</t>
  </si>
  <si>
    <t>10/27/1991</t>
  </si>
  <si>
    <t>03/19/1958</t>
  </si>
  <si>
    <t>12/23/1985</t>
  </si>
  <si>
    <t>02/09/1966</t>
  </si>
  <si>
    <t>07/18/1980</t>
  </si>
  <si>
    <t>10/08/1988</t>
  </si>
  <si>
    <t>04/01/1997</t>
  </si>
  <si>
    <t>07/25/1989</t>
  </si>
  <si>
    <t>07/16/1979</t>
  </si>
  <si>
    <t>05/19/1986</t>
  </si>
  <si>
    <t>01/16/1979</t>
  </si>
  <si>
    <t>10/04/1990</t>
  </si>
  <si>
    <t>03/22/1936</t>
  </si>
  <si>
    <t>04/18/1990</t>
  </si>
  <si>
    <t>10/08/1975</t>
  </si>
  <si>
    <t>11/14/1990</t>
  </si>
  <si>
    <t>10/10/1981</t>
  </si>
  <si>
    <t>08/05/1984</t>
  </si>
  <si>
    <t>03/29/1954</t>
  </si>
  <si>
    <t>02/18/1978</t>
  </si>
  <si>
    <t>03/04/1959</t>
  </si>
  <si>
    <t>03/26/1974</t>
  </si>
  <si>
    <t>12/02/1952</t>
  </si>
  <si>
    <t>04/10/1983</t>
  </si>
  <si>
    <t>07/30/1971</t>
  </si>
  <si>
    <t>11/08/1986</t>
  </si>
  <si>
    <t>08/07/1956</t>
  </si>
  <si>
    <t>07/11/1938</t>
  </si>
  <si>
    <t>02/06/1962</t>
  </si>
  <si>
    <t>12/18/1967</t>
  </si>
  <si>
    <t>10/01/1961</t>
  </si>
  <si>
    <t>11/08/1947</t>
  </si>
  <si>
    <t>05/08/1979</t>
  </si>
  <si>
    <t>07/07/1987</t>
  </si>
  <si>
    <t>06/21/1930</t>
  </si>
  <si>
    <t>04/17/1958</t>
  </si>
  <si>
    <t>12/24/1989</t>
  </si>
  <si>
    <t>09/12/1964</t>
  </si>
  <si>
    <t>08/17/1969</t>
  </si>
  <si>
    <t>03/24/1956</t>
  </si>
  <si>
    <t>11/12/1960</t>
  </si>
  <si>
    <t>07/09/1954</t>
  </si>
  <si>
    <t>12/24/1972</t>
  </si>
  <si>
    <t>05/21/1990</t>
  </si>
  <si>
    <t>05/27/1970</t>
  </si>
  <si>
    <t>01/30/1958</t>
  </si>
  <si>
    <t>05/22/1973</t>
  </si>
  <si>
    <t>05/13/1984</t>
  </si>
  <si>
    <t>07/03/1972</t>
  </si>
  <si>
    <t>11/20/1954</t>
  </si>
  <si>
    <t>06/07/1969</t>
  </si>
  <si>
    <t>05/09/1950</t>
  </si>
  <si>
    <t>11/11/1981</t>
  </si>
  <si>
    <t>12/29/1983</t>
  </si>
  <si>
    <t>03/10/1978</t>
  </si>
  <si>
    <t>04/28/1992</t>
  </si>
  <si>
    <t>02/09/1954</t>
  </si>
  <si>
    <t>05/22/1961</t>
  </si>
  <si>
    <t>08/08/1970</t>
  </si>
  <si>
    <t>09/09/1978</t>
  </si>
  <si>
    <t>08/26/1971</t>
  </si>
  <si>
    <t>06/17/1986</t>
  </si>
  <si>
    <t>05/22/1976</t>
  </si>
  <si>
    <t>10/03/1963</t>
  </si>
  <si>
    <t>03/22/1984</t>
  </si>
  <si>
    <t>03/26/1970</t>
  </si>
  <si>
    <t>04/20/1968</t>
  </si>
  <si>
    <t>02/13/1970</t>
  </si>
  <si>
    <t>01/12/1997</t>
  </si>
  <si>
    <t>10/30/1994</t>
  </si>
  <si>
    <t>11/12/1971</t>
  </si>
  <si>
    <t>01/10/1962</t>
  </si>
  <si>
    <t>12/10/1979</t>
  </si>
  <si>
    <t>08/21/1978</t>
  </si>
  <si>
    <t>02/28/1982</t>
  </si>
  <si>
    <t>10/27/1995</t>
  </si>
  <si>
    <t>04/27/1940</t>
  </si>
  <si>
    <t>04/11/1984</t>
  </si>
  <si>
    <t>03/06/1983</t>
  </si>
  <si>
    <t>10/13/1982</t>
  </si>
  <si>
    <t>02/07/1989</t>
  </si>
  <si>
    <t>01/21/1951</t>
  </si>
  <si>
    <t>09/01/1949</t>
  </si>
  <si>
    <t>03/05/1978</t>
  </si>
  <si>
    <t>01/08/1969</t>
  </si>
  <si>
    <t>08/17/1946</t>
  </si>
  <si>
    <t>05/17/1987</t>
  </si>
  <si>
    <t>01/24/1969</t>
  </si>
  <si>
    <t>03/19/1953</t>
  </si>
  <si>
    <t>11/05/1989</t>
  </si>
  <si>
    <t>02/25/1993</t>
  </si>
  <si>
    <t>01/29/1970</t>
  </si>
  <si>
    <t>07/18/1949</t>
  </si>
  <si>
    <t>09/14/1984</t>
  </si>
  <si>
    <t>05/26/1977</t>
  </si>
  <si>
    <t>09/05/1943</t>
  </si>
  <si>
    <t>06/22/1989</t>
  </si>
  <si>
    <t>12/08/1981</t>
  </si>
  <si>
    <t>04/08/1958</t>
  </si>
  <si>
    <t>09/03/1968</t>
  </si>
  <si>
    <t>03/30/1936</t>
  </si>
  <si>
    <t>02/07/1950</t>
  </si>
  <si>
    <t>09/28/1973</t>
  </si>
  <si>
    <t>12/22/1959</t>
  </si>
  <si>
    <t>11/13/1967</t>
  </si>
  <si>
    <t>04/14/1954</t>
  </si>
  <si>
    <t>11/24/1981</t>
  </si>
  <si>
    <t>10/07/1963</t>
  </si>
  <si>
    <t>07/15/1988</t>
  </si>
  <si>
    <t>10/24/1961</t>
  </si>
  <si>
    <t>08/29/1979</t>
  </si>
  <si>
    <t>08/15/1974</t>
  </si>
  <si>
    <t>07/15/1962</t>
  </si>
  <si>
    <t>07/03/1969</t>
  </si>
  <si>
    <t>01/04/1961</t>
  </si>
  <si>
    <t>10/31/1963</t>
  </si>
  <si>
    <t>08/22/1960</t>
  </si>
  <si>
    <t>02/22/1968</t>
  </si>
  <si>
    <t>03/15/1978</t>
  </si>
  <si>
    <t>02/02/1985</t>
  </si>
  <si>
    <t>07/20/1967</t>
  </si>
  <si>
    <t>10/17/1979</t>
  </si>
  <si>
    <t>07/06/1961</t>
  </si>
  <si>
    <t>05/19/1950</t>
  </si>
  <si>
    <t>05/20/1972</t>
  </si>
  <si>
    <t>06/27/1968</t>
  </si>
  <si>
    <t>03/20/1992</t>
  </si>
  <si>
    <t>11/07/1962</t>
  </si>
  <si>
    <t>08/07/1983</t>
  </si>
  <si>
    <t>12/22/1944</t>
  </si>
  <si>
    <t>12/16/1989</t>
  </si>
  <si>
    <t>08/11/1962</t>
  </si>
  <si>
    <t>10/07/1965</t>
  </si>
  <si>
    <t>03/13/1965</t>
  </si>
  <si>
    <t>09/25/1969</t>
  </si>
  <si>
    <t>01/08/1987</t>
  </si>
  <si>
    <t>04/20/1951</t>
  </si>
  <si>
    <t>04/09/1954</t>
  </si>
  <si>
    <t>12/22/1951</t>
  </si>
  <si>
    <t>07/03/1990</t>
  </si>
  <si>
    <t>09/10/1949</t>
  </si>
  <si>
    <t>07/29/1979</t>
  </si>
  <si>
    <t>04/17/1977</t>
  </si>
  <si>
    <t>11/05/1959</t>
  </si>
  <si>
    <t>08/12/1979</t>
  </si>
  <si>
    <t>11/01/1955</t>
  </si>
  <si>
    <t>10/21/1940</t>
  </si>
  <si>
    <t>07/31/1981</t>
  </si>
  <si>
    <t>02/28/1970</t>
  </si>
  <si>
    <t>11/12/1985</t>
  </si>
  <si>
    <t>12/18/1992</t>
  </si>
  <si>
    <t>10/21/1985</t>
  </si>
  <si>
    <t>06/15/1976</t>
  </si>
  <si>
    <t>09/08/1971</t>
  </si>
  <si>
    <t>06/30/1965</t>
  </si>
  <si>
    <t>11/10/1931</t>
  </si>
  <si>
    <t>04/03/1964</t>
  </si>
  <si>
    <t>02/20/1961</t>
  </si>
  <si>
    <t>05/06/1967</t>
  </si>
  <si>
    <t>07/14/1971</t>
  </si>
  <si>
    <t>05/03/1971</t>
  </si>
  <si>
    <t>08/30/1986</t>
  </si>
  <si>
    <t>01/03/1965</t>
  </si>
  <si>
    <t>01/04/1972</t>
  </si>
  <si>
    <t>06/06/1969</t>
  </si>
  <si>
    <t>08/25/1971</t>
  </si>
  <si>
    <t>05/10/1984</t>
  </si>
  <si>
    <t>03/04/1962</t>
  </si>
  <si>
    <t>06/20/1963</t>
  </si>
  <si>
    <t>03/29/1952</t>
  </si>
  <si>
    <t>06/22/1941</t>
  </si>
  <si>
    <t>08/17/1944</t>
  </si>
  <si>
    <t>06/05/2001</t>
  </si>
  <si>
    <t>08/17/1973</t>
  </si>
  <si>
    <t>05/08/1950</t>
  </si>
  <si>
    <t>05/24/1952</t>
  </si>
  <si>
    <t>07/23/1947</t>
  </si>
  <si>
    <t>04/19/1954</t>
  </si>
  <si>
    <t>04/02/1980</t>
  </si>
  <si>
    <t>02/28/1981</t>
  </si>
  <si>
    <t>05/30/1960</t>
  </si>
  <si>
    <t>04/17/1969</t>
  </si>
  <si>
    <t>12/08/1984</t>
  </si>
  <si>
    <t>11/29/1965</t>
  </si>
  <si>
    <t>05/05/1978</t>
  </si>
  <si>
    <t>05/23/1952</t>
  </si>
  <si>
    <t>05/18/1956</t>
  </si>
  <si>
    <t>03/09/1954</t>
  </si>
  <si>
    <t>09/29/1986</t>
  </si>
  <si>
    <t>06/02/1953</t>
  </si>
  <si>
    <t>02/23/1942</t>
  </si>
  <si>
    <t>08/17/1968</t>
  </si>
  <si>
    <t>10/04/1971</t>
  </si>
  <si>
    <t>10/26/1956</t>
  </si>
  <si>
    <t>05/09/1974</t>
  </si>
  <si>
    <t>03/02/1979</t>
  </si>
  <si>
    <t>01/22/1964</t>
  </si>
  <si>
    <t>12/06/1960</t>
  </si>
  <si>
    <t>10/15/1992</t>
  </si>
  <si>
    <t>07/12/1942</t>
  </si>
  <si>
    <t>05/04/1976</t>
  </si>
  <si>
    <t>01/28/1976</t>
  </si>
  <si>
    <t>04/18/1975</t>
  </si>
  <si>
    <t>11/30/1973</t>
  </si>
  <si>
    <t>10/23/1992</t>
  </si>
  <si>
    <t>12/01/1974</t>
  </si>
  <si>
    <t>11/05/1953</t>
  </si>
  <si>
    <t>09/01/1952</t>
  </si>
  <si>
    <t>03/01/1990</t>
  </si>
  <si>
    <t>10/13/1985</t>
  </si>
  <si>
    <t>11/17/1933</t>
  </si>
  <si>
    <t>09/08/1991</t>
  </si>
  <si>
    <t>08/05/1967</t>
  </si>
  <si>
    <t>06/24/1966</t>
  </si>
  <si>
    <t>02/05/1983</t>
  </si>
  <si>
    <t>11/17/1976</t>
  </si>
  <si>
    <t>07/18/1982</t>
  </si>
  <si>
    <t>01/14/1991</t>
  </si>
  <si>
    <t>03/12/1968</t>
  </si>
  <si>
    <t>04/01/1973</t>
  </si>
  <si>
    <t>02/12/1952</t>
  </si>
  <si>
    <t>10/12/1946</t>
  </si>
  <si>
    <t>03/02/1951</t>
  </si>
  <si>
    <t>02/25/1969</t>
  </si>
  <si>
    <t>05/17/1991</t>
  </si>
  <si>
    <t>03/24/1961</t>
  </si>
  <si>
    <t>07/05/1971</t>
  </si>
  <si>
    <t>03/27/1943</t>
  </si>
  <si>
    <t>01/31/1950</t>
  </si>
  <si>
    <t>05/31/1990</t>
  </si>
  <si>
    <t>09/13/1956</t>
  </si>
  <si>
    <t>02/16/1941</t>
  </si>
  <si>
    <t>11/08/1942</t>
  </si>
  <si>
    <t>10/01/1989</t>
  </si>
  <si>
    <t>04/23/1945</t>
  </si>
  <si>
    <t>03/12/1982</t>
  </si>
  <si>
    <t>10/13/1949</t>
  </si>
  <si>
    <t>07/01/1952</t>
  </si>
  <si>
    <t>03/24/1950</t>
  </si>
  <si>
    <t>05/13/2000</t>
  </si>
  <si>
    <t>04/27/1971</t>
  </si>
  <si>
    <t>08/30/1941</t>
  </si>
  <si>
    <t>02/17/1968</t>
  </si>
  <si>
    <t>08/27/1979</t>
  </si>
  <si>
    <t>05/23/1948</t>
  </si>
  <si>
    <t>08/14/1996</t>
  </si>
  <si>
    <t>03/07/1961</t>
  </si>
  <si>
    <t>08/20/1959</t>
  </si>
  <si>
    <t>08/30/1947</t>
  </si>
  <si>
    <t>10/27/1955</t>
  </si>
  <si>
    <t>01/08/1958</t>
  </si>
  <si>
    <t>03/23/1992</t>
  </si>
  <si>
    <t>08/30/1967</t>
  </si>
  <si>
    <t>07/02/1966</t>
  </si>
  <si>
    <t>06/21/1954</t>
  </si>
  <si>
    <t>08/21/1953</t>
  </si>
  <si>
    <t>10/31/1967</t>
  </si>
  <si>
    <t>10/25/1977</t>
  </si>
  <si>
    <t>10/30/1992</t>
  </si>
  <si>
    <t>08/02/1973</t>
  </si>
  <si>
    <t>05/12/1962</t>
  </si>
  <si>
    <t>03/27/1949</t>
  </si>
  <si>
    <t>08/26/1964</t>
  </si>
  <si>
    <t>07/24/1977</t>
  </si>
  <si>
    <t>10/04/1964</t>
  </si>
  <si>
    <t>09/13/1963</t>
  </si>
  <si>
    <t>10/29/1933</t>
  </si>
  <si>
    <t>08/17/1952</t>
  </si>
  <si>
    <t>08/26/1963</t>
  </si>
  <si>
    <t>02/23/1980</t>
  </si>
  <si>
    <t>03/02/1956</t>
  </si>
  <si>
    <t>02/05/1972</t>
  </si>
  <si>
    <t>01/05/1955</t>
  </si>
  <si>
    <t>02/16/1960</t>
  </si>
  <si>
    <t>01/17/1966</t>
  </si>
  <si>
    <t>07/14/1974</t>
  </si>
  <si>
    <t>07/23/1952</t>
  </si>
  <si>
    <t>06/05/1983</t>
  </si>
  <si>
    <t>03/30/1969</t>
  </si>
  <si>
    <t>07/06/1978</t>
  </si>
  <si>
    <t>05/17/1989</t>
  </si>
  <si>
    <t>09/16/1982</t>
  </si>
  <si>
    <t>12/30/1944</t>
  </si>
  <si>
    <t>11/17/1998</t>
  </si>
  <si>
    <t>10/15/1982</t>
  </si>
  <si>
    <t>11/07/1964</t>
  </si>
  <si>
    <t>04/27/1985</t>
  </si>
  <si>
    <t>03/11/1977</t>
  </si>
  <si>
    <t>02/08/1978</t>
  </si>
  <si>
    <t>05/16/1954</t>
  </si>
  <si>
    <t>06/23/1960</t>
  </si>
  <si>
    <t>07/28/1983</t>
  </si>
  <si>
    <t>06/15/1993</t>
  </si>
  <si>
    <t>09/12/1975</t>
  </si>
  <si>
    <t>10/26/1979</t>
  </si>
  <si>
    <t>06/12/1976</t>
  </si>
  <si>
    <t>11/20/1961</t>
  </si>
  <si>
    <t>09/27/1995</t>
  </si>
  <si>
    <t>01/26/1974</t>
  </si>
  <si>
    <t>07/27/1959</t>
  </si>
  <si>
    <t>09/03/1984</t>
  </si>
  <si>
    <t>02/13/1985</t>
  </si>
  <si>
    <t>11/15/1989</t>
  </si>
  <si>
    <t>02/07/1978</t>
  </si>
  <si>
    <t>04/06/1998</t>
  </si>
  <si>
    <t>05/24/1975</t>
  </si>
  <si>
    <t>10/17/1987</t>
  </si>
  <si>
    <t>12/14/1984</t>
  </si>
  <si>
    <t>05/25/1992</t>
  </si>
  <si>
    <t>02/11/1982</t>
  </si>
  <si>
    <t>09/16/1981</t>
  </si>
  <si>
    <t>04/10/1982</t>
  </si>
  <si>
    <t>10/07/1979</t>
  </si>
  <si>
    <t>06/04/1965</t>
  </si>
  <si>
    <t>06/01/1960</t>
  </si>
  <si>
    <t>01/20/1962</t>
  </si>
  <si>
    <t>11/21/1989</t>
  </si>
  <si>
    <t>03/02/1982</t>
  </si>
  <si>
    <t>04/28/1950</t>
  </si>
  <si>
    <t>01/27/1982</t>
  </si>
  <si>
    <t>10/27/1998</t>
  </si>
  <si>
    <t>10/01/1958</t>
  </si>
  <si>
    <t>06/30/1974</t>
  </si>
  <si>
    <t>09/20/1965</t>
  </si>
  <si>
    <t>02/22/1958</t>
  </si>
  <si>
    <t>10/26/1942</t>
  </si>
  <si>
    <t>03/16/1989</t>
  </si>
  <si>
    <t>08/24/1983</t>
  </si>
  <si>
    <t>04/18/1994</t>
  </si>
  <si>
    <t>02/18/1984</t>
  </si>
  <si>
    <t>02/24/1954</t>
  </si>
  <si>
    <t>10/27/1943</t>
  </si>
  <si>
    <t>12/15/1984</t>
  </si>
  <si>
    <t>11/11/1980</t>
  </si>
  <si>
    <t>08/28/1984</t>
  </si>
  <si>
    <t>11/23/1982</t>
  </si>
  <si>
    <t>09/30/1987</t>
  </si>
  <si>
    <t>06/07/1965</t>
  </si>
  <si>
    <t>11/13/1968</t>
  </si>
  <si>
    <t>12/23/1979</t>
  </si>
  <si>
    <t>06/21/1980</t>
  </si>
  <si>
    <t>10/16/1973</t>
  </si>
  <si>
    <t>10/14/1968</t>
  </si>
  <si>
    <t>08/21/1961</t>
  </si>
  <si>
    <t>09/22/1992</t>
  </si>
  <si>
    <t>05/28/1976</t>
  </si>
  <si>
    <t>04/04/1971</t>
  </si>
  <si>
    <t>03/21/1968</t>
  </si>
  <si>
    <t>09/28/1954</t>
  </si>
  <si>
    <t>10/31/1958</t>
  </si>
  <si>
    <t>08/02/1997</t>
  </si>
  <si>
    <t>06/29/1947</t>
  </si>
  <si>
    <t>11/23/1965</t>
  </si>
  <si>
    <t>03/09/1973</t>
  </si>
  <si>
    <t>01/06/1978</t>
  </si>
  <si>
    <t>11/05/1975</t>
  </si>
  <si>
    <t>08/31/1972</t>
  </si>
  <si>
    <t>12/09/1966</t>
  </si>
  <si>
    <t>10/24/1989</t>
  </si>
  <si>
    <t>07/02/1932</t>
  </si>
  <si>
    <t>03/19/1986</t>
  </si>
  <si>
    <t>01/23/1989</t>
  </si>
  <si>
    <t>09/24/1957</t>
  </si>
  <si>
    <t>10/14/1958</t>
  </si>
  <si>
    <t>11/28/1961</t>
  </si>
  <si>
    <t>04/04/1964</t>
  </si>
  <si>
    <t>12/13/1954</t>
  </si>
  <si>
    <t>02/26/1995</t>
  </si>
  <si>
    <t>06/20/1970</t>
  </si>
  <si>
    <t>03/23/1989</t>
  </si>
  <si>
    <t>11/17/1992</t>
  </si>
  <si>
    <t>06/03/1991</t>
  </si>
  <si>
    <t>06/22/1991</t>
  </si>
  <si>
    <t>04/26/1956</t>
  </si>
  <si>
    <t>11/21/1993</t>
  </si>
  <si>
    <t>01/27/1978</t>
  </si>
  <si>
    <t>05/03/1967</t>
  </si>
  <si>
    <t>11/22/1953</t>
  </si>
  <si>
    <t>05/31/1968</t>
  </si>
  <si>
    <t>06/09/1969</t>
  </si>
  <si>
    <t>07/12/1966</t>
  </si>
  <si>
    <t>09/09/1987</t>
  </si>
  <si>
    <t>05/06/1986</t>
  </si>
  <si>
    <t>12/18/1959</t>
  </si>
  <si>
    <t>12/06/1994</t>
  </si>
  <si>
    <t>05/22/1974</t>
  </si>
  <si>
    <t>09/12/1965</t>
  </si>
  <si>
    <t>04/19/1971</t>
  </si>
  <si>
    <t>05/12/1979</t>
  </si>
  <si>
    <t>07/10/1974</t>
  </si>
  <si>
    <t>10/02/1958</t>
  </si>
  <si>
    <t>09/07/1971</t>
  </si>
  <si>
    <t>07/19/1973</t>
  </si>
  <si>
    <t>03/12/1960</t>
  </si>
  <si>
    <t>03/02/1969</t>
  </si>
  <si>
    <t>03/29/1968</t>
  </si>
  <si>
    <t>08/27/1945</t>
  </si>
  <si>
    <t>06/15/1972</t>
  </si>
  <si>
    <t>07/09/1969</t>
  </si>
  <si>
    <t>04/05/1986</t>
  </si>
  <si>
    <t>10/07/1958</t>
  </si>
  <si>
    <t>09/20/1976</t>
  </si>
  <si>
    <t>10/19/1983</t>
  </si>
  <si>
    <t>11/09/1989</t>
  </si>
  <si>
    <t>02/17/1980</t>
  </si>
  <si>
    <t>03/04/1986</t>
  </si>
  <si>
    <t>08/29/1975</t>
  </si>
  <si>
    <t>12/08/1959</t>
  </si>
  <si>
    <t>05/29/1952</t>
  </si>
  <si>
    <t>03/04/1954</t>
  </si>
  <si>
    <t>06/15/1985</t>
  </si>
  <si>
    <t>11/25/1980</t>
  </si>
  <si>
    <t>04/18/1961</t>
  </si>
  <si>
    <t>05/08/1944</t>
  </si>
  <si>
    <t>09/27/1985</t>
  </si>
  <si>
    <t>09/28/1979</t>
  </si>
  <si>
    <t>06/19/1969</t>
  </si>
  <si>
    <t>03/09/1967</t>
  </si>
  <si>
    <t>12/24/1974</t>
  </si>
  <si>
    <t>03/21/1949</t>
  </si>
  <si>
    <t>12/04/1978</t>
  </si>
  <si>
    <t>01/22/1982</t>
  </si>
  <si>
    <t>02/10/1966</t>
  </si>
  <si>
    <t>06/26/1958</t>
  </si>
  <si>
    <t>02/07/1976</t>
  </si>
  <si>
    <t>09/20/1967</t>
  </si>
  <si>
    <t>08/02/1985</t>
  </si>
  <si>
    <t>07/29/1992</t>
  </si>
  <si>
    <t>08/04/1952</t>
  </si>
  <si>
    <t>09/25/1978</t>
  </si>
  <si>
    <t>04/27/1972</t>
  </si>
  <si>
    <t>03/23/1965</t>
  </si>
  <si>
    <t>12/05/1970</t>
  </si>
  <si>
    <t>09/28/1962</t>
  </si>
  <si>
    <t>10/09/1978</t>
  </si>
  <si>
    <t>07/22/1963</t>
  </si>
  <si>
    <t>03/30/1993</t>
  </si>
  <si>
    <t>07/13/1992</t>
  </si>
  <si>
    <t>08/02/1974</t>
  </si>
  <si>
    <t>04/18/1982</t>
  </si>
  <si>
    <t>02/17/1959</t>
  </si>
  <si>
    <t>10/27/1973</t>
  </si>
  <si>
    <t>07/07/1956</t>
  </si>
  <si>
    <t>03/13/1996</t>
  </si>
  <si>
    <t>11/06/1983</t>
  </si>
  <si>
    <t>06/11/1979</t>
  </si>
  <si>
    <t>01/11/1976</t>
  </si>
  <si>
    <t>03/04/1979</t>
  </si>
  <si>
    <t>03/23/1957</t>
  </si>
  <si>
    <t>07/03/1980</t>
  </si>
  <si>
    <t>04/21/1992</t>
  </si>
  <si>
    <t>03/14/1970</t>
  </si>
  <si>
    <t>02/17/1957</t>
  </si>
  <si>
    <t>01/19/1957</t>
  </si>
  <si>
    <t>12/21/1987</t>
  </si>
  <si>
    <t>01/08/1984</t>
  </si>
  <si>
    <t>07/21/1960</t>
  </si>
  <si>
    <t>01/27/1980</t>
  </si>
  <si>
    <t>06/21/1987</t>
  </si>
  <si>
    <t>12/26/1976</t>
  </si>
  <si>
    <t>02/18/1994</t>
  </si>
  <si>
    <t>06/30/1989</t>
  </si>
  <si>
    <t>06/23/1987</t>
  </si>
  <si>
    <t>05/05/1968</t>
  </si>
  <si>
    <t>09/06/1987</t>
  </si>
  <si>
    <t>09/02/1987</t>
  </si>
  <si>
    <t>08/24/1968</t>
  </si>
  <si>
    <t>05/06/1982</t>
  </si>
  <si>
    <t>05/30/1988</t>
  </si>
  <si>
    <t>07/26/1970</t>
  </si>
  <si>
    <t>01/13/1987</t>
  </si>
  <si>
    <t>05/02/1985</t>
  </si>
  <si>
    <t>10/23/1976</t>
  </si>
  <si>
    <t>07/22/1992</t>
  </si>
  <si>
    <t>08/21/1987</t>
  </si>
  <si>
    <t>07/27/1980</t>
  </si>
  <si>
    <t>11/07/1959</t>
  </si>
  <si>
    <t>05/16/1993</t>
  </si>
  <si>
    <t>09/02/1984</t>
  </si>
  <si>
    <t>10/19/1996</t>
  </si>
  <si>
    <t>04/28/1989</t>
  </si>
  <si>
    <t>08/26/1947</t>
  </si>
  <si>
    <t>08/31/1988</t>
  </si>
  <si>
    <t>07/12/1987</t>
  </si>
  <si>
    <t>04/08/1971</t>
  </si>
  <si>
    <t>07/14/1982</t>
  </si>
  <si>
    <t>03/12/1993</t>
  </si>
  <si>
    <t>07/02/1991</t>
  </si>
  <si>
    <t>12/05/1987</t>
  </si>
  <si>
    <t>01/18/1995</t>
  </si>
  <si>
    <t>08/30/1962</t>
  </si>
  <si>
    <t>01/15/1977</t>
  </si>
  <si>
    <t>01/29/1982</t>
  </si>
  <si>
    <t>02/16/1999</t>
  </si>
  <si>
    <t>03/13/1969</t>
  </si>
  <si>
    <t>06/07/1985</t>
  </si>
  <si>
    <t>07/03/1984</t>
  </si>
  <si>
    <t>04/22/1979</t>
  </si>
  <si>
    <t>03/07/1951</t>
  </si>
  <si>
    <t>12/12/1951</t>
  </si>
  <si>
    <t>11/25/1953</t>
  </si>
  <si>
    <t>03/15/1966</t>
  </si>
  <si>
    <t>03/24/1963</t>
  </si>
  <si>
    <t>09/15/1970</t>
  </si>
  <si>
    <t>01/15/1949</t>
  </si>
  <si>
    <t>11/15/1981</t>
  </si>
  <si>
    <t>09/08/1984</t>
  </si>
  <si>
    <t>04/22/1975</t>
  </si>
  <si>
    <t>07/12/1971</t>
  </si>
  <si>
    <t>01/02/1963</t>
  </si>
  <si>
    <t>06/04/1992</t>
  </si>
  <si>
    <t>10/10/1953</t>
  </si>
  <si>
    <t>02/22/1983</t>
  </si>
  <si>
    <t>05/24/1979</t>
  </si>
  <si>
    <t>09/13/1968</t>
  </si>
  <si>
    <t>11/04/1974</t>
  </si>
  <si>
    <t>06/30/1950</t>
  </si>
  <si>
    <t>01/01/1977</t>
  </si>
  <si>
    <t>09/14/1961</t>
  </si>
  <si>
    <t>03/17/1969</t>
  </si>
  <si>
    <t>03/31/1950</t>
  </si>
  <si>
    <t>02/23/1945</t>
  </si>
  <si>
    <t>01/06/1955</t>
  </si>
  <si>
    <t>06/25/1961</t>
  </si>
  <si>
    <t>05/29/1968</t>
  </si>
  <si>
    <t>12/18/1957</t>
  </si>
  <si>
    <t>06/01/1962</t>
  </si>
  <si>
    <t>07/30/1941</t>
  </si>
  <si>
    <t>12/12/1956</t>
  </si>
  <si>
    <t>09/27/1989</t>
  </si>
  <si>
    <t>09/25/1954</t>
  </si>
  <si>
    <t>03/17/1998</t>
  </si>
  <si>
    <t>09/15/1981</t>
  </si>
  <si>
    <t>07/03/1976</t>
  </si>
  <si>
    <t>03/26/1959</t>
  </si>
  <si>
    <t>09/19/1946</t>
  </si>
  <si>
    <t>04/25/1979</t>
  </si>
  <si>
    <t>03/31/1981</t>
  </si>
  <si>
    <t>09/01/1954</t>
  </si>
  <si>
    <t>03/01/1978</t>
  </si>
  <si>
    <t>09/08/1963</t>
  </si>
  <si>
    <t>08/19/1948</t>
  </si>
  <si>
    <t>12/31/1953</t>
  </si>
  <si>
    <t>04/23/1967</t>
  </si>
  <si>
    <t>12/07/1988</t>
  </si>
  <si>
    <t>11/26/1971</t>
  </si>
  <si>
    <t>04/07/1963</t>
  </si>
  <si>
    <t>01/19/1955</t>
  </si>
  <si>
    <t>07/31/1939</t>
  </si>
  <si>
    <t>09/03/1948</t>
  </si>
  <si>
    <t>12/22/1940</t>
  </si>
  <si>
    <t>04/18/1947</t>
  </si>
  <si>
    <t>10/31/1947</t>
  </si>
  <si>
    <t>06/29/1963</t>
  </si>
  <si>
    <t>01/01/1981</t>
  </si>
  <si>
    <t>01/01/1970</t>
  </si>
  <si>
    <t>02/16/1976</t>
  </si>
  <si>
    <t>09/11/1966</t>
  </si>
  <si>
    <t>03/23/1961</t>
  </si>
  <si>
    <t>08/01/1966</t>
  </si>
  <si>
    <t>11/12/1946</t>
  </si>
  <si>
    <t>02/16/1969</t>
  </si>
  <si>
    <t>08/15/1950</t>
  </si>
  <si>
    <t>08/11/1930</t>
  </si>
  <si>
    <t>01/01/1980</t>
  </si>
  <si>
    <t>08/02/1942</t>
  </si>
  <si>
    <t>07/07/1967</t>
  </si>
  <si>
    <t>05/17/1975</t>
  </si>
  <si>
    <t>01/10/1952</t>
  </si>
  <si>
    <t>05/28/1985</t>
  </si>
  <si>
    <t>07/04/1947</t>
  </si>
  <si>
    <t>11/21/1958</t>
  </si>
  <si>
    <t>07/09/1970</t>
  </si>
  <si>
    <t>08/19/1954</t>
  </si>
  <si>
    <t>12/15/1966</t>
  </si>
  <si>
    <t>01/25/1965</t>
  </si>
  <si>
    <t>03/16/1995</t>
  </si>
  <si>
    <t>04/18/1967</t>
  </si>
  <si>
    <t>02/25/1964</t>
  </si>
  <si>
    <t>05/16/1959</t>
  </si>
  <si>
    <t>03/26/1962</t>
  </si>
  <si>
    <t>04/19/1989</t>
  </si>
  <si>
    <t>03/09/1962</t>
  </si>
  <si>
    <t>06/29/1962</t>
  </si>
  <si>
    <t>06/30/1957</t>
  </si>
  <si>
    <t>07/13/1961</t>
  </si>
  <si>
    <t>08/20/1965</t>
  </si>
  <si>
    <t>06/25/1959</t>
  </si>
  <si>
    <t>09/09/1956</t>
  </si>
  <si>
    <t>05/05/1993</t>
  </si>
  <si>
    <t>01/19/1964</t>
  </si>
  <si>
    <t>09/06/1944</t>
  </si>
  <si>
    <t>07/01/1982</t>
  </si>
  <si>
    <t>10/26/1961</t>
  </si>
  <si>
    <t>11/09/1969</t>
  </si>
  <si>
    <t>12/23/1970</t>
  </si>
  <si>
    <t>10/01/1940</t>
  </si>
  <si>
    <t>05/10/1978</t>
  </si>
  <si>
    <t>09/13/1972</t>
  </si>
  <si>
    <t>09/28/1983</t>
  </si>
  <si>
    <t>03/30/1951</t>
  </si>
  <si>
    <t>10/20/1967</t>
  </si>
  <si>
    <t>07/07/1935</t>
  </si>
  <si>
    <t>09/25/1948</t>
  </si>
  <si>
    <t>07/23/1933</t>
  </si>
  <si>
    <t>11/15/1968</t>
  </si>
  <si>
    <t>05/13/1951</t>
  </si>
  <si>
    <t>03/10/1958</t>
  </si>
  <si>
    <t>06/17/1939</t>
  </si>
  <si>
    <t>10/09/1949</t>
  </si>
  <si>
    <t>08/04/1950</t>
  </si>
  <si>
    <t>09/24/1949</t>
  </si>
  <si>
    <t>12/21/1949</t>
  </si>
  <si>
    <t>02/11/1950</t>
  </si>
  <si>
    <t>02/01/1984</t>
  </si>
  <si>
    <t>07/29/1958</t>
  </si>
  <si>
    <t>09/21/1944</t>
  </si>
  <si>
    <t>11/11/1952</t>
  </si>
  <si>
    <t>03/06/1938</t>
  </si>
  <si>
    <t>01/19/1951</t>
  </si>
  <si>
    <t>07/04/1965</t>
  </si>
  <si>
    <t>05/13/1957</t>
  </si>
  <si>
    <t>08/01/1926</t>
  </si>
  <si>
    <t>09/23/1982</t>
  </si>
  <si>
    <t>10/31/1992</t>
  </si>
  <si>
    <t>11/26/1954</t>
  </si>
  <si>
    <t>12/07/1947</t>
  </si>
  <si>
    <t>04/10/1954</t>
  </si>
  <si>
    <t>04/07/1973</t>
  </si>
  <si>
    <t>04/07/1977</t>
  </si>
  <si>
    <t>05/25/1948</t>
  </si>
  <si>
    <t>11/08/1965</t>
  </si>
  <si>
    <t>04/04/1972</t>
  </si>
  <si>
    <t>08/08/1931</t>
  </si>
  <si>
    <t>04/29/1944</t>
  </si>
  <si>
    <t>07/23/1963</t>
  </si>
  <si>
    <t>09/11/1957</t>
  </si>
  <si>
    <t>04/07/1981</t>
  </si>
  <si>
    <t>07/29/1956</t>
  </si>
  <si>
    <t>10/22/1983</t>
  </si>
  <si>
    <t>10/21/1969</t>
  </si>
  <si>
    <t>08/29/1981</t>
  </si>
  <si>
    <t>12/29/1929</t>
  </si>
  <si>
    <t>09/26/1956</t>
  </si>
  <si>
    <t>04/04/1960</t>
  </si>
  <si>
    <t>02/09/1959</t>
  </si>
  <si>
    <t>10/22/1941</t>
  </si>
  <si>
    <t>10/13/1966</t>
  </si>
  <si>
    <t>02/23/1944</t>
  </si>
  <si>
    <t>08/12/1962</t>
  </si>
  <si>
    <t>10/08/1989</t>
  </si>
  <si>
    <t>04/13/1958</t>
  </si>
  <si>
    <t>12/13/1974</t>
  </si>
  <si>
    <t>12/24/1996</t>
  </si>
  <si>
    <t>11/27/1971</t>
  </si>
  <si>
    <t>08/31/1946</t>
  </si>
  <si>
    <t>02/25/1956</t>
  </si>
  <si>
    <t>03/26/1976</t>
  </si>
  <si>
    <t>08/01/1988</t>
  </si>
  <si>
    <t>10/31/1961</t>
  </si>
  <si>
    <t>11/01/1963</t>
  </si>
  <si>
    <t>08/25/1968</t>
  </si>
  <si>
    <t>03/16/1971</t>
  </si>
  <si>
    <t>12/05/1986</t>
  </si>
  <si>
    <t>07/18/1961</t>
  </si>
  <si>
    <t>09/22/1947</t>
  </si>
  <si>
    <t>01/01/1966</t>
  </si>
  <si>
    <t>12/30/1970</t>
  </si>
  <si>
    <t>01/20/1979</t>
  </si>
  <si>
    <t>07/11/1995</t>
  </si>
  <si>
    <t>05/25/1935</t>
  </si>
  <si>
    <t>11/23/1980</t>
  </si>
  <si>
    <t>01/25/1943</t>
  </si>
  <si>
    <t>10/09/1958</t>
  </si>
  <si>
    <t>03/04/1964</t>
  </si>
  <si>
    <t>06/09/1960</t>
  </si>
  <si>
    <t>02/12/1972</t>
  </si>
  <si>
    <t>05/02/1971</t>
  </si>
  <si>
    <t>12/10/1988</t>
  </si>
  <si>
    <t>04/13/1964</t>
  </si>
  <si>
    <t>08/28/1981</t>
  </si>
  <si>
    <t>10/24/1971</t>
  </si>
  <si>
    <t>11/12/1969</t>
  </si>
  <si>
    <t>01/15/1961</t>
  </si>
  <si>
    <t>11/29/1971</t>
  </si>
  <si>
    <t>01/03/1974</t>
  </si>
  <si>
    <t>12/01/1968</t>
  </si>
  <si>
    <t>08/03/1974</t>
  </si>
  <si>
    <t>08/28/1955</t>
  </si>
  <si>
    <t>11/24/1968</t>
  </si>
  <si>
    <t>08/31/1962</t>
  </si>
  <si>
    <t>09/01/1973</t>
  </si>
  <si>
    <t>07/26/1985</t>
  </si>
  <si>
    <t>12/07/1973</t>
  </si>
  <si>
    <t>04/19/1988</t>
  </si>
  <si>
    <t>11/23/1940</t>
  </si>
  <si>
    <t>02/15/1940</t>
  </si>
  <si>
    <t>06/06/1952</t>
  </si>
  <si>
    <t>06/20/1953</t>
  </si>
  <si>
    <t>03/06/1999</t>
  </si>
  <si>
    <t>06/12/1963</t>
  </si>
  <si>
    <t>10/25/1960</t>
  </si>
  <si>
    <t>07/03/1971</t>
  </si>
  <si>
    <t>09/22/1968</t>
  </si>
  <si>
    <t>06/20/1978</t>
  </si>
  <si>
    <t>02/18/1959</t>
  </si>
  <si>
    <t>005506277C</t>
  </si>
  <si>
    <t>013516324E</t>
  </si>
  <si>
    <t>003936940A</t>
  </si>
  <si>
    <t>12917712H</t>
  </si>
  <si>
    <t>00000804873 I</t>
  </si>
  <si>
    <t>UR 20162T</t>
  </si>
  <si>
    <t>007277807J</t>
  </si>
  <si>
    <t>004178413D</t>
  </si>
  <si>
    <t>Not available</t>
  </si>
  <si>
    <t>019784290J</t>
  </si>
  <si>
    <t>7177406B</t>
  </si>
  <si>
    <t>037491855F</t>
  </si>
  <si>
    <t>00014709603G</t>
  </si>
  <si>
    <t>018155124D</t>
  </si>
  <si>
    <t>00009048875A</t>
  </si>
  <si>
    <t>37713934A</t>
  </si>
  <si>
    <t>000-00-0000</t>
  </si>
  <si>
    <t>037432131D</t>
  </si>
  <si>
    <t>004012787A</t>
  </si>
  <si>
    <t>01107751H</t>
  </si>
  <si>
    <t>006976669J</t>
  </si>
  <si>
    <t>004791837A</t>
  </si>
  <si>
    <t>1828728E</t>
  </si>
  <si>
    <t>zk82756v</t>
  </si>
  <si>
    <t>009912518J</t>
  </si>
  <si>
    <t>2822854-C</t>
  </si>
  <si>
    <t>not available</t>
  </si>
  <si>
    <t>036754541F</t>
  </si>
  <si>
    <t>035624995D</t>
  </si>
  <si>
    <t>017596088J</t>
  </si>
  <si>
    <t>006427687G</t>
  </si>
  <si>
    <t>006100617H</t>
  </si>
  <si>
    <t>zz71239p</t>
  </si>
  <si>
    <t>014709603G</t>
  </si>
  <si>
    <t>008958635I</t>
  </si>
  <si>
    <t>36932590H</t>
  </si>
  <si>
    <t>010337152C</t>
  </si>
  <si>
    <t>037695307B</t>
  </si>
  <si>
    <t>004184233H</t>
  </si>
  <si>
    <t>017673880F</t>
  </si>
  <si>
    <t>021738973C</t>
  </si>
  <si>
    <t>004066119B</t>
  </si>
  <si>
    <t>00015062587J</t>
  </si>
  <si>
    <t>2171609HCL</t>
  </si>
  <si>
    <t>N/a</t>
  </si>
  <si>
    <t>4179881-1</t>
  </si>
  <si>
    <t>8763156A</t>
  </si>
  <si>
    <t>8635595-F</t>
  </si>
  <si>
    <t>2915811A</t>
  </si>
  <si>
    <t>035533846I</t>
  </si>
  <si>
    <t>00036824950E</t>
  </si>
  <si>
    <t>00015274875C</t>
  </si>
  <si>
    <t>Not Available</t>
  </si>
  <si>
    <t>client to provide</t>
  </si>
  <si>
    <t>037286479D</t>
  </si>
  <si>
    <t>033636956G</t>
  </si>
  <si>
    <t>037084027E</t>
  </si>
  <si>
    <t>002490638A</t>
  </si>
  <si>
    <t>018333465F</t>
  </si>
  <si>
    <t>274168E</t>
  </si>
  <si>
    <t>034725982C</t>
  </si>
  <si>
    <t>036982304C</t>
  </si>
  <si>
    <t>37572302A</t>
  </si>
  <si>
    <t>014236837C</t>
  </si>
  <si>
    <t>005423328D</t>
  </si>
  <si>
    <t>008414814H</t>
  </si>
  <si>
    <t>03645232E</t>
  </si>
  <si>
    <t>023267533A</t>
  </si>
  <si>
    <t>012975213F</t>
  </si>
  <si>
    <t>035358990G</t>
  </si>
  <si>
    <t>010018822G</t>
  </si>
  <si>
    <t>00033547058J</t>
  </si>
  <si>
    <t>005566824I</t>
  </si>
  <si>
    <t>9833470-1</t>
  </si>
  <si>
    <t>010750702C</t>
  </si>
  <si>
    <t>006110973C</t>
  </si>
  <si>
    <t>37627759G</t>
  </si>
  <si>
    <t>037358662H</t>
  </si>
  <si>
    <t>00011517556E</t>
  </si>
  <si>
    <t>31984172C</t>
  </si>
  <si>
    <t>015114542C</t>
  </si>
  <si>
    <t>03078172H</t>
  </si>
  <si>
    <t>006265154C</t>
  </si>
  <si>
    <t>018865918J</t>
  </si>
  <si>
    <t>037048355E</t>
  </si>
  <si>
    <t>Unavailable</t>
  </si>
  <si>
    <t>038095875B</t>
  </si>
  <si>
    <t>036812101 I</t>
  </si>
  <si>
    <t>WV95484M</t>
  </si>
  <si>
    <t>014629800F</t>
  </si>
  <si>
    <t>unknown</t>
  </si>
  <si>
    <t>004483522B</t>
  </si>
  <si>
    <t>13033987C</t>
  </si>
  <si>
    <t>034949626F</t>
  </si>
  <si>
    <t>016751661G</t>
  </si>
  <si>
    <t>033147318B</t>
  </si>
  <si>
    <t>018288893D</t>
  </si>
  <si>
    <t>014803813G</t>
  </si>
  <si>
    <t>034316424A</t>
  </si>
  <si>
    <t>000745939J</t>
  </si>
  <si>
    <t>12318083I</t>
  </si>
  <si>
    <t>002316582C</t>
  </si>
  <si>
    <t>015048581B</t>
  </si>
  <si>
    <t>4647469-1</t>
  </si>
  <si>
    <t>9279334I</t>
  </si>
  <si>
    <t>032322299c</t>
  </si>
  <si>
    <t>037606280I</t>
  </si>
  <si>
    <t>unavailable</t>
  </si>
  <si>
    <t>002260959I</t>
  </si>
  <si>
    <t>not avail</t>
  </si>
  <si>
    <t>018800816D</t>
  </si>
  <si>
    <t>1448589 A</t>
  </si>
  <si>
    <t>9382022D</t>
  </si>
  <si>
    <t>3780864J</t>
  </si>
  <si>
    <t>9230562C-01</t>
  </si>
  <si>
    <t>002920803A</t>
  </si>
  <si>
    <t>WX87371X</t>
  </si>
  <si>
    <t>Needs to provide</t>
  </si>
  <si>
    <t>037678479J</t>
  </si>
  <si>
    <t>011104302C</t>
  </si>
  <si>
    <t>00037671577H</t>
  </si>
  <si>
    <t>ZA4663T</t>
  </si>
  <si>
    <t>005748535B</t>
  </si>
  <si>
    <t>012518875F</t>
  </si>
  <si>
    <t>16241685D</t>
  </si>
  <si>
    <t>wv9548m</t>
  </si>
  <si>
    <t>006139334 E</t>
  </si>
  <si>
    <t>000530379H</t>
  </si>
  <si>
    <t>1018097E</t>
  </si>
  <si>
    <t>2514538E</t>
  </si>
  <si>
    <t>10802715C</t>
  </si>
  <si>
    <t>013600048G</t>
  </si>
  <si>
    <t>017669929G</t>
  </si>
  <si>
    <t>03756543438B</t>
  </si>
  <si>
    <t>000-000-000</t>
  </si>
  <si>
    <t>006694699H</t>
  </si>
  <si>
    <t>000245902C</t>
  </si>
  <si>
    <t>3662295-9</t>
  </si>
  <si>
    <t>003040946A</t>
  </si>
  <si>
    <t>00030223547I</t>
  </si>
  <si>
    <t>will provide</t>
  </si>
  <si>
    <t>04210731L</t>
  </si>
  <si>
    <t>00037951793B</t>
  </si>
  <si>
    <t>008584520E</t>
  </si>
  <si>
    <t>030151124C</t>
  </si>
  <si>
    <t>009933940A</t>
  </si>
  <si>
    <t>007260213J</t>
  </si>
  <si>
    <t>5940670 C</t>
  </si>
  <si>
    <t>33358956O</t>
  </si>
  <si>
    <t>ZE69278W</t>
  </si>
  <si>
    <t>037692112I</t>
  </si>
  <si>
    <t>031208404J</t>
  </si>
  <si>
    <t>009671184B</t>
  </si>
  <si>
    <t>006453771F</t>
  </si>
  <si>
    <t>011791673E</t>
  </si>
  <si>
    <t>00030081131C</t>
  </si>
  <si>
    <t>013278371D</t>
  </si>
  <si>
    <t>13278371D</t>
  </si>
  <si>
    <t>017968660F</t>
  </si>
  <si>
    <t>000339447F</t>
  </si>
  <si>
    <t>2035808B</t>
  </si>
  <si>
    <t>00005967951e</t>
  </si>
  <si>
    <t>YZ81039K</t>
  </si>
  <si>
    <t>005253079H</t>
  </si>
  <si>
    <t>00018605497J</t>
  </si>
  <si>
    <t>037240487B</t>
  </si>
  <si>
    <t>UC08287E</t>
  </si>
  <si>
    <t>016328034A</t>
  </si>
  <si>
    <t>0033031882F</t>
  </si>
  <si>
    <t>ZW14289G</t>
  </si>
  <si>
    <t>014412671B</t>
  </si>
  <si>
    <t>0374077774B</t>
  </si>
  <si>
    <t>018026914E</t>
  </si>
  <si>
    <t>35445582G</t>
  </si>
  <si>
    <t>008290651C</t>
  </si>
  <si>
    <t>008405381I</t>
  </si>
  <si>
    <t>00037751899 I</t>
  </si>
  <si>
    <t>004256545H</t>
  </si>
  <si>
    <t>4034579F</t>
  </si>
  <si>
    <t>000992875F</t>
  </si>
  <si>
    <t>004812859J</t>
  </si>
  <si>
    <t>Y0252OT</t>
  </si>
  <si>
    <t>009183291F</t>
  </si>
  <si>
    <t>009737098F</t>
  </si>
  <si>
    <t>37130634B</t>
  </si>
  <si>
    <t>006794591F</t>
  </si>
  <si>
    <t>No available</t>
  </si>
  <si>
    <t>008730631C</t>
  </si>
  <si>
    <t>000000547a</t>
  </si>
  <si>
    <t>002820892E</t>
  </si>
  <si>
    <t>037007181D</t>
  </si>
  <si>
    <t>037296728B</t>
  </si>
  <si>
    <t>000886630D</t>
  </si>
  <si>
    <t>013534309D</t>
  </si>
  <si>
    <t>017609918C</t>
  </si>
  <si>
    <t>0718705941F</t>
  </si>
  <si>
    <t>010495382D</t>
  </si>
  <si>
    <t>018643399B</t>
  </si>
  <si>
    <t>37697680J</t>
  </si>
  <si>
    <t>036820856H</t>
  </si>
  <si>
    <t>10696924J</t>
  </si>
  <si>
    <t>37403468E</t>
  </si>
  <si>
    <t>30928200C</t>
  </si>
  <si>
    <t>018543958F</t>
  </si>
  <si>
    <t>011532386H</t>
  </si>
  <si>
    <t>010085519G</t>
  </si>
  <si>
    <t>01776794E</t>
  </si>
  <si>
    <t>016568806A</t>
  </si>
  <si>
    <t>018582758B</t>
  </si>
  <si>
    <t>037600843J</t>
  </si>
  <si>
    <t>030650784J</t>
  </si>
  <si>
    <t>037701214B</t>
  </si>
  <si>
    <t>001997232C</t>
  </si>
  <si>
    <t>00971715B</t>
  </si>
  <si>
    <t>004532153G</t>
  </si>
  <si>
    <t>013465250C</t>
  </si>
  <si>
    <t>000986312H</t>
  </si>
  <si>
    <t>15369633B</t>
  </si>
  <si>
    <t>018758470B</t>
  </si>
  <si>
    <t>007392142B</t>
  </si>
  <si>
    <t>037646425B</t>
  </si>
  <si>
    <t>000021795A</t>
  </si>
  <si>
    <t>034925111G</t>
  </si>
  <si>
    <t>013187524H</t>
  </si>
  <si>
    <t>008367593E</t>
  </si>
  <si>
    <t>03816246H</t>
  </si>
  <si>
    <t>018723355G</t>
  </si>
  <si>
    <t>010655080J</t>
  </si>
  <si>
    <t>008054349J</t>
  </si>
  <si>
    <t>Currently None</t>
  </si>
  <si>
    <t>006562046A</t>
  </si>
  <si>
    <t>035415904i</t>
  </si>
  <si>
    <t>011546043I</t>
  </si>
  <si>
    <t>037760495E</t>
  </si>
  <si>
    <t>015425147E</t>
  </si>
  <si>
    <t>008501304D</t>
  </si>
  <si>
    <t>5901312I</t>
  </si>
  <si>
    <t>015836087F</t>
  </si>
  <si>
    <t>93326864-1</t>
  </si>
  <si>
    <t>018054358J</t>
  </si>
  <si>
    <t>no pa, fs, ma</t>
  </si>
  <si>
    <t>008385145B</t>
  </si>
  <si>
    <t>018236495A</t>
  </si>
  <si>
    <t>10731736-E</t>
  </si>
  <si>
    <t>015601049I</t>
  </si>
  <si>
    <t>018401147G</t>
  </si>
  <si>
    <t>34920377i</t>
  </si>
  <si>
    <t>017909948G</t>
  </si>
  <si>
    <t>004508204H</t>
  </si>
  <si>
    <t>001269522H</t>
  </si>
  <si>
    <t>002223632H</t>
  </si>
  <si>
    <t>011867825J</t>
  </si>
  <si>
    <t>03333910E</t>
  </si>
  <si>
    <t>037413416B</t>
  </si>
  <si>
    <t>008524279A</t>
  </si>
  <si>
    <t>015152958D</t>
  </si>
  <si>
    <t>000824922J</t>
  </si>
  <si>
    <t>018716818C</t>
  </si>
  <si>
    <t>037472385G</t>
  </si>
  <si>
    <t>009129051A</t>
  </si>
  <si>
    <t>037431412I</t>
  </si>
  <si>
    <t>00012472968C</t>
  </si>
  <si>
    <t>037669966G</t>
  </si>
  <si>
    <t>005118800B</t>
  </si>
  <si>
    <t>016594404C</t>
  </si>
  <si>
    <t>007379209F</t>
  </si>
  <si>
    <t>017119586A</t>
  </si>
  <si>
    <t>037615455F</t>
  </si>
  <si>
    <t>016224124E</t>
  </si>
  <si>
    <t>017915849I</t>
  </si>
  <si>
    <t>006891651J</t>
  </si>
  <si>
    <t>018690233E</t>
  </si>
  <si>
    <t>014269849H</t>
  </si>
  <si>
    <t>018955542I</t>
  </si>
  <si>
    <t>013922558F</t>
  </si>
  <si>
    <t>011136690C</t>
  </si>
  <si>
    <t>37276880E</t>
  </si>
  <si>
    <t>003045807J</t>
  </si>
  <si>
    <t>015827335J</t>
  </si>
  <si>
    <t>006964444B</t>
  </si>
  <si>
    <t>006146869A</t>
  </si>
  <si>
    <t>037697961D</t>
  </si>
  <si>
    <t>008141101J</t>
  </si>
  <si>
    <t>011301811D</t>
  </si>
  <si>
    <t>010155495E</t>
  </si>
  <si>
    <t>018351862A</t>
  </si>
  <si>
    <t>016159119D</t>
  </si>
  <si>
    <t>011491465I</t>
  </si>
  <si>
    <t>037488343H</t>
  </si>
  <si>
    <t>018546176B</t>
  </si>
  <si>
    <t>036218346J</t>
  </si>
  <si>
    <t>002474601H</t>
  </si>
  <si>
    <t>037143619H</t>
  </si>
  <si>
    <t>019022915D</t>
  </si>
  <si>
    <t>036989963I</t>
  </si>
  <si>
    <t>006152800G</t>
  </si>
  <si>
    <t>018959669F</t>
  </si>
  <si>
    <t>010303554J</t>
  </si>
  <si>
    <t>010044797I</t>
  </si>
  <si>
    <t>016670146G</t>
  </si>
  <si>
    <t>012769655H</t>
  </si>
  <si>
    <t>035300868D</t>
  </si>
  <si>
    <t>011642289A</t>
  </si>
  <si>
    <t>003711950A</t>
  </si>
  <si>
    <t>008232218B</t>
  </si>
  <si>
    <t>011364814B</t>
  </si>
  <si>
    <t>011026597C</t>
  </si>
  <si>
    <t>019484081F</t>
  </si>
  <si>
    <t>037545455A</t>
  </si>
  <si>
    <t>017437627H</t>
  </si>
  <si>
    <t>034454035G</t>
  </si>
  <si>
    <t>005160594H</t>
  </si>
  <si>
    <t>000717408J</t>
  </si>
  <si>
    <t>011972443D</t>
  </si>
  <si>
    <t>012103400D</t>
  </si>
  <si>
    <t>010721718E</t>
  </si>
  <si>
    <t>035994531I</t>
  </si>
  <si>
    <t>001455272D</t>
  </si>
  <si>
    <t>4090525J</t>
  </si>
  <si>
    <t>009017232B</t>
  </si>
  <si>
    <t>037271157C</t>
  </si>
  <si>
    <t>034008050G</t>
  </si>
  <si>
    <t>036955364J</t>
  </si>
  <si>
    <t>005565453H</t>
  </si>
  <si>
    <t>003365453H</t>
  </si>
  <si>
    <t>013532700F</t>
  </si>
  <si>
    <t>018420802D</t>
  </si>
  <si>
    <t>006874131D</t>
  </si>
  <si>
    <t>016880330C</t>
  </si>
  <si>
    <t>02653467H</t>
  </si>
  <si>
    <t>000546801C</t>
  </si>
  <si>
    <t>004699543H</t>
  </si>
  <si>
    <t>005495847F</t>
  </si>
  <si>
    <t>011468380I</t>
  </si>
  <si>
    <t>010847981H</t>
  </si>
  <si>
    <t>036850918I</t>
  </si>
  <si>
    <t>010677326A</t>
  </si>
  <si>
    <t>018542586F</t>
  </si>
  <si>
    <t>009238158B</t>
  </si>
  <si>
    <t>036852018F</t>
  </si>
  <si>
    <t>013814049G</t>
  </si>
  <si>
    <t>002178304I</t>
  </si>
  <si>
    <t>018198487D</t>
  </si>
  <si>
    <t>004802293D</t>
  </si>
  <si>
    <t>013316969I</t>
  </si>
  <si>
    <t>004600186D</t>
  </si>
  <si>
    <t>010436684E</t>
  </si>
  <si>
    <t>006138322A</t>
  </si>
  <si>
    <t>010167495A</t>
  </si>
  <si>
    <t>016362751G</t>
  </si>
  <si>
    <t>007802325G</t>
  </si>
  <si>
    <t>0190067809E</t>
  </si>
  <si>
    <t>005217525E</t>
  </si>
  <si>
    <t>017912272G</t>
  </si>
  <si>
    <t>11744187d</t>
  </si>
  <si>
    <t>001614434H</t>
  </si>
  <si>
    <t>003014809C</t>
  </si>
  <si>
    <t>037484965B</t>
  </si>
  <si>
    <t>008856616B</t>
  </si>
  <si>
    <t>018052139F</t>
  </si>
  <si>
    <t>010845342E</t>
  </si>
  <si>
    <t>011824211E</t>
  </si>
  <si>
    <t>019064361J</t>
  </si>
  <si>
    <t>004925656D</t>
  </si>
  <si>
    <t>036835696A</t>
  </si>
  <si>
    <t>00036916436D</t>
  </si>
  <si>
    <t>005358036B</t>
  </si>
  <si>
    <t>007231919H</t>
  </si>
  <si>
    <t>00018909329N</t>
  </si>
  <si>
    <t>36860564I</t>
  </si>
  <si>
    <t>00037710838G</t>
  </si>
  <si>
    <t>4089216I</t>
  </si>
  <si>
    <t>8582679A</t>
  </si>
  <si>
    <t>031775420I</t>
  </si>
  <si>
    <t>00037628114D</t>
  </si>
  <si>
    <t>032709126A</t>
  </si>
  <si>
    <t>01862562E</t>
  </si>
  <si>
    <t>008175355A</t>
  </si>
  <si>
    <t>035132898E</t>
  </si>
  <si>
    <t>016237119J</t>
  </si>
  <si>
    <t>012987679D</t>
  </si>
  <si>
    <t>37669883ED</t>
  </si>
  <si>
    <t>005603994E</t>
  </si>
  <si>
    <t>003200949A</t>
  </si>
  <si>
    <t>37732560A</t>
  </si>
  <si>
    <t>37117550G</t>
  </si>
  <si>
    <t>006188055F</t>
  </si>
  <si>
    <t>2386882J</t>
  </si>
  <si>
    <t>00037375805B</t>
  </si>
  <si>
    <t>005683733J</t>
  </si>
  <si>
    <t>033616576G</t>
  </si>
  <si>
    <t>001832257I</t>
  </si>
  <si>
    <t>012452283A</t>
  </si>
  <si>
    <t>015785711B</t>
  </si>
  <si>
    <t>00037678647B</t>
  </si>
  <si>
    <t>013434881C</t>
  </si>
  <si>
    <t>001321835J</t>
  </si>
  <si>
    <t>035334200J</t>
  </si>
  <si>
    <t>037109601H</t>
  </si>
  <si>
    <t>008226335B</t>
  </si>
  <si>
    <t>018227168E</t>
  </si>
  <si>
    <t>37350582F</t>
  </si>
  <si>
    <t>010363123A</t>
  </si>
  <si>
    <t>002584409D</t>
  </si>
  <si>
    <t>003165033G</t>
  </si>
  <si>
    <t>003597614B</t>
  </si>
  <si>
    <t>007814302B</t>
  </si>
  <si>
    <t>009772198J</t>
  </si>
  <si>
    <t>008425584D</t>
  </si>
  <si>
    <t>037522707B</t>
  </si>
  <si>
    <t>036696279D</t>
  </si>
  <si>
    <t>018948341F</t>
  </si>
  <si>
    <t>000298543A</t>
  </si>
  <si>
    <t>016214590I</t>
  </si>
  <si>
    <t>016779625J</t>
  </si>
  <si>
    <t>03775747E</t>
  </si>
  <si>
    <t>018745964J</t>
  </si>
  <si>
    <t>03777239H</t>
  </si>
  <si>
    <t>010210587B</t>
  </si>
  <si>
    <t>037761239F</t>
  </si>
  <si>
    <t>03372372F</t>
  </si>
  <si>
    <t>037753048A</t>
  </si>
  <si>
    <t>37563304H</t>
  </si>
  <si>
    <t>037014256E</t>
  </si>
  <si>
    <t>006582041H</t>
  </si>
  <si>
    <t>037798231J</t>
  </si>
  <si>
    <t>010430754B</t>
  </si>
  <si>
    <t>036964897H</t>
  </si>
  <si>
    <t>005464870E</t>
  </si>
  <si>
    <t>005550356J</t>
  </si>
  <si>
    <t>037706434A</t>
  </si>
  <si>
    <t>036967915E</t>
  </si>
  <si>
    <t>038045295D</t>
  </si>
  <si>
    <t>0036968751C</t>
  </si>
  <si>
    <t>221967D</t>
  </si>
  <si>
    <t>8967948-1</t>
  </si>
  <si>
    <t>004009928F</t>
  </si>
  <si>
    <t>018380468B</t>
  </si>
  <si>
    <t>00003560981H</t>
  </si>
  <si>
    <t>011046001B</t>
  </si>
  <si>
    <t>017944374C</t>
  </si>
  <si>
    <t>00037402058E</t>
  </si>
  <si>
    <t>011943221J</t>
  </si>
  <si>
    <t>04933681B</t>
  </si>
  <si>
    <t>000281833E</t>
  </si>
  <si>
    <t>0005414339B</t>
  </si>
  <si>
    <t>011491059J</t>
  </si>
  <si>
    <t>001838722F</t>
  </si>
  <si>
    <t>016116835G</t>
  </si>
  <si>
    <t>01552167J</t>
  </si>
  <si>
    <t>032185432F</t>
  </si>
  <si>
    <t>037084809F</t>
  </si>
  <si>
    <t>00681083J</t>
  </si>
  <si>
    <t>018288231G</t>
  </si>
  <si>
    <t>009022525B</t>
  </si>
  <si>
    <t>018135352F</t>
  </si>
  <si>
    <t>37596316C</t>
  </si>
  <si>
    <t>037385870D</t>
  </si>
  <si>
    <t>015914465I</t>
  </si>
  <si>
    <t>018933017I</t>
  </si>
  <si>
    <t>007720829G</t>
  </si>
  <si>
    <t>018488035J</t>
  </si>
  <si>
    <t>005056108D</t>
  </si>
  <si>
    <t>014014717E</t>
  </si>
  <si>
    <t>036769056H</t>
  </si>
  <si>
    <t>016055797B</t>
  </si>
  <si>
    <t>011753297I</t>
  </si>
  <si>
    <t>009998992D</t>
  </si>
  <si>
    <t>08115550J</t>
  </si>
  <si>
    <t>019586424E</t>
  </si>
  <si>
    <t>017136309G</t>
  </si>
  <si>
    <t>09138060A</t>
  </si>
  <si>
    <t>008982284F</t>
  </si>
  <si>
    <t>015915523D</t>
  </si>
  <si>
    <t>012480877F</t>
  </si>
  <si>
    <t>37748289I</t>
  </si>
  <si>
    <t>037303586E</t>
  </si>
  <si>
    <t>000989145I</t>
  </si>
  <si>
    <t>37710374C</t>
  </si>
  <si>
    <t>37712487A</t>
  </si>
  <si>
    <t>36785107I</t>
  </si>
  <si>
    <t>37620659F</t>
  </si>
  <si>
    <t>09264712C</t>
  </si>
  <si>
    <t>036803664G</t>
  </si>
  <si>
    <t>037027635E</t>
  </si>
  <si>
    <t>006501305E</t>
  </si>
  <si>
    <t>037214494J</t>
  </si>
  <si>
    <t>37730912F</t>
  </si>
  <si>
    <t>019010870E</t>
  </si>
  <si>
    <t>009677093I</t>
  </si>
  <si>
    <t>011646057H</t>
  </si>
  <si>
    <t>008291778C</t>
  </si>
  <si>
    <t>012481657A</t>
  </si>
  <si>
    <t>036401340J</t>
  </si>
  <si>
    <t>035173670H</t>
  </si>
  <si>
    <t>0059199331F</t>
  </si>
  <si>
    <t>00009752715E</t>
  </si>
  <si>
    <t>009198250F</t>
  </si>
  <si>
    <t>013715203J</t>
  </si>
  <si>
    <t>009757465B</t>
  </si>
  <si>
    <t>36781318F</t>
  </si>
  <si>
    <t>010331113A</t>
  </si>
  <si>
    <t>9672234D</t>
  </si>
  <si>
    <t>008573939J</t>
  </si>
  <si>
    <t>37759890J</t>
  </si>
  <si>
    <t>00037776158A</t>
  </si>
  <si>
    <t>018386692A</t>
  </si>
  <si>
    <t>00037558084C</t>
  </si>
  <si>
    <t>002516987B</t>
  </si>
  <si>
    <t>37408520H</t>
  </si>
  <si>
    <t>015711927c</t>
  </si>
  <si>
    <t>018797897I</t>
  </si>
  <si>
    <t>011815844D</t>
  </si>
  <si>
    <t>00037676536I</t>
  </si>
  <si>
    <t>037014867I</t>
  </si>
  <si>
    <t>37691656F</t>
  </si>
  <si>
    <t>037406577J</t>
  </si>
  <si>
    <t>003815103B</t>
  </si>
  <si>
    <t>016437841G</t>
  </si>
  <si>
    <t>36389900G</t>
  </si>
  <si>
    <t>2898909D</t>
  </si>
  <si>
    <t>036870683E</t>
  </si>
  <si>
    <t>009634504G</t>
  </si>
  <si>
    <t>037032380A</t>
  </si>
  <si>
    <t>018953965D</t>
  </si>
  <si>
    <t>018459009J</t>
  </si>
  <si>
    <t>014361959B</t>
  </si>
  <si>
    <t>008385313F</t>
  </si>
  <si>
    <t>0003775805I</t>
  </si>
  <si>
    <t>00037493149B</t>
  </si>
  <si>
    <t>30294886E</t>
  </si>
  <si>
    <t>37794458C</t>
  </si>
  <si>
    <t>008560810H</t>
  </si>
  <si>
    <t>008288738B</t>
  </si>
  <si>
    <t>036787492C</t>
  </si>
  <si>
    <t>012432355B</t>
  </si>
  <si>
    <t>036545178A</t>
  </si>
  <si>
    <t>009476987E</t>
  </si>
  <si>
    <t>012395272D</t>
  </si>
  <si>
    <t>037553977C</t>
  </si>
  <si>
    <t>006563880B</t>
  </si>
  <si>
    <t>018809496F</t>
  </si>
  <si>
    <t>001909521F</t>
  </si>
  <si>
    <t>017730026G</t>
  </si>
  <si>
    <t>011203634I</t>
  </si>
  <si>
    <t>005767929C</t>
  </si>
  <si>
    <t>035155121D</t>
  </si>
  <si>
    <t>036768450D</t>
  </si>
  <si>
    <t>008432996A</t>
  </si>
  <si>
    <t>001674428G</t>
  </si>
  <si>
    <t>37439104D</t>
  </si>
  <si>
    <t>004866061H</t>
  </si>
  <si>
    <t>037556496A</t>
  </si>
  <si>
    <t>007953647A</t>
  </si>
  <si>
    <t>014243794G</t>
  </si>
  <si>
    <t>36737827A</t>
  </si>
  <si>
    <t>00014570871F</t>
  </si>
  <si>
    <t>005816238J</t>
  </si>
  <si>
    <t>8371332B</t>
  </si>
  <si>
    <t>012479728D</t>
  </si>
  <si>
    <t>37389573J</t>
  </si>
  <si>
    <t>037545882F</t>
  </si>
  <si>
    <t>036496246E</t>
  </si>
  <si>
    <t>008447000E</t>
  </si>
  <si>
    <t>012512195E</t>
  </si>
  <si>
    <t>017868707F</t>
  </si>
  <si>
    <t>013477107A</t>
  </si>
  <si>
    <t>013231440C</t>
  </si>
  <si>
    <t>000341877J</t>
  </si>
  <si>
    <t>00037684812D</t>
  </si>
  <si>
    <t>032966079J</t>
  </si>
  <si>
    <t>0176674680I</t>
  </si>
  <si>
    <t>037399608B</t>
  </si>
  <si>
    <t>005592861I</t>
  </si>
  <si>
    <t>013527096F</t>
  </si>
  <si>
    <t>000192437C</t>
  </si>
  <si>
    <t>001210934E</t>
  </si>
  <si>
    <t>005311320F</t>
  </si>
  <si>
    <t>013211202A</t>
  </si>
  <si>
    <t>012998755I</t>
  </si>
  <si>
    <t>037568410H</t>
  </si>
  <si>
    <t>033759730G</t>
  </si>
  <si>
    <t>012827188J</t>
  </si>
  <si>
    <t>009139831D</t>
  </si>
  <si>
    <t>037389516I</t>
  </si>
  <si>
    <t>005650556D</t>
  </si>
  <si>
    <t>016799050G</t>
  </si>
  <si>
    <t>018931772A</t>
  </si>
  <si>
    <t>010598820I</t>
  </si>
  <si>
    <t>00035808216C</t>
  </si>
  <si>
    <t>015973752H</t>
  </si>
  <si>
    <t>015742799I</t>
  </si>
  <si>
    <t>017981120D</t>
  </si>
  <si>
    <t>00037640766E</t>
  </si>
  <si>
    <t>00007245020I</t>
  </si>
  <si>
    <t>013962707J</t>
  </si>
  <si>
    <t>009140894I</t>
  </si>
  <si>
    <t>006267107I</t>
  </si>
  <si>
    <t>003288092E</t>
  </si>
  <si>
    <t>005771915F</t>
  </si>
  <si>
    <t>018810324G</t>
  </si>
  <si>
    <t>009525116B</t>
  </si>
  <si>
    <t>012395001G</t>
  </si>
  <si>
    <t>037770542B</t>
  </si>
  <si>
    <t>00035834083E</t>
  </si>
  <si>
    <t>001955280B</t>
  </si>
  <si>
    <t>018672136B</t>
  </si>
  <si>
    <t>012155428B</t>
  </si>
  <si>
    <t>036933584J</t>
  </si>
  <si>
    <t>037777631F</t>
  </si>
  <si>
    <t>012648377F</t>
  </si>
  <si>
    <t>037600015E</t>
  </si>
  <si>
    <t>008315852H</t>
  </si>
  <si>
    <t>006710972I</t>
  </si>
  <si>
    <t>018242095A</t>
  </si>
  <si>
    <t>015870928H</t>
  </si>
  <si>
    <t>013921777C</t>
  </si>
  <si>
    <t>018877809G</t>
  </si>
  <si>
    <t>0619300A</t>
  </si>
  <si>
    <t>011071434C</t>
  </si>
  <si>
    <t>005802265I</t>
  </si>
  <si>
    <t>033321513F</t>
  </si>
  <si>
    <t>013488492D</t>
  </si>
  <si>
    <t>008081771B</t>
  </si>
  <si>
    <t>001137716F</t>
  </si>
  <si>
    <t>036397996E</t>
  </si>
  <si>
    <t>009670959H</t>
  </si>
  <si>
    <t>037595920C</t>
  </si>
  <si>
    <t>037790878F</t>
  </si>
  <si>
    <t>018459442C</t>
  </si>
  <si>
    <t>018780473H</t>
  </si>
  <si>
    <t>002038964J</t>
  </si>
  <si>
    <t>018869395G</t>
  </si>
  <si>
    <t>4896657G</t>
  </si>
  <si>
    <t>033701634J</t>
  </si>
  <si>
    <t>034820156H</t>
  </si>
  <si>
    <t>036771744E</t>
  </si>
  <si>
    <t>017008378G</t>
  </si>
  <si>
    <t>00019071785A</t>
  </si>
  <si>
    <t>036788062C</t>
  </si>
  <si>
    <t>011130130F</t>
  </si>
  <si>
    <t>016744405I</t>
  </si>
  <si>
    <t>037811096J</t>
  </si>
  <si>
    <t>037575851D</t>
  </si>
  <si>
    <t>030063256J</t>
  </si>
  <si>
    <t>002737301I</t>
  </si>
  <si>
    <t>037807802G</t>
  </si>
  <si>
    <t>037567640A</t>
  </si>
  <si>
    <t>009760523C</t>
  </si>
  <si>
    <t>00037679735D</t>
  </si>
  <si>
    <t>012163627I</t>
  </si>
  <si>
    <t>NP41977V</t>
  </si>
  <si>
    <t>037490272E</t>
  </si>
  <si>
    <t>37814585I</t>
  </si>
  <si>
    <t>001455851E</t>
  </si>
  <si>
    <t>00008417581J</t>
  </si>
  <si>
    <t>036802726E</t>
  </si>
  <si>
    <t>008760997A</t>
  </si>
  <si>
    <t>014943197F</t>
  </si>
  <si>
    <t>016685068F</t>
  </si>
  <si>
    <t>019003591F</t>
  </si>
  <si>
    <t>00037774046J</t>
  </si>
  <si>
    <t>037079240A</t>
  </si>
  <si>
    <t>016026457I</t>
  </si>
  <si>
    <t>006739728B</t>
  </si>
  <si>
    <t>037336597C</t>
  </si>
  <si>
    <t>019472380F</t>
  </si>
  <si>
    <t>017621240F</t>
  </si>
  <si>
    <t>011972803I</t>
  </si>
  <si>
    <t>00037774881J</t>
  </si>
  <si>
    <t>006538139E</t>
  </si>
  <si>
    <t>00018099111J</t>
  </si>
  <si>
    <t>00037582869G</t>
  </si>
  <si>
    <t>015693945G</t>
  </si>
  <si>
    <t>008381134J</t>
  </si>
  <si>
    <t>036897383A</t>
  </si>
  <si>
    <t>018314825D</t>
  </si>
  <si>
    <t>010206824E</t>
  </si>
  <si>
    <t>002679185F</t>
  </si>
  <si>
    <t>009739610F</t>
  </si>
  <si>
    <t>035339008B</t>
  </si>
  <si>
    <t>004212638D</t>
  </si>
  <si>
    <t>008592549D</t>
  </si>
  <si>
    <t>012620221H</t>
  </si>
  <si>
    <t>018690956A</t>
  </si>
  <si>
    <t>00018944519A</t>
  </si>
  <si>
    <t>037558794G</t>
  </si>
  <si>
    <t>017300002H</t>
  </si>
  <si>
    <t>004309619H</t>
  </si>
  <si>
    <t>037674277B</t>
  </si>
  <si>
    <t>018726933H</t>
  </si>
  <si>
    <t>011032607B</t>
  </si>
  <si>
    <t>018894019B</t>
  </si>
  <si>
    <t>00014373487J</t>
  </si>
  <si>
    <t>00036707049H</t>
  </si>
  <si>
    <t>000421201F</t>
  </si>
  <si>
    <t>032432400D</t>
  </si>
  <si>
    <t>006258127H</t>
  </si>
  <si>
    <t>004766187B</t>
  </si>
  <si>
    <t>036861156C</t>
  </si>
  <si>
    <t>037658458H</t>
  </si>
  <si>
    <t>011673171C</t>
  </si>
  <si>
    <t>017669648C</t>
  </si>
  <si>
    <t>000376375C</t>
  </si>
  <si>
    <t>015256301B</t>
  </si>
  <si>
    <t>037512904G</t>
  </si>
  <si>
    <t>005819518B</t>
  </si>
  <si>
    <t>037803673F</t>
  </si>
  <si>
    <t>006933456D</t>
  </si>
  <si>
    <t>018933390J</t>
  </si>
  <si>
    <t>036980988E</t>
  </si>
  <si>
    <t>0037814795D</t>
  </si>
  <si>
    <t>001706590F</t>
  </si>
  <si>
    <t>011497204F</t>
  </si>
  <si>
    <t>016376378C</t>
  </si>
  <si>
    <t>027-005-15E</t>
  </si>
  <si>
    <t>037456777E</t>
  </si>
  <si>
    <t>037255436A</t>
  </si>
  <si>
    <t>015969203H</t>
  </si>
  <si>
    <t>013431863D</t>
  </si>
  <si>
    <t>014504049J</t>
  </si>
  <si>
    <t>005693723I</t>
  </si>
  <si>
    <t>035292046G</t>
  </si>
  <si>
    <t>031003426J</t>
  </si>
  <si>
    <t>need to fill in</t>
  </si>
  <si>
    <t>004149428H</t>
  </si>
  <si>
    <t>037667044E</t>
  </si>
  <si>
    <t>017975610B</t>
  </si>
  <si>
    <t>014947641I</t>
  </si>
  <si>
    <t>001603872B</t>
  </si>
  <si>
    <t>018602407B</t>
  </si>
  <si>
    <t>036862800E</t>
  </si>
  <si>
    <t>00008484576H</t>
  </si>
  <si>
    <t>012425225F</t>
  </si>
  <si>
    <t>010711889F</t>
  </si>
  <si>
    <t>010298873A</t>
  </si>
  <si>
    <t>00018109768E</t>
  </si>
  <si>
    <t>ZU76288E</t>
  </si>
  <si>
    <t>009488273F</t>
  </si>
  <si>
    <t>003876653B</t>
  </si>
  <si>
    <t>018616245J</t>
  </si>
  <si>
    <t>00015613555A</t>
  </si>
  <si>
    <t>00017911970G</t>
  </si>
  <si>
    <t>018904495B</t>
  </si>
  <si>
    <t>017941204E</t>
  </si>
  <si>
    <t>018839280H</t>
  </si>
  <si>
    <t>31145000B</t>
  </si>
  <si>
    <t>037039391A</t>
  </si>
  <si>
    <t>00037630437E</t>
  </si>
  <si>
    <t>036892040B</t>
  </si>
  <si>
    <t>036987178F</t>
  </si>
  <si>
    <t>00006196293C</t>
  </si>
  <si>
    <t>5201875B</t>
  </si>
  <si>
    <t>016774687E</t>
  </si>
  <si>
    <t>00018958214B</t>
  </si>
  <si>
    <t>00037051455G</t>
  </si>
  <si>
    <t>36372038E</t>
  </si>
  <si>
    <t>3515495D</t>
  </si>
  <si>
    <t>035513082E</t>
  </si>
  <si>
    <t>037741786A</t>
  </si>
  <si>
    <t>033744778D</t>
  </si>
  <si>
    <t>37071043G</t>
  </si>
  <si>
    <t>00037557099B</t>
  </si>
  <si>
    <t>768262I</t>
  </si>
  <si>
    <t>NO PA No CASE #</t>
  </si>
  <si>
    <t>011108285F</t>
  </si>
  <si>
    <t>004076861G</t>
  </si>
  <si>
    <t>1710750J</t>
  </si>
  <si>
    <t>006507428I</t>
  </si>
  <si>
    <t>037744864C</t>
  </si>
  <si>
    <t>6004868724-87241233106</t>
  </si>
  <si>
    <t>096-84-0085</t>
  </si>
  <si>
    <t>581-72-1296</t>
  </si>
  <si>
    <t>090-84-9013</t>
  </si>
  <si>
    <t>132-74-4850</t>
  </si>
  <si>
    <t>000-00-3424</t>
  </si>
  <si>
    <t>077-70-3219</t>
  </si>
  <si>
    <t>107-40-3246</t>
  </si>
  <si>
    <t>371-60-6217</t>
  </si>
  <si>
    <t>124-80-6849</t>
  </si>
  <si>
    <t>065-58-1847</t>
  </si>
  <si>
    <t>064-76-3979</t>
  </si>
  <si>
    <t>032-62-3357</t>
  </si>
  <si>
    <t>127-86-3379</t>
  </si>
  <si>
    <t>131-44-2145</t>
  </si>
  <si>
    <t>104-70-9076</t>
  </si>
  <si>
    <t>617-96-6713</t>
  </si>
  <si>
    <t>108-72-1242</t>
  </si>
  <si>
    <t>119-74-5966</t>
  </si>
  <si>
    <t>115-52-9844</t>
  </si>
  <si>
    <t>134-82-4362</t>
  </si>
  <si>
    <t>529-39-9419</t>
  </si>
  <si>
    <t>070-48-4747</t>
  </si>
  <si>
    <t>151-74-6497</t>
  </si>
  <si>
    <t>070-50-3572</t>
  </si>
  <si>
    <t>056-64-7054</t>
  </si>
  <si>
    <t>115-82-6556</t>
  </si>
  <si>
    <t>071-48-9003</t>
  </si>
  <si>
    <t>106-58-7148</t>
  </si>
  <si>
    <t>110-50-0439</t>
  </si>
  <si>
    <t>055-72-0260</t>
  </si>
  <si>
    <t>073-48-8107</t>
  </si>
  <si>
    <t>075-94-6958</t>
  </si>
  <si>
    <t>062-48-8080</t>
  </si>
  <si>
    <t>096-86-7850</t>
  </si>
  <si>
    <t>000-00-7231</t>
  </si>
  <si>
    <t>000-00-4461</t>
  </si>
  <si>
    <t>250-82-4504</t>
  </si>
  <si>
    <t>131-70-1667</t>
  </si>
  <si>
    <t>050-96-0090</t>
  </si>
  <si>
    <t>135-92-6648</t>
  </si>
  <si>
    <t>000-00-8631</t>
  </si>
  <si>
    <t>122-84-2277</t>
  </si>
  <si>
    <t>088-42-1307</t>
  </si>
  <si>
    <t>072-60-6042</t>
  </si>
  <si>
    <t>508-10-9095</t>
  </si>
  <si>
    <t>112-94-0882</t>
  </si>
  <si>
    <t>127-96-8585</t>
  </si>
  <si>
    <t>054-68-7152</t>
  </si>
  <si>
    <t>106-60-4354</t>
  </si>
  <si>
    <t>000-00-2721</t>
  </si>
  <si>
    <t>192-68-2068</t>
  </si>
  <si>
    <t>112-82-1708</t>
  </si>
  <si>
    <t>101-60-2448</t>
  </si>
  <si>
    <t>000-00-5745</t>
  </si>
  <si>
    <t>134-60-6196</t>
  </si>
  <si>
    <t>000-00-1861</t>
  </si>
  <si>
    <t>000-00-4250</t>
  </si>
  <si>
    <t>327-94-8879</t>
  </si>
  <si>
    <t>000-00-9263</t>
  </si>
  <si>
    <t>099-72-6148</t>
  </si>
  <si>
    <t>246-19-1943</t>
  </si>
  <si>
    <t>657-20-3910</t>
  </si>
  <si>
    <t>091-58-8213</t>
  </si>
  <si>
    <t>077-92-2600</t>
  </si>
  <si>
    <t>120-78-6400</t>
  </si>
  <si>
    <t>113-80-1348</t>
  </si>
  <si>
    <t>273-42-0123</t>
  </si>
  <si>
    <t>115-50-0435</t>
  </si>
  <si>
    <t>582-78-5395</t>
  </si>
  <si>
    <t>092-80-4633</t>
  </si>
  <si>
    <t>181-72-4882</t>
  </si>
  <si>
    <t>103-62-6767</t>
  </si>
  <si>
    <t>000-00-7860</t>
  </si>
  <si>
    <t>125-82-5829</t>
  </si>
  <si>
    <t>148-70-8244</t>
  </si>
  <si>
    <t>124-58-8780</t>
  </si>
  <si>
    <t>000-00-2340</t>
  </si>
  <si>
    <t>090-58-2203</t>
  </si>
  <si>
    <t>396-21-4898</t>
  </si>
  <si>
    <t>114-62-0136</t>
  </si>
  <si>
    <t>099-80-3208</t>
  </si>
  <si>
    <t>107-54-9180</t>
  </si>
  <si>
    <t>216-29-9950</t>
  </si>
  <si>
    <t>000-00-5698</t>
  </si>
  <si>
    <t>132-80-0224</t>
  </si>
  <si>
    <t>109-80-9352</t>
  </si>
  <si>
    <t>127-36-3594</t>
  </si>
  <si>
    <t>034-56-1566</t>
  </si>
  <si>
    <t>076-62-4241</t>
  </si>
  <si>
    <t>101-66-8004</t>
  </si>
  <si>
    <t>126-90-6353</t>
  </si>
  <si>
    <t>089-84-9624</t>
  </si>
  <si>
    <t>103-44-5151</t>
  </si>
  <si>
    <t>081-70-7600</t>
  </si>
  <si>
    <t>620-56-9078</t>
  </si>
  <si>
    <t>250-35-7475</t>
  </si>
  <si>
    <t>076-78-5720</t>
  </si>
  <si>
    <t>446-49-6349</t>
  </si>
  <si>
    <t>074-68-2426</t>
  </si>
  <si>
    <t>103-60-2012</t>
  </si>
  <si>
    <t>109-60-3767</t>
  </si>
  <si>
    <t>000-00-3460</t>
  </si>
  <si>
    <t>000-00-8580</t>
  </si>
  <si>
    <t>121-76-9179</t>
  </si>
  <si>
    <t>153-84-8214</t>
  </si>
  <si>
    <t>090-58-8713</t>
  </si>
  <si>
    <t>265-91-8688</t>
  </si>
  <si>
    <t>099-68-9831</t>
  </si>
  <si>
    <t>782-52-5870</t>
  </si>
  <si>
    <t>124-66-9959</t>
  </si>
  <si>
    <t>072-90-3722</t>
  </si>
  <si>
    <t>075-84-5728</t>
  </si>
  <si>
    <t>226-46-4513</t>
  </si>
  <si>
    <t>097-60-5603</t>
  </si>
  <si>
    <t>000-00-9632</t>
  </si>
  <si>
    <t>131-52-6492</t>
  </si>
  <si>
    <t>054-56-1075</t>
  </si>
  <si>
    <t>188-17-3119</t>
  </si>
  <si>
    <t>247-97-1257</t>
  </si>
  <si>
    <t>118-90-9089</t>
  </si>
  <si>
    <t>000-00-3171</t>
  </si>
  <si>
    <t>106-80-0605</t>
  </si>
  <si>
    <t>154-66-0553</t>
  </si>
  <si>
    <t>000-00-7451</t>
  </si>
  <si>
    <t>052-74-3139</t>
  </si>
  <si>
    <t>000-00-6307</t>
  </si>
  <si>
    <t>000-00-5712</t>
  </si>
  <si>
    <t>446-06-9142</t>
  </si>
  <si>
    <t>058-58-2239</t>
  </si>
  <si>
    <t>000-00-3490</t>
  </si>
  <si>
    <t>107-56-6220</t>
  </si>
  <si>
    <t>111-30-2643</t>
  </si>
  <si>
    <t>000-00-0271</t>
  </si>
  <si>
    <t>000-00-8169</t>
  </si>
  <si>
    <t>094-42-6399</t>
  </si>
  <si>
    <t>145-74-6242</t>
  </si>
  <si>
    <t>052-62-5787</t>
  </si>
  <si>
    <t>117-84-4123</t>
  </si>
  <si>
    <t>880-04-4491</t>
  </si>
  <si>
    <t>067-68-9841</t>
  </si>
  <si>
    <t>000-00-1257</t>
  </si>
  <si>
    <t>235-98-5411</t>
  </si>
  <si>
    <t>225-77-7271</t>
  </si>
  <si>
    <t>121-60-2293</t>
  </si>
  <si>
    <t>536-53-9969</t>
  </si>
  <si>
    <t>589-07-2120</t>
  </si>
  <si>
    <t>107-58-6758</t>
  </si>
  <si>
    <t>000-00-6661</t>
  </si>
  <si>
    <t>064-48-5202</t>
  </si>
  <si>
    <t>062-38-3463</t>
  </si>
  <si>
    <t>115-76-5326</t>
  </si>
  <si>
    <t>059-84-0506</t>
  </si>
  <si>
    <t>062-88-2771</t>
  </si>
  <si>
    <t>000-00-4166</t>
  </si>
  <si>
    <t>583-36-2741</t>
  </si>
  <si>
    <t>000-00-6685</t>
  </si>
  <si>
    <t>066-86-4629</t>
  </si>
  <si>
    <t>055-92-5054</t>
  </si>
  <si>
    <t>070-58-3410</t>
  </si>
  <si>
    <t>082-50-0322</t>
  </si>
  <si>
    <t>055-64-2924</t>
  </si>
  <si>
    <t>117-94-2357</t>
  </si>
  <si>
    <t>000-00-3531</t>
  </si>
  <si>
    <t>000-00-3427</t>
  </si>
  <si>
    <t>000-00-0990</t>
  </si>
  <si>
    <t>127-52-7533</t>
  </si>
  <si>
    <t>000-00-4574</t>
  </si>
  <si>
    <t>080-92-8624</t>
  </si>
  <si>
    <t>000-00-0138</t>
  </si>
  <si>
    <t>026-70-3356</t>
  </si>
  <si>
    <t>111-58-4684</t>
  </si>
  <si>
    <t>000-00-0088</t>
  </si>
  <si>
    <t>120-92-8593</t>
  </si>
  <si>
    <t>130-78-1474</t>
  </si>
  <si>
    <t>103-44-7537</t>
  </si>
  <si>
    <t>096-58-1670</t>
  </si>
  <si>
    <t>107-76-4249</t>
  </si>
  <si>
    <t>099-78-7356</t>
  </si>
  <si>
    <t>093-78-9601</t>
  </si>
  <si>
    <t>124-88-4609</t>
  </si>
  <si>
    <t>062-54-6823</t>
  </si>
  <si>
    <t>055-66-1257</t>
  </si>
  <si>
    <t>103-50-2753</t>
  </si>
  <si>
    <t>690-93-7386</t>
  </si>
  <si>
    <t>071-58-4324</t>
  </si>
  <si>
    <t>033-62-9280</t>
  </si>
  <si>
    <t>118-46-2076</t>
  </si>
  <si>
    <t>000-00-4041</t>
  </si>
  <si>
    <t>093-86-7134</t>
  </si>
  <si>
    <t>132-94-9285</t>
  </si>
  <si>
    <t>133-70-9564</t>
  </si>
  <si>
    <t>000-00-0846</t>
  </si>
  <si>
    <t>000-00-8374</t>
  </si>
  <si>
    <t>000-00-9009</t>
  </si>
  <si>
    <t>061-58-8965</t>
  </si>
  <si>
    <t>116-74-0383</t>
  </si>
  <si>
    <t>000-00-0565</t>
  </si>
  <si>
    <t>000-00-2800</t>
  </si>
  <si>
    <t>157-84-2750</t>
  </si>
  <si>
    <t>122-42-3739</t>
  </si>
  <si>
    <t>094-74-0208</t>
  </si>
  <si>
    <t>124-74-0657</t>
  </si>
  <si>
    <t>091-68-4262</t>
  </si>
  <si>
    <t>080-60-7926</t>
  </si>
  <si>
    <t>106-46-6560</t>
  </si>
  <si>
    <t>121-62-4504</t>
  </si>
  <si>
    <t>000-00-2203</t>
  </si>
  <si>
    <t>238-98-1731</t>
  </si>
  <si>
    <t>060-62-8138</t>
  </si>
  <si>
    <t>115-72-8108</t>
  </si>
  <si>
    <t>073-82-3154</t>
  </si>
  <si>
    <t>132-54-9343</t>
  </si>
  <si>
    <t>000-00-3314</t>
  </si>
  <si>
    <t>073-62-7535</t>
  </si>
  <si>
    <t>812-56-6573</t>
  </si>
  <si>
    <t>580-17-1399</t>
  </si>
  <si>
    <t>000-00-3886</t>
  </si>
  <si>
    <t>055-88-0706</t>
  </si>
  <si>
    <t>067-54-3316</t>
  </si>
  <si>
    <t>066-64-3442</t>
  </si>
  <si>
    <t>000-00-7642</t>
  </si>
  <si>
    <t>118-94-4541</t>
  </si>
  <si>
    <t>582-71-4390</t>
  </si>
  <si>
    <t>136-50-7790</t>
  </si>
  <si>
    <t>108-86-2948</t>
  </si>
  <si>
    <t>158-52-4721</t>
  </si>
  <si>
    <t>080-86-0776</t>
  </si>
  <si>
    <t>091-54-1428</t>
  </si>
  <si>
    <t>128-46-4458</t>
  </si>
  <si>
    <t>073-68-7322</t>
  </si>
  <si>
    <t>084-84-7929</t>
  </si>
  <si>
    <t>050-44-0271</t>
  </si>
  <si>
    <t>053-54-4040</t>
  </si>
  <si>
    <t>011-56-0807</t>
  </si>
  <si>
    <t>070-90-0704</t>
  </si>
  <si>
    <t>118-54-9197</t>
  </si>
  <si>
    <t>080-74-9054</t>
  </si>
  <si>
    <t>103-35-1525</t>
  </si>
  <si>
    <t>119-76-1545</t>
  </si>
  <si>
    <t>000-00-0443</t>
  </si>
  <si>
    <t>061-92-3561</t>
  </si>
  <si>
    <t>102-76-5245</t>
  </si>
  <si>
    <t>000-00-4505</t>
  </si>
  <si>
    <t>060-46-3150</t>
  </si>
  <si>
    <t>059-60-1367</t>
  </si>
  <si>
    <t>117-34-8542</t>
  </si>
  <si>
    <t>000-00-2182</t>
  </si>
  <si>
    <t>067-76-9902</t>
  </si>
  <si>
    <t>129-66-2519</t>
  </si>
  <si>
    <t>000-00-8700</t>
  </si>
  <si>
    <t>104-78-7593</t>
  </si>
  <si>
    <t>071-62-1700</t>
  </si>
  <si>
    <t>097-70-4954</t>
  </si>
  <si>
    <t>146-40-5259</t>
  </si>
  <si>
    <t>063-58-4542</t>
  </si>
  <si>
    <t>050-02-8448</t>
  </si>
  <si>
    <t>000-00-9554</t>
  </si>
  <si>
    <t>084-86-0178</t>
  </si>
  <si>
    <t>117-54-7658</t>
  </si>
  <si>
    <t>094-62-2253</t>
  </si>
  <si>
    <t>123-42-4147</t>
  </si>
  <si>
    <t>083-74-8344</t>
  </si>
  <si>
    <t>141-64-7345</t>
  </si>
  <si>
    <t>000-00-4319</t>
  </si>
  <si>
    <t>584-58-9893</t>
  </si>
  <si>
    <t>228-15-3714</t>
  </si>
  <si>
    <t>583-08-3987</t>
  </si>
  <si>
    <t>088-84-7319</t>
  </si>
  <si>
    <t>000-00-5087</t>
  </si>
  <si>
    <t>000-00-5535</t>
  </si>
  <si>
    <t>158-54-0278</t>
  </si>
  <si>
    <t>052-48-2836</t>
  </si>
  <si>
    <t>125-62-8765</t>
  </si>
  <si>
    <t>111-76-3676</t>
  </si>
  <si>
    <t>000-00-0909</t>
  </si>
  <si>
    <t>000-00-4025</t>
  </si>
  <si>
    <t>082-60-9853</t>
  </si>
  <si>
    <t>092-46-6940</t>
  </si>
  <si>
    <t>091-58-7984</t>
  </si>
  <si>
    <t>246-48-5210</t>
  </si>
  <si>
    <t>110-70-0815</t>
  </si>
  <si>
    <t>000-00-8922</t>
  </si>
  <si>
    <t>000-00-1425</t>
  </si>
  <si>
    <t>051-98-6112</t>
  </si>
  <si>
    <t>101-64-0298</t>
  </si>
  <si>
    <t>583-05-8674</t>
  </si>
  <si>
    <t>127-80-6037</t>
  </si>
  <si>
    <t>050-60-3235</t>
  </si>
  <si>
    <t>116-44-8410</t>
  </si>
  <si>
    <t>061-78-7917</t>
  </si>
  <si>
    <t>067-56-3582</t>
  </si>
  <si>
    <t>096-02-4151</t>
  </si>
  <si>
    <t>151-13-2834</t>
  </si>
  <si>
    <t>093-62-9963</t>
  </si>
  <si>
    <t>000-00-9340</t>
  </si>
  <si>
    <t>118-34-4519</t>
  </si>
  <si>
    <t>096-52-5350</t>
  </si>
  <si>
    <t>027-85-3210</t>
  </si>
  <si>
    <t>000-00-4376</t>
  </si>
  <si>
    <t>420-47-5933</t>
  </si>
  <si>
    <t>000-00-0628</t>
  </si>
  <si>
    <t>125-54-9729</t>
  </si>
  <si>
    <t>077-86-1426</t>
  </si>
  <si>
    <t>099-64-6506</t>
  </si>
  <si>
    <t>581-15-0678</t>
  </si>
  <si>
    <t>098-56-3114</t>
  </si>
  <si>
    <t>000-00-8146</t>
  </si>
  <si>
    <t>000-00-6034</t>
  </si>
  <si>
    <t>209-46-9369</t>
  </si>
  <si>
    <t>000-00-8635</t>
  </si>
  <si>
    <t>124-72-8363</t>
  </si>
  <si>
    <t>583-47-7930</t>
  </si>
  <si>
    <t>106-76-6175</t>
  </si>
  <si>
    <t>089-72-1085</t>
  </si>
  <si>
    <t>000-00-7459</t>
  </si>
  <si>
    <t>000-00-6514</t>
  </si>
  <si>
    <t>115-72-9146</t>
  </si>
  <si>
    <t>100-44-4225</t>
  </si>
  <si>
    <t>000-00-7936</t>
  </si>
  <si>
    <t>081-44-2168</t>
  </si>
  <si>
    <t>112-34-6702</t>
  </si>
  <si>
    <t>582-73-4462</t>
  </si>
  <si>
    <t>089-64-6531</t>
  </si>
  <si>
    <t>129-64-3973</t>
  </si>
  <si>
    <t>580-52-8286</t>
  </si>
  <si>
    <t>000-00-9828</t>
  </si>
  <si>
    <t>590-21-0129</t>
  </si>
  <si>
    <t>056-68-4317</t>
  </si>
  <si>
    <t>106-76-4351</t>
  </si>
  <si>
    <t>584-93-7412</t>
  </si>
  <si>
    <t>063-42-2972</t>
  </si>
  <si>
    <t>126-66-5799</t>
  </si>
  <si>
    <t>081-22-9391</t>
  </si>
  <si>
    <t>078-92-2240</t>
  </si>
  <si>
    <t>000-00-2957</t>
  </si>
  <si>
    <t>077-56-6532</t>
  </si>
  <si>
    <t>098-48-9221</t>
  </si>
  <si>
    <t>000-00-3976</t>
  </si>
  <si>
    <t>105-68-6294</t>
  </si>
  <si>
    <t>000-00-0161</t>
  </si>
  <si>
    <t>115-62-0545</t>
  </si>
  <si>
    <t>000-00-8894</t>
  </si>
  <si>
    <t>104-64-4861</t>
  </si>
  <si>
    <t>584-82-2154</t>
  </si>
  <si>
    <t>091-74-1446</t>
  </si>
  <si>
    <t>000-00-5448</t>
  </si>
  <si>
    <t>069-46-2296</t>
  </si>
  <si>
    <t>000-00-7923</t>
  </si>
  <si>
    <t>075-66-1819</t>
  </si>
  <si>
    <t>132-86-8874</t>
  </si>
  <si>
    <t>123-74-6434</t>
  </si>
  <si>
    <t>000-00-8867</t>
  </si>
  <si>
    <t>696-10-5197</t>
  </si>
  <si>
    <t>050-36-3884</t>
  </si>
  <si>
    <t>126-86-9906</t>
  </si>
  <si>
    <t>733-20-5039</t>
  </si>
  <si>
    <t>078-78-9141</t>
  </si>
  <si>
    <t>089-64-1514</t>
  </si>
  <si>
    <t>053-72-0375</t>
  </si>
  <si>
    <t>230-57-2275</t>
  </si>
  <si>
    <t>096-02-8371</t>
  </si>
  <si>
    <t>083-84-4387</t>
  </si>
  <si>
    <t>013-46-8918</t>
  </si>
  <si>
    <t>129-82-6325</t>
  </si>
  <si>
    <t>377-44-8873</t>
  </si>
  <si>
    <t>114-86-1844</t>
  </si>
  <si>
    <t>112-82-2139</t>
  </si>
  <si>
    <t>071-58-3935</t>
  </si>
  <si>
    <t>001-30-0428</t>
  </si>
  <si>
    <t>132-70-5221</t>
  </si>
  <si>
    <t>000-00-2107</t>
  </si>
  <si>
    <t>467-06-0135</t>
  </si>
  <si>
    <t>083-58-5767</t>
  </si>
  <si>
    <t>158-72-6394</t>
  </si>
  <si>
    <t>000-00-2278</t>
  </si>
  <si>
    <t>077-58-0838</t>
  </si>
  <si>
    <t>121-60-6091</t>
  </si>
  <si>
    <t>000-00-9134</t>
  </si>
  <si>
    <t>069-02-9158</t>
  </si>
  <si>
    <t>062-72-2184</t>
  </si>
  <si>
    <t>000-00-8739</t>
  </si>
  <si>
    <t>072-84-4808</t>
  </si>
  <si>
    <t>570-95-5540</t>
  </si>
  <si>
    <t>000-00-0052</t>
  </si>
  <si>
    <t>178-67-6832</t>
  </si>
  <si>
    <t>058-78-1881</t>
  </si>
  <si>
    <t>086-74-4623</t>
  </si>
  <si>
    <t>000-00-2555</t>
  </si>
  <si>
    <t>104-66-2551</t>
  </si>
  <si>
    <t>083-66-1349</t>
  </si>
  <si>
    <t>121-92-5284</t>
  </si>
  <si>
    <t>075-60-0810</t>
  </si>
  <si>
    <t>000-00-7228</t>
  </si>
  <si>
    <t>000-00-3480</t>
  </si>
  <si>
    <t>000-00-6276</t>
  </si>
  <si>
    <t>000-00-3157</t>
  </si>
  <si>
    <t>117-56-1090</t>
  </si>
  <si>
    <t>000-00-0207</t>
  </si>
  <si>
    <t>000-00-5899</t>
  </si>
  <si>
    <t>124-36-7010</t>
  </si>
  <si>
    <t>108-58-2856</t>
  </si>
  <si>
    <t>000-00-1560</t>
  </si>
  <si>
    <t>065-58-3683</t>
  </si>
  <si>
    <t>142-70-1278</t>
  </si>
  <si>
    <t>119-52-6905</t>
  </si>
  <si>
    <t>107-84-1198</t>
  </si>
  <si>
    <t>106-62-6868</t>
  </si>
  <si>
    <t>111-44-3484</t>
  </si>
  <si>
    <t>130-42-7872</t>
  </si>
  <si>
    <t>054-58-9276</t>
  </si>
  <si>
    <t>134-70-7159</t>
  </si>
  <si>
    <t>050-70-5504</t>
  </si>
  <si>
    <t>118-66-9945</t>
  </si>
  <si>
    <t>064-82-5579</t>
  </si>
  <si>
    <t>111-66-6471</t>
  </si>
  <si>
    <t>101-87-9429</t>
  </si>
  <si>
    <t>101-76-7967</t>
  </si>
  <si>
    <t>075-86-2185</t>
  </si>
  <si>
    <t>085-64-7147</t>
  </si>
  <si>
    <t>072-74-4734</t>
  </si>
  <si>
    <t>090-82-4511</t>
  </si>
  <si>
    <t>125-46-3667</t>
  </si>
  <si>
    <t>611-26-9717</t>
  </si>
  <si>
    <t>758-37-0163</t>
  </si>
  <si>
    <t>485-95-1075</t>
  </si>
  <si>
    <t>582-53-0401</t>
  </si>
  <si>
    <t>082-52-7119</t>
  </si>
  <si>
    <t>781-32-1331</t>
  </si>
  <si>
    <t>088-72-2873</t>
  </si>
  <si>
    <t>118-56-1550</t>
  </si>
  <si>
    <t>138-06-2503</t>
  </si>
  <si>
    <t>000-00-6286</t>
  </si>
  <si>
    <t>112-98-9221</t>
  </si>
  <si>
    <t>144-31-4815</t>
  </si>
  <si>
    <t>126-68-1171</t>
  </si>
  <si>
    <t>096-80-6511</t>
  </si>
  <si>
    <t>109-72-7516</t>
  </si>
  <si>
    <t>593-36-0702</t>
  </si>
  <si>
    <t>059-62-6576</t>
  </si>
  <si>
    <t>323-92-4671</t>
  </si>
  <si>
    <t>127-88-0878</t>
  </si>
  <si>
    <t>756-90-2601</t>
  </si>
  <si>
    <t>163-68-3170</t>
  </si>
  <si>
    <t>001-14-8273</t>
  </si>
  <si>
    <t>581-61-7794</t>
  </si>
  <si>
    <t>074-76-5088</t>
  </si>
  <si>
    <t>075-56-2947</t>
  </si>
  <si>
    <t>085-50-3388</t>
  </si>
  <si>
    <t>059-70-1586</t>
  </si>
  <si>
    <t>113-70-8725</t>
  </si>
  <si>
    <t>580-27-5785</t>
  </si>
  <si>
    <t>067-72-0783</t>
  </si>
  <si>
    <t>091-42-0419</t>
  </si>
  <si>
    <t>098-76-5308</t>
  </si>
  <si>
    <t>089-32-1335</t>
  </si>
  <si>
    <t>581-88-8112</t>
  </si>
  <si>
    <t>127-84-5060</t>
  </si>
  <si>
    <t>050-28-0673</t>
  </si>
  <si>
    <t>051-80-1930</t>
  </si>
  <si>
    <t>090-58-7104</t>
  </si>
  <si>
    <t>398-88-4174</t>
  </si>
  <si>
    <t>072-98-3866</t>
  </si>
  <si>
    <t>129-90-2688</t>
  </si>
  <si>
    <t>070-64-7917</t>
  </si>
  <si>
    <t>323-68-2704</t>
  </si>
  <si>
    <t>098-80-7771</t>
  </si>
  <si>
    <t>092-74-0966</t>
  </si>
  <si>
    <t>096-70-0917</t>
  </si>
  <si>
    <t>126-98-0485</t>
  </si>
  <si>
    <t>118-60-3216</t>
  </si>
  <si>
    <t>100-68-0083</t>
  </si>
  <si>
    <t>055-40-0059</t>
  </si>
  <si>
    <t>301-80-3584</t>
  </si>
  <si>
    <t>059-66-4834</t>
  </si>
  <si>
    <t>076-56-6887</t>
  </si>
  <si>
    <t>100-54-1483</t>
  </si>
  <si>
    <t>097-66-2653</t>
  </si>
  <si>
    <t>104-40-2638</t>
  </si>
  <si>
    <t>056-62-2617</t>
  </si>
  <si>
    <t>072-62-1705</t>
  </si>
  <si>
    <t>116-36-4468</t>
  </si>
  <si>
    <t>099-52-7433</t>
  </si>
  <si>
    <t>584-22-5295</t>
  </si>
  <si>
    <t>576-31-9499</t>
  </si>
  <si>
    <t>099-58-7158</t>
  </si>
  <si>
    <t>077-70-4462</t>
  </si>
  <si>
    <t>000-00-4473</t>
  </si>
  <si>
    <t>076-64-4349</t>
  </si>
  <si>
    <t>045-04-0378</t>
  </si>
  <si>
    <t>097-80-2092</t>
  </si>
  <si>
    <t>093-58-8081</t>
  </si>
  <si>
    <t>129-50-1474</t>
  </si>
  <si>
    <t>089-62-2962</t>
  </si>
  <si>
    <t>377-04-0695</t>
  </si>
  <si>
    <t>101-50-5332</t>
  </si>
  <si>
    <t>092-84-3259</t>
  </si>
  <si>
    <t>070-78-1970</t>
  </si>
  <si>
    <t>327-48-0482</t>
  </si>
  <si>
    <t>059-58-8647</t>
  </si>
  <si>
    <t>999-99-9999</t>
  </si>
  <si>
    <t>093-82-9730</t>
  </si>
  <si>
    <t>579-19-5115</t>
  </si>
  <si>
    <t>000-00-3449</t>
  </si>
  <si>
    <t>140-86-9516</t>
  </si>
  <si>
    <t>584-54-2387</t>
  </si>
  <si>
    <t>582-27-2529</t>
  </si>
  <si>
    <t>052-46-5357</t>
  </si>
  <si>
    <t>134-32-0118</t>
  </si>
  <si>
    <t>049-74-5433</t>
  </si>
  <si>
    <t>134-52-0306</t>
  </si>
  <si>
    <t>066-84-2062</t>
  </si>
  <si>
    <t>103-50-8117</t>
  </si>
  <si>
    <t>111-86-8786</t>
  </si>
  <si>
    <t>733-05-3043</t>
  </si>
  <si>
    <t>064-48-5540</t>
  </si>
  <si>
    <t>081-90-0466</t>
  </si>
  <si>
    <t>096-84-8980</t>
  </si>
  <si>
    <t>147-13-1967</t>
  </si>
  <si>
    <t>129-84-5574</t>
  </si>
  <si>
    <t>491-59-3860</t>
  </si>
  <si>
    <t>107-88-1548</t>
  </si>
  <si>
    <t>582-21-1860</t>
  </si>
  <si>
    <t>068-88-6285</t>
  </si>
  <si>
    <t>124-74-5429</t>
  </si>
  <si>
    <t>055-86-0322</t>
  </si>
  <si>
    <t>786-42-0731</t>
  </si>
  <si>
    <t>086-80-8212</t>
  </si>
  <si>
    <t>089-70-0842</t>
  </si>
  <si>
    <t>049-64-8253</t>
  </si>
  <si>
    <t>126-50-9074</t>
  </si>
  <si>
    <t>000-00-7429</t>
  </si>
  <si>
    <t>082-46-7060</t>
  </si>
  <si>
    <t>074-36-6882</t>
  </si>
  <si>
    <t>088-42-4781</t>
  </si>
  <si>
    <t>128-48-5081</t>
  </si>
  <si>
    <t>115-50-4779</t>
  </si>
  <si>
    <t>090-82-9550</t>
  </si>
  <si>
    <t>059-88-6969</t>
  </si>
  <si>
    <t>118-52-0961</t>
  </si>
  <si>
    <t>131-58-5938</t>
  </si>
  <si>
    <t>580-04-1530</t>
  </si>
  <si>
    <t>214-17-0949</t>
  </si>
  <si>
    <t>104-52-0126</t>
  </si>
  <si>
    <t>096-98-2188</t>
  </si>
  <si>
    <t>088-98-0666</t>
  </si>
  <si>
    <t>216-90-2648</t>
  </si>
  <si>
    <t>125-64-7009</t>
  </si>
  <si>
    <t>070-46-7829</t>
  </si>
  <si>
    <t>745-13-9509</t>
  </si>
  <si>
    <t>093-70-5727</t>
  </si>
  <si>
    <t>079-30-6207</t>
  </si>
  <si>
    <t>000-00-0349</t>
  </si>
  <si>
    <t>052-82-2957</t>
  </si>
  <si>
    <t>127-64-1503</t>
  </si>
  <si>
    <t>255-21-1421</t>
  </si>
  <si>
    <t>141-68-6532</t>
  </si>
  <si>
    <t>000-00-8902</t>
  </si>
  <si>
    <t>732-58-8729</t>
  </si>
  <si>
    <t>119-60-1764</t>
  </si>
  <si>
    <t>000-00-9129</t>
  </si>
  <si>
    <t>131-68-2755</t>
  </si>
  <si>
    <t>057-80-7038</t>
  </si>
  <si>
    <t>000-00-5432</t>
  </si>
  <si>
    <t>196-54-5104</t>
  </si>
  <si>
    <t>123-94-5000</t>
  </si>
  <si>
    <t>071-66-2037</t>
  </si>
  <si>
    <t>109-96-8791</t>
  </si>
  <si>
    <t>055-54-9671</t>
  </si>
  <si>
    <t>094-56-5789</t>
  </si>
  <si>
    <t>000-00-7480</t>
  </si>
  <si>
    <t>152-68-4308</t>
  </si>
  <si>
    <t>129-60-0035</t>
  </si>
  <si>
    <t>000-00-2160</t>
  </si>
  <si>
    <t>085-72-1739</t>
  </si>
  <si>
    <t>106-68-9482</t>
  </si>
  <si>
    <t>120-66-6913</t>
  </si>
  <si>
    <t>075-66-6280</t>
  </si>
  <si>
    <t>000-00-6655</t>
  </si>
  <si>
    <t>115-70-0759</t>
  </si>
  <si>
    <t>073-02-1406</t>
  </si>
  <si>
    <t>119-84-0064</t>
  </si>
  <si>
    <t>122-56-0080</t>
  </si>
  <si>
    <t>396-84-0330</t>
  </si>
  <si>
    <t>567-71-7821</t>
  </si>
  <si>
    <t>099-42-8739</t>
  </si>
  <si>
    <t>091-70-5239</t>
  </si>
  <si>
    <t>105-50-3704</t>
  </si>
  <si>
    <t>000-00-4307</t>
  </si>
  <si>
    <t>130-98-8445</t>
  </si>
  <si>
    <t>105-34-4504</t>
  </si>
  <si>
    <t>100-80-5792</t>
  </si>
  <si>
    <t>064-56-8677</t>
  </si>
  <si>
    <t>240-19-9335</t>
  </si>
  <si>
    <t>097-54-9364</t>
  </si>
  <si>
    <t>125-50-5459</t>
  </si>
  <si>
    <t>061-76-8326</t>
  </si>
  <si>
    <t>164-54-6271</t>
  </si>
  <si>
    <t>050-70-4957</t>
  </si>
  <si>
    <t>162-64-2046</t>
  </si>
  <si>
    <t>000-00-6323</t>
  </si>
  <si>
    <t>117-56-5975</t>
  </si>
  <si>
    <t>065-96-1561</t>
  </si>
  <si>
    <t>091-86-3756</t>
  </si>
  <si>
    <t>582-45-7111</t>
  </si>
  <si>
    <t>000-00-7776</t>
  </si>
  <si>
    <t>421-33-7942</t>
  </si>
  <si>
    <t>131-76-7675</t>
  </si>
  <si>
    <t>187-87-6083</t>
  </si>
  <si>
    <t>195-86-5442</t>
  </si>
  <si>
    <t>070-46-5684</t>
  </si>
  <si>
    <t>072-54-7402</t>
  </si>
  <si>
    <t>000-00-1825</t>
  </si>
  <si>
    <t>419-37-8798</t>
  </si>
  <si>
    <t>580-37-7897</t>
  </si>
  <si>
    <t>093-74-8889</t>
  </si>
  <si>
    <t>067-64-3361</t>
  </si>
  <si>
    <t>108-40-6603</t>
  </si>
  <si>
    <t>066-76-5444</t>
  </si>
  <si>
    <t>059-76-5877</t>
  </si>
  <si>
    <t>053-78-2518</t>
  </si>
  <si>
    <t>090-52-5150</t>
  </si>
  <si>
    <t>122-64-6511</t>
  </si>
  <si>
    <t>050-58-7243</t>
  </si>
  <si>
    <t>214-87-7100</t>
  </si>
  <si>
    <t>127-68-2900</t>
  </si>
  <si>
    <t>111-66-3225</t>
  </si>
  <si>
    <t>097-60-3286</t>
  </si>
  <si>
    <t>082-62-9723</t>
  </si>
  <si>
    <t>121-98-2773</t>
  </si>
  <si>
    <t>055-58-5672</t>
  </si>
  <si>
    <t>110-58-5332</t>
  </si>
  <si>
    <t>055-50-8675</t>
  </si>
  <si>
    <t>104-92-3063</t>
  </si>
  <si>
    <t>111-64-6730</t>
  </si>
  <si>
    <t>081-56-7111</t>
  </si>
  <si>
    <t>250-04-4650</t>
  </si>
  <si>
    <t>298-46-7618</t>
  </si>
  <si>
    <t>125-52-6597</t>
  </si>
  <si>
    <t>067-64-8634</t>
  </si>
  <si>
    <t>080-42-9929</t>
  </si>
  <si>
    <t>055-68-8951</t>
  </si>
  <si>
    <t>128-48-8728</t>
  </si>
  <si>
    <t>124-78-7454</t>
  </si>
  <si>
    <t>000-00-5113</t>
  </si>
  <si>
    <t>052-54-5396</t>
  </si>
  <si>
    <t>058-66-2147</t>
  </si>
  <si>
    <t>735-38-5204</t>
  </si>
  <si>
    <t>062-70-8859</t>
  </si>
  <si>
    <t>605-03-9992</t>
  </si>
  <si>
    <t>101-02-7535</t>
  </si>
  <si>
    <t>041-88-0006</t>
  </si>
  <si>
    <t>112-36-5156</t>
  </si>
  <si>
    <t>084-84-8419</t>
  </si>
  <si>
    <t>060-60-5459</t>
  </si>
  <si>
    <t>115-62-3314</t>
  </si>
  <si>
    <t>182-82-1883</t>
  </si>
  <si>
    <t>070-86-6463</t>
  </si>
  <si>
    <t>126-76-6025</t>
  </si>
  <si>
    <t>071-40-6716</t>
  </si>
  <si>
    <t>087-68-2342</t>
  </si>
  <si>
    <t>549-02-9948</t>
  </si>
  <si>
    <t>053-90-4428</t>
  </si>
  <si>
    <t>901-64-8979</t>
  </si>
  <si>
    <t>586-66-7487</t>
  </si>
  <si>
    <t>061-50-8985</t>
  </si>
  <si>
    <t>000-00-6209</t>
  </si>
  <si>
    <t>050-72-6742</t>
  </si>
  <si>
    <t>088-42-6232</t>
  </si>
  <si>
    <t>113-70-4557</t>
  </si>
  <si>
    <t>546-77-2211</t>
  </si>
  <si>
    <t>045-40-3737</t>
  </si>
  <si>
    <t>074-68-3568</t>
  </si>
  <si>
    <t>036-52-1331</t>
  </si>
  <si>
    <t>051-60-7216</t>
  </si>
  <si>
    <t>000-00-8192</t>
  </si>
  <si>
    <t>722-13-3343</t>
  </si>
  <si>
    <t>063-78-5847</t>
  </si>
  <si>
    <t>087-54-1362</t>
  </si>
  <si>
    <t>094-02-5191</t>
  </si>
  <si>
    <t>131-74-9419</t>
  </si>
  <si>
    <t>088-56-3906</t>
  </si>
  <si>
    <t>073-76-0735</t>
  </si>
  <si>
    <t>120-34-5269</t>
  </si>
  <si>
    <t>057-72-7330</t>
  </si>
  <si>
    <t>000-00-7163</t>
  </si>
  <si>
    <t>111-72-5519</t>
  </si>
  <si>
    <t>085-70-0759</t>
  </si>
  <si>
    <t>074-36-3120</t>
  </si>
  <si>
    <t>072-82-1692</t>
  </si>
  <si>
    <t>103-34-4797</t>
  </si>
  <si>
    <t>119-46-4623</t>
  </si>
  <si>
    <t>087-44-5035</t>
  </si>
  <si>
    <t>164-78-6578</t>
  </si>
  <si>
    <t>576-73-6828</t>
  </si>
  <si>
    <t>071-60-6177</t>
  </si>
  <si>
    <t>000-00-4219</t>
  </si>
  <si>
    <t>055-64-9501</t>
  </si>
  <si>
    <t>000-00-2360</t>
  </si>
  <si>
    <t>133-58-3032</t>
  </si>
  <si>
    <t>062-68-2973</t>
  </si>
  <si>
    <t>097-56-8616</t>
  </si>
  <si>
    <t>093-36-9010</t>
  </si>
  <si>
    <t>000-00-9864</t>
  </si>
  <si>
    <t>056-50-8110</t>
  </si>
  <si>
    <t>088-42-1417</t>
  </si>
  <si>
    <t>000-00-1684</t>
  </si>
  <si>
    <t>050-96-0460</t>
  </si>
  <si>
    <t>075-44-4203</t>
  </si>
  <si>
    <t>240-68-4145</t>
  </si>
  <si>
    <t>000-00-3006</t>
  </si>
  <si>
    <t>084-50-9809</t>
  </si>
  <si>
    <t>116-66-2535</t>
  </si>
  <si>
    <t>762-13-1563</t>
  </si>
  <si>
    <t>000-00-7844</t>
  </si>
  <si>
    <t>133-48-4104</t>
  </si>
  <si>
    <t>580-37-4487</t>
  </si>
  <si>
    <t>097-98-6441</t>
  </si>
  <si>
    <t>125-58-8426</t>
  </si>
  <si>
    <t>056-68-5649</t>
  </si>
  <si>
    <t>071-62-5087</t>
  </si>
  <si>
    <t>596-20-7994</t>
  </si>
  <si>
    <t>130-58-1665</t>
  </si>
  <si>
    <t>133-58-6816</t>
  </si>
  <si>
    <t>580-32-7198</t>
  </si>
  <si>
    <t>121-66-2238</t>
  </si>
  <si>
    <t>066-66-3687</t>
  </si>
  <si>
    <t>053-44-6454</t>
  </si>
  <si>
    <t>069-70-1662</t>
  </si>
  <si>
    <t>749-94-5494</t>
  </si>
  <si>
    <t>066-86-5824</t>
  </si>
  <si>
    <t>132-78-1745</t>
  </si>
  <si>
    <t>111-58-7508</t>
  </si>
  <si>
    <t>096-36-8722</t>
  </si>
  <si>
    <t>099-44-0354</t>
  </si>
  <si>
    <t>082-40-2954</t>
  </si>
  <si>
    <t>082-40-1736</t>
  </si>
  <si>
    <t>057-68-3215</t>
  </si>
  <si>
    <t>421-41-5472</t>
  </si>
  <si>
    <t>192-59-0527</t>
  </si>
  <si>
    <t>103-42-8843</t>
  </si>
  <si>
    <t>083-78-9685</t>
  </si>
  <si>
    <t>104-64-5899</t>
  </si>
  <si>
    <t>123-56-6527</t>
  </si>
  <si>
    <t>215-27-4993</t>
  </si>
  <si>
    <t>060-90-4861</t>
  </si>
  <si>
    <t>730-14-5584</t>
  </si>
  <si>
    <t>091-64-4525</t>
  </si>
  <si>
    <t>597-54-8587</t>
  </si>
  <si>
    <t>128-84-3364</t>
  </si>
  <si>
    <t>181-32-1001</t>
  </si>
  <si>
    <t>080-70-3580</t>
  </si>
  <si>
    <t>068-58-6529</t>
  </si>
  <si>
    <t>116-78-1789</t>
  </si>
  <si>
    <t>119-84-0074</t>
  </si>
  <si>
    <t>596-01-4026</t>
  </si>
  <si>
    <t>000-00-0654</t>
  </si>
  <si>
    <t>115-62-3946</t>
  </si>
  <si>
    <t>359-78-7522</t>
  </si>
  <si>
    <t>197-32-6777</t>
  </si>
  <si>
    <t>865-86-7838</t>
  </si>
  <si>
    <t>083-64-9169</t>
  </si>
  <si>
    <t>072-66-2408</t>
  </si>
  <si>
    <t>121-40-2091</t>
  </si>
  <si>
    <t>132-84-8976</t>
  </si>
  <si>
    <t>110-90-0229</t>
  </si>
  <si>
    <t>124-92-1988</t>
  </si>
  <si>
    <t>486-78-1679</t>
  </si>
  <si>
    <t>129-64-6255</t>
  </si>
  <si>
    <t>083-66-4543</t>
  </si>
  <si>
    <t>238-47-0292</t>
  </si>
  <si>
    <t>623-08-2052</t>
  </si>
  <si>
    <t>000-00-8489</t>
  </si>
  <si>
    <t>065-68-2661</t>
  </si>
  <si>
    <t>113-84-5029</t>
  </si>
  <si>
    <t>236-02-0058</t>
  </si>
  <si>
    <t>422-76-4273</t>
  </si>
  <si>
    <t>597-34-9158</t>
  </si>
  <si>
    <t>071-44-0364</t>
  </si>
  <si>
    <t>884-23-2444</t>
  </si>
  <si>
    <t>053-88-5925</t>
  </si>
  <si>
    <t>089-68-0342</t>
  </si>
  <si>
    <t>568-61-3225</t>
  </si>
  <si>
    <t>060-76-6373</t>
  </si>
  <si>
    <t>000-00-3964</t>
  </si>
  <si>
    <t>086-72-8728</t>
  </si>
  <si>
    <t>128-92-8905</t>
  </si>
  <si>
    <t>087-86-4402</t>
  </si>
  <si>
    <t>096-88-6073</t>
  </si>
  <si>
    <t>071-46-3302</t>
  </si>
  <si>
    <t>103-82-4642</t>
  </si>
  <si>
    <t>414-25-0034</t>
  </si>
  <si>
    <t>079-68-0475</t>
  </si>
  <si>
    <t>064-58-7548</t>
  </si>
  <si>
    <t>115-52-9638</t>
  </si>
  <si>
    <t>127-52-2311</t>
  </si>
  <si>
    <t>085-48-7962</t>
  </si>
  <si>
    <t>065-64-9016</t>
  </si>
  <si>
    <t>084-78-2051</t>
  </si>
  <si>
    <t>092-40-7625</t>
  </si>
  <si>
    <t>109-88-3339</t>
  </si>
  <si>
    <t>057-86-3392</t>
  </si>
  <si>
    <t>070-60-1058</t>
  </si>
  <si>
    <t>050-84-9419</t>
  </si>
  <si>
    <t>076-58-8477</t>
  </si>
  <si>
    <t>492-11-8787</t>
  </si>
  <si>
    <t>085-52-2717</t>
  </si>
  <si>
    <t>069-68-4613</t>
  </si>
  <si>
    <t>859-21-5813</t>
  </si>
  <si>
    <t>070-42-5556</t>
  </si>
  <si>
    <t>059-54-9523</t>
  </si>
  <si>
    <t>053-68-6319</t>
  </si>
  <si>
    <t>126-62-9928</t>
  </si>
  <si>
    <t>078-74-7343</t>
  </si>
  <si>
    <t>583-54-9823</t>
  </si>
  <si>
    <t>581-46-3019</t>
  </si>
  <si>
    <t>105-30-4113</t>
  </si>
  <si>
    <t>070-88-7611</t>
  </si>
  <si>
    <t>131-70-9663</t>
  </si>
  <si>
    <t>069-76-7824</t>
  </si>
  <si>
    <t>087-92-8800</t>
  </si>
  <si>
    <t>121-62-9499</t>
  </si>
  <si>
    <t>085-58-9145</t>
  </si>
  <si>
    <t>081-68-8799</t>
  </si>
  <si>
    <t>065-70-5629</t>
  </si>
  <si>
    <t>107-68-4705</t>
  </si>
  <si>
    <t>372-84-5289</t>
  </si>
  <si>
    <t>127-96-7620</t>
  </si>
  <si>
    <t>583-20-9056</t>
  </si>
  <si>
    <t>102-52-7374</t>
  </si>
  <si>
    <t>670-51-1002</t>
  </si>
  <si>
    <t>082-56-6937</t>
  </si>
  <si>
    <t>082-56-4010</t>
  </si>
  <si>
    <t>134-96-3516</t>
  </si>
  <si>
    <t>081-56-5874</t>
  </si>
  <si>
    <t>134-28-7924</t>
  </si>
  <si>
    <t>130-58-8477</t>
  </si>
  <si>
    <t>074-46-1890</t>
  </si>
  <si>
    <t>143-97-7751</t>
  </si>
  <si>
    <t>112-92-4236</t>
  </si>
  <si>
    <t>064-68-6086</t>
  </si>
  <si>
    <t>255-83-0669</t>
  </si>
  <si>
    <t>081-80-6178</t>
  </si>
  <si>
    <t>096-58-6839</t>
  </si>
  <si>
    <t>085-50-2719</t>
  </si>
  <si>
    <t>279-52-0987</t>
  </si>
  <si>
    <t>069-72-5393</t>
  </si>
  <si>
    <t>097-70-5274</t>
  </si>
  <si>
    <t>126-70-9635</t>
  </si>
  <si>
    <t>174-95-0848</t>
  </si>
  <si>
    <t>053-96-7708</t>
  </si>
  <si>
    <t>478-21-9172</t>
  </si>
  <si>
    <t>133-76-2262</t>
  </si>
  <si>
    <t>100-76-6561</t>
  </si>
  <si>
    <t>128-50-3227</t>
  </si>
  <si>
    <t>227-72-1230</t>
  </si>
  <si>
    <t>068-80-4361</t>
  </si>
  <si>
    <t>084-36-8017</t>
  </si>
  <si>
    <t>069-64-3494</t>
  </si>
  <si>
    <t>578-72-1205</t>
  </si>
  <si>
    <t>106-80-1752</t>
  </si>
  <si>
    <t>209-40-2166</t>
  </si>
  <si>
    <t>088-46-7644</t>
  </si>
  <si>
    <t>057-50-8883</t>
  </si>
  <si>
    <t>051-82-3570</t>
  </si>
  <si>
    <t>208-58-9688</t>
  </si>
  <si>
    <t>102-98-2065</t>
  </si>
  <si>
    <t>096-96-8484</t>
  </si>
  <si>
    <t>099-72-5450</t>
  </si>
  <si>
    <t>058-62-1216</t>
  </si>
  <si>
    <t>584-73-2683</t>
  </si>
  <si>
    <t>592-33-4514</t>
  </si>
  <si>
    <t>119-52-5006</t>
  </si>
  <si>
    <t>052-70-0892</t>
  </si>
  <si>
    <t>073-62-7777</t>
  </si>
  <si>
    <t>591-01-4055</t>
  </si>
  <si>
    <t>088-94-2041</t>
  </si>
  <si>
    <t>300-56-3275</t>
  </si>
  <si>
    <t>249-81-5160</t>
  </si>
  <si>
    <t>145-13-2292</t>
  </si>
  <si>
    <t>057-56-7231</t>
  </si>
  <si>
    <t>106-48-9252</t>
  </si>
  <si>
    <t>000-00-4565</t>
  </si>
  <si>
    <t>093-70-5767</t>
  </si>
  <si>
    <t>114-78-5084</t>
  </si>
  <si>
    <t>117-82-4105</t>
  </si>
  <si>
    <t>017-70-7033</t>
  </si>
  <si>
    <t>093-58-6703</t>
  </si>
  <si>
    <t>000-00-8022</t>
  </si>
  <si>
    <t>120-74-5250</t>
  </si>
  <si>
    <t>124-82-2769</t>
  </si>
  <si>
    <t>127-42-5546</t>
  </si>
  <si>
    <t>058-50-5191</t>
  </si>
  <si>
    <t>154-72-0727</t>
  </si>
  <si>
    <t>069-56-4280</t>
  </si>
  <si>
    <t>054-48-0009</t>
  </si>
  <si>
    <t>126-13-7947</t>
  </si>
  <si>
    <t>000-00-1788</t>
  </si>
  <si>
    <t>041-84-6055</t>
  </si>
  <si>
    <t>000-00-1216</t>
  </si>
  <si>
    <t>025-46-5873</t>
  </si>
  <si>
    <t>658-29-4649</t>
  </si>
  <si>
    <t>233-02-0051</t>
  </si>
  <si>
    <t>083-60-3258</t>
  </si>
  <si>
    <t>079-50-0331</t>
  </si>
  <si>
    <t>132-88-0017</t>
  </si>
  <si>
    <t>004-72-8629</t>
  </si>
  <si>
    <t>088-40-4774</t>
  </si>
  <si>
    <t>029-64-3712</t>
  </si>
  <si>
    <t>148-60-1760</t>
  </si>
  <si>
    <t>116-72-8003</t>
  </si>
  <si>
    <t>187-70-7024</t>
  </si>
  <si>
    <t>000-00-5374</t>
  </si>
  <si>
    <t>000-00-2744</t>
  </si>
  <si>
    <t>593-64-9081</t>
  </si>
  <si>
    <t>082-60-0855</t>
  </si>
  <si>
    <t>116-56-9672</t>
  </si>
  <si>
    <t>104-56-2006</t>
  </si>
  <si>
    <t>065-40-7700</t>
  </si>
  <si>
    <t>118-54-2101</t>
  </si>
  <si>
    <t>078-70-5975</t>
  </si>
  <si>
    <t>262-93-0699</t>
  </si>
  <si>
    <t>000-00-9649</t>
  </si>
  <si>
    <t>590-26-6788</t>
  </si>
  <si>
    <t>083-76-7025</t>
  </si>
  <si>
    <t>069-46-7647</t>
  </si>
  <si>
    <t>083-40-9234</t>
  </si>
  <si>
    <t>069-58-0202</t>
  </si>
  <si>
    <t>134-62-9568</t>
  </si>
  <si>
    <t>603-70-6655</t>
  </si>
  <si>
    <t>198-72-0111</t>
  </si>
  <si>
    <t>072-58-6750</t>
  </si>
  <si>
    <t>117-62-7802</t>
  </si>
  <si>
    <t>128-48-3275</t>
  </si>
  <si>
    <t>087-88-1015</t>
  </si>
  <si>
    <t>056-60-8341</t>
  </si>
  <si>
    <t>089-72-2213</t>
  </si>
  <si>
    <t>000-00-9201</t>
  </si>
  <si>
    <t>126-48-0614</t>
  </si>
  <si>
    <t>000-00-5760</t>
  </si>
  <si>
    <t>093-84-9934</t>
  </si>
  <si>
    <t>085-58-3440</t>
  </si>
  <si>
    <t>061-74-3568</t>
  </si>
  <si>
    <t>060-58-9508</t>
  </si>
  <si>
    <t>627-20-2678</t>
  </si>
  <si>
    <t>581-75-9889</t>
  </si>
  <si>
    <t>104-40-9953</t>
  </si>
  <si>
    <t>581-64-4634</t>
  </si>
  <si>
    <t>000-00-3670</t>
  </si>
  <si>
    <t>068-68-6129</t>
  </si>
  <si>
    <t>097-56-3138</t>
  </si>
  <si>
    <t>059-58-9571</t>
  </si>
  <si>
    <t>117-56-9577</t>
  </si>
  <si>
    <t>072-54-9330</t>
  </si>
  <si>
    <t>729-18-7560</t>
  </si>
  <si>
    <t>068-48-5106</t>
  </si>
  <si>
    <t>120-54-2166</t>
  </si>
  <si>
    <t>113-54-3790</t>
  </si>
  <si>
    <t>121-70-1371</t>
  </si>
  <si>
    <t>073-70-5097</t>
  </si>
  <si>
    <t>589-23-4399</t>
  </si>
  <si>
    <t>099-52-9805</t>
  </si>
  <si>
    <t>099-44-7045</t>
  </si>
  <si>
    <t>000-00-7216</t>
  </si>
  <si>
    <t>141-78-4009</t>
  </si>
  <si>
    <t>064-72-9983</t>
  </si>
  <si>
    <t>108-54-3993</t>
  </si>
  <si>
    <t>146-35-7950</t>
  </si>
  <si>
    <t>123-88-2249</t>
  </si>
  <si>
    <t>074-78-2751</t>
  </si>
  <si>
    <t>070-02-3583</t>
  </si>
  <si>
    <t>057-68-2109</t>
  </si>
  <si>
    <t>117-62-0932</t>
  </si>
  <si>
    <t>062-54-6005</t>
  </si>
  <si>
    <t>067-70-6245</t>
  </si>
  <si>
    <t>072-60-5573</t>
  </si>
  <si>
    <t>110-82-2652</t>
  </si>
  <si>
    <t>127-84-1342</t>
  </si>
  <si>
    <t>116-80-6742</t>
  </si>
  <si>
    <t>000-00-5025</t>
  </si>
  <si>
    <t>243-75-7400</t>
  </si>
  <si>
    <t>057-58-8387</t>
  </si>
  <si>
    <t>095-64-3185</t>
  </si>
  <si>
    <t>156-72-1990</t>
  </si>
  <si>
    <t>043-52-2819</t>
  </si>
  <si>
    <t>080-74-0099</t>
  </si>
  <si>
    <t>858-94-6918</t>
  </si>
  <si>
    <t>117-86-6544</t>
  </si>
  <si>
    <t>366-96-3121</t>
  </si>
  <si>
    <t>000-00-3578</t>
  </si>
  <si>
    <t>107-66-1627</t>
  </si>
  <si>
    <t>123-56-8341</t>
  </si>
  <si>
    <t>128-92-0344</t>
  </si>
  <si>
    <t>433-73-3540</t>
  </si>
  <si>
    <t>090-56-8808</t>
  </si>
  <si>
    <t>128-44-8364</t>
  </si>
  <si>
    <t>090-84-9289</t>
  </si>
  <si>
    <t>134-60-9442</t>
  </si>
  <si>
    <t>000-00-7281</t>
  </si>
  <si>
    <t>862-69-8155</t>
  </si>
  <si>
    <t>103-74-8303</t>
  </si>
  <si>
    <t>096-70-7786</t>
  </si>
  <si>
    <t>052-54-2516</t>
  </si>
  <si>
    <t>114-96-7528</t>
  </si>
  <si>
    <t>065-72-6768</t>
  </si>
  <si>
    <t>186-70-5725</t>
  </si>
  <si>
    <t>000-00-1612</t>
  </si>
  <si>
    <t>105-82-3029</t>
  </si>
  <si>
    <t>056-88-6442</t>
  </si>
  <si>
    <t>083-86-5042</t>
  </si>
  <si>
    <t>122-36-9434</t>
  </si>
  <si>
    <t>126-68-5017</t>
  </si>
  <si>
    <t>893-94-1879</t>
  </si>
  <si>
    <t>156-49-6673</t>
  </si>
  <si>
    <t>593-03-3171</t>
  </si>
  <si>
    <t>000-00-7833</t>
  </si>
  <si>
    <t>051-56-8784</t>
  </si>
  <si>
    <t>053-92-3642</t>
  </si>
  <si>
    <t>145-76-8212</t>
  </si>
  <si>
    <t>102-62-7314</t>
  </si>
  <si>
    <t>098-64-8015</t>
  </si>
  <si>
    <t>089-64-6514</t>
  </si>
  <si>
    <t>100-78-4734</t>
  </si>
  <si>
    <t>098-94-3587</t>
  </si>
  <si>
    <t>123-88-5390</t>
  </si>
  <si>
    <t>055-60-0118</t>
  </si>
  <si>
    <t>084-86-7598</t>
  </si>
  <si>
    <t>065-64-2804</t>
  </si>
  <si>
    <t>054-70-7207</t>
  </si>
  <si>
    <t>057-60-4094</t>
  </si>
  <si>
    <t>090-72-9973</t>
  </si>
  <si>
    <t>096-56-7589</t>
  </si>
  <si>
    <t>105-68-4147</t>
  </si>
  <si>
    <t>118-46-9004</t>
  </si>
  <si>
    <t>000-00-1223</t>
  </si>
  <si>
    <t>061-02-8917</t>
  </si>
  <si>
    <t>625-71-9125</t>
  </si>
  <si>
    <t>065-26-1368</t>
  </si>
  <si>
    <t>581-67-1674</t>
  </si>
  <si>
    <t>582-61-3047</t>
  </si>
  <si>
    <t>102-60-5194</t>
  </si>
  <si>
    <t>069-72-8929</t>
  </si>
  <si>
    <t>000-00-0303</t>
  </si>
  <si>
    <t>040-04-2795</t>
  </si>
  <si>
    <t>076-86-9957</t>
  </si>
  <si>
    <t>025-64-6550</t>
  </si>
  <si>
    <t>584-47-4471</t>
  </si>
  <si>
    <t>130-76-9259</t>
  </si>
  <si>
    <t>000-00-0301</t>
  </si>
  <si>
    <t>069-58-3444</t>
  </si>
  <si>
    <t>112-98-8334</t>
  </si>
  <si>
    <t>096-54-4276</t>
  </si>
  <si>
    <t>080-52-9201</t>
  </si>
  <si>
    <t>102-62-2887</t>
  </si>
  <si>
    <t>050-38-5481</t>
  </si>
  <si>
    <t>438-49-9018</t>
  </si>
  <si>
    <t>163-42-5038</t>
  </si>
  <si>
    <t>096-66-5787</t>
  </si>
  <si>
    <t>408-69-3048</t>
  </si>
  <si>
    <t>064-48-9922</t>
  </si>
  <si>
    <t>100-54-7668</t>
  </si>
  <si>
    <t>000-00-9645</t>
  </si>
  <si>
    <t>084-56-8573</t>
  </si>
  <si>
    <t>583-47-7551</t>
  </si>
  <si>
    <t>673-76-1425</t>
  </si>
  <si>
    <t>081-44-6643</t>
  </si>
  <si>
    <t>115-90-2839</t>
  </si>
  <si>
    <t>096-84-7683</t>
  </si>
  <si>
    <t>085-72-7021</t>
  </si>
  <si>
    <t>246-65-7650</t>
  </si>
  <si>
    <t>519-39-2805</t>
  </si>
  <si>
    <t>064-58-5051</t>
  </si>
  <si>
    <t>099-80-8189</t>
  </si>
  <si>
    <t>583-78-2300</t>
  </si>
  <si>
    <t>094-58-3516</t>
  </si>
  <si>
    <t>053-84-8766</t>
  </si>
  <si>
    <t>061-68-7477</t>
  </si>
  <si>
    <t>089-52-0390</t>
  </si>
  <si>
    <t>105-96-4969</t>
  </si>
  <si>
    <t>068-90-1392</t>
  </si>
  <si>
    <t>094-62-6919</t>
  </si>
  <si>
    <t>083-68-6866</t>
  </si>
  <si>
    <t>083-64-4372</t>
  </si>
  <si>
    <t>095-62-5959</t>
  </si>
  <si>
    <t>000-00-4848</t>
  </si>
  <si>
    <t>102-96-8739</t>
  </si>
  <si>
    <t>056-40-1468</t>
  </si>
  <si>
    <t>609-24-9962</t>
  </si>
  <si>
    <t>127-60-7211</t>
  </si>
  <si>
    <t>055-86-1731</t>
  </si>
  <si>
    <t>130-48-7994</t>
  </si>
  <si>
    <t>428-66-0813</t>
  </si>
  <si>
    <t>083-86-5750</t>
  </si>
  <si>
    <t>078-74-6038</t>
  </si>
  <si>
    <t>126-55-4980</t>
  </si>
  <si>
    <t>086-62-9196</t>
  </si>
  <si>
    <t>123-68-8724</t>
  </si>
  <si>
    <t>104-32-0617</t>
  </si>
  <si>
    <t>059-62-9331</t>
  </si>
  <si>
    <t>158-52-0769</t>
  </si>
  <si>
    <t>373-64-5954</t>
  </si>
  <si>
    <t>062-68-0411</t>
  </si>
  <si>
    <t>058-72-0224</t>
  </si>
  <si>
    <t>127-60-0446</t>
  </si>
  <si>
    <t>127-58-0075</t>
  </si>
  <si>
    <t>068-48-8275</t>
  </si>
  <si>
    <t>113-56-5950</t>
  </si>
  <si>
    <t>129-78-0632</t>
  </si>
  <si>
    <t>128-26-5162</t>
  </si>
  <si>
    <t>060-66-4045</t>
  </si>
  <si>
    <t>532-94-6576</t>
  </si>
  <si>
    <t>052-78-6062</t>
  </si>
  <si>
    <t>057-92-6427</t>
  </si>
  <si>
    <t>115-78-4315</t>
  </si>
  <si>
    <t>057-34-1734</t>
  </si>
  <si>
    <t>073-56-9766</t>
  </si>
  <si>
    <t>112-58-0464</t>
  </si>
  <si>
    <t>129-36-3367</t>
  </si>
  <si>
    <t>067-46-5820</t>
  </si>
  <si>
    <t>122-70-6748</t>
  </si>
  <si>
    <t>109-66-5774</t>
  </si>
  <si>
    <t>086-48-2152</t>
  </si>
  <si>
    <t>000-00-9952</t>
  </si>
  <si>
    <t>103-62-0516</t>
  </si>
  <si>
    <t>094-64-9085</t>
  </si>
  <si>
    <t>108-28-2340</t>
  </si>
  <si>
    <t>084-60-8407</t>
  </si>
  <si>
    <t>000-00-8053</t>
  </si>
  <si>
    <t>133-80-9120</t>
  </si>
  <si>
    <t>095-64-8997</t>
  </si>
  <si>
    <t>111-86-9048</t>
  </si>
  <si>
    <t>098-88-0607</t>
  </si>
  <si>
    <t>000-00-1064</t>
  </si>
  <si>
    <t>108-64-8148</t>
  </si>
  <si>
    <t>050-58-0192</t>
  </si>
  <si>
    <t>359-58-3514</t>
  </si>
  <si>
    <t>062-54-5804</t>
  </si>
  <si>
    <t>715-26-5027</t>
  </si>
  <si>
    <t>075-82-8008</t>
  </si>
  <si>
    <t>065-50-7123</t>
  </si>
  <si>
    <t>113-68-0200</t>
  </si>
  <si>
    <t>000-00-7454</t>
  </si>
  <si>
    <t>106-76-7872</t>
  </si>
  <si>
    <t>127-66-3917</t>
  </si>
  <si>
    <t>101-50-5485</t>
  </si>
  <si>
    <t>056-58-9041</t>
  </si>
  <si>
    <t>060-56-5169</t>
  </si>
  <si>
    <t>098-56-3990</t>
  </si>
  <si>
    <t>267-02-9739</t>
  </si>
  <si>
    <t>233-76-1052</t>
  </si>
  <si>
    <t>119-50-7277</t>
  </si>
  <si>
    <t>053-66-4297</t>
  </si>
  <si>
    <t>094-02-9016</t>
  </si>
  <si>
    <t>082-50-2255</t>
  </si>
  <si>
    <t>061-34-2606</t>
  </si>
  <si>
    <t>119-82-9788</t>
  </si>
  <si>
    <t>083-80-0138</t>
  </si>
  <si>
    <t>059-86-9495</t>
  </si>
  <si>
    <t>049-70-2432</t>
  </si>
  <si>
    <t>123-54-6854</t>
  </si>
  <si>
    <t>074-60-5023</t>
  </si>
  <si>
    <t>057-92-5679</t>
  </si>
  <si>
    <t>075-84-5743</t>
  </si>
  <si>
    <t>096-68-6113</t>
  </si>
  <si>
    <t>091-44-1808</t>
  </si>
  <si>
    <t>111-60-5783</t>
  </si>
  <si>
    <t>114-96-7551</t>
  </si>
  <si>
    <t>044-70-4495</t>
  </si>
  <si>
    <t>074-62-1096</t>
  </si>
  <si>
    <t>081-52-8059</t>
  </si>
  <si>
    <t>090-34-2657</t>
  </si>
  <si>
    <t>119-90-8146</t>
  </si>
  <si>
    <t>111-70-1310</t>
  </si>
  <si>
    <t>476-92-5143</t>
  </si>
  <si>
    <t>192-54-0241</t>
  </si>
  <si>
    <t>133-70-9471</t>
  </si>
  <si>
    <t>109-46-4981</t>
  </si>
  <si>
    <t>584-66-0346</t>
  </si>
  <si>
    <t>060-58-2207</t>
  </si>
  <si>
    <t>000-00-9115</t>
  </si>
  <si>
    <t>080-64-8187</t>
  </si>
  <si>
    <t>797-90-5269</t>
  </si>
  <si>
    <t>052-82-8861</t>
  </si>
  <si>
    <t>119-40-9191</t>
  </si>
  <si>
    <t>118-46-3293</t>
  </si>
  <si>
    <t>098-54-8767</t>
  </si>
  <si>
    <t>000-00-3666</t>
  </si>
  <si>
    <t>072-52-9933</t>
  </si>
  <si>
    <t>000-00-3685</t>
  </si>
  <si>
    <t>000-00-4538</t>
  </si>
  <si>
    <t>115-88-2778</t>
  </si>
  <si>
    <t>097-46-4066</t>
  </si>
  <si>
    <t>103-70-7197</t>
  </si>
  <si>
    <t>000-00-0432</t>
  </si>
  <si>
    <t>377-88-6199</t>
  </si>
  <si>
    <t>092-76-6481</t>
  </si>
  <si>
    <t>584-08-5697</t>
  </si>
  <si>
    <t>065-82-4071</t>
  </si>
  <si>
    <t>583-44-3866</t>
  </si>
  <si>
    <t>582-21-6737</t>
  </si>
  <si>
    <t>000-00-7392</t>
  </si>
  <si>
    <t>128-80-5920</t>
  </si>
  <si>
    <t>583-35-1366</t>
  </si>
  <si>
    <t>000-00-4995</t>
  </si>
  <si>
    <t>058-80-0591</t>
  </si>
  <si>
    <t>113-40-8268</t>
  </si>
  <si>
    <t>072-50-6590</t>
  </si>
  <si>
    <t>105-68-5357</t>
  </si>
  <si>
    <t>098-54-5212</t>
  </si>
  <si>
    <t>098-02-9496</t>
  </si>
  <si>
    <t>000-00-9949</t>
  </si>
  <si>
    <t>064-32-8222</t>
  </si>
  <si>
    <t>000-00-8850</t>
  </si>
  <si>
    <t>134-46-6941</t>
  </si>
  <si>
    <t>124-56-2820</t>
  </si>
  <si>
    <t>125-54-5343</t>
  </si>
  <si>
    <t>060-96-8909</t>
  </si>
  <si>
    <t>101-90-3599</t>
  </si>
  <si>
    <t>231-17-4273</t>
  </si>
  <si>
    <t>105-60-5976</t>
  </si>
  <si>
    <t>057-80-5643</t>
  </si>
  <si>
    <t>055-74-5765</t>
  </si>
  <si>
    <t>050-92-6559</t>
  </si>
  <si>
    <t>023-58-6984</t>
  </si>
  <si>
    <t>110-82-0129</t>
  </si>
  <si>
    <t>129-82-1910</t>
  </si>
  <si>
    <t>067-82-0067</t>
  </si>
  <si>
    <t>583-11-3015</t>
  </si>
  <si>
    <t>090-68-1494</t>
  </si>
  <si>
    <t>000-00-4676</t>
  </si>
  <si>
    <t>127-60-5998</t>
  </si>
  <si>
    <t>085-86-8623</t>
  </si>
  <si>
    <t>122-82-8922</t>
  </si>
  <si>
    <t>116-78-3571</t>
  </si>
  <si>
    <t>084-54-3623</t>
  </si>
  <si>
    <t>000-00-6832</t>
  </si>
  <si>
    <t>069-90-7973</t>
  </si>
  <si>
    <t>123-80-4006</t>
  </si>
  <si>
    <t>064-58-7630</t>
  </si>
  <si>
    <t>066-66-1450</t>
  </si>
  <si>
    <t>205-44-4216</t>
  </si>
  <si>
    <t>166-46-1092</t>
  </si>
  <si>
    <t>062-02-5344</t>
  </si>
  <si>
    <t>064-96-9060</t>
  </si>
  <si>
    <t>000-00-2391</t>
  </si>
  <si>
    <t>067-58-3872</t>
  </si>
  <si>
    <t>226-98-9547</t>
  </si>
  <si>
    <t>072-92-4190</t>
  </si>
  <si>
    <t>075-46-2203</t>
  </si>
  <si>
    <t>082-58-6054</t>
  </si>
  <si>
    <t>643-91-2283</t>
  </si>
  <si>
    <t>117-70-7974</t>
  </si>
  <si>
    <t>110-82-1239</t>
  </si>
  <si>
    <t>062-78-4582</t>
  </si>
  <si>
    <t>075-44-4059</t>
  </si>
  <si>
    <t>122-78-2974</t>
  </si>
  <si>
    <t>103-84-5400</t>
  </si>
  <si>
    <t>000-00-8533</t>
  </si>
  <si>
    <t>067-58-8053</t>
  </si>
  <si>
    <t>112-82-2612</t>
  </si>
  <si>
    <t>078-46-6783</t>
  </si>
  <si>
    <t>106-60-2025</t>
  </si>
  <si>
    <t>126-48-0476</t>
  </si>
  <si>
    <t>115-60-4516</t>
  </si>
  <si>
    <t>125-68-8738</t>
  </si>
  <si>
    <t>124-76-7374</t>
  </si>
  <si>
    <t>115-90-7341</t>
  </si>
  <si>
    <t>074-82-6407</t>
  </si>
  <si>
    <t>099-56-8292</t>
  </si>
  <si>
    <t>115-66-0820</t>
  </si>
  <si>
    <t>580-21-5981</t>
  </si>
  <si>
    <t>134-58-3988</t>
  </si>
  <si>
    <t>058-56-2439</t>
  </si>
  <si>
    <t>081-40-2205</t>
  </si>
  <si>
    <t>062-68-9410</t>
  </si>
  <si>
    <t>093-68-7923</t>
  </si>
  <si>
    <t>093-58-9057</t>
  </si>
  <si>
    <t>119-60-5903</t>
  </si>
  <si>
    <t>076-68-6376</t>
  </si>
  <si>
    <t>057-88-9987</t>
  </si>
  <si>
    <t>000-00-7048</t>
  </si>
  <si>
    <t>348-28-0144</t>
  </si>
  <si>
    <t>133-78-3215</t>
  </si>
  <si>
    <t>054-34-5683</t>
  </si>
  <si>
    <t>134-62-1203</t>
  </si>
  <si>
    <t>315-06-3690</t>
  </si>
  <si>
    <t>050-64-0113</t>
  </si>
  <si>
    <t>103-84-5988</t>
  </si>
  <si>
    <t>089-68-5504</t>
  </si>
  <si>
    <t>000-00-2748</t>
  </si>
  <si>
    <t>083-58-7244</t>
  </si>
  <si>
    <t>000-00-4743</t>
  </si>
  <si>
    <t>251-65-9262</t>
  </si>
  <si>
    <t>068-58-2749</t>
  </si>
  <si>
    <t>594-41-6078</t>
  </si>
  <si>
    <t>449-91-3667</t>
  </si>
  <si>
    <t>558-74-0236</t>
  </si>
  <si>
    <t>111-58-9135</t>
  </si>
  <si>
    <t>677-94-7661</t>
  </si>
  <si>
    <t>614-68-0110</t>
  </si>
  <si>
    <t>176-76-1304</t>
  </si>
  <si>
    <t>129-66-4028</t>
  </si>
  <si>
    <t>056-76-0375</t>
  </si>
  <si>
    <t>374-66-0640</t>
  </si>
  <si>
    <t>092-82-5997</t>
  </si>
  <si>
    <t>108-80-3819</t>
  </si>
  <si>
    <t>134-82-4930</t>
  </si>
  <si>
    <t>108-80-7706</t>
  </si>
  <si>
    <t>120-70-4658</t>
  </si>
  <si>
    <t>099-70-1409</t>
  </si>
  <si>
    <t>049-58-8076</t>
  </si>
  <si>
    <t>056-98-5022</t>
  </si>
  <si>
    <t>056-84-1403</t>
  </si>
  <si>
    <t>089-62-7038</t>
  </si>
  <si>
    <t>126-64-5469</t>
  </si>
  <si>
    <t>095-84-4694</t>
  </si>
  <si>
    <t>078-74-8545</t>
  </si>
  <si>
    <t>131-42-9257</t>
  </si>
  <si>
    <t>085-76-7156</t>
  </si>
  <si>
    <t>112-62-7576</t>
  </si>
  <si>
    <t>101-92-8354</t>
  </si>
  <si>
    <t>074-96-3794</t>
  </si>
  <si>
    <t>065-44-9294</t>
  </si>
  <si>
    <t>157-80-1043</t>
  </si>
  <si>
    <t>107-70-5267</t>
  </si>
  <si>
    <t>099-76-1528</t>
  </si>
  <si>
    <t>599-03-3944</t>
  </si>
  <si>
    <t>053-50-5580</t>
  </si>
  <si>
    <t>120-44-0988</t>
  </si>
  <si>
    <t>109-60-8783</t>
  </si>
  <si>
    <t>063-66-0266</t>
  </si>
  <si>
    <t>584-58-3965</t>
  </si>
  <si>
    <t>000-00-5422</t>
  </si>
  <si>
    <t>078-58-3146</t>
  </si>
  <si>
    <t>063-56-5490</t>
  </si>
  <si>
    <t>069-64-1702</t>
  </si>
  <si>
    <t>051-84-2494</t>
  </si>
  <si>
    <t>115-62-9440</t>
  </si>
  <si>
    <t>131-96-0148</t>
  </si>
  <si>
    <t>579-11-3183</t>
  </si>
  <si>
    <t>053-66-8690</t>
  </si>
  <si>
    <t>204-25-2738</t>
  </si>
  <si>
    <t>058-58-7195</t>
  </si>
  <si>
    <t>090-34-6179</t>
  </si>
  <si>
    <t>076-58-6967</t>
  </si>
  <si>
    <t>556-84-6639</t>
  </si>
  <si>
    <t>057-88-6806</t>
  </si>
  <si>
    <t>006-88-6307</t>
  </si>
  <si>
    <t>128-82-2855</t>
  </si>
  <si>
    <t>092-68-5331</t>
  </si>
  <si>
    <t>092-80-0426</t>
  </si>
  <si>
    <t>057-90-1360</t>
  </si>
  <si>
    <t>069-92-0872</t>
  </si>
  <si>
    <t>149-70-9947</t>
  </si>
  <si>
    <t>091-90-2357</t>
  </si>
  <si>
    <t>000-00-5343</t>
  </si>
  <si>
    <t>272-95-2061</t>
  </si>
  <si>
    <t>078-66-2160</t>
  </si>
  <si>
    <t>115-86-0918</t>
  </si>
  <si>
    <t>120-56-0808</t>
  </si>
  <si>
    <t>084-32-1113</t>
  </si>
  <si>
    <t>073-58-1818</t>
  </si>
  <si>
    <t>060-86-2355</t>
  </si>
  <si>
    <t>114-74-5262</t>
  </si>
  <si>
    <t>131-78-0295</t>
  </si>
  <si>
    <t>584-56-5573</t>
  </si>
  <si>
    <t>094-82-8580</t>
  </si>
  <si>
    <t>685-63-5137</t>
  </si>
  <si>
    <t>123-60-1188</t>
  </si>
  <si>
    <t>583-96-5909</t>
  </si>
  <si>
    <t>057-78-0673</t>
  </si>
  <si>
    <t>065-56-8975</t>
  </si>
  <si>
    <t>056-82-1452</t>
  </si>
  <si>
    <t>098-88-9680</t>
  </si>
  <si>
    <t>082-84-9496</t>
  </si>
  <si>
    <t>105-60-2841</t>
  </si>
  <si>
    <t>130-68-3622</t>
  </si>
  <si>
    <t>100-72-5115</t>
  </si>
  <si>
    <t>131-54-0474</t>
  </si>
  <si>
    <t>002-70-8795</t>
  </si>
  <si>
    <t>110-84-2407</t>
  </si>
  <si>
    <t>000-00-8048</t>
  </si>
  <si>
    <t>118-82-5273</t>
  </si>
  <si>
    <t>008-39-7973</t>
  </si>
  <si>
    <t>595-43-4951</t>
  </si>
  <si>
    <t>093-82-7646</t>
  </si>
  <si>
    <t>252-47-5682</t>
  </si>
  <si>
    <t>083-50-1244</t>
  </si>
  <si>
    <t>056-86-8691</t>
  </si>
  <si>
    <t>060-58-0998</t>
  </si>
  <si>
    <t>562-39-4465</t>
  </si>
  <si>
    <t>076-82-7319</t>
  </si>
  <si>
    <t>090-74-0325</t>
  </si>
  <si>
    <t>065-62-0359</t>
  </si>
  <si>
    <t>392-86-4173</t>
  </si>
  <si>
    <t>000-00-1032</t>
  </si>
  <si>
    <t>190-76-0003</t>
  </si>
  <si>
    <t>090-96-1861</t>
  </si>
  <si>
    <t>094-98-6358</t>
  </si>
  <si>
    <t>127-90-4104</t>
  </si>
  <si>
    <t>149-86-5224</t>
  </si>
  <si>
    <t>094-02-8306</t>
  </si>
  <si>
    <t>115-58-1471</t>
  </si>
  <si>
    <t>068-88-0329</t>
  </si>
  <si>
    <t>068-66-4264</t>
  </si>
  <si>
    <t>100-72-2513</t>
  </si>
  <si>
    <t>113-88-0817</t>
  </si>
  <si>
    <t>101-78-8377</t>
  </si>
  <si>
    <t>087-86-2254</t>
  </si>
  <si>
    <t>000-00-7286</t>
  </si>
  <si>
    <t>118-44-7162</t>
  </si>
  <si>
    <t>080-66-6759</t>
  </si>
  <si>
    <t>088-76-8918</t>
  </si>
  <si>
    <t>000-00-4742</t>
  </si>
  <si>
    <t>113-64-6007</t>
  </si>
  <si>
    <t>562-89-4337</t>
  </si>
  <si>
    <t>098-58-3477</t>
  </si>
  <si>
    <t>591-88-9632</t>
  </si>
  <si>
    <t>058-50-8864</t>
  </si>
  <si>
    <t>096-70-5859</t>
  </si>
  <si>
    <t>212-35-5398</t>
  </si>
  <si>
    <t>052-58-8433</t>
  </si>
  <si>
    <t>195-64-4180</t>
  </si>
  <si>
    <t>104-64-7407</t>
  </si>
  <si>
    <t>100-54-7876</t>
  </si>
  <si>
    <t>218-02-4592</t>
  </si>
  <si>
    <t>107-24-8067</t>
  </si>
  <si>
    <t>581-29-5821</t>
  </si>
  <si>
    <t>055-76-9600</t>
  </si>
  <si>
    <t>078-80-0235</t>
  </si>
  <si>
    <t>107-76-5984</t>
  </si>
  <si>
    <t>000-00-6936</t>
  </si>
  <si>
    <t>062-96-0051</t>
  </si>
  <si>
    <t>052-86-1152</t>
  </si>
  <si>
    <t>067-68-4903</t>
  </si>
  <si>
    <t>130-88-1816</t>
  </si>
  <si>
    <t>147-54-8241</t>
  </si>
  <si>
    <t>103-70-6917</t>
  </si>
  <si>
    <t>131-68-1204</t>
  </si>
  <si>
    <t>119-68-7333</t>
  </si>
  <si>
    <t>055-70-1324</t>
  </si>
  <si>
    <t>580-08-6020</t>
  </si>
  <si>
    <t>059-58-9364</t>
  </si>
  <si>
    <t>088-74-3728</t>
  </si>
  <si>
    <t>110-86-3746</t>
  </si>
  <si>
    <t>227-75-5421</t>
  </si>
  <si>
    <t>112-70-5333</t>
  </si>
  <si>
    <t>094-58-1320</t>
  </si>
  <si>
    <t>106-60-1544</t>
  </si>
  <si>
    <t>105-60-5069</t>
  </si>
  <si>
    <t>117-56-1729</t>
  </si>
  <si>
    <t>101-58-9975</t>
  </si>
  <si>
    <t>086-62-0111</t>
  </si>
  <si>
    <t>860-67-5157</t>
  </si>
  <si>
    <t>112-88-6860</t>
  </si>
  <si>
    <t>598-16-7837</t>
  </si>
  <si>
    <t>074-86-1212</t>
  </si>
  <si>
    <t>072-48-3478</t>
  </si>
  <si>
    <t>348-62-0253</t>
  </si>
  <si>
    <t>116-84-7879</t>
  </si>
  <si>
    <t>596-10-0548</t>
  </si>
  <si>
    <t>111-98-9165</t>
  </si>
  <si>
    <t>125-56-1738</t>
  </si>
  <si>
    <t>093-36-9641</t>
  </si>
  <si>
    <t>108-93-2937</t>
  </si>
  <si>
    <t>107-46-9745</t>
  </si>
  <si>
    <t>116-82-3984</t>
  </si>
  <si>
    <t>119-74-8433</t>
  </si>
  <si>
    <t>072-58-3201</t>
  </si>
  <si>
    <t>070-46-5123</t>
  </si>
  <si>
    <t>072-92-2020</t>
  </si>
  <si>
    <t>083-80-6332</t>
  </si>
  <si>
    <t>089-88-3569</t>
  </si>
  <si>
    <t>113-64-5213</t>
  </si>
  <si>
    <t>092-90-1180</t>
  </si>
  <si>
    <t>085-62-3332</t>
  </si>
  <si>
    <t>063-58-1325</t>
  </si>
  <si>
    <t>111-38-2797</t>
  </si>
  <si>
    <t>062-52-4199</t>
  </si>
  <si>
    <t>147-89-3242</t>
  </si>
  <si>
    <t>069-72-7109</t>
  </si>
  <si>
    <t>091-80-0654</t>
  </si>
  <si>
    <t>099-62-2260</t>
  </si>
  <si>
    <t>067-36-7796</t>
  </si>
  <si>
    <t>000-00-1979</t>
  </si>
  <si>
    <t>080-62-7068</t>
  </si>
  <si>
    <t>000-00-1987</t>
  </si>
  <si>
    <t>093-74-2374</t>
  </si>
  <si>
    <t>128-80-4902</t>
  </si>
  <si>
    <t>099-86-5345</t>
  </si>
  <si>
    <t>247-52-3269</t>
  </si>
  <si>
    <t>114-68-3698</t>
  </si>
  <si>
    <t>129-58-2330</t>
  </si>
  <si>
    <t>072-86-8950</t>
  </si>
  <si>
    <t>073-64-7390</t>
  </si>
  <si>
    <t>058-60-7220</t>
  </si>
  <si>
    <t>107-62-2775</t>
  </si>
  <si>
    <t>081-02-7578</t>
  </si>
  <si>
    <t>146-60-3145</t>
  </si>
  <si>
    <t>100-60-0024</t>
  </si>
  <si>
    <t>057-90-4057</t>
  </si>
  <si>
    <t>000-00-9704</t>
  </si>
  <si>
    <t>092-68-0925</t>
  </si>
  <si>
    <t>127-60-0651</t>
  </si>
  <si>
    <t>110-46-8522</t>
  </si>
  <si>
    <t>087-84-8597</t>
  </si>
  <si>
    <t>126-50-8070</t>
  </si>
  <si>
    <t>124-56-6513</t>
  </si>
  <si>
    <t>113-52-6311</t>
  </si>
  <si>
    <t>140-48-8902</t>
  </si>
  <si>
    <t>603-30-0598</t>
  </si>
  <si>
    <t>112-54-7743</t>
  </si>
  <si>
    <t>097-56-2596</t>
  </si>
  <si>
    <t>068-74-5867</t>
  </si>
  <si>
    <t>072-48-5680</t>
  </si>
  <si>
    <t>110-56-3223</t>
  </si>
  <si>
    <t>114-80-9830</t>
  </si>
  <si>
    <t>053-72-9437</t>
  </si>
  <si>
    <t>061-86-3888</t>
  </si>
  <si>
    <t>420-96-6005</t>
  </si>
  <si>
    <t>000-00-2145</t>
  </si>
  <si>
    <t>052-36-9177</t>
  </si>
  <si>
    <t>134-54-6262</t>
  </si>
  <si>
    <t>076-34-7710</t>
  </si>
  <si>
    <t>581-39-3031</t>
  </si>
  <si>
    <t>097-74-9704</t>
  </si>
  <si>
    <t>730-09-1091</t>
  </si>
  <si>
    <t>072-48-3608</t>
  </si>
  <si>
    <t>089-64-5802</t>
  </si>
  <si>
    <t>072-78-4627</t>
  </si>
  <si>
    <t>120-64-2425</t>
  </si>
  <si>
    <t>115-36-7644</t>
  </si>
  <si>
    <t>057-50-7484</t>
  </si>
  <si>
    <t>114-52-3925</t>
  </si>
  <si>
    <t>117-56-7883</t>
  </si>
  <si>
    <t>731-01-6741</t>
  </si>
  <si>
    <t>089-72-2686</t>
  </si>
  <si>
    <t>133-76-0381</t>
  </si>
  <si>
    <t>094-56-8464</t>
  </si>
  <si>
    <t>131-90-7923</t>
  </si>
  <si>
    <t>128-48-5763</t>
  </si>
  <si>
    <t>105-84-8886</t>
  </si>
  <si>
    <t>583-74-7375</t>
  </si>
  <si>
    <t>000-00-1543</t>
  </si>
  <si>
    <t>078-36-1539</t>
  </si>
  <si>
    <t>433-51-6186</t>
  </si>
  <si>
    <t>106-90-2668</t>
  </si>
  <si>
    <t>128-48-2363</t>
  </si>
  <si>
    <t>583-62-3994</t>
  </si>
  <si>
    <t>054-90-7670</t>
  </si>
  <si>
    <t>060-60-7500</t>
  </si>
  <si>
    <t>155-58-8467</t>
  </si>
  <si>
    <t>132-60-7715</t>
  </si>
  <si>
    <t>000-00-0529</t>
  </si>
  <si>
    <t>449-94-2903</t>
  </si>
  <si>
    <t>118-44-0723</t>
  </si>
  <si>
    <t>106-94-4387</t>
  </si>
  <si>
    <t>000-00-3398</t>
  </si>
  <si>
    <t>101-50-3331</t>
  </si>
  <si>
    <t>134-60-8164</t>
  </si>
  <si>
    <t>061-54-3065</t>
  </si>
  <si>
    <t>122-40-9040</t>
  </si>
  <si>
    <t>055-58-4926</t>
  </si>
  <si>
    <t>000-00-3971</t>
  </si>
  <si>
    <t>091-42-9046</t>
  </si>
  <si>
    <t>583-13-9590</t>
  </si>
  <si>
    <t>069-82-0022</t>
  </si>
  <si>
    <t>095-90-1866</t>
  </si>
  <si>
    <t>085-60-7695</t>
  </si>
  <si>
    <t>133-90-9528</t>
  </si>
  <si>
    <t>079-58-8816</t>
  </si>
  <si>
    <t>091-56-1402</t>
  </si>
  <si>
    <t>593-13-5574</t>
  </si>
  <si>
    <t>127-78-2850</t>
  </si>
  <si>
    <t>106-62-0993</t>
  </si>
  <si>
    <t>248-21-2589</t>
  </si>
  <si>
    <t>125-52-9600</t>
  </si>
  <si>
    <t>000-00-1191</t>
  </si>
  <si>
    <t>105-50-0812</t>
  </si>
  <si>
    <t>580-15-1377</t>
  </si>
  <si>
    <t>120-86-6472</t>
  </si>
  <si>
    <t>821-13-0266</t>
  </si>
  <si>
    <t>874-65-8478</t>
  </si>
  <si>
    <t>078-48-7120</t>
  </si>
  <si>
    <t>055-02-3688</t>
  </si>
  <si>
    <t>050-90-0088</t>
  </si>
  <si>
    <t>063-50-2805</t>
  </si>
  <si>
    <t>118-44-4418</t>
  </si>
  <si>
    <t>063-48-3487</t>
  </si>
  <si>
    <t>066-58-9522</t>
  </si>
  <si>
    <t>081-42-9034</t>
  </si>
  <si>
    <t>108-86-4388</t>
  </si>
  <si>
    <t>082-66-4599</t>
  </si>
  <si>
    <t>090-40-9899</t>
  </si>
  <si>
    <t>128-58-1683</t>
  </si>
  <si>
    <t>175-46-5894</t>
  </si>
  <si>
    <t>575-89-6932</t>
  </si>
  <si>
    <t>061-44-4435</t>
  </si>
  <si>
    <t>000-00-3535</t>
  </si>
  <si>
    <t>083-80-8833</t>
  </si>
  <si>
    <t>104-82-2848</t>
  </si>
  <si>
    <t>089-70-4744</t>
  </si>
  <si>
    <t>646-83-6634</t>
  </si>
  <si>
    <t>000-00-8016</t>
  </si>
  <si>
    <t>089-50-6280</t>
  </si>
  <si>
    <t>598-30-1105</t>
  </si>
  <si>
    <t>126-84-2839</t>
  </si>
  <si>
    <t>142-70-2199</t>
  </si>
  <si>
    <t>100-70-4925</t>
  </si>
  <si>
    <t>070-46-7621</t>
  </si>
  <si>
    <t>116-56-2444</t>
  </si>
  <si>
    <t>079-70-2682</t>
  </si>
  <si>
    <t>058-64-2069</t>
  </si>
  <si>
    <t>586-16-1097</t>
  </si>
  <si>
    <t>050-36-4562</t>
  </si>
  <si>
    <t>032-93-4571</t>
  </si>
  <si>
    <t>000-00-1892</t>
  </si>
  <si>
    <t>118-66-3926</t>
  </si>
  <si>
    <t>730-14-7561</t>
  </si>
  <si>
    <t>104-62-2860</t>
  </si>
  <si>
    <t>111-52-6259</t>
  </si>
  <si>
    <t>050-36-5867</t>
  </si>
  <si>
    <t>128-54-3729</t>
  </si>
  <si>
    <t>098-86-9519</t>
  </si>
  <si>
    <t>056-48-6989</t>
  </si>
  <si>
    <t>118-64-5781</t>
  </si>
  <si>
    <t>065-76-2563</t>
  </si>
  <si>
    <t>100-52-3896</t>
  </si>
  <si>
    <t>101-38-3154</t>
  </si>
  <si>
    <t>089-62-5893</t>
  </si>
  <si>
    <t>172-78-5359</t>
  </si>
  <si>
    <t>126-66-0969</t>
  </si>
  <si>
    <t>596-46-7441</t>
  </si>
  <si>
    <t>076-58-7424</t>
  </si>
  <si>
    <t>093-34-8982</t>
  </si>
  <si>
    <t>131-94-9459</t>
  </si>
  <si>
    <t>099-84-9502</t>
  </si>
  <si>
    <t>106-46-8617</t>
  </si>
  <si>
    <t>050-94-8190</t>
  </si>
  <si>
    <t>117-62-8978</t>
  </si>
  <si>
    <t>051-68-6381</t>
  </si>
  <si>
    <t>127-72-3469</t>
  </si>
  <si>
    <t>110-64-2921</t>
  </si>
  <si>
    <t>116-58-1811</t>
  </si>
  <si>
    <t>073-52-0275</t>
  </si>
  <si>
    <t>860-72-2239</t>
  </si>
  <si>
    <t>079-80-4071</t>
  </si>
  <si>
    <t>592-54-5775</t>
  </si>
  <si>
    <t>114-66-8029</t>
  </si>
  <si>
    <t>084-48-6098</t>
  </si>
  <si>
    <t>249-55-6301</t>
  </si>
  <si>
    <t>076-62-1553</t>
  </si>
  <si>
    <t>076-82-3361</t>
  </si>
  <si>
    <t>119-54-7613</t>
  </si>
  <si>
    <t>063-64-3960</t>
  </si>
  <si>
    <t>114-66-1673</t>
  </si>
  <si>
    <t>096-58-9214</t>
  </si>
  <si>
    <t>104-78-4029</t>
  </si>
  <si>
    <t>733-01-4254</t>
  </si>
  <si>
    <t>000-00-1452</t>
  </si>
  <si>
    <t>062-30-4838</t>
  </si>
  <si>
    <t>057-02-6827</t>
  </si>
  <si>
    <t>132-92-0502</t>
  </si>
  <si>
    <t>120-44-2173</t>
  </si>
  <si>
    <t>062-58-7744</t>
  </si>
  <si>
    <t>129-84-5480</t>
  </si>
  <si>
    <t>109-68-6315</t>
  </si>
  <si>
    <t>000-00-0518</t>
  </si>
  <si>
    <t>090-70-3031</t>
  </si>
  <si>
    <t>466-94-5262</t>
  </si>
  <si>
    <t>076-90-0718</t>
  </si>
  <si>
    <t>119-70-6629</t>
  </si>
  <si>
    <t>057-88-5688</t>
  </si>
  <si>
    <t>069-66-9869</t>
  </si>
  <si>
    <t>783-34-4723</t>
  </si>
  <si>
    <t>125-44-0319</t>
  </si>
  <si>
    <t>133-62-9631</t>
  </si>
  <si>
    <t>729-24-8714</t>
  </si>
  <si>
    <t>781-22-7637</t>
  </si>
  <si>
    <t>075-74-5840</t>
  </si>
  <si>
    <t>076-56-8506</t>
  </si>
  <si>
    <t>540-17-5845</t>
  </si>
  <si>
    <t>133-48-6040</t>
  </si>
  <si>
    <t>115-75-7937</t>
  </si>
  <si>
    <t>121-82-2818</t>
  </si>
  <si>
    <t>009-72-8315</t>
  </si>
  <si>
    <t>065-78-6715</t>
  </si>
  <si>
    <t>063-92-1504</t>
  </si>
  <si>
    <t>054-60-7154</t>
  </si>
  <si>
    <t>141-98-1839</t>
  </si>
  <si>
    <t>098-98-7110</t>
  </si>
  <si>
    <t>062-90-1227</t>
  </si>
  <si>
    <t>110-78-3969</t>
  </si>
  <si>
    <t>000-00-7800</t>
  </si>
  <si>
    <t>126-64-4842</t>
  </si>
  <si>
    <t>068-56-7521</t>
  </si>
  <si>
    <t>107-94-9162</t>
  </si>
  <si>
    <t>000-00-5637</t>
  </si>
  <si>
    <t>070-58-9027</t>
  </si>
  <si>
    <t>116-62-3061</t>
  </si>
  <si>
    <t>122-92-4840</t>
  </si>
  <si>
    <t>045-76-5501</t>
  </si>
  <si>
    <t>134-58-9602</t>
  </si>
  <si>
    <t>103-44-9046</t>
  </si>
  <si>
    <t>159-70-0169</t>
  </si>
  <si>
    <t>134-32-4635</t>
  </si>
  <si>
    <t>584-79-0525</t>
  </si>
  <si>
    <t>091-58-4895</t>
  </si>
  <si>
    <t>070-34-8487</t>
  </si>
  <si>
    <t>439-37-4001</t>
  </si>
  <si>
    <t>114-66-8020</t>
  </si>
  <si>
    <t>106-66-0506</t>
  </si>
  <si>
    <t>117-74-4949</t>
  </si>
  <si>
    <t>126-64-0397</t>
  </si>
  <si>
    <t>082-80-6042</t>
  </si>
  <si>
    <t>129-50-5338</t>
  </si>
  <si>
    <t>223-48-3072</t>
  </si>
  <si>
    <t>177-93-1080</t>
  </si>
  <si>
    <t>000-00-5164</t>
  </si>
  <si>
    <t>051-84-2585</t>
  </si>
  <si>
    <t>120-58-2859</t>
  </si>
  <si>
    <t>578-06-6739</t>
  </si>
  <si>
    <t>202-82-8882</t>
  </si>
  <si>
    <t>086-70-2456</t>
  </si>
  <si>
    <t>053-60-8825</t>
  </si>
  <si>
    <t>076-72-1367</t>
  </si>
  <si>
    <t>133-90-1176</t>
  </si>
  <si>
    <t>115-80-5068</t>
  </si>
  <si>
    <t>067-62-5797</t>
  </si>
  <si>
    <t>081-42-5435</t>
  </si>
  <si>
    <t>076-34-4597</t>
  </si>
  <si>
    <t>095-64-8624</t>
  </si>
  <si>
    <t>075-64-1188</t>
  </si>
  <si>
    <t>247-19-4794</t>
  </si>
  <si>
    <t>103-18-1422</t>
  </si>
  <si>
    <t>057-88-7003</t>
  </si>
  <si>
    <t>080-72-3394</t>
  </si>
  <si>
    <t>076-50-8841</t>
  </si>
  <si>
    <t>087-48-0506</t>
  </si>
  <si>
    <t>131-44-7635</t>
  </si>
  <si>
    <t>000-00-7706</t>
  </si>
  <si>
    <t>121-72-9088</t>
  </si>
  <si>
    <t>544-02-9948</t>
  </si>
  <si>
    <t>322-58-3423</t>
  </si>
  <si>
    <t>058-54-7648</t>
  </si>
  <si>
    <t>096-68-0205</t>
  </si>
  <si>
    <t>037-93-4546</t>
  </si>
  <si>
    <t>063-44-9139</t>
  </si>
  <si>
    <t>100-50-3076</t>
  </si>
  <si>
    <t>328-17-1445</t>
  </si>
  <si>
    <t>094-62-0956</t>
  </si>
  <si>
    <t>131-84-2875</t>
  </si>
  <si>
    <t>094-82-0568</t>
  </si>
  <si>
    <t>098-44-6974</t>
  </si>
  <si>
    <t>119-48-4754</t>
  </si>
  <si>
    <t>510-06-9487</t>
  </si>
  <si>
    <t>000-00-4361</t>
  </si>
  <si>
    <t>101-58-9166</t>
  </si>
  <si>
    <t>581-15-4631</t>
  </si>
  <si>
    <t>000-00-2792</t>
  </si>
  <si>
    <t>323-64-9402</t>
  </si>
  <si>
    <t>129-42-4683</t>
  </si>
  <si>
    <t>194-70-6175</t>
  </si>
  <si>
    <t>101-50-7809</t>
  </si>
  <si>
    <t>000-00-5198</t>
  </si>
  <si>
    <t>417-54-4910</t>
  </si>
  <si>
    <t>012-64-4773</t>
  </si>
  <si>
    <t>080-72-7069</t>
  </si>
  <si>
    <t>051-60-3445</t>
  </si>
  <si>
    <t>000-00-9791</t>
  </si>
  <si>
    <t>535-94-3688</t>
  </si>
  <si>
    <t>074-48-0548</t>
  </si>
  <si>
    <t>113-54-7784</t>
  </si>
  <si>
    <t>000-00-3980</t>
  </si>
  <si>
    <t>098-92-1342</t>
  </si>
  <si>
    <t>085-64-3493</t>
  </si>
  <si>
    <t>051-86-1630</t>
  </si>
  <si>
    <t>189-29-9133</t>
  </si>
  <si>
    <t>128-70-0980</t>
  </si>
  <si>
    <t>098-74-4738</t>
  </si>
  <si>
    <t>119-62-1302</t>
  </si>
  <si>
    <t>581-70-3977</t>
  </si>
  <si>
    <t>132-84-8996</t>
  </si>
  <si>
    <t>474-35-5511</t>
  </si>
  <si>
    <t>060-02-4024</t>
  </si>
  <si>
    <t>054-58-9288</t>
  </si>
  <si>
    <t>121-54-1201</t>
  </si>
  <si>
    <t>000-00-7820</t>
  </si>
  <si>
    <t>000-00-5176</t>
  </si>
  <si>
    <t>000-00-9733</t>
  </si>
  <si>
    <t>123-50-3171</t>
  </si>
  <si>
    <t>103-42-3916</t>
  </si>
  <si>
    <t>077-40-5370</t>
  </si>
  <si>
    <t>218-29-3265</t>
  </si>
  <si>
    <t>145-88-5666</t>
  </si>
  <si>
    <t>124-72-1829</t>
  </si>
  <si>
    <t>590-05-2406</t>
  </si>
  <si>
    <t>000-00-7396</t>
  </si>
  <si>
    <t>204-76-6867</t>
  </si>
  <si>
    <t>582-47-0525</t>
  </si>
  <si>
    <t>000-00-4094</t>
  </si>
  <si>
    <t>094-64-8931</t>
  </si>
  <si>
    <t>091-58-9904</t>
  </si>
  <si>
    <t>732-01-0975</t>
  </si>
  <si>
    <t>067-02-6187</t>
  </si>
  <si>
    <t>135-68-8694</t>
  </si>
  <si>
    <t>074-60-3890</t>
  </si>
  <si>
    <t>218-17-1117</t>
  </si>
  <si>
    <t>069-62-4467</t>
  </si>
  <si>
    <t>000-00-4097</t>
  </si>
  <si>
    <t>648-82-0274</t>
  </si>
  <si>
    <t>118-56-8589</t>
  </si>
  <si>
    <t>086-70-9608</t>
  </si>
  <si>
    <t>100-52-4744</t>
  </si>
  <si>
    <t>000-00-5206</t>
  </si>
  <si>
    <t>125-64-4717</t>
  </si>
  <si>
    <t>719-87-3302</t>
  </si>
  <si>
    <t>000-00-9311</t>
  </si>
  <si>
    <t>000-00-7631</t>
  </si>
  <si>
    <t>189-74-7453</t>
  </si>
  <si>
    <t>102-56-8391</t>
  </si>
  <si>
    <t>000-00-7635</t>
  </si>
  <si>
    <t>560-99-0154</t>
  </si>
  <si>
    <t>109-60-0671</t>
  </si>
  <si>
    <t>000-00-4154</t>
  </si>
  <si>
    <t>000-00-9407</t>
  </si>
  <si>
    <t>107-60-8386</t>
  </si>
  <si>
    <t>521-06-9832</t>
  </si>
  <si>
    <t>094-98-5192</t>
  </si>
  <si>
    <t>279-92-2522</t>
  </si>
  <si>
    <t>002-68-7287</t>
  </si>
  <si>
    <t>638-22-2500</t>
  </si>
  <si>
    <t>121-86-9056</t>
  </si>
  <si>
    <t>072-48-0958</t>
  </si>
  <si>
    <t>000-00-9641</t>
  </si>
  <si>
    <t>132-64-7663</t>
  </si>
  <si>
    <t>409-67-7353</t>
  </si>
  <si>
    <t>095-68-3768</t>
  </si>
  <si>
    <t>000-00-3448</t>
  </si>
  <si>
    <t>074-56-6969</t>
  </si>
  <si>
    <t>114-90-4500</t>
  </si>
  <si>
    <t>101-50-7159</t>
  </si>
  <si>
    <t>155-21-5264</t>
  </si>
  <si>
    <t>052-94-9288</t>
  </si>
  <si>
    <t>177-36-7645</t>
  </si>
  <si>
    <t>135-82-1256</t>
  </si>
  <si>
    <t>058-68-3343</t>
  </si>
  <si>
    <t>582-13-7594</t>
  </si>
  <si>
    <t>730-03-2065</t>
  </si>
  <si>
    <t>083-98-4014</t>
  </si>
  <si>
    <t>123-96-3167</t>
  </si>
  <si>
    <t>067-58-8394</t>
  </si>
  <si>
    <t>000-00-2984</t>
  </si>
  <si>
    <t>120-28-3208</t>
  </si>
  <si>
    <t>000-00-0758</t>
  </si>
  <si>
    <t>126-70-4806</t>
  </si>
  <si>
    <t>085-56-6542</t>
  </si>
  <si>
    <t>235-31-9431</t>
  </si>
  <si>
    <t>266-31-2793</t>
  </si>
  <si>
    <t>119-66-8939</t>
  </si>
  <si>
    <t>000-00-2588</t>
  </si>
  <si>
    <t>097-64-8856</t>
  </si>
  <si>
    <t>123-62-5232</t>
  </si>
  <si>
    <t>000-00-5246</t>
  </si>
  <si>
    <t>851-84-9355</t>
  </si>
  <si>
    <t>134-54-3178</t>
  </si>
  <si>
    <t>120-64-3740</t>
  </si>
  <si>
    <t>084-68-2658</t>
  </si>
  <si>
    <t>000-00-1046</t>
  </si>
  <si>
    <t>117-56-5014</t>
  </si>
  <si>
    <t>119-64-5538</t>
  </si>
  <si>
    <t>116-72-2429</t>
  </si>
  <si>
    <t>000-00-3164</t>
  </si>
  <si>
    <t>076-78-4036</t>
  </si>
  <si>
    <t>115-82-4234</t>
  </si>
  <si>
    <t>000-00-0384</t>
  </si>
  <si>
    <t>054-76-6141</t>
  </si>
  <si>
    <t>093-68-2777</t>
  </si>
  <si>
    <t>101-84-3087</t>
  </si>
  <si>
    <t>089-50-9399</t>
  </si>
  <si>
    <t>106-40-6068</t>
  </si>
  <si>
    <t>055-66-6432</t>
  </si>
  <si>
    <t>080-66-7400</t>
  </si>
  <si>
    <t>088-36-9420</t>
  </si>
  <si>
    <t>108-60-2450</t>
  </si>
  <si>
    <t>055-86-0132</t>
  </si>
  <si>
    <t>000-00-6847</t>
  </si>
  <si>
    <t>000-00-9069</t>
  </si>
  <si>
    <t>581-65-8772</t>
  </si>
  <si>
    <t>116-84-7402</t>
  </si>
  <si>
    <t>059-62-7856</t>
  </si>
  <si>
    <t>121-74-6469</t>
  </si>
  <si>
    <t>134-68-5193</t>
  </si>
  <si>
    <t>075-82-8042</t>
  </si>
  <si>
    <t>000-00-9100</t>
  </si>
  <si>
    <t>137-15-3322</t>
  </si>
  <si>
    <t>000-00-1022</t>
  </si>
  <si>
    <t>000-00-6674</t>
  </si>
  <si>
    <t>419-46-2080</t>
  </si>
  <si>
    <t>000-00-6469</t>
  </si>
  <si>
    <t>170-65-5423</t>
  </si>
  <si>
    <t>052-68-4251</t>
  </si>
  <si>
    <t>114-98-9855</t>
  </si>
  <si>
    <t>000-00-0738</t>
  </si>
  <si>
    <t>114-44-8352</t>
  </si>
  <si>
    <t>114-36-8076</t>
  </si>
  <si>
    <t>289-60-4126</t>
  </si>
  <si>
    <t>000-00-6615</t>
  </si>
  <si>
    <t>067-58-5824</t>
  </si>
  <si>
    <t>896-11-5403</t>
  </si>
  <si>
    <t>123-64-6478</t>
  </si>
  <si>
    <t>090-68-2715</t>
  </si>
  <si>
    <t>000-00-5441</t>
  </si>
  <si>
    <t>068-48-8183</t>
  </si>
  <si>
    <t>075-68-2330</t>
  </si>
  <si>
    <t>126-62-9070</t>
  </si>
  <si>
    <t>124-88-9115</t>
  </si>
  <si>
    <t>075-38-5961</t>
  </si>
  <si>
    <t>000-00-1258</t>
  </si>
  <si>
    <t>089-74-0134</t>
  </si>
  <si>
    <t>088-76-2458</t>
  </si>
  <si>
    <t>095-84-1725</t>
  </si>
  <si>
    <t>060-66-4030</t>
  </si>
  <si>
    <t>583-83-1894</t>
  </si>
  <si>
    <t>119-68-3414</t>
  </si>
  <si>
    <t>085-68-1929</t>
  </si>
  <si>
    <t>071-60-1106</t>
  </si>
  <si>
    <t>167-74-9474</t>
  </si>
  <si>
    <t>115-76-4926</t>
  </si>
  <si>
    <t>128-56-5937</t>
  </si>
  <si>
    <t>597-62-7843</t>
  </si>
  <si>
    <t>079-82-6542</t>
  </si>
  <si>
    <t>070-74-6750</t>
  </si>
  <si>
    <t>000-00-7763</t>
  </si>
  <si>
    <t>099-64-2554</t>
  </si>
  <si>
    <t>078-58-6780</t>
  </si>
  <si>
    <t>000-00-2143</t>
  </si>
  <si>
    <t>062-58-2335</t>
  </si>
  <si>
    <t>106-90-2902</t>
  </si>
  <si>
    <t>120-86-0742</t>
  </si>
  <si>
    <t>120-38-7409</t>
  </si>
  <si>
    <t>087-84-6755</t>
  </si>
  <si>
    <t>933-62-9150</t>
  </si>
  <si>
    <t>099-58-8326</t>
  </si>
  <si>
    <t>055-42-7593</t>
  </si>
  <si>
    <t>130-80-8230</t>
  </si>
  <si>
    <t>055-58-7881</t>
  </si>
  <si>
    <t>091-42-1520</t>
  </si>
  <si>
    <t>089-72-3016</t>
  </si>
  <si>
    <t>114-46-2516</t>
  </si>
  <si>
    <t>083-58-4038</t>
  </si>
  <si>
    <t>117-68-7939</t>
  </si>
  <si>
    <t>111-76-6302</t>
  </si>
  <si>
    <t>050-72-4818</t>
  </si>
  <si>
    <t>090-62-6503</t>
  </si>
  <si>
    <t>096-66-8783</t>
  </si>
  <si>
    <t>167-78-2609</t>
  </si>
  <si>
    <t>052-66-9187</t>
  </si>
  <si>
    <t>085-80-6955</t>
  </si>
  <si>
    <t>150-84-7397</t>
  </si>
  <si>
    <t>076-60-1987</t>
  </si>
  <si>
    <t>094-36-8911</t>
  </si>
  <si>
    <t>063-80-3678</t>
  </si>
  <si>
    <t>059-56-7837</t>
  </si>
  <si>
    <t>498-82-9475</t>
  </si>
  <si>
    <t>082-54-2567</t>
  </si>
  <si>
    <t>074-56-2088</t>
  </si>
  <si>
    <t>084-48-1128</t>
  </si>
  <si>
    <t>076-36-0570</t>
  </si>
  <si>
    <t>124-48-3045</t>
  </si>
  <si>
    <t>070-58-6274</t>
  </si>
  <si>
    <t>121-76-9077</t>
  </si>
  <si>
    <t>023-74-9359</t>
  </si>
  <si>
    <t>113-86-3545</t>
  </si>
  <si>
    <t>080-66-7587</t>
  </si>
  <si>
    <t>073-60-7144</t>
  </si>
  <si>
    <t>079-48-5620</t>
  </si>
  <si>
    <t>599-09-6781</t>
  </si>
  <si>
    <t>183-28-9597</t>
  </si>
  <si>
    <t>072-62-1732</t>
  </si>
  <si>
    <t>087-62-5849</t>
  </si>
  <si>
    <t>248-58-4210</t>
  </si>
  <si>
    <t>122-32-5819</t>
  </si>
  <si>
    <t>120-52-0129</t>
  </si>
  <si>
    <t>113-62-8259</t>
  </si>
  <si>
    <t>104-60-5948</t>
  </si>
  <si>
    <t>061-40-2510</t>
  </si>
  <si>
    <t>118-62-0428</t>
  </si>
  <si>
    <t>097-68-9952</t>
  </si>
  <si>
    <t>000-00-8466</t>
  </si>
  <si>
    <t>075-92-4099</t>
  </si>
  <si>
    <t>085-76-8716</t>
  </si>
  <si>
    <t>760-54-7947</t>
  </si>
  <si>
    <t>346-44-1065</t>
  </si>
  <si>
    <t>000-00-1174</t>
  </si>
  <si>
    <t>632-88-4977</t>
  </si>
  <si>
    <t>096-56-8488</t>
  </si>
  <si>
    <t>000-00-9627</t>
  </si>
  <si>
    <t>112-84-1086</t>
  </si>
  <si>
    <t>131-76-7640</t>
  </si>
  <si>
    <t>000-00-0884</t>
  </si>
  <si>
    <t>000-00-8962</t>
  </si>
  <si>
    <t>000-00-4443</t>
  </si>
  <si>
    <t>100-56-0117</t>
  </si>
  <si>
    <t>082-58-4962</t>
  </si>
  <si>
    <t>082-86-8099</t>
  </si>
  <si>
    <t>718-66-9098</t>
  </si>
  <si>
    <t>584-20-8677</t>
  </si>
  <si>
    <t>133-68-0074</t>
  </si>
  <si>
    <t>096-56-3609</t>
  </si>
  <si>
    <t>000-00-6073</t>
  </si>
  <si>
    <t>090-44-5934</t>
  </si>
  <si>
    <t>000-00-5704</t>
  </si>
  <si>
    <t>000-00-9841</t>
  </si>
  <si>
    <t>091-56-2070</t>
  </si>
  <si>
    <t>094-64-7196</t>
  </si>
  <si>
    <t>119-76-1432</t>
  </si>
  <si>
    <t>111-11-1111</t>
  </si>
  <si>
    <t>000-00-3657</t>
  </si>
  <si>
    <t>061-68-6418</t>
  </si>
  <si>
    <t>097-64-6234</t>
  </si>
  <si>
    <t>108-96-8964</t>
  </si>
  <si>
    <t>068-68-9970</t>
  </si>
  <si>
    <t>097-66-7748</t>
  </si>
  <si>
    <t>000-00-0418</t>
  </si>
  <si>
    <t>245-39-4278</t>
  </si>
  <si>
    <t>000-00-8931</t>
  </si>
  <si>
    <t>080-82-3495</t>
  </si>
  <si>
    <t>058-88-3448</t>
  </si>
  <si>
    <t>089-78-7996</t>
  </si>
  <si>
    <t>000-00-4723</t>
  </si>
  <si>
    <t>216-82-8882</t>
  </si>
  <si>
    <t>159-11-3226</t>
  </si>
  <si>
    <t>068-76-9118</t>
  </si>
  <si>
    <t>078-66-9653</t>
  </si>
  <si>
    <t>053-88-9659</t>
  </si>
  <si>
    <t>069-50-4583</t>
  </si>
  <si>
    <t>123-58-9797</t>
  </si>
  <si>
    <t>099-42-7615</t>
  </si>
  <si>
    <t>113-88-0506</t>
  </si>
  <si>
    <t>052-66-8619</t>
  </si>
  <si>
    <t>087-88-9549</t>
  </si>
  <si>
    <t>072-64-1343</t>
  </si>
  <si>
    <t>096-48-4772</t>
  </si>
  <si>
    <t>245-85-6701</t>
  </si>
  <si>
    <t>000-00-1159</t>
  </si>
  <si>
    <t>127-68-8751</t>
  </si>
  <si>
    <t>077-49-1096</t>
  </si>
  <si>
    <t>102-76-2817</t>
  </si>
  <si>
    <t>687-54-4349</t>
  </si>
  <si>
    <t>080-58-8389</t>
  </si>
  <si>
    <t>000-00-6430</t>
  </si>
  <si>
    <t>124-96-8146</t>
  </si>
  <si>
    <t>121-46-4394</t>
  </si>
  <si>
    <t>091-90-6224</t>
  </si>
  <si>
    <t>000-00-8408</t>
  </si>
  <si>
    <t>000-00-1501</t>
  </si>
  <si>
    <t>095-74-5808</t>
  </si>
  <si>
    <t>079-66-0530</t>
  </si>
  <si>
    <t>000-00-4856</t>
  </si>
  <si>
    <t>000-00-7323</t>
  </si>
  <si>
    <t>000-00-3379</t>
  </si>
  <si>
    <t>000-00-3830</t>
  </si>
  <si>
    <t>000-00-0655</t>
  </si>
  <si>
    <t>000-00-7942</t>
  </si>
  <si>
    <t>129-42-0347</t>
  </si>
  <si>
    <t>000-00-6367</t>
  </si>
  <si>
    <t>000-00-6844</t>
  </si>
  <si>
    <t>000-00-2938</t>
  </si>
  <si>
    <t>000-00-4412</t>
  </si>
  <si>
    <t>000-00-5470</t>
  </si>
  <si>
    <t>263-99-2839</t>
  </si>
  <si>
    <t>121-96-6367</t>
  </si>
  <si>
    <t>075-72-7634</t>
  </si>
  <si>
    <t>000-00-4861</t>
  </si>
  <si>
    <t>064-80-7375</t>
  </si>
  <si>
    <t>591-54-8293</t>
  </si>
  <si>
    <t>000-00-0050</t>
  </si>
  <si>
    <t>087-72-2214</t>
  </si>
  <si>
    <t>000-00-0956</t>
  </si>
  <si>
    <t>027-72-6388</t>
  </si>
  <si>
    <t>000-00-1119</t>
  </si>
  <si>
    <t>072-60-5007</t>
  </si>
  <si>
    <t>125-90-6055</t>
  </si>
  <si>
    <t>106-72-5433</t>
  </si>
  <si>
    <t>056-70-0155</t>
  </si>
  <si>
    <t>100-67-3024</t>
  </si>
  <si>
    <t>000-00-0700</t>
  </si>
  <si>
    <t>086-72-7785</t>
  </si>
  <si>
    <t>115-74-9052</t>
  </si>
  <si>
    <t>133-80-0298</t>
  </si>
  <si>
    <t>050-98-5636</t>
  </si>
  <si>
    <t>077-44-9024</t>
  </si>
  <si>
    <t>128-64-7899</t>
  </si>
  <si>
    <t>115-62-1133</t>
  </si>
  <si>
    <t>066-98-2970</t>
  </si>
  <si>
    <t>078-70-2922</t>
  </si>
  <si>
    <t>060-64-5080</t>
  </si>
  <si>
    <t>058-92-1473</t>
  </si>
  <si>
    <t>591-23-6237</t>
  </si>
  <si>
    <t>103-58-4294</t>
  </si>
  <si>
    <t>129-42-1081</t>
  </si>
  <si>
    <t>129-72-5690</t>
  </si>
  <si>
    <t>090-83-3870</t>
  </si>
  <si>
    <t>101-56-6178</t>
  </si>
  <si>
    <t>000-00-1565</t>
  </si>
  <si>
    <t>089-80-6032</t>
  </si>
  <si>
    <t>079-86-9141</t>
  </si>
  <si>
    <t>117-86-6585</t>
  </si>
  <si>
    <t>117-54-9819</t>
  </si>
  <si>
    <t>096-56-2284</t>
  </si>
  <si>
    <t>000-00-8151</t>
  </si>
  <si>
    <t>092-92-6864</t>
  </si>
  <si>
    <t>108-64-4656</t>
  </si>
  <si>
    <t>076-36-0217</t>
  </si>
  <si>
    <t>067-76-2825</t>
  </si>
  <si>
    <t>000-00-8738</t>
  </si>
  <si>
    <t>115-58-2643</t>
  </si>
  <si>
    <t>130-66-8774</t>
  </si>
  <si>
    <t>732-01-8330</t>
  </si>
  <si>
    <t>000-00-1659</t>
  </si>
  <si>
    <t>122-74-2177</t>
  </si>
  <si>
    <t>084-44-0732</t>
  </si>
  <si>
    <t>060-78-7533</t>
  </si>
  <si>
    <t>089-66-5519</t>
  </si>
  <si>
    <t>113-74-2166</t>
  </si>
  <si>
    <t>524-25-4999</t>
  </si>
  <si>
    <t>151-90-9396</t>
  </si>
  <si>
    <t>000-00-0062</t>
  </si>
  <si>
    <t>122-70-2601</t>
  </si>
  <si>
    <t>121-64-9831</t>
  </si>
  <si>
    <t>134-68-9870</t>
  </si>
  <si>
    <t>112-70-1795</t>
  </si>
  <si>
    <t>076-02-9862</t>
  </si>
  <si>
    <t>126-46-2645</t>
  </si>
  <si>
    <t>107-70-4418</t>
  </si>
  <si>
    <t>000-00-0492</t>
  </si>
  <si>
    <t>583-05-4928</t>
  </si>
  <si>
    <t>120-42-0971</t>
  </si>
  <si>
    <t>584-47-9623</t>
  </si>
  <si>
    <t>000-00-4727</t>
  </si>
  <si>
    <t>584-88-5496</t>
  </si>
  <si>
    <t>073-64-1176</t>
  </si>
  <si>
    <t>081-88-6021</t>
  </si>
  <si>
    <t>526-87-5831</t>
  </si>
  <si>
    <t>132-44-9035</t>
  </si>
  <si>
    <t>132-58-8659</t>
  </si>
  <si>
    <t>107-68-2090</t>
  </si>
  <si>
    <t>151-58-9762</t>
  </si>
  <si>
    <t>069-50-6440</t>
  </si>
  <si>
    <t>130-82-4973</t>
  </si>
  <si>
    <t>081-64-3119</t>
  </si>
  <si>
    <t>000-00-0429</t>
  </si>
  <si>
    <t>000-00-6466</t>
  </si>
  <si>
    <t>067-46-2881</t>
  </si>
  <si>
    <t>107-84-7476</t>
  </si>
  <si>
    <t>118-62-6829</t>
  </si>
  <si>
    <t>093-62-0582</t>
  </si>
  <si>
    <t>121-58-2403</t>
  </si>
  <si>
    <t>131-50-2018</t>
  </si>
  <si>
    <t>132-62-0631</t>
  </si>
  <si>
    <t>060-70-4664</t>
  </si>
  <si>
    <t>134-84-2399</t>
  </si>
  <si>
    <t>075-84-7287</t>
  </si>
  <si>
    <t>091-68-3928</t>
  </si>
  <si>
    <t>122-64-3482</t>
  </si>
  <si>
    <t>053-60-1689</t>
  </si>
  <si>
    <t>099-56-0914</t>
  </si>
  <si>
    <t>087-46-4951</t>
  </si>
  <si>
    <t>115-88-5127</t>
  </si>
  <si>
    <t>173-82-0363</t>
  </si>
  <si>
    <t>000-00-7259</t>
  </si>
  <si>
    <t>055-58-6977</t>
  </si>
  <si>
    <t>123-56-6792</t>
  </si>
  <si>
    <t>059-42-2791</t>
  </si>
  <si>
    <t>094-72-4416</t>
  </si>
  <si>
    <t>090-66-0787</t>
  </si>
  <si>
    <t>119-62-5498</t>
  </si>
  <si>
    <t>085-72-2436</t>
  </si>
  <si>
    <t>061-80-7115</t>
  </si>
  <si>
    <t>121-48-5149</t>
  </si>
  <si>
    <t>695-27-7233</t>
  </si>
  <si>
    <t>000-00-1135</t>
  </si>
  <si>
    <t>000-00-6969</t>
  </si>
  <si>
    <t>073-58-1737</t>
  </si>
  <si>
    <t>224-49-5630</t>
  </si>
  <si>
    <t>100-56-3290</t>
  </si>
  <si>
    <t>051-56-1862</t>
  </si>
  <si>
    <t>069-90-3023</t>
  </si>
  <si>
    <t>072-02-2146</t>
  </si>
  <si>
    <t>113-90-0579</t>
  </si>
  <si>
    <t>095-64-0827</t>
  </si>
  <si>
    <t>057-56-6825</t>
  </si>
  <si>
    <t>109-72-9781</t>
  </si>
  <si>
    <t>405-58-8760</t>
  </si>
  <si>
    <t>000-00-8825</t>
  </si>
  <si>
    <t>076-60-2503</t>
  </si>
  <si>
    <t>127-58-6921</t>
  </si>
  <si>
    <t>071-48-8268</t>
  </si>
  <si>
    <t>107-42-0830</t>
  </si>
  <si>
    <t>091-60-4689</t>
  </si>
  <si>
    <t>078-46-4443</t>
  </si>
  <si>
    <t>060-66-5360</t>
  </si>
  <si>
    <t>000-00-1644</t>
  </si>
  <si>
    <t>093-78-0934</t>
  </si>
  <si>
    <t>075-84-8656</t>
  </si>
  <si>
    <t>212-94-9506</t>
  </si>
  <si>
    <t>000-00-3572</t>
  </si>
  <si>
    <t>088-86-3932</t>
  </si>
  <si>
    <t>185-62-7604</t>
  </si>
  <si>
    <t>129-68-0751</t>
  </si>
  <si>
    <t>110-58-3027</t>
  </si>
  <si>
    <t>425-59-3364</t>
  </si>
  <si>
    <t>000-00-6885</t>
  </si>
  <si>
    <t>069-50-3620</t>
  </si>
  <si>
    <t>065-46-7136</t>
  </si>
  <si>
    <t>132-82-3063</t>
  </si>
  <si>
    <t>073-76-2274</t>
  </si>
  <si>
    <t>000-00-1932</t>
  </si>
  <si>
    <t>126-58-8950</t>
  </si>
  <si>
    <t>000-00-4007</t>
  </si>
  <si>
    <t>000-00-0346</t>
  </si>
  <si>
    <t>075-64-9600</t>
  </si>
  <si>
    <t>110-70-1220</t>
  </si>
  <si>
    <t>105-66-8557</t>
  </si>
  <si>
    <t>437-54-8938</t>
  </si>
  <si>
    <t>094-76-7225</t>
  </si>
  <si>
    <t>075-60-3931</t>
  </si>
  <si>
    <t>092-66-9756</t>
  </si>
  <si>
    <t>087-62-1545</t>
  </si>
  <si>
    <t>103-52-3573</t>
  </si>
  <si>
    <t>090-86-1182</t>
  </si>
  <si>
    <t>158-46-8859</t>
  </si>
  <si>
    <t>106-88-3060</t>
  </si>
  <si>
    <t>577-06-3448</t>
  </si>
  <si>
    <t>084-52-7018</t>
  </si>
  <si>
    <t>084-78-6422</t>
  </si>
  <si>
    <t>024-89-0404</t>
  </si>
  <si>
    <t>086-66-3542</t>
  </si>
  <si>
    <t>068-02-1761</t>
  </si>
  <si>
    <t>623-31-6461</t>
  </si>
  <si>
    <t>731-07-4373</t>
  </si>
  <si>
    <t>065-64-3931</t>
  </si>
  <si>
    <t>056-58-4858</t>
  </si>
  <si>
    <t>663-12-2548</t>
  </si>
  <si>
    <t>103-44-8486</t>
  </si>
  <si>
    <t>102-74-3278</t>
  </si>
  <si>
    <t>744-60-7293</t>
  </si>
  <si>
    <t>263-57-8247</t>
  </si>
  <si>
    <t>108-56-8100</t>
  </si>
  <si>
    <t>216-31-1544</t>
  </si>
  <si>
    <t>111-54-5590</t>
  </si>
  <si>
    <t>105-74-3579</t>
  </si>
  <si>
    <t>133-18-3415</t>
  </si>
  <si>
    <t>076-90-9135</t>
  </si>
  <si>
    <t>084-80-8099</t>
  </si>
  <si>
    <t>660-67-4776</t>
  </si>
  <si>
    <t>114-32-8563</t>
  </si>
  <si>
    <t>109-94-3305</t>
  </si>
  <si>
    <t>051-86-7604</t>
  </si>
  <si>
    <t>000-00-8198</t>
  </si>
  <si>
    <t>000-00-4496</t>
  </si>
  <si>
    <t>061-76-5040</t>
  </si>
  <si>
    <t>199-72-5029</t>
  </si>
  <si>
    <t>100-58-3180</t>
  </si>
  <si>
    <t>095-56-7750</t>
  </si>
  <si>
    <t>345-40-2018</t>
  </si>
  <si>
    <t>125-48-2135</t>
  </si>
  <si>
    <t>095-50-5870</t>
  </si>
  <si>
    <t>065-78-8528</t>
  </si>
  <si>
    <t>078-86-5842</t>
  </si>
  <si>
    <t>009-82-8545</t>
  </si>
  <si>
    <t>459-48-7955</t>
  </si>
  <si>
    <t>120-90-3919</t>
  </si>
  <si>
    <t>095-74-2113</t>
  </si>
  <si>
    <t>069-84-9249</t>
  </si>
  <si>
    <t>120-80-9234</t>
  </si>
  <si>
    <t>112-56-1058</t>
  </si>
  <si>
    <t>214-69-5292</t>
  </si>
  <si>
    <t>549-81-8250</t>
  </si>
  <si>
    <t>134-90-8056</t>
  </si>
  <si>
    <t>119-74-9247</t>
  </si>
  <si>
    <t>104-58-8017</t>
  </si>
  <si>
    <t>061-86-9617</t>
  </si>
  <si>
    <t>102-92-6852</t>
  </si>
  <si>
    <t>636-40-3737</t>
  </si>
  <si>
    <t>082-86-8022</t>
  </si>
  <si>
    <t>083-48-4360</t>
  </si>
  <si>
    <t>777-33-0164</t>
  </si>
  <si>
    <t>117-56-1571</t>
  </si>
  <si>
    <t>066-62-7537</t>
  </si>
  <si>
    <t>092-58-6633</t>
  </si>
  <si>
    <t>105-82-9933</t>
  </si>
  <si>
    <t>060-60-7023</t>
  </si>
  <si>
    <t>200-56-1207</t>
  </si>
  <si>
    <t>121-86-3718</t>
  </si>
  <si>
    <t>119-42-9950</t>
  </si>
  <si>
    <t>123-78-7042</t>
  </si>
  <si>
    <t>040-25-1370</t>
  </si>
  <si>
    <t>062-66-0246</t>
  </si>
  <si>
    <t>098-70-2745</t>
  </si>
  <si>
    <t>106-90-8646</t>
  </si>
  <si>
    <t>818-32-0448</t>
  </si>
  <si>
    <t>070-74-5339</t>
  </si>
  <si>
    <t>116-66-5743</t>
  </si>
  <si>
    <t>113-60-8981</t>
  </si>
  <si>
    <t>112-58-3781</t>
  </si>
  <si>
    <t>130-36-6121</t>
  </si>
  <si>
    <t>059-62-8747</t>
  </si>
  <si>
    <t>051-80-8102</t>
  </si>
  <si>
    <t>061-54-3323</t>
  </si>
  <si>
    <t>092-40-3191</t>
  </si>
  <si>
    <t>059-82-2851</t>
  </si>
  <si>
    <t>093-66-4014</t>
  </si>
  <si>
    <t>102-70-3872</t>
  </si>
  <si>
    <t>804-80-6041</t>
  </si>
  <si>
    <t>128-94-8614</t>
  </si>
  <si>
    <t>078-64-7604</t>
  </si>
  <si>
    <t>100-82-3734</t>
  </si>
  <si>
    <t>055-84-4621</t>
  </si>
  <si>
    <t>126-68-6687</t>
  </si>
  <si>
    <t>112-48-1015</t>
  </si>
  <si>
    <t>265-99-1820</t>
  </si>
  <si>
    <t>320-96-1380</t>
  </si>
  <si>
    <t>082-72-7221</t>
  </si>
  <si>
    <t>056-46-2503</t>
  </si>
  <si>
    <t>071-48-1101</t>
  </si>
  <si>
    <t>769-28-7910</t>
  </si>
  <si>
    <t>093-94-7206</t>
  </si>
  <si>
    <t>084-94-2915</t>
  </si>
  <si>
    <t>056-78-2216</t>
  </si>
  <si>
    <t>079-62-4604</t>
  </si>
  <si>
    <t>112-70-7802</t>
  </si>
  <si>
    <t>131-76-5656</t>
  </si>
  <si>
    <t>103-56-4089</t>
  </si>
  <si>
    <t>219-31-0340</t>
  </si>
  <si>
    <t>058-68-0981</t>
  </si>
  <si>
    <t>084-50-9999</t>
  </si>
  <si>
    <t>069-50-3538</t>
  </si>
  <si>
    <t>071-88-1333</t>
  </si>
  <si>
    <t>116-72-0569</t>
  </si>
  <si>
    <t>069-62-8055</t>
  </si>
  <si>
    <t>111-56-7441</t>
  </si>
  <si>
    <t>101-80-7258</t>
  </si>
  <si>
    <t>113-82-0557</t>
  </si>
  <si>
    <t>096-70-1114</t>
  </si>
  <si>
    <t>766-35-1740</t>
  </si>
  <si>
    <t>124-82-5868</t>
  </si>
  <si>
    <t>112-86-5311</t>
  </si>
  <si>
    <t>397-41-3621</t>
  </si>
  <si>
    <t>059-82-0573</t>
  </si>
  <si>
    <t>130-34-5215</t>
  </si>
  <si>
    <t>120-86-0752</t>
  </si>
  <si>
    <t>117-56-6409</t>
  </si>
  <si>
    <t>107-40-4435</t>
  </si>
  <si>
    <t>090-76-0431</t>
  </si>
  <si>
    <t>109-62-4233</t>
  </si>
  <si>
    <t>132-56-8942</t>
  </si>
  <si>
    <t>129-64-9782</t>
  </si>
  <si>
    <t>103-84-0953</t>
  </si>
  <si>
    <t>733-05-8530</t>
  </si>
  <si>
    <t>111-70-0040</t>
  </si>
  <si>
    <t>112-82-3968</t>
  </si>
  <si>
    <t>108-62-7128</t>
  </si>
  <si>
    <t>129-68-3613</t>
  </si>
  <si>
    <t>125-86-9895</t>
  </si>
  <si>
    <t>387-89-9208</t>
  </si>
  <si>
    <t>081-76-6801</t>
  </si>
  <si>
    <t>000-00-8812</t>
  </si>
  <si>
    <t>122-66-9943</t>
  </si>
  <si>
    <t>512-53-3322</t>
  </si>
  <si>
    <t>377-19-6777</t>
  </si>
  <si>
    <t>061-46-9056</t>
  </si>
  <si>
    <t>102-84-8362</t>
  </si>
  <si>
    <t>082-94-6063</t>
  </si>
  <si>
    <t>336-62-6669</t>
  </si>
  <si>
    <t>145-62-1191</t>
  </si>
  <si>
    <t>099-58-5115</t>
  </si>
  <si>
    <t>359-45-3405</t>
  </si>
  <si>
    <t>090-58-7476</t>
  </si>
  <si>
    <t>128-74-7127</t>
  </si>
  <si>
    <t>132-26-1091</t>
  </si>
  <si>
    <t>000-00-7767</t>
  </si>
  <si>
    <t>066-90-2544</t>
  </si>
  <si>
    <t>069-76-4302</t>
  </si>
  <si>
    <t>117-58-5872</t>
  </si>
  <si>
    <t>080-84-4287</t>
  </si>
  <si>
    <t>131-78-6598</t>
  </si>
  <si>
    <t>061-84-2671</t>
  </si>
  <si>
    <t>108-68-1739</t>
  </si>
  <si>
    <t>592-96-6054</t>
  </si>
  <si>
    <t>094-56-7245</t>
  </si>
  <si>
    <t>121-84-5611</t>
  </si>
  <si>
    <t>101-72-9510</t>
  </si>
  <si>
    <t>053-42-8696</t>
  </si>
  <si>
    <t>070-62-0596</t>
  </si>
  <si>
    <t>069-58-5828</t>
  </si>
  <si>
    <t>085-02-9006</t>
  </si>
  <si>
    <t>079-82-7030</t>
  </si>
  <si>
    <t>079-78-8056</t>
  </si>
  <si>
    <t>109-70-6444</t>
  </si>
  <si>
    <t>090-58-6970</t>
  </si>
  <si>
    <t>009-15-3437</t>
  </si>
  <si>
    <t>076-52-8341</t>
  </si>
  <si>
    <t>062-54-2250</t>
  </si>
  <si>
    <t>133-74-1096</t>
  </si>
  <si>
    <t>122-40-0747</t>
  </si>
  <si>
    <t>087-86-4753</t>
  </si>
  <si>
    <t>062-60-1148</t>
  </si>
  <si>
    <t>104-62-6194</t>
  </si>
  <si>
    <t>132-78-6636</t>
  </si>
  <si>
    <t>051-66-4089</t>
  </si>
  <si>
    <t>884-95-7036</t>
  </si>
  <si>
    <t>074-66-6758</t>
  </si>
  <si>
    <t>092-80-0078</t>
  </si>
  <si>
    <t>078-86-5597</t>
  </si>
  <si>
    <t>102-86-5423</t>
  </si>
  <si>
    <t>065-84-9286</t>
  </si>
  <si>
    <t>129-52-1001</t>
  </si>
  <si>
    <t>070-06-0265</t>
  </si>
  <si>
    <t>108-36-1174</t>
  </si>
  <si>
    <t>108-84-4713</t>
  </si>
  <si>
    <t>551-15-1037</t>
  </si>
  <si>
    <t>052-74-2156</t>
  </si>
  <si>
    <t>145-36-7903</t>
  </si>
  <si>
    <t>585-73-9160</t>
  </si>
  <si>
    <t>093-70-4591</t>
  </si>
  <si>
    <t>054-44-7253</t>
  </si>
  <si>
    <t>133-90-3326</t>
  </si>
  <si>
    <t>072-80-7017</t>
  </si>
  <si>
    <t>112-60-0630</t>
  </si>
  <si>
    <t>057-90-3775</t>
  </si>
  <si>
    <t>059-68-4507</t>
  </si>
  <si>
    <t>063-72-2916</t>
  </si>
  <si>
    <t>078-70-8077</t>
  </si>
  <si>
    <t>087-98-7369</t>
  </si>
  <si>
    <t>082-70-0674</t>
  </si>
  <si>
    <t>026-64-4767</t>
  </si>
  <si>
    <t>566-79-1589</t>
  </si>
  <si>
    <t>052-94-9781</t>
  </si>
  <si>
    <t>095-68-0570</t>
  </si>
  <si>
    <t>126-70-7253</t>
  </si>
  <si>
    <t>056-50-3517</t>
  </si>
  <si>
    <t>083-72-6734</t>
  </si>
  <si>
    <t>111-82-8723</t>
  </si>
  <si>
    <t>054-70-7818</t>
  </si>
  <si>
    <t>589-93-3118</t>
  </si>
  <si>
    <t>056-58-5082</t>
  </si>
  <si>
    <t>115-56-2955</t>
  </si>
  <si>
    <t>128-62-3406</t>
  </si>
  <si>
    <t>583-33-5883</t>
  </si>
  <si>
    <t>109-82-4608</t>
  </si>
  <si>
    <t>114-70-3560</t>
  </si>
  <si>
    <t>115-66-0372</t>
  </si>
  <si>
    <t>096-92-6765</t>
  </si>
  <si>
    <t>252-80-3832</t>
  </si>
  <si>
    <t>115-66-8785</t>
  </si>
  <si>
    <t>089-68-8370</t>
  </si>
  <si>
    <t>090-88-4271</t>
  </si>
  <si>
    <t>056-64-9494</t>
  </si>
  <si>
    <t>057-68-8137</t>
  </si>
  <si>
    <t>128-76-3284</t>
  </si>
  <si>
    <t>107-84-1924</t>
  </si>
  <si>
    <t>133-44-3506</t>
  </si>
  <si>
    <t>110-82-4436</t>
  </si>
  <si>
    <t>079-76-2652</t>
  </si>
  <si>
    <t>051-70-3086</t>
  </si>
  <si>
    <t>247-86-4291</t>
  </si>
  <si>
    <t>122-78-2437</t>
  </si>
  <si>
    <t>134-54-1177</t>
  </si>
  <si>
    <t>075-02-3195</t>
  </si>
  <si>
    <t>078-90-7625</t>
  </si>
  <si>
    <t>095-86-1658</t>
  </si>
  <si>
    <t>095-78-0272</t>
  </si>
  <si>
    <t>053-80-7348</t>
  </si>
  <si>
    <t>055-60-6864</t>
  </si>
  <si>
    <t>388-77-2942</t>
  </si>
  <si>
    <t>118-80-9538</t>
  </si>
  <si>
    <t>113-50-5177</t>
  </si>
  <si>
    <t>057-68-5180</t>
  </si>
  <si>
    <t>105-62-3925</t>
  </si>
  <si>
    <t>068-72-1319</t>
  </si>
  <si>
    <t>121-46-0804</t>
  </si>
  <si>
    <t>093-62-5418</t>
  </si>
  <si>
    <t>073-62-8001</t>
  </si>
  <si>
    <t>056-42-4502</t>
  </si>
  <si>
    <t>070-58-6191</t>
  </si>
  <si>
    <t>142-15-6038</t>
  </si>
  <si>
    <t>124-38-6335</t>
  </si>
  <si>
    <t>599-18-8788</t>
  </si>
  <si>
    <t>125-56-6586</t>
  </si>
  <si>
    <t>035-38-1241</t>
  </si>
  <si>
    <t>051-64-3197</t>
  </si>
  <si>
    <t>077-74-4382</t>
  </si>
  <si>
    <t>099-90-2703</t>
  </si>
  <si>
    <t>127-92-6430</t>
  </si>
  <si>
    <t>322-52-6510</t>
  </si>
  <si>
    <t>117-56-3030</t>
  </si>
  <si>
    <t>102-70-0396</t>
  </si>
  <si>
    <t>059-94-1471</t>
  </si>
  <si>
    <t>410-02-2851</t>
  </si>
  <si>
    <t>067-82-3461</t>
  </si>
  <si>
    <t>075-50-3447</t>
  </si>
  <si>
    <t>125-23-0851</t>
  </si>
  <si>
    <t>125-56-1923</t>
  </si>
  <si>
    <t>380-42-1354</t>
  </si>
  <si>
    <t>821-71-8398</t>
  </si>
  <si>
    <t>064-32-4842</t>
  </si>
  <si>
    <t>107-70-1165</t>
  </si>
  <si>
    <t>071-64-4200</t>
  </si>
  <si>
    <t>076-88-5240</t>
  </si>
  <si>
    <t>119-76-7166</t>
  </si>
  <si>
    <t>092-68-2467</t>
  </si>
  <si>
    <t>083-92-4183</t>
  </si>
  <si>
    <t>121-70-9208</t>
  </si>
  <si>
    <t>088-78-9683</t>
  </si>
  <si>
    <t>582-95-8815</t>
  </si>
  <si>
    <t>018-27-5865</t>
  </si>
  <si>
    <t>095-70-0125</t>
  </si>
  <si>
    <t>094-82-1816</t>
  </si>
  <si>
    <t>264-95-2138</t>
  </si>
  <si>
    <t>089-02-4592</t>
  </si>
  <si>
    <t>101-66-9277</t>
  </si>
  <si>
    <t>121-58-2389</t>
  </si>
  <si>
    <t>182-82-9619</t>
  </si>
  <si>
    <t>054-74-1530</t>
  </si>
  <si>
    <t>743-29-2648</t>
  </si>
  <si>
    <t>092-52-4713</t>
  </si>
  <si>
    <t>053-96-0411</t>
  </si>
  <si>
    <t>051-80-5831</t>
  </si>
  <si>
    <t>082-82-5070</t>
  </si>
  <si>
    <t>069-68-2918</t>
  </si>
  <si>
    <t>094-84-0046</t>
  </si>
  <si>
    <t>105-70-3929</t>
  </si>
  <si>
    <t>071-96-6216</t>
  </si>
  <si>
    <t>071-74-9882</t>
  </si>
  <si>
    <t>116-80-6090</t>
  </si>
  <si>
    <t>103-32-5163</t>
  </si>
  <si>
    <t>104-98-2336</t>
  </si>
  <si>
    <t>085-94-5641</t>
  </si>
  <si>
    <t>058-80-7052</t>
  </si>
  <si>
    <t>131-58-4010</t>
  </si>
  <si>
    <t>077-92-4376</t>
  </si>
  <si>
    <t>075-76-6097</t>
  </si>
  <si>
    <t>888-24-3548</t>
  </si>
  <si>
    <t>066-86-0706</t>
  </si>
  <si>
    <t>072-76-4760</t>
  </si>
  <si>
    <t>085-70-4830</t>
  </si>
  <si>
    <t>114-66-0378</t>
  </si>
  <si>
    <t>065-36-4783</t>
  </si>
  <si>
    <t>114-50-6813</t>
  </si>
  <si>
    <t>068-78-5935</t>
  </si>
  <si>
    <t>068-80-6735</t>
  </si>
  <si>
    <t>071-58-5938</t>
  </si>
  <si>
    <t>108-90-7628</t>
  </si>
  <si>
    <t>114-66-8747</t>
  </si>
  <si>
    <t>028-65-3197</t>
  </si>
  <si>
    <t>187-93-0605</t>
  </si>
  <si>
    <t>122-40-0436</t>
  </si>
  <si>
    <t>025-06-8028</t>
  </si>
  <si>
    <t>098-72-6551</t>
  </si>
  <si>
    <t>086-64-1518</t>
  </si>
  <si>
    <t>127-66-6844</t>
  </si>
  <si>
    <t>145-75-7580</t>
  </si>
  <si>
    <t>823-33-0468</t>
  </si>
  <si>
    <t>106-78-5587</t>
  </si>
  <si>
    <t>114-72-3725</t>
  </si>
  <si>
    <t>034-96-6978</t>
  </si>
  <si>
    <t>055-44-0480</t>
  </si>
  <si>
    <t>582-21-4189</t>
  </si>
  <si>
    <t>065-58-8761</t>
  </si>
  <si>
    <t>093-42-6462</t>
  </si>
  <si>
    <t>069-86-6037</t>
  </si>
  <si>
    <t>580-17-1861</t>
  </si>
  <si>
    <t>587-76-3546</t>
  </si>
  <si>
    <t>448-04-4203</t>
  </si>
  <si>
    <t>084-88-7803</t>
  </si>
  <si>
    <t>124-78-4779</t>
  </si>
  <si>
    <t>121-64-1047</t>
  </si>
  <si>
    <t>086-76-5772</t>
  </si>
  <si>
    <t>067-30-6221</t>
  </si>
  <si>
    <t>000-00-5307</t>
  </si>
  <si>
    <t>052-66-6059</t>
  </si>
  <si>
    <t>123-70-6298</t>
  </si>
  <si>
    <t>096-60-1509</t>
  </si>
  <si>
    <t>117-86-7703</t>
  </si>
  <si>
    <t>123-50-3271</t>
  </si>
  <si>
    <t>125-44-6827</t>
  </si>
  <si>
    <t>121-60-7316</t>
  </si>
  <si>
    <t>153-78-9628</t>
  </si>
  <si>
    <t>505-99-3087</t>
  </si>
  <si>
    <t>109-82-8688</t>
  </si>
  <si>
    <t>097-56-8499</t>
  </si>
  <si>
    <t>000-00-3581</t>
  </si>
  <si>
    <t>122-86-6587</t>
  </si>
  <si>
    <t>127-66-4955</t>
  </si>
  <si>
    <t>580-21-5253</t>
  </si>
  <si>
    <t>074-58-4288</t>
  </si>
  <si>
    <t>094-52-5487</t>
  </si>
  <si>
    <t>584-92-3882</t>
  </si>
  <si>
    <t>080-54-5004</t>
  </si>
  <si>
    <t>000-00-6242</t>
  </si>
  <si>
    <t>099-88-6051</t>
  </si>
  <si>
    <t>120-74-2691</t>
  </si>
  <si>
    <t>067-58-1198</t>
  </si>
  <si>
    <t>086-76-2933</t>
  </si>
  <si>
    <t>126-76-4099</t>
  </si>
  <si>
    <t>130-68-1772</t>
  </si>
  <si>
    <t>181-72-5360</t>
  </si>
  <si>
    <t>123-64-8619</t>
  </si>
  <si>
    <t>000-00-7021</t>
  </si>
  <si>
    <t>067-84-2757</t>
  </si>
  <si>
    <t>106-94-5307</t>
  </si>
  <si>
    <t>069-58-0987</t>
  </si>
  <si>
    <t>071-50-3108</t>
  </si>
  <si>
    <t>132-68-3499</t>
  </si>
  <si>
    <t>067-66-8911</t>
  </si>
  <si>
    <t>096-70-7153</t>
  </si>
  <si>
    <t>014-55-9067</t>
  </si>
  <si>
    <t>101-78-4889</t>
  </si>
  <si>
    <t>102-80-1013</t>
  </si>
  <si>
    <t>096-56-7923</t>
  </si>
  <si>
    <t>106-60-2468</t>
  </si>
  <si>
    <t>115-52-9512</t>
  </si>
  <si>
    <t>206-44-9645</t>
  </si>
  <si>
    <t>115-76-6280</t>
  </si>
  <si>
    <t>239-25-8334</t>
  </si>
  <si>
    <t>000-00-9794</t>
  </si>
  <si>
    <t>083-84-6488</t>
  </si>
  <si>
    <t>081-80-2016</t>
  </si>
  <si>
    <t>596-30-6691</t>
  </si>
  <si>
    <t>080-70-6246</t>
  </si>
  <si>
    <t>086-84-1753</t>
  </si>
  <si>
    <t>086-56-4204</t>
  </si>
  <si>
    <t>073-42-1573</t>
  </si>
  <si>
    <t>063-56-0560</t>
  </si>
  <si>
    <t>100-92-7874</t>
  </si>
  <si>
    <t>072-40-9046</t>
  </si>
  <si>
    <t>104-68-1566</t>
  </si>
  <si>
    <t>072-76-7496</t>
  </si>
  <si>
    <t>079-66-1818</t>
  </si>
  <si>
    <t>085-50-9077</t>
  </si>
  <si>
    <t>057-58-6095</t>
  </si>
  <si>
    <t>581-31-8733</t>
  </si>
  <si>
    <t>091-58-8600</t>
  </si>
  <si>
    <t>053-80-5640</t>
  </si>
  <si>
    <t>114-56-6587</t>
  </si>
  <si>
    <t>241-32-0651</t>
  </si>
  <si>
    <t>063-82-7448</t>
  </si>
  <si>
    <t>295-08-1363</t>
  </si>
  <si>
    <t>059-50-2489</t>
  </si>
  <si>
    <t>083-82-4872</t>
  </si>
  <si>
    <t>581-90-3205</t>
  </si>
  <si>
    <t>128-55-9155</t>
  </si>
  <si>
    <t>084-58-5885</t>
  </si>
  <si>
    <t>129-46-7944</t>
  </si>
  <si>
    <t>119-56-0859</t>
  </si>
  <si>
    <t>115-70-2021</t>
  </si>
  <si>
    <t>117-90-7908</t>
  </si>
  <si>
    <t>074-58-4782</t>
  </si>
  <si>
    <t>294-83-4280</t>
  </si>
  <si>
    <t>070-02-0436</t>
  </si>
  <si>
    <t>102-70-2450</t>
  </si>
  <si>
    <t>064-66-5547</t>
  </si>
  <si>
    <t>687-18-4267</t>
  </si>
  <si>
    <t>213-29-2210</t>
  </si>
  <si>
    <t>122-68-0446</t>
  </si>
  <si>
    <t>101-88-9399</t>
  </si>
  <si>
    <t>121-80-2464</t>
  </si>
  <si>
    <t>095-70-8672</t>
  </si>
  <si>
    <t>089-68-4376</t>
  </si>
  <si>
    <t>057-66-9097</t>
  </si>
  <si>
    <t>087-44-5703</t>
  </si>
  <si>
    <t>051-76-5947</t>
  </si>
  <si>
    <t>591-10-9426</t>
  </si>
  <si>
    <t>058-08-6084</t>
  </si>
  <si>
    <t>081-64-1195</t>
  </si>
  <si>
    <t>078-82-8896</t>
  </si>
  <si>
    <t>097-68-1023</t>
  </si>
  <si>
    <t>017-02-4431</t>
  </si>
  <si>
    <t>056-64-5255</t>
  </si>
  <si>
    <t>108-60-7108</t>
  </si>
  <si>
    <t>076-86-3678</t>
  </si>
  <si>
    <t>057-62-3924</t>
  </si>
  <si>
    <t>059-70-4875</t>
  </si>
  <si>
    <t>071-60-7770</t>
  </si>
  <si>
    <t>597-03-1823</t>
  </si>
  <si>
    <t>053-78-6525</t>
  </si>
  <si>
    <t>131-52-0779</t>
  </si>
  <si>
    <t>522-95-0142</t>
  </si>
  <si>
    <t>110-52-2760</t>
  </si>
  <si>
    <t>086-68-5008</t>
  </si>
  <si>
    <t>233-95-7697</t>
  </si>
  <si>
    <t>580-13-1844</t>
  </si>
  <si>
    <t>093-87-1766</t>
  </si>
  <si>
    <t>116-64-1099</t>
  </si>
  <si>
    <t>420-37-9888</t>
  </si>
  <si>
    <t>127-36-9940</t>
  </si>
  <si>
    <t>062-62-0934</t>
  </si>
  <si>
    <t>102-64-1545</t>
  </si>
  <si>
    <t>104-48-9084</t>
  </si>
  <si>
    <t>113-56-4190</t>
  </si>
  <si>
    <t>065-50-9361</t>
  </si>
  <si>
    <t>118-44-0000</t>
  </si>
  <si>
    <t>123-70-6382</t>
  </si>
  <si>
    <t>095-90-9026</t>
  </si>
  <si>
    <t>134-16-5687</t>
  </si>
  <si>
    <t>112-86-9975</t>
  </si>
  <si>
    <t>086-94-3176</t>
  </si>
  <si>
    <t>000-00-2308</t>
  </si>
  <si>
    <t>102-48-6868</t>
  </si>
  <si>
    <t>071-58-4459</t>
  </si>
  <si>
    <t>000-00-2794</t>
  </si>
  <si>
    <t>051-78-0857</t>
  </si>
  <si>
    <t>582-85-6599</t>
  </si>
  <si>
    <t>584-26-5149</t>
  </si>
  <si>
    <t>137-08-6530</t>
  </si>
  <si>
    <t>071-60-6615</t>
  </si>
  <si>
    <t>075-46-6790</t>
  </si>
  <si>
    <t>039-38-5770</t>
  </si>
  <si>
    <t>595-18-2903</t>
  </si>
  <si>
    <t>087-54-5688</t>
  </si>
  <si>
    <t>077-58-9468</t>
  </si>
  <si>
    <t>930-72-6024</t>
  </si>
  <si>
    <t>582-83-5451</t>
  </si>
  <si>
    <t>219-51-3612</t>
  </si>
  <si>
    <t>128-86-3043</t>
  </si>
  <si>
    <t>129-72-2639</t>
  </si>
  <si>
    <t>071-78-2731</t>
  </si>
  <si>
    <t>127-86-7212</t>
  </si>
  <si>
    <t>118-58-0924</t>
  </si>
  <si>
    <t>073-64-0580</t>
  </si>
  <si>
    <t>035-74-9104</t>
  </si>
  <si>
    <t>053-54-7371</t>
  </si>
  <si>
    <t>085-55-2555</t>
  </si>
  <si>
    <t>582-68-5015</t>
  </si>
  <si>
    <t>067-50-4827</t>
  </si>
  <si>
    <t>263-97-1491</t>
  </si>
  <si>
    <t>584-85-7908</t>
  </si>
  <si>
    <t>051-60-6297</t>
  </si>
  <si>
    <t>105-50-1547</t>
  </si>
  <si>
    <t>113-80-0755</t>
  </si>
  <si>
    <t>085-72-9571</t>
  </si>
  <si>
    <t>230-48-1487</t>
  </si>
  <si>
    <t>111-64-1597</t>
  </si>
  <si>
    <t>117-72-2566</t>
  </si>
  <si>
    <t>058-70-9553</t>
  </si>
  <si>
    <t>072-66-6595</t>
  </si>
  <si>
    <t>130-68-2575</t>
  </si>
  <si>
    <t>584-81-2185</t>
  </si>
  <si>
    <t>194-17-9869</t>
  </si>
  <si>
    <t>581-17-2527</t>
  </si>
  <si>
    <t>114-70-2595</t>
  </si>
  <si>
    <t>106-64-3802</t>
  </si>
  <si>
    <t>758-21-3761</t>
  </si>
  <si>
    <t>108-86-4731</t>
  </si>
  <si>
    <t>128-66-0146</t>
  </si>
  <si>
    <t>599-24-5532</t>
  </si>
  <si>
    <t>103-38-8186</t>
  </si>
  <si>
    <t>562-71-5766</t>
  </si>
  <si>
    <t>100-52-0179</t>
  </si>
  <si>
    <t>079-66-9068</t>
  </si>
  <si>
    <t>088-96-9483</t>
  </si>
  <si>
    <t>082-46-4681</t>
  </si>
  <si>
    <t>066-64-1544</t>
  </si>
  <si>
    <t>091-80-5585</t>
  </si>
  <si>
    <t>102-68-4354</t>
  </si>
  <si>
    <t>101-54-0211</t>
  </si>
  <si>
    <t>117-56-8097</t>
  </si>
  <si>
    <t>060-80-7780</t>
  </si>
  <si>
    <t>098-58-4620</t>
  </si>
  <si>
    <t>094-86-0115</t>
  </si>
  <si>
    <t>092-56-2780</t>
  </si>
  <si>
    <t>580-29-6754</t>
  </si>
  <si>
    <t>060-60-3274</t>
  </si>
  <si>
    <t>124-54-8984</t>
  </si>
  <si>
    <t>070-84-5247</t>
  </si>
  <si>
    <t>029-78-5176</t>
  </si>
  <si>
    <t>129-44-0476</t>
  </si>
  <si>
    <t>100-64-8971</t>
  </si>
  <si>
    <t>078-62-6318</t>
  </si>
  <si>
    <t>080-60-2956</t>
  </si>
  <si>
    <t>084-64-3000</t>
  </si>
  <si>
    <t>597-76-4839</t>
  </si>
  <si>
    <t>128-60-5427</t>
  </si>
  <si>
    <t>102-58-8085</t>
  </si>
  <si>
    <t>063-76-8198</t>
  </si>
  <si>
    <t>127-80-7586</t>
  </si>
  <si>
    <t>077-80-9193</t>
  </si>
  <si>
    <t>100-58-3383</t>
  </si>
  <si>
    <t>089-58-8648</t>
  </si>
  <si>
    <t>000-00-7256</t>
  </si>
  <si>
    <t>081-78-9412</t>
  </si>
  <si>
    <t>000-00-1480</t>
  </si>
  <si>
    <t>100-02-5140</t>
  </si>
  <si>
    <t>116-88-6483</t>
  </si>
  <si>
    <t>066-68-3825</t>
  </si>
  <si>
    <t>128-72-3784</t>
  </si>
  <si>
    <t>105-70-4134</t>
  </si>
  <si>
    <t>100-74-5236</t>
  </si>
  <si>
    <t>089-68-1455</t>
  </si>
  <si>
    <t>079-66-0182</t>
  </si>
  <si>
    <t>053-52-0722</t>
  </si>
  <si>
    <t>000-00-8534</t>
  </si>
  <si>
    <t>581-29-4740</t>
  </si>
  <si>
    <t>118-52-1900</t>
  </si>
  <si>
    <t>134-70-9609</t>
  </si>
  <si>
    <t>085-74-4889</t>
  </si>
  <si>
    <t>220-19-2909</t>
  </si>
  <si>
    <t>096-72-8754</t>
  </si>
  <si>
    <t>101-64-5625</t>
  </si>
  <si>
    <t>052-78-9087</t>
  </si>
  <si>
    <t>598-42-5129</t>
  </si>
  <si>
    <t>055-82-2415</t>
  </si>
  <si>
    <t>087-58-9612</t>
  </si>
  <si>
    <t>051-72-8320</t>
  </si>
  <si>
    <t>085-50-3133</t>
  </si>
  <si>
    <t>000-00-1176</t>
  </si>
  <si>
    <t>126-50-6751</t>
  </si>
  <si>
    <t>086-56-0313</t>
  </si>
  <si>
    <t>101-58-8057</t>
  </si>
  <si>
    <t>730-14-5567</t>
  </si>
  <si>
    <t>105-22-2294</t>
  </si>
  <si>
    <t>078-86-9083</t>
  </si>
  <si>
    <t>166-75-9123</t>
  </si>
  <si>
    <t>129-58-1361</t>
  </si>
  <si>
    <t>093-72-6874</t>
  </si>
  <si>
    <t>591-23-9731</t>
  </si>
  <si>
    <t>102-88-5529</t>
  </si>
  <si>
    <t>099-56-4371</t>
  </si>
  <si>
    <t>057-80-3569</t>
  </si>
  <si>
    <t>129-96-5109</t>
  </si>
  <si>
    <t>582-37-9548</t>
  </si>
  <si>
    <t>069-58-2284</t>
  </si>
  <si>
    <t>079-72-8156</t>
  </si>
  <si>
    <t>089-48-2470</t>
  </si>
  <si>
    <t>000-00-2470</t>
  </si>
  <si>
    <t>568-75-0725</t>
  </si>
  <si>
    <t>584-46-9617</t>
  </si>
  <si>
    <t>058-58-9581</t>
  </si>
  <si>
    <t>102-38-5049</t>
  </si>
  <si>
    <t>074-62-4040</t>
  </si>
  <si>
    <t>105-54-2494</t>
  </si>
  <si>
    <t>110-64-5103</t>
  </si>
  <si>
    <t>000-00-3766</t>
  </si>
  <si>
    <t>407-04-3787</t>
  </si>
  <si>
    <t>084-32-2057</t>
  </si>
  <si>
    <t>105-50-3098</t>
  </si>
  <si>
    <t>094-82-9428</t>
  </si>
  <si>
    <t>072-66-5649</t>
  </si>
  <si>
    <t>075-80-2033</t>
  </si>
  <si>
    <t>103-50-5426</t>
  </si>
  <si>
    <t>071-50-3473</t>
  </si>
  <si>
    <t>729-24-4585</t>
  </si>
  <si>
    <t>583-86-3615</t>
  </si>
  <si>
    <t>070-70-7289</t>
  </si>
  <si>
    <t>105-64-5362</t>
  </si>
  <si>
    <t>752-26-8513</t>
  </si>
  <si>
    <t>733-09-7415</t>
  </si>
  <si>
    <t>051-32-3199</t>
  </si>
  <si>
    <t>096-62-7674</t>
  </si>
  <si>
    <t>095-66-0324</t>
  </si>
  <si>
    <t>093-78-2756</t>
  </si>
  <si>
    <t>085-76-6344</t>
  </si>
  <si>
    <t>057-60-6059</t>
  </si>
  <si>
    <t>058-78-1774</t>
  </si>
  <si>
    <t>096-90-9130</t>
  </si>
  <si>
    <t>000-00-4588</t>
  </si>
  <si>
    <t>114-72-3787</t>
  </si>
  <si>
    <t>063-70-2565</t>
  </si>
  <si>
    <t>079-58-4426</t>
  </si>
  <si>
    <t>062-30-3271</t>
  </si>
  <si>
    <t>113-54-0410</t>
  </si>
  <si>
    <t>000-00-0425</t>
  </si>
  <si>
    <t>086-96-2983</t>
  </si>
  <si>
    <t>893-33-8377</t>
  </si>
  <si>
    <t>090-76-3577</t>
  </si>
  <si>
    <t>098-82-3296</t>
  </si>
  <si>
    <t>840-74-2213</t>
  </si>
  <si>
    <t>225-57-4992</t>
  </si>
  <si>
    <t>000-00-2977</t>
  </si>
  <si>
    <t>115-30-9394</t>
  </si>
  <si>
    <t>068-70-6426</t>
  </si>
  <si>
    <t>059-82-6551</t>
  </si>
  <si>
    <t>060-78-2331</t>
  </si>
  <si>
    <t>599-30-6722</t>
  </si>
  <si>
    <t>090-88-3948</t>
  </si>
  <si>
    <t>083-54-2573</t>
  </si>
  <si>
    <t>107-60-2132</t>
  </si>
  <si>
    <t>769-12-3085</t>
  </si>
  <si>
    <t>066-42-5483</t>
  </si>
  <si>
    <t>098-46-1764</t>
  </si>
  <si>
    <t>060-70-2064</t>
  </si>
  <si>
    <t>132-34-7666</t>
  </si>
  <si>
    <t>526-53-2305</t>
  </si>
  <si>
    <t>118-80-5425</t>
  </si>
  <si>
    <t>126-48-4974</t>
  </si>
  <si>
    <t>053-60-9877</t>
  </si>
  <si>
    <t>584-08-2150</t>
  </si>
  <si>
    <t>121-78-3442</t>
  </si>
  <si>
    <t>068-64-1333</t>
  </si>
  <si>
    <t>118-62-0389</t>
  </si>
  <si>
    <t>006-97-4948</t>
  </si>
  <si>
    <t>142-62-0545</t>
  </si>
  <si>
    <t>116-56-4949</t>
  </si>
  <si>
    <t>053-60-2846</t>
  </si>
  <si>
    <t>078-32-1113</t>
  </si>
  <si>
    <t>154-50-9446</t>
  </si>
  <si>
    <t>147-56-0132</t>
  </si>
  <si>
    <t>107-80-5800</t>
  </si>
  <si>
    <t>077-60-7676</t>
  </si>
  <si>
    <t>105-84-4205</t>
  </si>
  <si>
    <t>094-52-8972</t>
  </si>
  <si>
    <t>319-41-3152</t>
  </si>
  <si>
    <t>060-78-3270</t>
  </si>
  <si>
    <t>068-52-7414</t>
  </si>
  <si>
    <t>081-58-7062</t>
  </si>
  <si>
    <t>106-60-9200</t>
  </si>
  <si>
    <t>092-42-1317</t>
  </si>
  <si>
    <t>265-02-7763</t>
  </si>
  <si>
    <t>157-56-1823</t>
  </si>
  <si>
    <t>068-60-0172</t>
  </si>
  <si>
    <t>065-62-1047</t>
  </si>
  <si>
    <t>118-34-3530</t>
  </si>
  <si>
    <t>131-46-9841</t>
  </si>
  <si>
    <t>106-72-9471</t>
  </si>
  <si>
    <t>093-62-3013</t>
  </si>
  <si>
    <t>076-73-0292</t>
  </si>
  <si>
    <t>090-96-5384</t>
  </si>
  <si>
    <t>583-31-8067</t>
  </si>
  <si>
    <t>581-82-5208</t>
  </si>
  <si>
    <t>247-33-5645</t>
  </si>
  <si>
    <t>073-58-8720</t>
  </si>
  <si>
    <t>099-62-7308</t>
  </si>
  <si>
    <t>110-62-4831</t>
  </si>
  <si>
    <t>584-67-3186</t>
  </si>
  <si>
    <t>080-72-9082</t>
  </si>
  <si>
    <t>055-60-1207</t>
  </si>
  <si>
    <t>091-56-4547</t>
  </si>
  <si>
    <t>051-30-6077</t>
  </si>
  <si>
    <t>081-86-3596</t>
  </si>
  <si>
    <t>059-36-8266</t>
  </si>
  <si>
    <t>059-90-1235</t>
  </si>
  <si>
    <t>086-70-5208</t>
  </si>
  <si>
    <t>101-56-1448</t>
  </si>
  <si>
    <t>124-98-7250</t>
  </si>
  <si>
    <t>128-90-7212</t>
  </si>
  <si>
    <t>050-48-6037</t>
  </si>
  <si>
    <t>056-58-0867</t>
  </si>
  <si>
    <t>103-60-7312</t>
  </si>
  <si>
    <t>110-54-8821</t>
  </si>
  <si>
    <t>066-58-1175</t>
  </si>
  <si>
    <t>125-44-0274</t>
  </si>
  <si>
    <t>102-58-1032</t>
  </si>
  <si>
    <t>102-64-1767</t>
  </si>
  <si>
    <t>060-62-5550</t>
  </si>
  <si>
    <t>100-28-5597</t>
  </si>
  <si>
    <t>081-46-5846</t>
  </si>
  <si>
    <t>099-68-3529</t>
  </si>
  <si>
    <t>054-64-8978</t>
  </si>
  <si>
    <t>582-94-6227</t>
  </si>
  <si>
    <t>060-54-2293</t>
  </si>
  <si>
    <t>090-60-9105</t>
  </si>
  <si>
    <t>061-66-0530</t>
  </si>
  <si>
    <t>132-70-1122</t>
  </si>
  <si>
    <t>137-88-0774</t>
  </si>
  <si>
    <t>060-82-4139</t>
  </si>
  <si>
    <t>063-42-2029</t>
  </si>
  <si>
    <t>114-74-7143</t>
  </si>
  <si>
    <t>135-66-8052</t>
  </si>
  <si>
    <t>082-40-4491</t>
  </si>
  <si>
    <t>133-90-0489</t>
  </si>
  <si>
    <t>583-46-1454</t>
  </si>
  <si>
    <t>053-66-0967</t>
  </si>
  <si>
    <t>057-60-9812</t>
  </si>
  <si>
    <t>108-66-8695</t>
  </si>
  <si>
    <t>226-96-0746</t>
  </si>
  <si>
    <t>115-58-2392</t>
  </si>
  <si>
    <t>134-78-3629</t>
  </si>
  <si>
    <t>077-54-6569</t>
  </si>
  <si>
    <t>090-38-5362</t>
  </si>
  <si>
    <t>589-60-9297</t>
  </si>
  <si>
    <t>053-70-2483</t>
  </si>
  <si>
    <t>076-76-5523</t>
  </si>
  <si>
    <t>050-38-4727</t>
  </si>
  <si>
    <t>134-64-8778</t>
  </si>
  <si>
    <t>060-58-2589</t>
  </si>
  <si>
    <t>050-68-2195</t>
  </si>
  <si>
    <t>111-38-6089</t>
  </si>
  <si>
    <t>243-59-4029</t>
  </si>
  <si>
    <t>117-62-7467</t>
  </si>
  <si>
    <t>095-96-9935</t>
  </si>
  <si>
    <t>067-88-5969</t>
  </si>
  <si>
    <t>109-72-0852</t>
  </si>
  <si>
    <t>115-64-6969</t>
  </si>
  <si>
    <t>358-36-3663</t>
  </si>
  <si>
    <t>065-58-2309</t>
  </si>
  <si>
    <t>120-66-1404</t>
  </si>
  <si>
    <t>064-58-1525</t>
  </si>
  <si>
    <t>596-10-3720</t>
  </si>
  <si>
    <t>117-58-8917</t>
  </si>
  <si>
    <t>292-92-6567</t>
  </si>
  <si>
    <t>215-17-3070</t>
  </si>
  <si>
    <t>093-74-9400</t>
  </si>
  <si>
    <t>090-76-0625</t>
  </si>
  <si>
    <t>126-66-8456</t>
  </si>
  <si>
    <t>745-24-9418</t>
  </si>
  <si>
    <t>124-78-2327</t>
  </si>
  <si>
    <t>155-68-4533</t>
  </si>
  <si>
    <t>265-97-4756</t>
  </si>
  <si>
    <t>000-00-6528</t>
  </si>
  <si>
    <t>033-72-7061</t>
  </si>
  <si>
    <t>058-82-7879</t>
  </si>
  <si>
    <t>064-98-5766</t>
  </si>
  <si>
    <t>084-96-3545</t>
  </si>
  <si>
    <t>078-72-5432</t>
  </si>
  <si>
    <t>115-56-0318</t>
  </si>
  <si>
    <t>083-74-5474</t>
  </si>
  <si>
    <t>102-80-2657</t>
  </si>
  <si>
    <t>122-52-1686</t>
  </si>
  <si>
    <t>111-64-0725</t>
  </si>
  <si>
    <t>123-78-5032</t>
  </si>
  <si>
    <t>125-46-2772</t>
  </si>
  <si>
    <t>094-88-9010</t>
  </si>
  <si>
    <t>582-66-5931</t>
  </si>
  <si>
    <t>066-70-4992</t>
  </si>
  <si>
    <t>086-58-0143</t>
  </si>
  <si>
    <t>104-44-2710</t>
  </si>
  <si>
    <t>079-66-9930</t>
  </si>
  <si>
    <t>099-72-6567</t>
  </si>
  <si>
    <t>084-86-5624</t>
  </si>
  <si>
    <t>073-58-7703</t>
  </si>
  <si>
    <t>050-90-0575</t>
  </si>
  <si>
    <t>091-40-2162</t>
  </si>
  <si>
    <t>037-26-3666</t>
  </si>
  <si>
    <t>126-24-5235</t>
  </si>
  <si>
    <t>109-80-8042</t>
  </si>
  <si>
    <t>097-62-3282</t>
  </si>
  <si>
    <t>184-76-4980</t>
  </si>
  <si>
    <t>077-68-1380</t>
  </si>
  <si>
    <t>079-86-4390</t>
  </si>
  <si>
    <t>774-41-5901</t>
  </si>
  <si>
    <t>124-70-6162</t>
  </si>
  <si>
    <t>100-90-5262</t>
  </si>
  <si>
    <t>087-44-8499</t>
  </si>
  <si>
    <t>206-48-8604</t>
  </si>
  <si>
    <t>123-42-4584</t>
  </si>
  <si>
    <t>077-68-0894</t>
  </si>
  <si>
    <t>101-56-3909</t>
  </si>
  <si>
    <t>051-60-4333</t>
  </si>
  <si>
    <t>057-76-6705</t>
  </si>
  <si>
    <t>090-74-6151</t>
  </si>
  <si>
    <t>086-68-7198</t>
  </si>
  <si>
    <t>318-52-7710</t>
  </si>
  <si>
    <t>051-02-1214</t>
  </si>
  <si>
    <t>102-64-5296</t>
  </si>
  <si>
    <t>071-62-7921</t>
  </si>
  <si>
    <t>366-15-1474</t>
  </si>
  <si>
    <t>069-54-4391</t>
  </si>
  <si>
    <t>055-78-8732</t>
  </si>
  <si>
    <t>071-82-9771</t>
  </si>
  <si>
    <t>051-60-5777</t>
  </si>
  <si>
    <t>050-84-7014</t>
  </si>
  <si>
    <t>113-74-1313</t>
  </si>
  <si>
    <t>097-62-1643</t>
  </si>
  <si>
    <t>129-82-0168</t>
  </si>
  <si>
    <t>086-70-2737</t>
  </si>
  <si>
    <t>113-74-1464</t>
  </si>
  <si>
    <t>072-54-5643</t>
  </si>
  <si>
    <t>114-84-0996</t>
  </si>
  <si>
    <t>000-00-0382</t>
  </si>
  <si>
    <t>126-66-1211</t>
  </si>
  <si>
    <t>000-00-2763</t>
  </si>
  <si>
    <t>582-85-0348</t>
  </si>
  <si>
    <t>174-54-3954</t>
  </si>
  <si>
    <t>000-00-8756</t>
  </si>
  <si>
    <t>000-00-6215</t>
  </si>
  <si>
    <t>000-00-1034</t>
  </si>
  <si>
    <t>050-58-9359</t>
  </si>
  <si>
    <t>159-64-1282</t>
  </si>
  <si>
    <t>000-00-5671</t>
  </si>
  <si>
    <t>057-74-5284</t>
  </si>
  <si>
    <t>066-72-2542</t>
  </si>
  <si>
    <t>068-74-4615</t>
  </si>
  <si>
    <t>506-19-8262</t>
  </si>
  <si>
    <t>111-38-8728</t>
  </si>
  <si>
    <t>000-00-7872</t>
  </si>
  <si>
    <t>059-90-7583</t>
  </si>
  <si>
    <t>096-58-4196</t>
  </si>
  <si>
    <t>115-76-2287</t>
  </si>
  <si>
    <t>000-00-3048</t>
  </si>
  <si>
    <t>129-88-3969</t>
  </si>
  <si>
    <t>097-56-2174</t>
  </si>
  <si>
    <t>134-56-6932</t>
  </si>
  <si>
    <t>094-64-6812</t>
  </si>
  <si>
    <t>106-72-0405</t>
  </si>
  <si>
    <t>097-56-7761</t>
  </si>
  <si>
    <t>097-98-1012</t>
  </si>
  <si>
    <t>000-00-8950</t>
  </si>
  <si>
    <t>000-00-9126</t>
  </si>
  <si>
    <t>059-72-6348</t>
  </si>
  <si>
    <t>130-64-1210</t>
  </si>
  <si>
    <t>083-62-5171</t>
  </si>
  <si>
    <t>000-00-7069</t>
  </si>
  <si>
    <t>103-86-4946</t>
  </si>
  <si>
    <t>129-66-0522</t>
  </si>
  <si>
    <t>106-64-9181</t>
  </si>
  <si>
    <t>112-62-7928</t>
  </si>
  <si>
    <t>059-56-0040</t>
  </si>
  <si>
    <t>072-44-7819</t>
  </si>
  <si>
    <t>113-74-9158</t>
  </si>
  <si>
    <t>038-62-6383</t>
  </si>
  <si>
    <t>052-02-3545</t>
  </si>
  <si>
    <t>000-00-9530</t>
  </si>
  <si>
    <t>064-46-4769</t>
  </si>
  <si>
    <t>116-56-0822</t>
  </si>
  <si>
    <t>068-58-5875</t>
  </si>
  <si>
    <t>424-17-6424</t>
  </si>
  <si>
    <t>112-35-6151</t>
  </si>
  <si>
    <t>220-06-4793</t>
  </si>
  <si>
    <t>092-56-8264</t>
  </si>
  <si>
    <t>000-00-4035</t>
  </si>
  <si>
    <t>000-00-7719</t>
  </si>
  <si>
    <t>070-88-4251</t>
  </si>
  <si>
    <t>000-00-1399</t>
  </si>
  <si>
    <t>000-00-0381</t>
  </si>
  <si>
    <t>000-00-7845</t>
  </si>
  <si>
    <t>000-00-5364</t>
  </si>
  <si>
    <t>000-00-7531</t>
  </si>
  <si>
    <t>245-19-0937</t>
  </si>
  <si>
    <t>000-00-6001</t>
  </si>
  <si>
    <t>000-00-5682</t>
  </si>
  <si>
    <t>000-00-4867</t>
  </si>
  <si>
    <t>000-00-0396</t>
  </si>
  <si>
    <t>092-68-5107</t>
  </si>
  <si>
    <t>000-00-7285</t>
  </si>
  <si>
    <t>000-00-0865</t>
  </si>
  <si>
    <t>000-00-7985</t>
  </si>
  <si>
    <t>000-00-6212</t>
  </si>
  <si>
    <t>000-00-7757</t>
  </si>
  <si>
    <t>000-00-8158</t>
  </si>
  <si>
    <t>317-35-8147</t>
  </si>
  <si>
    <t>000-00-8810</t>
  </si>
  <si>
    <t>000-00-2247</t>
  </si>
  <si>
    <t>000-00-4891</t>
  </si>
  <si>
    <t>384-11-9733</t>
  </si>
  <si>
    <t>109-84-6043</t>
  </si>
  <si>
    <t>000-00-7019</t>
  </si>
  <si>
    <t>000-00-2327</t>
  </si>
  <si>
    <t>086-80-3130</t>
  </si>
  <si>
    <t>000-00-1647</t>
  </si>
  <si>
    <t>000-00-3625</t>
  </si>
  <si>
    <t>000-00-4236</t>
  </si>
  <si>
    <t>000-00-8807</t>
  </si>
  <si>
    <t>000-00-6553</t>
  </si>
  <si>
    <t>000-00-6118</t>
  </si>
  <si>
    <t>000-00-4770</t>
  </si>
  <si>
    <t>000-00-8939</t>
  </si>
  <si>
    <t>000-00-1406</t>
  </si>
  <si>
    <t>096-50-1500</t>
  </si>
  <si>
    <t>000-00-6375</t>
  </si>
  <si>
    <t>076-80-7904</t>
  </si>
  <si>
    <t>107-68-0415</t>
  </si>
  <si>
    <t>174-49-4997</t>
  </si>
  <si>
    <t>212-37-8518</t>
  </si>
  <si>
    <t>082-68-9233</t>
  </si>
  <si>
    <t>109-34-1440</t>
  </si>
  <si>
    <t>096-88-7307</t>
  </si>
  <si>
    <t>054-58-7116</t>
  </si>
  <si>
    <t>058-76-4962</t>
  </si>
  <si>
    <t>224-17-4997</t>
  </si>
  <si>
    <t>055-62-2445</t>
  </si>
  <si>
    <t>131-98-4050</t>
  </si>
  <si>
    <t>076-82-0813</t>
  </si>
  <si>
    <t>120-58-9462</t>
  </si>
  <si>
    <t>122-56-9500</t>
  </si>
  <si>
    <t>063-74-0604</t>
  </si>
  <si>
    <t>668-34-5027</t>
  </si>
  <si>
    <t>052-44-7744</t>
  </si>
  <si>
    <t>073-44-8389</t>
  </si>
  <si>
    <t>156-42-7140</t>
  </si>
  <si>
    <t>067-74-8168</t>
  </si>
  <si>
    <t>098-56-4787</t>
  </si>
  <si>
    <t>091-42-4424</t>
  </si>
  <si>
    <t>055-68-1758</t>
  </si>
  <si>
    <t>112-52-3288</t>
  </si>
  <si>
    <t>716-53-6837</t>
  </si>
  <si>
    <t>072-66-3828</t>
  </si>
  <si>
    <t>067-62-5487</t>
  </si>
  <si>
    <t>093-70-3291</t>
  </si>
  <si>
    <t>128-94-2172</t>
  </si>
  <si>
    <t>057-34-9054</t>
  </si>
  <si>
    <t>000-00-4410</t>
  </si>
  <si>
    <t>103-62-3660</t>
  </si>
  <si>
    <t>104-78-2575</t>
  </si>
  <si>
    <t>053-68-6522</t>
  </si>
  <si>
    <t>067-92-2104</t>
  </si>
  <si>
    <t>063-78-5804</t>
  </si>
  <si>
    <t>092-64-6567</t>
  </si>
  <si>
    <t>270-37-5108</t>
  </si>
  <si>
    <t>067-72-8277</t>
  </si>
  <si>
    <t>070-74-5729</t>
  </si>
  <si>
    <t>592-45-9653</t>
  </si>
  <si>
    <t>093-92-6312</t>
  </si>
  <si>
    <t>000-00-3368</t>
  </si>
  <si>
    <t>000-00-2355</t>
  </si>
  <si>
    <t>129-78-4469</t>
  </si>
  <si>
    <t>138-23-1027</t>
  </si>
  <si>
    <t>121-88-4428</t>
  </si>
  <si>
    <t>065-64-2473</t>
  </si>
  <si>
    <t>620-52-8163</t>
  </si>
  <si>
    <t>119-82-8889</t>
  </si>
  <si>
    <t>052-90-0813</t>
  </si>
  <si>
    <t>091-58-7099</t>
  </si>
  <si>
    <t>000-00-5717</t>
  </si>
  <si>
    <t>109-94-9090</t>
  </si>
  <si>
    <t>121-76-5291</t>
  </si>
  <si>
    <t>070-78-5857</t>
  </si>
  <si>
    <t>125-86-9638</t>
  </si>
  <si>
    <t>083-68-8067</t>
  </si>
  <si>
    <t>000-00-7621</t>
  </si>
  <si>
    <t>000-00-0224</t>
  </si>
  <si>
    <t>000-00-9293</t>
  </si>
  <si>
    <t>198-72-2241</t>
  </si>
  <si>
    <t>247-15-2817</t>
  </si>
  <si>
    <t>130-78-9876</t>
  </si>
  <si>
    <t>118-56-0423</t>
  </si>
  <si>
    <t>071-60-7137</t>
  </si>
  <si>
    <t>111-95-5221</t>
  </si>
  <si>
    <t>000-00-9473</t>
  </si>
  <si>
    <t>258-87-6669</t>
  </si>
  <si>
    <t>000-00-9526</t>
  </si>
  <si>
    <t>000-00-7664</t>
  </si>
  <si>
    <t>731-12-3740</t>
  </si>
  <si>
    <t>063-84-2739</t>
  </si>
  <si>
    <t>063-62-4807</t>
  </si>
  <si>
    <t>051-84-4189</t>
  </si>
  <si>
    <t>121-86-8133</t>
  </si>
  <si>
    <t>064-78-2456</t>
  </si>
  <si>
    <t>090-64-8236</t>
  </si>
  <si>
    <t>065-58-3059</t>
  </si>
  <si>
    <t>000-00-7884</t>
  </si>
  <si>
    <t>000-00-7626</t>
  </si>
  <si>
    <t>116-60-1742</t>
  </si>
  <si>
    <t>069-64-8636</t>
  </si>
  <si>
    <t>132-76-8572</t>
  </si>
  <si>
    <t>070-74-0511</t>
  </si>
  <si>
    <t>083-46-0141</t>
  </si>
  <si>
    <t>064-48-7359</t>
  </si>
  <si>
    <t>066-86-7348</t>
  </si>
  <si>
    <t>110-94-7295</t>
  </si>
  <si>
    <t>248-17-2280</t>
  </si>
  <si>
    <t>097-84-1599</t>
  </si>
  <si>
    <t>063-38-5351</t>
  </si>
  <si>
    <t>130-46-6652</t>
  </si>
  <si>
    <t>085-96-2654</t>
  </si>
  <si>
    <t>057-78-3469</t>
  </si>
  <si>
    <t>105-08-0268</t>
  </si>
  <si>
    <t>080-58-8267</t>
  </si>
  <si>
    <t>076-60-4685</t>
  </si>
  <si>
    <t>094-42-2158</t>
  </si>
  <si>
    <t>129-68-9942</t>
  </si>
  <si>
    <t>157-90-5217</t>
  </si>
  <si>
    <t>263-70-1613</t>
  </si>
  <si>
    <t>609-58-3612</t>
  </si>
  <si>
    <t>110-78-6086</t>
  </si>
  <si>
    <t>457-31-0974</t>
  </si>
  <si>
    <t>063-70-3754</t>
  </si>
  <si>
    <t>100-84-1634</t>
  </si>
  <si>
    <t>056-58-7551</t>
  </si>
  <si>
    <t>423-78-1405</t>
  </si>
  <si>
    <t>082-60-2679</t>
  </si>
  <si>
    <t>000-00-4298</t>
  </si>
  <si>
    <t>000-00-7661</t>
  </si>
  <si>
    <t>157-70-3526</t>
  </si>
  <si>
    <t>000-00-5560</t>
  </si>
  <si>
    <t>100-66-4311</t>
  </si>
  <si>
    <t>553-51-6843</t>
  </si>
  <si>
    <t>133-66-3197</t>
  </si>
  <si>
    <t>097-56-8884</t>
  </si>
  <si>
    <t>050-60-6490</t>
  </si>
  <si>
    <t>130-50-6473</t>
  </si>
  <si>
    <t>567-27-4027</t>
  </si>
  <si>
    <t>131-92-4563</t>
  </si>
  <si>
    <t>119-60-0811</t>
  </si>
  <si>
    <t>120-92-6290</t>
  </si>
  <si>
    <t>127-58-7981</t>
  </si>
  <si>
    <t>091-80-7540</t>
  </si>
  <si>
    <t>118-68-4663</t>
  </si>
  <si>
    <t>131-58-1804</t>
  </si>
  <si>
    <t>102-72-4525</t>
  </si>
  <si>
    <t>101-83-2954</t>
  </si>
  <si>
    <t>082-34-8571</t>
  </si>
  <si>
    <t>063-72-8908</t>
  </si>
  <si>
    <t>379-27-7112</t>
  </si>
  <si>
    <t>129-62-9339</t>
  </si>
  <si>
    <t>069-62-3439</t>
  </si>
  <si>
    <t>134-90-0303</t>
  </si>
  <si>
    <t>099-78-8177</t>
  </si>
  <si>
    <t>000-00-8791</t>
  </si>
  <si>
    <t>081-76-5428</t>
  </si>
  <si>
    <t>000-00-2733</t>
  </si>
  <si>
    <t>104-78-1277</t>
  </si>
  <si>
    <t>093-64-5513</t>
  </si>
  <si>
    <t>104-64-5453</t>
  </si>
  <si>
    <t>123-62-9178</t>
  </si>
  <si>
    <t>088-86-8127</t>
  </si>
  <si>
    <t>580-10-9057</t>
  </si>
  <si>
    <t>109-68-0875</t>
  </si>
  <si>
    <t>261-99-9673</t>
  </si>
  <si>
    <t>050-56-1211</t>
  </si>
  <si>
    <t>087-92-3998</t>
  </si>
  <si>
    <t>000-00-9434</t>
  </si>
  <si>
    <t>064-68-7456</t>
  </si>
  <si>
    <t>112-60-6262</t>
  </si>
  <si>
    <t>572-57-3743</t>
  </si>
  <si>
    <t>495-89-7682</t>
  </si>
  <si>
    <t>119-68-7068</t>
  </si>
  <si>
    <t>000-00-7068</t>
  </si>
  <si>
    <t>230-58-6257</t>
  </si>
  <si>
    <t>260-46-8824</t>
  </si>
  <si>
    <t>054-48-2367</t>
  </si>
  <si>
    <t>101-40-9652</t>
  </si>
  <si>
    <t>075-60-0165</t>
  </si>
  <si>
    <t>848-68-8102</t>
  </si>
  <si>
    <t>007-60-8523</t>
  </si>
  <si>
    <t>084-48-6654</t>
  </si>
  <si>
    <t>247-35-7529</t>
  </si>
  <si>
    <t>129-54-9781</t>
  </si>
  <si>
    <t>054-44-3973</t>
  </si>
  <si>
    <t>055-68-0047</t>
  </si>
  <si>
    <t>068-60-1274</t>
  </si>
  <si>
    <t>111-78-4271</t>
  </si>
  <si>
    <t>000-00-3519</t>
  </si>
  <si>
    <t>084-68-4470</t>
  </si>
  <si>
    <t>244-17-5509</t>
  </si>
  <si>
    <t>362-98-0185</t>
  </si>
  <si>
    <t>114-90-1541</t>
  </si>
  <si>
    <t>000-00-3682</t>
  </si>
  <si>
    <t>148-40-0566</t>
  </si>
  <si>
    <t>114-54-1395</t>
  </si>
  <si>
    <t>000-00-2374</t>
  </si>
  <si>
    <t>000-00-3466</t>
  </si>
  <si>
    <t>115-50-9422</t>
  </si>
  <si>
    <t>106-54-2215</t>
  </si>
  <si>
    <t>142-88-4294</t>
  </si>
  <si>
    <t>000-00-1000</t>
  </si>
  <si>
    <t>580-06-0521</t>
  </si>
  <si>
    <t>093-62-2465</t>
  </si>
  <si>
    <t>085-64-7245</t>
  </si>
  <si>
    <t>060-58-5889</t>
  </si>
  <si>
    <t>581-39-2641</t>
  </si>
  <si>
    <t>088-74-8465</t>
  </si>
  <si>
    <t>105-78-5632</t>
  </si>
  <si>
    <t>000-00-0642</t>
  </si>
  <si>
    <t>086-60-9667</t>
  </si>
  <si>
    <t>180-35-6195</t>
  </si>
  <si>
    <t>081-64-9038</t>
  </si>
  <si>
    <t>599-20-9601</t>
  </si>
  <si>
    <t>104-70-4743</t>
  </si>
  <si>
    <t>117-56-0206</t>
  </si>
  <si>
    <t>115-98-4810</t>
  </si>
  <si>
    <t>053-92-6913</t>
  </si>
  <si>
    <t>057-84-1589</t>
  </si>
  <si>
    <t>056-60-2573</t>
  </si>
  <si>
    <t>110-66-4764</t>
  </si>
  <si>
    <t>030-78-7768</t>
  </si>
  <si>
    <t>064-82-3159</t>
  </si>
  <si>
    <t>410-81-7997</t>
  </si>
  <si>
    <t>119-50-5225</t>
  </si>
  <si>
    <t>070-64-0613</t>
  </si>
  <si>
    <t>122-98-7891</t>
  </si>
  <si>
    <t>104-53-2317</t>
  </si>
  <si>
    <t>186-78-2608</t>
  </si>
  <si>
    <t>109-60-9305</t>
  </si>
  <si>
    <t>082-02-5060</t>
  </si>
  <si>
    <t>126-78-4296</t>
  </si>
  <si>
    <t>106-56-2822</t>
  </si>
  <si>
    <t>051-84-2610</t>
  </si>
  <si>
    <t>112-58-1659</t>
  </si>
  <si>
    <t>041-99-9617</t>
  </si>
  <si>
    <t>132-76-0254</t>
  </si>
  <si>
    <t>128-78-1259</t>
  </si>
  <si>
    <t>089-56-1983</t>
  </si>
  <si>
    <t>000-00-5216</t>
  </si>
  <si>
    <t>332-93-4750</t>
  </si>
  <si>
    <t>052-88-6592</t>
  </si>
  <si>
    <t>090-88-2906</t>
  </si>
  <si>
    <t>111-54-2643</t>
  </si>
  <si>
    <t>059-84-4964</t>
  </si>
  <si>
    <t>076-60-1894</t>
  </si>
  <si>
    <t>101-84-4161</t>
  </si>
  <si>
    <t>219-57-1660</t>
  </si>
  <si>
    <t>119-78-0480</t>
  </si>
  <si>
    <t>055-48-0967</t>
  </si>
  <si>
    <t>103-46-3073</t>
  </si>
  <si>
    <t>582-99-6147</t>
  </si>
  <si>
    <t>065-68-0584</t>
  </si>
  <si>
    <t>117-68-4511</t>
  </si>
  <si>
    <t>101-64-5796</t>
  </si>
  <si>
    <t>113-54-4869</t>
  </si>
  <si>
    <t>063-70-5899</t>
  </si>
  <si>
    <t>584-15-5600</t>
  </si>
  <si>
    <t>128-66-9299</t>
  </si>
  <si>
    <t>055-82-4760</t>
  </si>
  <si>
    <t>122-70-8852</t>
  </si>
  <si>
    <t>051-74-6689</t>
  </si>
  <si>
    <t>123-90-7418</t>
  </si>
  <si>
    <t>108-96-7840</t>
  </si>
  <si>
    <t>119-50-9701</t>
  </si>
  <si>
    <t>095-66-5143</t>
  </si>
  <si>
    <t>087-80-9706</t>
  </si>
  <si>
    <t>097-70-6306</t>
  </si>
  <si>
    <t>132-56-2258</t>
  </si>
  <si>
    <t>092-52-2746</t>
  </si>
  <si>
    <t>401-95-8741</t>
  </si>
  <si>
    <t>050-84-5305</t>
  </si>
  <si>
    <t>891-17-6430</t>
  </si>
  <si>
    <t>096-64-6767</t>
  </si>
  <si>
    <t>100-58-2434</t>
  </si>
  <si>
    <t>119-44-9027</t>
  </si>
  <si>
    <t>066-68-3070</t>
  </si>
  <si>
    <t>088-60-7430</t>
  </si>
  <si>
    <t>091-70-4358</t>
  </si>
  <si>
    <t>129-78-7129</t>
  </si>
  <si>
    <t>076-66-1094</t>
  </si>
  <si>
    <t>078-98-6891</t>
  </si>
  <si>
    <t>117-56-5788</t>
  </si>
  <si>
    <t>110-60-9790</t>
  </si>
  <si>
    <t>122-48-5672</t>
  </si>
  <si>
    <t>095-56-9243</t>
  </si>
  <si>
    <t>094-44-4993</t>
  </si>
  <si>
    <t>063-64-9253</t>
  </si>
  <si>
    <t>000-00-1181</t>
  </si>
  <si>
    <t>115-54-5886</t>
  </si>
  <si>
    <t>088-52-8890</t>
  </si>
  <si>
    <t>582-57-9260</t>
  </si>
  <si>
    <t>118-70-4731</t>
  </si>
  <si>
    <t>255-13-9166</t>
  </si>
  <si>
    <t>312-96-1071</t>
  </si>
  <si>
    <t>120-62-3859</t>
  </si>
  <si>
    <t>068-84-0742</t>
  </si>
  <si>
    <t>105-56-7048</t>
  </si>
  <si>
    <t>172-56-5379</t>
  </si>
  <si>
    <t>110-92-8258</t>
  </si>
  <si>
    <t>055-78-9634</t>
  </si>
  <si>
    <t>135-17-7891</t>
  </si>
  <si>
    <t>107-66-1652</t>
  </si>
  <si>
    <t>087-70-8364</t>
  </si>
  <si>
    <t>599-13-4161</t>
  </si>
  <si>
    <t>230-74-6181</t>
  </si>
  <si>
    <t>080-82-9202</t>
  </si>
  <si>
    <t>598-84-4152</t>
  </si>
  <si>
    <t>123-70-6600</t>
  </si>
  <si>
    <t>593-84-1799</t>
  </si>
  <si>
    <t>072-86-7414</t>
  </si>
  <si>
    <t>114-82-1539</t>
  </si>
  <si>
    <t>078-74-6421</t>
  </si>
  <si>
    <t>080-60-0471</t>
  </si>
  <si>
    <t>127-84-5021</t>
  </si>
  <si>
    <t>061-02-3361</t>
  </si>
  <si>
    <t>058-58-8153</t>
  </si>
  <si>
    <t>059-58-0435</t>
  </si>
  <si>
    <t>107-70-9992</t>
  </si>
  <si>
    <t>128-46-1250</t>
  </si>
  <si>
    <t>896-62-9819</t>
  </si>
  <si>
    <t>085-50-5508</t>
  </si>
  <si>
    <t>093-60-9056</t>
  </si>
  <si>
    <t>109-72-1537</t>
  </si>
  <si>
    <t>055-86-4252</t>
  </si>
  <si>
    <t>161-46-3593</t>
  </si>
  <si>
    <t>060-70-8432</t>
  </si>
  <si>
    <t>077-74-4992</t>
  </si>
  <si>
    <t>111-56-7396</t>
  </si>
  <si>
    <t>098-76-1064</t>
  </si>
  <si>
    <t>131-80-5219</t>
  </si>
  <si>
    <t>132-84-1470</t>
  </si>
  <si>
    <t>083-64-7130</t>
  </si>
  <si>
    <t>089-62-8501</t>
  </si>
  <si>
    <t>110-40-3500</t>
  </si>
  <si>
    <t>075-62-0942</t>
  </si>
  <si>
    <t>067-50-3055</t>
  </si>
  <si>
    <t>580-13-4649</t>
  </si>
  <si>
    <t>106-62-2182</t>
  </si>
  <si>
    <t>118-54-0404</t>
  </si>
  <si>
    <t>111-86-9254</t>
  </si>
  <si>
    <t>068-76-5145</t>
  </si>
  <si>
    <t>596-82-0291</t>
  </si>
  <si>
    <t>598-52-6327</t>
  </si>
  <si>
    <t>084-56-4021</t>
  </si>
  <si>
    <t>117-78-5428</t>
  </si>
  <si>
    <t>109-82-9461</t>
  </si>
  <si>
    <t>250-69-1996</t>
  </si>
  <si>
    <t>111-68-5689</t>
  </si>
  <si>
    <t>058-42-2387</t>
  </si>
  <si>
    <t>071-50-4918</t>
  </si>
  <si>
    <t>119-76-4981</t>
  </si>
  <si>
    <t>815-06-8289</t>
  </si>
  <si>
    <t>090-68-8414</t>
  </si>
  <si>
    <t>127-64-6009</t>
  </si>
  <si>
    <t>106-72-1625</t>
  </si>
  <si>
    <t>117-56-9633</t>
  </si>
  <si>
    <t>075-82-1887</t>
  </si>
  <si>
    <t>111-86-9923</t>
  </si>
  <si>
    <t>729-09-8596</t>
  </si>
  <si>
    <t>072-56-7435</t>
  </si>
  <si>
    <t>110-86-3325</t>
  </si>
  <si>
    <t>134-86-2996</t>
  </si>
  <si>
    <t>113-58-6234</t>
  </si>
  <si>
    <t>094-56-2120</t>
  </si>
  <si>
    <t>062-70-5281</t>
  </si>
  <si>
    <t>060-58-4136</t>
  </si>
  <si>
    <t>083-68-1706</t>
  </si>
  <si>
    <t>130-82-3477</t>
  </si>
  <si>
    <t>131-74-8039</t>
  </si>
  <si>
    <t>069-60-8106</t>
  </si>
  <si>
    <t>081-72-8126</t>
  </si>
  <si>
    <t>055-54-2888</t>
  </si>
  <si>
    <t>124-56-9596</t>
  </si>
  <si>
    <t>101-74-9641</t>
  </si>
  <si>
    <t>581-83-1038</t>
  </si>
  <si>
    <t>072-70-0675</t>
  </si>
  <si>
    <t>349-69-0608</t>
  </si>
  <si>
    <t>062-62-0711</t>
  </si>
  <si>
    <t>057-80-5215</t>
  </si>
  <si>
    <t>105-84-2067</t>
  </si>
  <si>
    <t>100-48-4746</t>
  </si>
  <si>
    <t>063-58-6655</t>
  </si>
  <si>
    <t>064-62-2199</t>
  </si>
  <si>
    <t>067-58-7323</t>
  </si>
  <si>
    <t>119-50-5441</t>
  </si>
  <si>
    <t>077-58-6300</t>
  </si>
  <si>
    <t>057-58-2207</t>
  </si>
  <si>
    <t>113-92-8641</t>
  </si>
  <si>
    <t>068-58-5931</t>
  </si>
  <si>
    <t>126-60-8743</t>
  </si>
  <si>
    <t>084-80-4338</t>
  </si>
  <si>
    <t>100-42-0983</t>
  </si>
  <si>
    <t>097-56-3862</t>
  </si>
  <si>
    <t>731-16-8964</t>
  </si>
  <si>
    <t>073-52-2918</t>
  </si>
  <si>
    <t>105-98-4678</t>
  </si>
  <si>
    <t>356-73-4440</t>
  </si>
  <si>
    <t>073-74-4845</t>
  </si>
  <si>
    <t>120-82-3394</t>
  </si>
  <si>
    <t>118-88-9107</t>
  </si>
  <si>
    <t>178-24-4163</t>
  </si>
  <si>
    <t>118-84-5702</t>
  </si>
  <si>
    <t>084-48-5648</t>
  </si>
  <si>
    <t>087-60-0433</t>
  </si>
  <si>
    <t>117-74-8382</t>
  </si>
  <si>
    <t>082-46-5855</t>
  </si>
  <si>
    <t>057-74-7612</t>
  </si>
  <si>
    <t>094-42-6133</t>
  </si>
  <si>
    <t>106-88-2630</t>
  </si>
  <si>
    <t>127-46-0384</t>
  </si>
  <si>
    <t>724-30-4399</t>
  </si>
  <si>
    <t>096-76-8412</t>
  </si>
  <si>
    <t>085-44-3093</t>
  </si>
  <si>
    <t>753-46-7607</t>
  </si>
  <si>
    <t>103-80-2216</t>
  </si>
  <si>
    <t>054-94-6909</t>
  </si>
  <si>
    <t>062-62-6058</t>
  </si>
  <si>
    <t>104-62-4746</t>
  </si>
  <si>
    <t>111-86-2322</t>
  </si>
  <si>
    <t>583-47-9898</t>
  </si>
  <si>
    <t>084-54-4516</t>
  </si>
  <si>
    <t>054-02-5638</t>
  </si>
  <si>
    <t>063-70-6161</t>
  </si>
  <si>
    <t>104-40-3681</t>
  </si>
  <si>
    <t>770-72-5728</t>
  </si>
  <si>
    <t>090-66-4257</t>
  </si>
  <si>
    <t>123-74-3934</t>
  </si>
  <si>
    <t>131-86-0022</t>
  </si>
  <si>
    <t>077-58-3007</t>
  </si>
  <si>
    <t>102-94-5458</t>
  </si>
  <si>
    <t>584-33-1406</t>
  </si>
  <si>
    <t>108-60-7775</t>
  </si>
  <si>
    <t>057-82-3437</t>
  </si>
  <si>
    <t>094-44-7329</t>
  </si>
  <si>
    <t>064-58-9977</t>
  </si>
  <si>
    <t>100-78-2236</t>
  </si>
  <si>
    <t>074-40-8461</t>
  </si>
  <si>
    <t>103-74-7508</t>
  </si>
  <si>
    <t>059-76-7017</t>
  </si>
  <si>
    <t>839-77-9530</t>
  </si>
  <si>
    <t>081-40-1851</t>
  </si>
  <si>
    <t>068-86-1838</t>
  </si>
  <si>
    <t>106-64-3478</t>
  </si>
  <si>
    <t>099-56-7586</t>
  </si>
  <si>
    <t>085-44-4386</t>
  </si>
  <si>
    <t>131-48-0154</t>
  </si>
  <si>
    <t>582-45-4403</t>
  </si>
  <si>
    <t>055-62-6665</t>
  </si>
  <si>
    <t>598-52-6413</t>
  </si>
  <si>
    <t>133-94-8998</t>
  </si>
  <si>
    <t>053-78-9082</t>
  </si>
  <si>
    <t>580-84-1182</t>
  </si>
  <si>
    <t>060-36-4975</t>
  </si>
  <si>
    <t>120-82-4851</t>
  </si>
  <si>
    <t>133-64-1123</t>
  </si>
  <si>
    <t>059-02-0682</t>
  </si>
  <si>
    <t>122-84-4594</t>
  </si>
  <si>
    <t>102-78-6941</t>
  </si>
  <si>
    <t>129-82-5693</t>
  </si>
  <si>
    <t>116-54-6496</t>
  </si>
  <si>
    <t>823-18-4139</t>
  </si>
  <si>
    <t>054-96-0720</t>
  </si>
  <si>
    <t>021-78-4933</t>
  </si>
  <si>
    <t>088-58-2391</t>
  </si>
  <si>
    <t>113-56-0081</t>
  </si>
  <si>
    <t>733-05-2838</t>
  </si>
  <si>
    <t>051-58-4721</t>
  </si>
  <si>
    <t>112-78-0846</t>
  </si>
  <si>
    <t>091-82-0396</t>
  </si>
  <si>
    <t>100-70-6200</t>
  </si>
  <si>
    <t>581-75-9558</t>
  </si>
  <si>
    <t>078-92-2208</t>
  </si>
  <si>
    <t>060-50-8443</t>
  </si>
  <si>
    <t>465-00-0000</t>
  </si>
  <si>
    <t>054-82-3620</t>
  </si>
  <si>
    <t>076-67-5575</t>
  </si>
  <si>
    <t>582-13-2433</t>
  </si>
  <si>
    <t>070-64-9338</t>
  </si>
  <si>
    <t>584-11-9632</t>
  </si>
  <si>
    <t>583-14-0624</t>
  </si>
  <si>
    <t>109-60-3996</t>
  </si>
  <si>
    <t>059-66-2300</t>
  </si>
  <si>
    <t>822-42-3474</t>
  </si>
  <si>
    <t>128-78-6802</t>
  </si>
  <si>
    <t>128-64-5589</t>
  </si>
  <si>
    <t>123-70-8196</t>
  </si>
  <si>
    <t>057-58-6867</t>
  </si>
  <si>
    <t>113-78-0084</t>
  </si>
  <si>
    <t>108-52-2305</t>
  </si>
  <si>
    <t>112-92-5539</t>
  </si>
  <si>
    <t>382-25-9621</t>
  </si>
  <si>
    <t>482-77-6810</t>
  </si>
  <si>
    <t>070-90-4131</t>
  </si>
  <si>
    <t>112-72-4156</t>
  </si>
  <si>
    <t>082-82-2767</t>
  </si>
  <si>
    <t>100-64-6968</t>
  </si>
  <si>
    <t>062-58-9518</t>
  </si>
  <si>
    <t>126-96-6729</t>
  </si>
  <si>
    <t>050-66-6016</t>
  </si>
  <si>
    <t>095-52-5472</t>
  </si>
  <si>
    <t>122-56-7510</t>
  </si>
  <si>
    <t>301-70-8783</t>
  </si>
  <si>
    <t>080-82-3113</t>
  </si>
  <si>
    <t>086-74-9651</t>
  </si>
  <si>
    <t>072-80-6751</t>
  </si>
  <si>
    <t>063-68-3003</t>
  </si>
  <si>
    <t>100-50-3679</t>
  </si>
  <si>
    <t>089-80-5922</t>
  </si>
  <si>
    <t>076-74-3432</t>
  </si>
  <si>
    <t>072-96-3318</t>
  </si>
  <si>
    <t>125-84-6531</t>
  </si>
  <si>
    <t>109-80-2377</t>
  </si>
  <si>
    <t>033-49-0701</t>
  </si>
  <si>
    <t>055-82-5004</t>
  </si>
  <si>
    <t>095-02-7209</t>
  </si>
  <si>
    <t>798-11-9997</t>
  </si>
  <si>
    <t>061-80-0568</t>
  </si>
  <si>
    <t>132-48-7895</t>
  </si>
  <si>
    <t>115-60-5156</t>
  </si>
  <si>
    <t>045-78-4354</t>
  </si>
  <si>
    <t>125-54-4716</t>
  </si>
  <si>
    <t>117-76-5723</t>
  </si>
  <si>
    <t>092-86-7081</t>
  </si>
  <si>
    <t>111-92-3381</t>
  </si>
  <si>
    <t>088-68-3145</t>
  </si>
  <si>
    <t>081-70-5008</t>
  </si>
  <si>
    <t>079-70-3570</t>
  </si>
  <si>
    <t>090-64-2104</t>
  </si>
  <si>
    <t>050-78-2915</t>
  </si>
  <si>
    <t>051-86-5047</t>
  </si>
  <si>
    <t>115-90-1152</t>
  </si>
  <si>
    <t>076-64-0059</t>
  </si>
  <si>
    <t>038-74-1671</t>
  </si>
  <si>
    <t>103-44-6088</t>
  </si>
  <si>
    <t>053-76-5295</t>
  </si>
  <si>
    <t>421-91-5113</t>
  </si>
  <si>
    <t>370-37-2867</t>
  </si>
  <si>
    <t>705-43-4033</t>
  </si>
  <si>
    <t>116-60-2946</t>
  </si>
  <si>
    <t>083-54-1408</t>
  </si>
  <si>
    <t>079-58-5095</t>
  </si>
  <si>
    <t>000-00-5598</t>
  </si>
  <si>
    <t>861-52-4977</t>
  </si>
  <si>
    <t>124-68-9282</t>
  </si>
  <si>
    <t>076-78-3782</t>
  </si>
  <si>
    <t>599-07-6815</t>
  </si>
  <si>
    <t>583-93-4981</t>
  </si>
  <si>
    <t>084-44-1954</t>
  </si>
  <si>
    <t>068-80-9536</t>
  </si>
  <si>
    <t>594-68-8925</t>
  </si>
  <si>
    <t>596-50-8071</t>
  </si>
  <si>
    <t>582-05-4419</t>
  </si>
  <si>
    <t>053-80-5615</t>
  </si>
  <si>
    <t>581-48-1962</t>
  </si>
  <si>
    <t>077-54-2308</t>
  </si>
  <si>
    <t>074-74-9371</t>
  </si>
  <si>
    <t>223-87-9376</t>
  </si>
  <si>
    <t>071-86-3667</t>
  </si>
  <si>
    <t>103-58-5004</t>
  </si>
  <si>
    <t>031-60-6331</t>
  </si>
  <si>
    <t>076-46-6722</t>
  </si>
  <si>
    <t>070-15-9599</t>
  </si>
  <si>
    <t>063-96-6689</t>
  </si>
  <si>
    <t>121-60-5145</t>
  </si>
  <si>
    <t>107-50-4448</t>
  </si>
  <si>
    <t>077-62-9373</t>
  </si>
  <si>
    <t>089-80-7268</t>
  </si>
  <si>
    <t>061-72-9513</t>
  </si>
  <si>
    <t>071-02-0819</t>
  </si>
  <si>
    <t>584-29-5060</t>
  </si>
  <si>
    <t>739-39-7554</t>
  </si>
  <si>
    <t>063-84-9721</t>
  </si>
  <si>
    <t>073-48-2895</t>
  </si>
  <si>
    <t>053-60-7594</t>
  </si>
  <si>
    <t>101-64-1857</t>
  </si>
  <si>
    <t>082-46-2689</t>
  </si>
  <si>
    <t>114-48-8678</t>
  </si>
  <si>
    <t>103-84-5251</t>
  </si>
  <si>
    <t>088-68-8092</t>
  </si>
  <si>
    <t>711-97-0220</t>
  </si>
  <si>
    <t>091-80-6174</t>
  </si>
  <si>
    <t>066-76-3782</t>
  </si>
  <si>
    <t>070-68-8071</t>
  </si>
  <si>
    <t>000-00-4714</t>
  </si>
  <si>
    <t>131-56-2034</t>
  </si>
  <si>
    <t>155-76-6825</t>
  </si>
  <si>
    <t>126-76-4841</t>
  </si>
  <si>
    <t>070-96-3386</t>
  </si>
  <si>
    <t>050-78-8383</t>
  </si>
  <si>
    <t>103-41-3073</t>
  </si>
  <si>
    <t>120-72-8526</t>
  </si>
  <si>
    <t>119-76-2239</t>
  </si>
  <si>
    <t>053-60-6286</t>
  </si>
  <si>
    <t>582-57-9650</t>
  </si>
  <si>
    <t>055-82-5789</t>
  </si>
  <si>
    <t>090-68-1966</t>
  </si>
  <si>
    <t>126-90-6604</t>
  </si>
  <si>
    <t>849-98-4160</t>
  </si>
  <si>
    <t>080-68-9754</t>
  </si>
  <si>
    <t>067-58-3565</t>
  </si>
  <si>
    <t>731-18-0507</t>
  </si>
  <si>
    <t>029-75-0122</t>
  </si>
  <si>
    <t>100-43-7140</t>
  </si>
  <si>
    <t>131-58-4857</t>
  </si>
  <si>
    <t>584-19-0098</t>
  </si>
  <si>
    <t>065-66-8622</t>
  </si>
  <si>
    <t>078-64-2049</t>
  </si>
  <si>
    <t>128-70-8616</t>
  </si>
  <si>
    <t>124-69-0598</t>
  </si>
  <si>
    <t>057-90-1599</t>
  </si>
  <si>
    <t>084-74-2765</t>
  </si>
  <si>
    <t>078-86-1390</t>
  </si>
  <si>
    <t>083-30-0620</t>
  </si>
  <si>
    <t>097-68-8779</t>
  </si>
  <si>
    <t>089-92-3072</t>
  </si>
  <si>
    <t>101-66-6319</t>
  </si>
  <si>
    <t>132-64-8734</t>
  </si>
  <si>
    <t>133-76-9298</t>
  </si>
  <si>
    <t>580-09-8395</t>
  </si>
  <si>
    <t>114-42-5987</t>
  </si>
  <si>
    <t>051-84-8164</t>
  </si>
  <si>
    <t>104-62-5480</t>
  </si>
  <si>
    <t>076-72-8486</t>
  </si>
  <si>
    <t>056-44-4015</t>
  </si>
  <si>
    <t>095-76-1737</t>
  </si>
  <si>
    <t>055-82-9386</t>
  </si>
  <si>
    <t>096-56-3362</t>
  </si>
  <si>
    <t>068-52-9757</t>
  </si>
  <si>
    <t>089-70-3734</t>
  </si>
  <si>
    <t>105-64-6473</t>
  </si>
  <si>
    <t>408-70-3898</t>
  </si>
  <si>
    <t>068-76-6202</t>
  </si>
  <si>
    <t>084-66-0268</t>
  </si>
  <si>
    <t>063-58-1737</t>
  </si>
  <si>
    <t>528-88-6951</t>
  </si>
  <si>
    <t>064-42-1609</t>
  </si>
  <si>
    <t>078-72-4853</t>
  </si>
  <si>
    <t>068-62-8316</t>
  </si>
  <si>
    <t>092-60-2371</t>
  </si>
  <si>
    <t>100-58-3142</t>
  </si>
  <si>
    <t>116-64-0078</t>
  </si>
  <si>
    <t>097-84-3108</t>
  </si>
  <si>
    <t>133-98-8208</t>
  </si>
  <si>
    <t>124-74-5121</t>
  </si>
  <si>
    <t>071-54-5016</t>
  </si>
  <si>
    <t>103-70-6335</t>
  </si>
  <si>
    <t>122-64-3956</t>
  </si>
  <si>
    <t>114-72-3265</t>
  </si>
  <si>
    <t>062-58-1210</t>
  </si>
  <si>
    <t>051-78-2283</t>
  </si>
  <si>
    <t>070-66-3835</t>
  </si>
  <si>
    <t>410-65-0510</t>
  </si>
  <si>
    <t>093-74-7398</t>
  </si>
  <si>
    <t>094-52-7762</t>
  </si>
  <si>
    <t>100-54-2439</t>
  </si>
  <si>
    <t>075-52-3445</t>
  </si>
  <si>
    <t>277-50-4973</t>
  </si>
  <si>
    <t>103-54-2957</t>
  </si>
  <si>
    <t>066-86-3005</t>
  </si>
  <si>
    <t>102-62-1978</t>
  </si>
  <si>
    <t>063-70-7055</t>
  </si>
  <si>
    <t>065-66-8813</t>
  </si>
  <si>
    <t>132-66-4544</t>
  </si>
  <si>
    <t>080-52-3365</t>
  </si>
  <si>
    <t>112-40-3796</t>
  </si>
  <si>
    <t>089-64-1488</t>
  </si>
  <si>
    <t>407-90-0955</t>
  </si>
  <si>
    <t>064-72-8032</t>
  </si>
  <si>
    <t>068-84-4361</t>
  </si>
  <si>
    <t>109-54-5104</t>
  </si>
  <si>
    <t>120-86-1122</t>
  </si>
  <si>
    <t>075-56-7462</t>
  </si>
  <si>
    <t>077-68-5171</t>
  </si>
  <si>
    <t>117-34-3243</t>
  </si>
  <si>
    <t>087-88-3565</t>
  </si>
  <si>
    <t>074-60-0612</t>
  </si>
  <si>
    <t>130-66-6880</t>
  </si>
  <si>
    <t>114-84-6814</t>
  </si>
  <si>
    <t>077-50-8493</t>
  </si>
  <si>
    <t>133-46-6454</t>
  </si>
  <si>
    <t>088-84-2679</t>
  </si>
  <si>
    <t>371-02-0875</t>
  </si>
  <si>
    <t>053-72-6848</t>
  </si>
  <si>
    <t>085-80-8676</t>
  </si>
  <si>
    <t>076-64-1570</t>
  </si>
  <si>
    <t>223-76-2711</t>
  </si>
  <si>
    <t>118-44-2731</t>
  </si>
  <si>
    <t>064-46-7845</t>
  </si>
  <si>
    <t>113-88-5521</t>
  </si>
  <si>
    <t>096-74-0073</t>
  </si>
  <si>
    <t>146-92-0194</t>
  </si>
  <si>
    <t>263-90-9981</t>
  </si>
  <si>
    <t>070-64-3736</t>
  </si>
  <si>
    <t>102-62-2178</t>
  </si>
  <si>
    <t>084-64-2094</t>
  </si>
  <si>
    <t>100-80-3501</t>
  </si>
  <si>
    <t>122-60-0938</t>
  </si>
  <si>
    <t>070-44-3186</t>
  </si>
  <si>
    <t>116-64-1813</t>
  </si>
  <si>
    <t>087-48-0443</t>
  </si>
  <si>
    <t>089-74-1679</t>
  </si>
  <si>
    <t>064-66-1028</t>
  </si>
  <si>
    <t>053-66-4996</t>
  </si>
  <si>
    <t>410-77-1252</t>
  </si>
  <si>
    <t>131-80-1767</t>
  </si>
  <si>
    <t>377-96-2734</t>
  </si>
  <si>
    <t>082-88-4339</t>
  </si>
  <si>
    <t>062-58-0034</t>
  </si>
  <si>
    <t>115-56-1846</t>
  </si>
  <si>
    <t>146-66-4715</t>
  </si>
  <si>
    <t>245-13-3051</t>
  </si>
  <si>
    <t>059-86-5981</t>
  </si>
  <si>
    <t>098-62-0232</t>
  </si>
  <si>
    <t>078-68-7431</t>
  </si>
  <si>
    <t>077-62-5804</t>
  </si>
  <si>
    <t>186-56-3012</t>
  </si>
  <si>
    <t>063-72-1690</t>
  </si>
  <si>
    <t>113-54-2643</t>
  </si>
  <si>
    <t>112-56-0460</t>
  </si>
  <si>
    <t>053-64-9507</t>
  </si>
  <si>
    <t>131-68-8782</t>
  </si>
  <si>
    <t>062-58-7314</t>
  </si>
  <si>
    <t>121-68-8014</t>
  </si>
  <si>
    <t>129-34-0746</t>
  </si>
  <si>
    <t>069-56-6290</t>
  </si>
  <si>
    <t>070-60-6062</t>
  </si>
  <si>
    <t>099-52-9131</t>
  </si>
  <si>
    <t>103-44-1558</t>
  </si>
  <si>
    <t>082-82-4816</t>
  </si>
  <si>
    <t>127-88-1352</t>
  </si>
  <si>
    <t>246-66-3866</t>
  </si>
  <si>
    <t>218-15-9945</t>
  </si>
  <si>
    <t>638-51-5025</t>
  </si>
  <si>
    <t>060-86-9242</t>
  </si>
  <si>
    <t>112-34-1089</t>
  </si>
  <si>
    <t>106-90-9437</t>
  </si>
  <si>
    <t>126-84-0397</t>
  </si>
  <si>
    <t>051-90-4978</t>
  </si>
  <si>
    <t>000-00-5007</t>
  </si>
  <si>
    <t>243-74-7618</t>
  </si>
  <si>
    <t>103-44-7644</t>
  </si>
  <si>
    <t>069-70-9635</t>
  </si>
  <si>
    <t>605-40-3035</t>
  </si>
  <si>
    <t>098-70-1656</t>
  </si>
  <si>
    <t>059-92-9798</t>
  </si>
  <si>
    <t>122-50-9803</t>
  </si>
  <si>
    <t>059-66-1880</t>
  </si>
  <si>
    <t>114-66-1183</t>
  </si>
  <si>
    <t>074-48-1210</t>
  </si>
  <si>
    <t>117-70-8499</t>
  </si>
  <si>
    <t>118-56-0877</t>
  </si>
  <si>
    <t>107-62-3351</t>
  </si>
  <si>
    <t>111-46-8445</t>
  </si>
  <si>
    <t>053-64-7121</t>
  </si>
  <si>
    <t>000-00-2277</t>
  </si>
  <si>
    <t>149-58-5740</t>
  </si>
  <si>
    <t>072-86-5950</t>
  </si>
  <si>
    <t>060-78-5637</t>
  </si>
  <si>
    <t>076-32-1132</t>
  </si>
  <si>
    <t>095-84-9557</t>
  </si>
  <si>
    <t>083-76-7637</t>
  </si>
  <si>
    <t>108-58-1217</t>
  </si>
  <si>
    <t>134-46-7735</t>
  </si>
  <si>
    <t>612-55-3996</t>
  </si>
  <si>
    <t>085-66-7256</t>
  </si>
  <si>
    <t>584-94-3569</t>
  </si>
  <si>
    <t>106-52-6417</t>
  </si>
  <si>
    <t>107-80-9585</t>
  </si>
  <si>
    <t>114-36-8494</t>
  </si>
  <si>
    <t>134-74-9519</t>
  </si>
  <si>
    <t>051-98-4900</t>
  </si>
  <si>
    <t>114-58-7601</t>
  </si>
  <si>
    <t>095-86-0753</t>
  </si>
  <si>
    <t>046-64-7874</t>
  </si>
  <si>
    <t>111-54-5094</t>
  </si>
  <si>
    <t>019-76-8044</t>
  </si>
  <si>
    <t>252-95-9107</t>
  </si>
  <si>
    <t>105-94-1688</t>
  </si>
  <si>
    <t>118-44-4072</t>
  </si>
  <si>
    <t>052-44-7715</t>
  </si>
  <si>
    <t>111-62-4318</t>
  </si>
  <si>
    <t>612-36-3631</t>
  </si>
  <si>
    <t>025-66-0751</t>
  </si>
  <si>
    <t>086-44-5514</t>
  </si>
  <si>
    <t>129-78-2722</t>
  </si>
  <si>
    <t>201-52-9974</t>
  </si>
  <si>
    <t>117-56-5511</t>
  </si>
  <si>
    <t>055-68-8807</t>
  </si>
  <si>
    <t>050-68-9370</t>
  </si>
  <si>
    <t>129-70-7365</t>
  </si>
  <si>
    <t>087-72-7955</t>
  </si>
  <si>
    <t>097-78-0773</t>
  </si>
  <si>
    <t>052-66-2659</t>
  </si>
  <si>
    <t>810-91-1246</t>
  </si>
  <si>
    <t>105-72-2989</t>
  </si>
  <si>
    <t>084-80-5013</t>
  </si>
  <si>
    <t>132-80-8741</t>
  </si>
  <si>
    <t>121-70-1390</t>
  </si>
  <si>
    <t>127-80-3728</t>
  </si>
  <si>
    <t>262-27-8124</t>
  </si>
  <si>
    <t>051-70-2573</t>
  </si>
  <si>
    <t>101-34-9096</t>
  </si>
  <si>
    <t>117-40-1020</t>
  </si>
  <si>
    <t>212-15-6319</t>
  </si>
  <si>
    <t>065-58-1639</t>
  </si>
  <si>
    <t>058-90-6025</t>
  </si>
  <si>
    <t>116-46-4869</t>
  </si>
  <si>
    <t>251-56-8339</t>
  </si>
  <si>
    <t>253-58-5839</t>
  </si>
  <si>
    <t>247-88-6180</t>
  </si>
  <si>
    <t>255-68-7755</t>
  </si>
  <si>
    <t>097-56-7596</t>
  </si>
  <si>
    <t>100-76-5378</t>
  </si>
  <si>
    <t>096-60-9441</t>
  </si>
  <si>
    <t>084-66-8611</t>
  </si>
  <si>
    <t>098-48-1103</t>
  </si>
  <si>
    <t>579-72-3810</t>
  </si>
  <si>
    <t>053-42-3849</t>
  </si>
  <si>
    <t>058-90-8022</t>
  </si>
  <si>
    <t>043-62-1209</t>
  </si>
  <si>
    <t>190-52-1625</t>
  </si>
  <si>
    <t>069-58-7645</t>
  </si>
  <si>
    <t>096-68-7310</t>
  </si>
  <si>
    <t>051-64-0801</t>
  </si>
  <si>
    <t>122-82-4971</t>
  </si>
  <si>
    <t>134-30-6863</t>
  </si>
  <si>
    <t>063-40-4088</t>
  </si>
  <si>
    <t>058-86-9267</t>
  </si>
  <si>
    <t>079-86-2667</t>
  </si>
  <si>
    <t>053-68-2448</t>
  </si>
  <si>
    <t>117-56-2178</t>
  </si>
  <si>
    <t>044-36-8581</t>
  </si>
  <si>
    <t>460-69-5632</t>
  </si>
  <si>
    <t>113-48-9823</t>
  </si>
  <si>
    <t>117-74-5533</t>
  </si>
  <si>
    <t>086-90-7663</t>
  </si>
  <si>
    <t>062-56-4992</t>
  </si>
  <si>
    <t>112-76-5042</t>
  </si>
  <si>
    <t>092-70-2794</t>
  </si>
  <si>
    <t>077-58-6624</t>
  </si>
  <si>
    <t>060-74-5338</t>
  </si>
  <si>
    <t>056-46-3623</t>
  </si>
  <si>
    <t>080-80-8322</t>
  </si>
  <si>
    <t>115-70-6169</t>
  </si>
  <si>
    <t>085-90-7913</t>
  </si>
  <si>
    <t>117-56-7284</t>
  </si>
  <si>
    <t>082-50-7868</t>
  </si>
  <si>
    <t>073-44-9924</t>
  </si>
  <si>
    <t>089-64-9189</t>
  </si>
  <si>
    <t>176-58-9095</t>
  </si>
  <si>
    <t>090-68-5433</t>
  </si>
  <si>
    <t>126-60-4400</t>
  </si>
  <si>
    <t>061-36-9896</t>
  </si>
  <si>
    <t>126-44-9991</t>
  </si>
  <si>
    <t>100-58-8528</t>
  </si>
  <si>
    <t>071-96-3808</t>
  </si>
  <si>
    <t>064-68-6033</t>
  </si>
  <si>
    <t>108-58-4021</t>
  </si>
  <si>
    <t>359-56-0690</t>
  </si>
  <si>
    <t>096-86-3654</t>
  </si>
  <si>
    <t>097-52-7399</t>
  </si>
  <si>
    <t>084-58-2964</t>
  </si>
  <si>
    <t>092-74-4128</t>
  </si>
  <si>
    <t>084-42-6059</t>
  </si>
  <si>
    <t>064-82-0630</t>
  </si>
  <si>
    <t>792-62-7915</t>
  </si>
  <si>
    <t>477-79-9379</t>
  </si>
  <si>
    <t>126-80-9687</t>
  </si>
  <si>
    <t>096-34-1891</t>
  </si>
  <si>
    <t>080-88-7887</t>
  </si>
  <si>
    <t>127-66-1523</t>
  </si>
  <si>
    <t>054-56-4131</t>
  </si>
  <si>
    <t>066-58-5160</t>
  </si>
  <si>
    <t>065-64-8605</t>
  </si>
  <si>
    <t>059-76-4912</t>
  </si>
  <si>
    <t>053-46-7871</t>
  </si>
  <si>
    <t>885-96-0715</t>
  </si>
  <si>
    <t>115-76-7553</t>
  </si>
  <si>
    <t>842-95-9969</t>
  </si>
  <si>
    <t>072-68-7324</t>
  </si>
  <si>
    <t>068-82-0629</t>
  </si>
  <si>
    <t>583-94-7765</t>
  </si>
  <si>
    <t>083-58-8293</t>
  </si>
  <si>
    <t>056-60-3249</t>
  </si>
  <si>
    <t>114-84-3319</t>
  </si>
  <si>
    <t>107-76-9578</t>
  </si>
  <si>
    <t>124-90-3573</t>
  </si>
  <si>
    <t>118-68-3680</t>
  </si>
  <si>
    <t>084-58-6146</t>
  </si>
  <si>
    <t>133-22-5402</t>
  </si>
  <si>
    <t>106-88-4506</t>
  </si>
  <si>
    <t>078-94-2471</t>
  </si>
  <si>
    <t>108-82-9821</t>
  </si>
  <si>
    <t>066-74-5501</t>
  </si>
  <si>
    <t>072-82-3301</t>
  </si>
  <si>
    <t>051-76-5996</t>
  </si>
  <si>
    <t>810-52-0889</t>
  </si>
  <si>
    <t>061-68-0305</t>
  </si>
  <si>
    <t>124-66-5951</t>
  </si>
  <si>
    <t>083-66-5169</t>
  </si>
  <si>
    <t>073-58-4381</t>
  </si>
  <si>
    <t>067-64-4402</t>
  </si>
  <si>
    <t>151-76-7186</t>
  </si>
  <si>
    <t>094-75-0284</t>
  </si>
  <si>
    <t>582-69-5120</t>
  </si>
  <si>
    <t>088-84-0565</t>
  </si>
  <si>
    <t>134-76-6708</t>
  </si>
  <si>
    <t>122-68-1328</t>
  </si>
  <si>
    <t>078-54-9265</t>
  </si>
  <si>
    <t>080-66-9844</t>
  </si>
  <si>
    <t>078-88-2001</t>
  </si>
  <si>
    <t>095-50-3397</t>
  </si>
  <si>
    <t>122-68-4361</t>
  </si>
  <si>
    <t>110-96-7414</t>
  </si>
  <si>
    <t>109-86-1786</t>
  </si>
  <si>
    <t>416-04-7561</t>
  </si>
  <si>
    <t>065-76-3514</t>
  </si>
  <si>
    <t>054-76-5921</t>
  </si>
  <si>
    <t>031-66-6724</t>
  </si>
  <si>
    <t>115-49-4798</t>
  </si>
  <si>
    <t>059-96-9825</t>
  </si>
  <si>
    <t>245-99-6379</t>
  </si>
  <si>
    <t>096-74-5721</t>
  </si>
  <si>
    <t>101-58-3505</t>
  </si>
  <si>
    <t>082-84-2195</t>
  </si>
  <si>
    <t>071-70-9153</t>
  </si>
  <si>
    <t>578-54-8695</t>
  </si>
  <si>
    <t>074-70-8674</t>
  </si>
  <si>
    <t>111-66-8518</t>
  </si>
  <si>
    <t>123-78-1412</t>
  </si>
  <si>
    <t>091-74-7636</t>
  </si>
  <si>
    <t>055-54-4069</t>
  </si>
  <si>
    <t>080-80-7239</t>
  </si>
  <si>
    <t>088-68-7439</t>
  </si>
  <si>
    <t>068-64-0373</t>
  </si>
  <si>
    <t>051-66-6578</t>
  </si>
  <si>
    <t>117-56-3583</t>
  </si>
  <si>
    <t>074-56-3726</t>
  </si>
  <si>
    <t>054-86-7332</t>
  </si>
  <si>
    <t>093-84-0979</t>
  </si>
  <si>
    <t>115-80-7067</t>
  </si>
  <si>
    <t>070-76-8368</t>
  </si>
  <si>
    <t>000-00-2372</t>
  </si>
  <si>
    <t>082-58-4285</t>
  </si>
  <si>
    <t>127-52-6718</t>
  </si>
  <si>
    <t>077-52-9115</t>
  </si>
  <si>
    <t>112-86-8276</t>
  </si>
  <si>
    <t>111-62-4998</t>
  </si>
  <si>
    <t>713-60-7604</t>
  </si>
  <si>
    <t>055-68-2255</t>
  </si>
  <si>
    <t>128-90-1477</t>
  </si>
  <si>
    <t>057-58-9145</t>
  </si>
  <si>
    <t>126-58-9380</t>
  </si>
  <si>
    <t>107-64-0806</t>
  </si>
  <si>
    <t>098-68-2896</t>
  </si>
  <si>
    <t>120-56-5956</t>
  </si>
  <si>
    <t>091-52-3396</t>
  </si>
  <si>
    <t>062-58-2696</t>
  </si>
  <si>
    <t>118-58-4903</t>
  </si>
  <si>
    <t>791-14-2875</t>
  </si>
  <si>
    <t>129-80-8470</t>
  </si>
  <si>
    <t>077-80-9539</t>
  </si>
  <si>
    <t>100-50-6202</t>
  </si>
  <si>
    <t>050-76-0701</t>
  </si>
  <si>
    <t>568-19-3802</t>
  </si>
  <si>
    <t>248-31-0011</t>
  </si>
  <si>
    <t>095-58-9658</t>
  </si>
  <si>
    <t>111-80-4063</t>
  </si>
  <si>
    <t>731-05-4869</t>
  </si>
  <si>
    <t>092-84-3486</t>
  </si>
  <si>
    <t>054-74-4360</t>
  </si>
  <si>
    <t>119-80-2941</t>
  </si>
  <si>
    <t>123-78-7442</t>
  </si>
  <si>
    <t>123-78-7375</t>
  </si>
  <si>
    <t>103-84-9482</t>
  </si>
  <si>
    <t>095-82-8661</t>
  </si>
  <si>
    <t>098-56-0527</t>
  </si>
  <si>
    <t>083-56-7340</t>
  </si>
  <si>
    <t>105-62-7094</t>
  </si>
  <si>
    <t>116-56-1154</t>
  </si>
  <si>
    <t>106-48-3373</t>
  </si>
  <si>
    <t>100-68-3080</t>
  </si>
  <si>
    <t>076-60-3864</t>
  </si>
  <si>
    <t>270-21-5660</t>
  </si>
  <si>
    <t>151-91-7817</t>
  </si>
  <si>
    <t>051-54-9985</t>
  </si>
  <si>
    <t>081-84-5149</t>
  </si>
  <si>
    <t>124-66-2464</t>
  </si>
  <si>
    <t>091-56-2353</t>
  </si>
  <si>
    <t>127-58-8129</t>
  </si>
  <si>
    <t>931-70-5725</t>
  </si>
  <si>
    <t>709-31-8408</t>
  </si>
  <si>
    <t>096-58-0543</t>
  </si>
  <si>
    <t>093-64-0179</t>
  </si>
  <si>
    <t>096-60-1921</t>
  </si>
  <si>
    <t>060-54-8911</t>
  </si>
  <si>
    <t>104-58-7034</t>
  </si>
  <si>
    <t>096-56-3367</t>
  </si>
  <si>
    <t>052-54-2038</t>
  </si>
  <si>
    <t>043-40-9912</t>
  </si>
  <si>
    <t>085-64-3990</t>
  </si>
  <si>
    <t>074-36-0736</t>
  </si>
  <si>
    <t>073-58-6151</t>
  </si>
  <si>
    <t>134-32-3148</t>
  </si>
  <si>
    <t>000-00-5228</t>
  </si>
  <si>
    <t>192-65-1173</t>
  </si>
  <si>
    <t>114-50-6762</t>
  </si>
  <si>
    <t>051-72-1953</t>
  </si>
  <si>
    <t>108-70-2062</t>
  </si>
  <si>
    <t>112-88-1248</t>
  </si>
  <si>
    <t>087-72-3847</t>
  </si>
  <si>
    <t>130-94-6350</t>
  </si>
  <si>
    <t>582-37-3310</t>
  </si>
  <si>
    <t>055-54-2061</t>
  </si>
  <si>
    <t>084-72-6492</t>
  </si>
  <si>
    <t>143-46-3515</t>
  </si>
  <si>
    <t>108-76-5513</t>
  </si>
  <si>
    <t>062-74-1805</t>
  </si>
  <si>
    <t>088-66-0521</t>
  </si>
  <si>
    <t>114-86-9149</t>
  </si>
  <si>
    <t>084-70-9257</t>
  </si>
  <si>
    <t>054-68-0767</t>
  </si>
  <si>
    <t>076-88-1089</t>
  </si>
  <si>
    <t>110-78-9657</t>
  </si>
  <si>
    <t>105-58-3467</t>
  </si>
  <si>
    <t>109-40-0464</t>
  </si>
  <si>
    <t>898-09-8285</t>
  </si>
  <si>
    <t>087-66-7932</t>
  </si>
  <si>
    <t>102-58-7089</t>
  </si>
  <si>
    <t>101-86-5057</t>
  </si>
  <si>
    <t>060-72-7844</t>
  </si>
  <si>
    <t>122-56-9620</t>
  </si>
  <si>
    <t>127-92-4005</t>
  </si>
  <si>
    <t>758-74-0872</t>
  </si>
  <si>
    <t>055-68-1924</t>
  </si>
  <si>
    <t>064-68-5945</t>
  </si>
  <si>
    <t>095-44-3903</t>
  </si>
  <si>
    <t>251-69-9984</t>
  </si>
  <si>
    <t>102-58-3074</t>
  </si>
  <si>
    <t>063-56-8274</t>
  </si>
  <si>
    <t>103-70-6864</t>
  </si>
  <si>
    <t>052-72-1190</t>
  </si>
  <si>
    <t>603-28-0534</t>
  </si>
  <si>
    <t>108-80-3091</t>
  </si>
  <si>
    <t>099-86-3555</t>
  </si>
  <si>
    <t>084-44-1167</t>
  </si>
  <si>
    <t>055-66-8330</t>
  </si>
  <si>
    <t>115-56-5101</t>
  </si>
  <si>
    <t>093-02-5399</t>
  </si>
  <si>
    <t>589-11-0670</t>
  </si>
  <si>
    <t>086-90-5870</t>
  </si>
  <si>
    <t>070-56-7397</t>
  </si>
  <si>
    <t>063-82-1024</t>
  </si>
  <si>
    <t>091-80-0499</t>
  </si>
  <si>
    <t>082-60-5054</t>
  </si>
  <si>
    <t>084-66-1173</t>
  </si>
  <si>
    <t>091-92-9910</t>
  </si>
  <si>
    <t>073-58-3004</t>
  </si>
  <si>
    <t>050-48-4635</t>
  </si>
  <si>
    <t>064-58-1518</t>
  </si>
  <si>
    <t>134-84-9838</t>
  </si>
  <si>
    <t>118-76-8724</t>
  </si>
  <si>
    <t>012-60-7735</t>
  </si>
  <si>
    <t>582-37-0992</t>
  </si>
  <si>
    <t>052-64-6599</t>
  </si>
  <si>
    <t>086-50-8168</t>
  </si>
  <si>
    <t>193-62-1814</t>
  </si>
  <si>
    <t>087-94-3819</t>
  </si>
  <si>
    <t>055-58-9736</t>
  </si>
  <si>
    <t>121-52-7354</t>
  </si>
  <si>
    <t>121-48-5817</t>
  </si>
  <si>
    <t>081-78-9984</t>
  </si>
  <si>
    <t>072-70-5502</t>
  </si>
  <si>
    <t>174-66-4928</t>
  </si>
  <si>
    <t>072-64-3786</t>
  </si>
  <si>
    <t>039-74-1037</t>
  </si>
  <si>
    <t>101-88-8061</t>
  </si>
  <si>
    <t>111-82-8361</t>
  </si>
  <si>
    <t>132-80-3270</t>
  </si>
  <si>
    <t>125-74-9753</t>
  </si>
  <si>
    <t>061-70-8078</t>
  </si>
  <si>
    <t>102-72-6386</t>
  </si>
  <si>
    <t>092-62-1777</t>
  </si>
  <si>
    <t>116-44-9502</t>
  </si>
  <si>
    <t>583-89-4631</t>
  </si>
  <si>
    <t>051-76-3914</t>
  </si>
  <si>
    <t>067-72-8021</t>
  </si>
  <si>
    <t>067-84-7166</t>
  </si>
  <si>
    <t>064-70-1856</t>
  </si>
  <si>
    <t>069-56-4359</t>
  </si>
  <si>
    <t>088-62-0112</t>
  </si>
  <si>
    <t>106-80-2242</t>
  </si>
  <si>
    <t>083-98-6806</t>
  </si>
  <si>
    <t>052-94-0536</t>
  </si>
  <si>
    <t>101-64-5763</t>
  </si>
  <si>
    <t>085-52-5358</t>
  </si>
  <si>
    <t>080-82-9229</t>
  </si>
  <si>
    <t>106-80-4233</t>
  </si>
  <si>
    <t>055-70-0908</t>
  </si>
  <si>
    <t>076-86-9776</t>
  </si>
  <si>
    <t>070-86-0839</t>
  </si>
  <si>
    <t>113-36-7553</t>
  </si>
  <si>
    <t>090-76-8750</t>
  </si>
  <si>
    <t>075-52-6198</t>
  </si>
  <si>
    <t>059-70-0619</t>
  </si>
  <si>
    <t>112-72-3230</t>
  </si>
  <si>
    <t>099-58-5857</t>
  </si>
  <si>
    <t>071-74-5581</t>
  </si>
  <si>
    <t>098-72-2644</t>
  </si>
  <si>
    <t>057-82-7902</t>
  </si>
  <si>
    <t>124-78-0429</t>
  </si>
  <si>
    <t>128-72-5297</t>
  </si>
  <si>
    <t>167-76-0693</t>
  </si>
  <si>
    <t>073-58-8047</t>
  </si>
  <si>
    <t>108-62-6509</t>
  </si>
  <si>
    <t>062-58-5219</t>
  </si>
  <si>
    <t>069-66-9610</t>
  </si>
  <si>
    <t>059-58-8237</t>
  </si>
  <si>
    <t>090-88-0345</t>
  </si>
  <si>
    <t>095-66-7005</t>
  </si>
  <si>
    <t>052-76-8755</t>
  </si>
  <si>
    <t>118-68-3205</t>
  </si>
  <si>
    <t>085-64-1194</t>
  </si>
  <si>
    <t>050-42-0958</t>
  </si>
  <si>
    <t>106-44-4955</t>
  </si>
  <si>
    <t>125-46-9523</t>
  </si>
  <si>
    <t>128-58-4175</t>
  </si>
  <si>
    <t>069-59-7535</t>
  </si>
  <si>
    <t>598-18-9934</t>
  </si>
  <si>
    <t>080-60-1055</t>
  </si>
  <si>
    <t>057-58-8097</t>
  </si>
  <si>
    <t>081-34-2262</t>
  </si>
  <si>
    <t>124-68-0274</t>
  </si>
  <si>
    <t>113-68-0850</t>
  </si>
  <si>
    <t>058-64-7298</t>
  </si>
  <si>
    <t>082-94-9028</t>
  </si>
  <si>
    <t>109-68-3339</t>
  </si>
  <si>
    <t>088-52-8875</t>
  </si>
  <si>
    <t>505-96-3900</t>
  </si>
  <si>
    <t>130-70-9013</t>
  </si>
  <si>
    <t>084-80-4844</t>
  </si>
  <si>
    <t>922-72-0384</t>
  </si>
  <si>
    <t>062-96-3869</t>
  </si>
  <si>
    <t>120-68-7173</t>
  </si>
  <si>
    <t>080-58-5659</t>
  </si>
  <si>
    <t>097-56-5842</t>
  </si>
  <si>
    <t>076-72-0746</t>
  </si>
  <si>
    <t>063-96-8868</t>
  </si>
  <si>
    <t>032-46-9386</t>
  </si>
  <si>
    <t>350-80-3009</t>
  </si>
  <si>
    <t>075-60-2689</t>
  </si>
  <si>
    <t>129-58-0923</t>
  </si>
  <si>
    <t>109-48-6587</t>
  </si>
  <si>
    <t>092-94-0362</t>
  </si>
  <si>
    <t>124-56-5278</t>
  </si>
  <si>
    <t>078-76-7704</t>
  </si>
  <si>
    <t>583-36-4453</t>
  </si>
  <si>
    <t>148-88-3626</t>
  </si>
  <si>
    <t>584-69-0460</t>
  </si>
  <si>
    <t>265-85-6734</t>
  </si>
  <si>
    <t>117-56-5569</t>
  </si>
  <si>
    <t>053-74-9919</t>
  </si>
  <si>
    <t>892-53-3791</t>
  </si>
  <si>
    <t>063-94-3216</t>
  </si>
  <si>
    <t>098-80-5874</t>
  </si>
  <si>
    <t>094-64-3467</t>
  </si>
  <si>
    <t>834-96-2952</t>
  </si>
  <si>
    <t>119-48-2587</t>
  </si>
  <si>
    <t>102-86-8647</t>
  </si>
  <si>
    <t>123-74-6406</t>
  </si>
  <si>
    <t>068-74-8485</t>
  </si>
  <si>
    <t>539-88-5760</t>
  </si>
  <si>
    <t>114-56-7600</t>
  </si>
  <si>
    <t>124-74-8929</t>
  </si>
  <si>
    <t>131-62-6610</t>
  </si>
  <si>
    <t>031-78-9050</t>
  </si>
  <si>
    <t>054-48-6806</t>
  </si>
  <si>
    <t>213-92-2733</t>
  </si>
  <si>
    <t>486-46-8138</t>
  </si>
  <si>
    <t>052-66-7141</t>
  </si>
  <si>
    <t>081-68-8779</t>
  </si>
  <si>
    <t>120-36-6559</t>
  </si>
  <si>
    <t>101-94-3588</t>
  </si>
  <si>
    <t>126-88-6719</t>
  </si>
  <si>
    <t>085-88-2115</t>
  </si>
  <si>
    <t>087-68-6482</t>
  </si>
  <si>
    <t>345-64-7447</t>
  </si>
  <si>
    <t>590-74-4087</t>
  </si>
  <si>
    <t>075-86-2041</t>
  </si>
  <si>
    <t>132-86-6995</t>
  </si>
  <si>
    <t>096-56-9742</t>
  </si>
  <si>
    <t>129-60-4525</t>
  </si>
  <si>
    <t>106-46-3459</t>
  </si>
  <si>
    <t>110-46-5709</t>
  </si>
  <si>
    <t>073-52-1947</t>
  </si>
  <si>
    <t>065-98-0182</t>
  </si>
  <si>
    <t>309-28-5612</t>
  </si>
  <si>
    <t>000-00-1394</t>
  </si>
  <si>
    <t>108-60-4648</t>
  </si>
  <si>
    <t>115-62-1504</t>
  </si>
  <si>
    <t>095-90-1013</t>
  </si>
  <si>
    <t>067-94-5734</t>
  </si>
  <si>
    <t>071-50-7798</t>
  </si>
  <si>
    <t>080-96-8587</t>
  </si>
  <si>
    <t>103-48-0353</t>
  </si>
  <si>
    <t>625-34-8733</t>
  </si>
  <si>
    <t>114-94-5123</t>
  </si>
  <si>
    <t>135-76-8423</t>
  </si>
  <si>
    <t>115-62-7814</t>
  </si>
  <si>
    <t>054-40-5765</t>
  </si>
  <si>
    <t>087-96-7096</t>
  </si>
  <si>
    <t>592-46-0260</t>
  </si>
  <si>
    <t>102-56-5061</t>
  </si>
  <si>
    <t>092-64-7884</t>
  </si>
  <si>
    <t>097-84-1021</t>
  </si>
  <si>
    <t>104-56-4300</t>
  </si>
  <si>
    <t>038-74-6788</t>
  </si>
  <si>
    <t>212-78-4946</t>
  </si>
  <si>
    <t>127-48-3178</t>
  </si>
  <si>
    <t>069-56-7807</t>
  </si>
  <si>
    <t>073-58-5686</t>
  </si>
  <si>
    <t>075-88-6089</t>
  </si>
  <si>
    <t>056-68-6367</t>
  </si>
  <si>
    <t>072-64-5314</t>
  </si>
  <si>
    <t>121-74-3847</t>
  </si>
  <si>
    <t>091-70-5253</t>
  </si>
  <si>
    <t>123-94-7447</t>
  </si>
  <si>
    <t>074-68-6662</t>
  </si>
  <si>
    <t>145-66-2155</t>
  </si>
  <si>
    <t>505-94-4627</t>
  </si>
  <si>
    <t>095-56-7796</t>
  </si>
  <si>
    <t>864-50-7844</t>
  </si>
  <si>
    <t>530-28-2846</t>
  </si>
  <si>
    <t>078-58-0265</t>
  </si>
  <si>
    <t>266-49-8917</t>
  </si>
  <si>
    <t>050-76-5290</t>
  </si>
  <si>
    <t>124-86-0793</t>
  </si>
  <si>
    <t>071-84-6831</t>
  </si>
  <si>
    <t>087-58-9569</t>
  </si>
  <si>
    <t>112-48-1620</t>
  </si>
  <si>
    <t>052-60-9405</t>
  </si>
  <si>
    <t>118-44-2047</t>
  </si>
  <si>
    <t>066-56-9590</t>
  </si>
  <si>
    <t>112-80-0707</t>
  </si>
  <si>
    <t>126-42-5549</t>
  </si>
  <si>
    <t>000-00-8260</t>
  </si>
  <si>
    <t>298-40-9279</t>
  </si>
  <si>
    <t>592-06-2454</t>
  </si>
  <si>
    <t>053-42-4430</t>
  </si>
  <si>
    <t>100-68-9951</t>
  </si>
  <si>
    <t>122-64-6201</t>
  </si>
  <si>
    <t>050-66-3041</t>
  </si>
  <si>
    <t>128-40-7357</t>
  </si>
  <si>
    <t>098-46-0881</t>
  </si>
  <si>
    <t>134-66-4462</t>
  </si>
  <si>
    <t>124-84-3258</t>
  </si>
  <si>
    <t>080-54-3874</t>
  </si>
  <si>
    <t>130-54-1398</t>
  </si>
  <si>
    <t>055-22-0153</t>
  </si>
  <si>
    <t>052-66-1519</t>
  </si>
  <si>
    <t>100-66-6153</t>
  </si>
  <si>
    <t>586-23-7404</t>
  </si>
  <si>
    <t>129-38-2468</t>
  </si>
  <si>
    <t>076-50-0336</t>
  </si>
  <si>
    <t>101-56-3404</t>
  </si>
  <si>
    <t>104-56-4651</t>
  </si>
  <si>
    <t>112-80-4642</t>
  </si>
  <si>
    <t>127-76-3784</t>
  </si>
  <si>
    <t>122-52-1137</t>
  </si>
  <si>
    <t>000-00-3130</t>
  </si>
  <si>
    <t>539-65-1752</t>
  </si>
  <si>
    <t>111-96-2105</t>
  </si>
  <si>
    <t>109-80-9205</t>
  </si>
  <si>
    <t>089-80-7324</t>
  </si>
  <si>
    <t>131-80-3563</t>
  </si>
  <si>
    <t>148-90-2035</t>
  </si>
  <si>
    <t>097-46-4784</t>
  </si>
  <si>
    <t>060-78-3538</t>
  </si>
  <si>
    <t>088-02-5944</t>
  </si>
  <si>
    <t>083-84-6494</t>
  </si>
  <si>
    <t>090-60-8446</t>
  </si>
  <si>
    <t>102-54-7849</t>
  </si>
  <si>
    <t>122-56-9924</t>
  </si>
  <si>
    <t>112-56-7920</t>
  </si>
  <si>
    <t>000-00-6889</t>
  </si>
  <si>
    <t>000-00-2246</t>
  </si>
  <si>
    <t>000-00-2134</t>
  </si>
  <si>
    <t>000-00-8784</t>
  </si>
  <si>
    <t>000-00-2847</t>
  </si>
  <si>
    <t>148-70-3973</t>
  </si>
  <si>
    <t>022-74-5857</t>
  </si>
  <si>
    <t>144-62-9897</t>
  </si>
  <si>
    <t>100-56-7256</t>
  </si>
  <si>
    <t>129-88-4482</t>
  </si>
  <si>
    <t>055-02-5530</t>
  </si>
  <si>
    <t>581-93-5393</t>
  </si>
  <si>
    <t>050-72-7805</t>
  </si>
  <si>
    <t>054-76-8223</t>
  </si>
  <si>
    <t>125-44-0216</t>
  </si>
  <si>
    <t>130-56-6148</t>
  </si>
  <si>
    <t>565-94-2045</t>
  </si>
  <si>
    <t>088-34-2635</t>
  </si>
  <si>
    <t>064-58-3110</t>
  </si>
  <si>
    <t>000-00-8137</t>
  </si>
  <si>
    <t>000-00-3866</t>
  </si>
  <si>
    <t>040-52-9531</t>
  </si>
  <si>
    <t>114-62-2398</t>
  </si>
  <si>
    <t>044-46-6715</t>
  </si>
  <si>
    <t>901-84-9764</t>
  </si>
  <si>
    <t>356-26-8109</t>
  </si>
  <si>
    <t>087-48-3066</t>
  </si>
  <si>
    <t>104-65-5659</t>
  </si>
  <si>
    <t>580-21-0900</t>
  </si>
  <si>
    <t>119-34-2089</t>
  </si>
  <si>
    <t>037-17-0212</t>
  </si>
  <si>
    <t>082-52-9340</t>
  </si>
  <si>
    <t>060-62-9537</t>
  </si>
  <si>
    <t>088-96-1121</t>
  </si>
  <si>
    <t>048-60-5445</t>
  </si>
  <si>
    <t>583-29-2082</t>
  </si>
  <si>
    <t>054-58-6878</t>
  </si>
  <si>
    <t>061-52-8491</t>
  </si>
  <si>
    <t>051-70-1972</t>
  </si>
  <si>
    <t>743-56-0159</t>
  </si>
  <si>
    <t>104-58-3346</t>
  </si>
  <si>
    <t>582-85-0244</t>
  </si>
  <si>
    <t>530-74-3697</t>
  </si>
  <si>
    <t>089-78-3839</t>
  </si>
  <si>
    <t>113-60-2845</t>
  </si>
  <si>
    <t>127-56-1271</t>
  </si>
  <si>
    <t>000-00-3336</t>
  </si>
  <si>
    <t>095-58-8417</t>
  </si>
  <si>
    <t>126-56-4294</t>
  </si>
  <si>
    <t>582-95-4757</t>
  </si>
  <si>
    <t>062-76-6074</t>
  </si>
  <si>
    <t>086-70-1896</t>
  </si>
  <si>
    <t>110-58-6941</t>
  </si>
  <si>
    <t>130-98-5843</t>
  </si>
  <si>
    <t>108-50-6251</t>
  </si>
  <si>
    <t>598-52-7423</t>
  </si>
  <si>
    <t>060-44-8631</t>
  </si>
  <si>
    <t>087-44-9870</t>
  </si>
  <si>
    <t>092-88-4371</t>
  </si>
  <si>
    <t>080-82-3444</t>
  </si>
  <si>
    <t>054-60-1554</t>
  </si>
  <si>
    <t>106-50-7770</t>
  </si>
  <si>
    <t>477-89-1919</t>
  </si>
  <si>
    <t>010-39-5097</t>
  </si>
  <si>
    <t>121-40-6815</t>
  </si>
  <si>
    <t>000-00-4333</t>
  </si>
  <si>
    <t>059-56-3828</t>
  </si>
  <si>
    <t>Rent Stabilized</t>
  </si>
  <si>
    <t>Project-based Sec. 8</t>
  </si>
  <si>
    <t>Public Housing/NYCHA</t>
  </si>
  <si>
    <t>Unregulated – Co-Op</t>
  </si>
  <si>
    <t>Rent Controlled</t>
  </si>
  <si>
    <t>Unregulated</t>
  </si>
  <si>
    <t>Mitchell-Lama</t>
  </si>
  <si>
    <t>Public Housing</t>
  </si>
  <si>
    <t>Supportive Housing</t>
  </si>
  <si>
    <t>Low Income Tax Credit</t>
  </si>
  <si>
    <t>Other Subsidized Housing</t>
  </si>
  <si>
    <t>HDFC</t>
  </si>
  <si>
    <t>Unregulated – Other</t>
  </si>
  <si>
    <t>Unregulated – Sublet</t>
  </si>
  <si>
    <t>Tenant-interim-lease</t>
  </si>
  <si>
    <t>Section 8</t>
  </si>
  <si>
    <t>HASA</t>
  </si>
  <si>
    <t>SEPS</t>
  </si>
  <si>
    <t>DRIE/SCRIE</t>
  </si>
  <si>
    <t>HUD VASH</t>
  </si>
  <si>
    <t>FEPS</t>
  </si>
  <si>
    <t>City FEPS</t>
  </si>
  <si>
    <t>LINC</t>
  </si>
  <si>
    <t>Pathways Home</t>
  </si>
  <si>
    <t>SOTA</t>
  </si>
  <si>
    <t>HOMETBRA</t>
  </si>
  <si>
    <t>11/28/2016</t>
  </si>
  <si>
    <t>10/26/2019</t>
  </si>
  <si>
    <t>05/03/2017</t>
  </si>
  <si>
    <t>04/12/2017</t>
  </si>
  <si>
    <t>08/04/2017</t>
  </si>
  <si>
    <t>CAT3: Cases Involving Rent-Regulated Housing Or Housing Subsidies Vouchers</t>
  </si>
  <si>
    <t>FJC Waiver</t>
  </si>
  <si>
    <t>Zip Code Waiver</t>
  </si>
  <si>
    <t>Income Waiver</t>
  </si>
  <si>
    <t>CAT1: HRA Referral</t>
  </si>
  <si>
    <t>CAT2: Housing Court Referral</t>
  </si>
  <si>
    <t>Spanish</t>
  </si>
  <si>
    <t>Mandarin</t>
  </si>
  <si>
    <t>Chinese/Mandarin</t>
  </si>
  <si>
    <t xml:space="preserve">Chinese </t>
  </si>
  <si>
    <t>Russian</t>
  </si>
  <si>
    <t>Vietnamese</t>
  </si>
  <si>
    <t>Korean</t>
  </si>
  <si>
    <t>Polish</t>
  </si>
  <si>
    <t>Slovak</t>
  </si>
  <si>
    <t>Creole</t>
  </si>
  <si>
    <t>Dutch</t>
  </si>
  <si>
    <t>French Creole</t>
  </si>
  <si>
    <t>Amer. Sign Lang.</t>
  </si>
  <si>
    <t>Chinese/Cantonese</t>
  </si>
  <si>
    <t>French</t>
  </si>
  <si>
    <t>Bengali</t>
  </si>
  <si>
    <t>Portuguese</t>
  </si>
  <si>
    <t>Arabic</t>
  </si>
  <si>
    <t>Cantonese</t>
  </si>
  <si>
    <t>Greek</t>
  </si>
  <si>
    <t>Finnish</t>
  </si>
  <si>
    <t>Serbocroatian</t>
  </si>
  <si>
    <t>Japanese</t>
  </si>
  <si>
    <t>Sign Language</t>
  </si>
  <si>
    <t>Urdu</t>
  </si>
  <si>
    <t>Tagalog</t>
  </si>
  <si>
    <t>Hebrew</t>
  </si>
  <si>
    <t>Albanian</t>
  </si>
  <si>
    <t>Hindi</t>
  </si>
  <si>
    <t>Turkish</t>
  </si>
  <si>
    <t>Chinese-Fuzhou</t>
  </si>
  <si>
    <t>Rumanian</t>
  </si>
  <si>
    <t>Gujarathi</t>
  </si>
  <si>
    <t>No FY20 notes so can't be reported</t>
  </si>
  <si>
    <t>Client did not sign HRA consent, cannot bill to TRC</t>
  </si>
  <si>
    <t>4/10 - no intake yet</t>
  </si>
  <si>
    <t>cl hasn't provided income info; client will not sign DHCI form</t>
  </si>
  <si>
    <t>4/18 - need DHCI uploaded</t>
  </si>
  <si>
    <t>CL refused to sign forms so recoded as OCA</t>
  </si>
  <si>
    <t>6.7.19: Advice call back assigned</t>
  </si>
  <si>
    <t>6.14.19: Not to report to HRA - T repped by Bx Defenders.</t>
  </si>
  <si>
    <t>all work done in FY19 but wasn't reported in FY19 - CAN'T REPORT TO HRA</t>
  </si>
  <si>
    <t>no HRA forms</t>
  </si>
  <si>
    <t>pre-petition HP advice in public housing - can't bill under HPLP or TRC</t>
  </si>
  <si>
    <t>Didn't get consent and DHCI so can't report to HRA, changed to OCA</t>
  </si>
  <si>
    <t>6.28.19: Advice call back assigned</t>
  </si>
  <si>
    <t>Never met with client, only spoke on the phone. No hard copy file</t>
  </si>
  <si>
    <t>6.7.19: Advice call back assigned - No forms - ZZ closing</t>
  </si>
  <si>
    <t>CASA 1/3</t>
  </si>
  <si>
    <t>CASA 1/10</t>
  </si>
  <si>
    <t>CASA 1/9</t>
  </si>
  <si>
    <t>CASA 1/23</t>
  </si>
  <si>
    <t>no DHCI/consent 6/20 - CL refused so can't bill as TRC</t>
  </si>
  <si>
    <t>advice callback - ZZ closing</t>
  </si>
  <si>
    <t>6.21.19: Advice call back assigned</t>
  </si>
  <si>
    <t>Advice call back assigned on 6.5.19.</t>
  </si>
  <si>
    <t>client did not sign billing consent 6/20 ND</t>
  </si>
  <si>
    <t>Changed funding code b/c no DHCI form, never was able to report</t>
  </si>
  <si>
    <t>UA zip but identified conflict and re-referred</t>
  </si>
  <si>
    <t>advice call back case - ZZ closing needed</t>
  </si>
  <si>
    <t>CASA 12/27 - no show?</t>
  </si>
  <si>
    <t>Not to report to HRA - NO forms.</t>
  </si>
  <si>
    <t>NO SHOW</t>
  </si>
  <si>
    <t>4/19-needs notes of callback advice</t>
  </si>
  <si>
    <t>5/9 - need call-back advice notes</t>
  </si>
  <si>
    <t>CASA 1/31</t>
  </si>
  <si>
    <t>mentally ill client did not sign forms, can't report for TRC, changed to OCA, CN.</t>
  </si>
  <si>
    <t>CASA 1/17</t>
  </si>
  <si>
    <t>no HRA forms - not to be reported to HRA</t>
  </si>
  <si>
    <t>post-j UA zip, advice only</t>
  </si>
  <si>
    <t>Can't report as TRC no forms - recoded as OCA 2157, CN 7/15/19</t>
  </si>
  <si>
    <t>no benefit as per HRA 3/13/17, no HRA consent so can't report</t>
  </si>
  <si>
    <t>no DHCI, no benefit</t>
  </si>
  <si>
    <t>UA zip but client retained MFJ</t>
  </si>
  <si>
    <t>4/10 - messy case, on hold pending HRA advocacy</t>
  </si>
  <si>
    <t>CASA no show?</t>
  </si>
  <si>
    <t>need forms uploaded - 5/23</t>
  </si>
  <si>
    <t>no forms so couldn't bill as TRC, changed to 2157</t>
  </si>
  <si>
    <t>Neeeds New DHCI and Consent Form</t>
  </si>
  <si>
    <t>Consent to Obtain Only  Uploaded</t>
  </si>
  <si>
    <t>Client never met with any staff members. Advised over the phone</t>
  </si>
  <si>
    <t>Client never met with any staff member. Advised over phone.</t>
  </si>
  <si>
    <t>prior FY</t>
  </si>
  <si>
    <t>Client never met with any staff member. Advised over the phone.</t>
  </si>
  <si>
    <t>Client never met with sny staff members. Advised over the phone</t>
  </si>
  <si>
    <t>Client never met with any staff member. Advised over the phone</t>
  </si>
  <si>
    <t>Client never met with any staff member. Client was advised over the phone.</t>
  </si>
  <si>
    <t>phone advice so far</t>
  </si>
  <si>
    <t>Client withdrew/did not attend scheduled HP clinic. No one met with him in person. No docs signed</t>
  </si>
  <si>
    <t>Client withdrew/did not keep his scheduled HP clinic appt. No one met with him in person and no docs signed.</t>
  </si>
  <si>
    <t>Client didn't show to scheduled HP clinic. No one met with her and no docs obtained, however per notes advice was provided by access line.</t>
  </si>
  <si>
    <t>Client withdrew/did not show up for scheduled HP clinic. No one met with in person and no docs signed</t>
  </si>
  <si>
    <t>client received brief advice from access line. She didn't keep her appt, no one met with her in person and no docs were signed.</t>
  </si>
  <si>
    <t>Matter resolved btwn LL &amp; client. No one met with him and no docs obtained</t>
  </si>
  <si>
    <t>unable to obtain retainer despite best efforts</t>
  </si>
  <si>
    <t>Client withdrew. Noone met with him but notes suggest hotline gave HP advice. Do docs obtained</t>
  </si>
  <si>
    <t>No Releases or Other Compliance docs</t>
  </si>
  <si>
    <t>No releases obtained as one met with client in person.</t>
  </si>
  <si>
    <t>Unable to get compliance docs from tenant</t>
  </si>
  <si>
    <t>Reasobable accom case; needs waiver</t>
  </si>
  <si>
    <t>Provided full rep in same case, this case should be closed as ZZ</t>
  </si>
  <si>
    <t>No compliance docs. Noone met with him in person and no hard copy file</t>
  </si>
  <si>
    <t>client declined to provide authorization to bill HRA , share info w/ funders, or fill out DHCI form.</t>
  </si>
  <si>
    <t>4/18 - need consent &amp; DHCI uploaded</t>
  </si>
  <si>
    <t>Retainer at 16-0804064</t>
  </si>
  <si>
    <t>no pending case --&gt; TRC funding code</t>
  </si>
  <si>
    <t>under TRC coz there is no pending case</t>
  </si>
  <si>
    <t>need income waiver for participant in building wide initiative</t>
  </si>
  <si>
    <t>Missing HRA form</t>
  </si>
  <si>
    <t>Client refused to give SS#</t>
  </si>
  <si>
    <t>Client refused to sign HRA consent to release</t>
  </si>
  <si>
    <t>Unsigned Consent to Release  - Cannot Report</t>
  </si>
  <si>
    <t>Never met with client in person. Gave simple advice over the phone. No physical file &amp; no compliance docs</t>
  </si>
  <si>
    <t>Missing DHCI &amp; HRA Documents</t>
  </si>
  <si>
    <t>Never met with client. No compliance docs obtained.</t>
  </si>
  <si>
    <t>missing forms</t>
  </si>
  <si>
    <t>Over 200%</t>
  </si>
  <si>
    <t>DHCI waived for Bnkcy clients in building wide NEBHDCO actions</t>
  </si>
  <si>
    <t>Atlantic Plaza Towers facial recognition advocacy</t>
  </si>
  <si>
    <t>Compliance forms are in 19-1896778</t>
  </si>
  <si>
    <t>SCRIE</t>
  </si>
  <si>
    <t>Income waiver needed for participant in building wide initiative</t>
  </si>
  <si>
    <t>Releases are in the attestation folder</t>
  </si>
  <si>
    <t>overincome but will be part of group loft law case once bill is passed</t>
  </si>
  <si>
    <t>Needs income waiver for building wide/group work</t>
  </si>
  <si>
    <t>releases in 19-1900448</t>
  </si>
  <si>
    <t>see 19-1900440 for release and DHCI</t>
  </si>
  <si>
    <t>refuse to give full SS#</t>
  </si>
  <si>
    <t>City FHEPS Case #:10154731</t>
  </si>
  <si>
    <t>Atlantic Towers Group initiative client - needs income waiver</t>
  </si>
  <si>
    <t>DHCI requirement waived re building wide initiative in opposition to Facial Recognition</t>
  </si>
  <si>
    <t>Opposition to Facial Recogntion. Wavier for APT Facial Recognition. No DHCI Required.</t>
  </si>
  <si>
    <t>Opposition to facial recognition. Wavier for APT facial recogniton. No DHCI required.</t>
  </si>
  <si>
    <t>Opposition to facial recogntiton. Wavier for APT Facial Recognition. No DHCI required.</t>
  </si>
  <si>
    <t>Wavier for APT Facial Recognition. No DHCI or SSN required. Compliance Docs located in parent file #19-1890555</t>
  </si>
  <si>
    <t>Need income waiver for group action client</t>
  </si>
  <si>
    <t>need income waiver</t>
  </si>
  <si>
    <t>possible; dup release and DHCI in 19-1910612</t>
  </si>
  <si>
    <t>Need income waiver for non-pay client associated with a building wide initiative.</t>
  </si>
  <si>
    <t>Will require income waiver</t>
  </si>
  <si>
    <t>Income waiver required for client in a Duckler building wide initiative</t>
  </si>
  <si>
    <t>refused to give SS#</t>
  </si>
  <si>
    <t>Letter to the landlord regarding conditions. Notes in case 19-1911193. Compliance forms have been uploaded.</t>
  </si>
  <si>
    <t>Need income waiver for client in a building wide initiative</t>
  </si>
  <si>
    <t>HRA consent and DHCI forms are located in LS File - 19-1887832</t>
  </si>
  <si>
    <t>Compliance forms are in LS 19-1908611</t>
  </si>
  <si>
    <t>Zip code waiver required for client in a building wide initiative</t>
  </si>
  <si>
    <t>Does a housing issue via Single Stop get SS or TRC funding code?</t>
  </si>
  <si>
    <t>50+1% income waiver requested</t>
  </si>
  <si>
    <t>Client is part of building wide initiative at 1074 Eastern Pkwy - Income waiver has been requested</t>
  </si>
  <si>
    <t>Waiver obtained for DHCI and SSN</t>
  </si>
  <si>
    <t>Building-wide rent reduction application. Notes are in case 19-1911193. All compliance forms have been uploaded.</t>
  </si>
  <si>
    <t>Group HP case. Notes in 19-1911193. All compliance forms have been uploaded.</t>
  </si>
  <si>
    <t>50%+1 income waiver requested</t>
  </si>
  <si>
    <t>Income waiver needed for this master file of building wide initiative</t>
  </si>
  <si>
    <t>Income waiver required</t>
  </si>
  <si>
    <t>no forms yet</t>
  </si>
  <si>
    <t>DO-Docs signed and uploaded</t>
  </si>
  <si>
    <t>4/18 - HPLP if case is filed; TRC if not. Need consent &amp; DHCI</t>
  </si>
  <si>
    <t>HRA Consent uploaded</t>
  </si>
  <si>
    <t>Missing forms</t>
  </si>
  <si>
    <t>PA Check AB</t>
  </si>
  <si>
    <t>HRA verification in lieu of DHCI</t>
  </si>
  <si>
    <t>DHCI marked yes b/c HRA verified AC/SNAP 3/23/2018</t>
  </si>
  <si>
    <t>client did not sign the consent to release</t>
  </si>
  <si>
    <t>DHCI FORM NOT SIGNED</t>
  </si>
  <si>
    <t>Missing forms and index #</t>
  </si>
  <si>
    <t>missing DHCI &amp; HRA forms</t>
  </si>
  <si>
    <t>client revoked permission to share info with NYC and HRA on 10/1</t>
  </si>
  <si>
    <t>needs to be ZZ closed; prior FY</t>
  </si>
  <si>
    <t>Missing Forms</t>
  </si>
  <si>
    <t>not clear what if anything happened with the s8 issue. cl has new nonpay - needs new file</t>
  </si>
  <si>
    <t>duplicate case where no services were provided;  needs to zz'ed</t>
  </si>
  <si>
    <t>Income waiver required for TRC</t>
  </si>
  <si>
    <t>phone advice</t>
  </si>
  <si>
    <t>DHCI and HRA consent forms are located in LS File 19-1887832</t>
  </si>
  <si>
    <t>50% +1 income waiver needed</t>
  </si>
  <si>
    <t>50% +1 income waiver requested</t>
  </si>
  <si>
    <t>Need income waiver for client who is part of a building wide initiative</t>
  </si>
  <si>
    <t>Need income waiver for client who is part of a group initiative.</t>
  </si>
  <si>
    <t>duplicate not worth reporting at this point?</t>
  </si>
  <si>
    <t>Not to report to HRA. Over-income HPLP Advice call backk case assigned on 6.7.19.</t>
  </si>
  <si>
    <t>NOT TO REPORT TO HRA - over income advice case</t>
  </si>
  <si>
    <t>NOT TO REPORT TO HRA - Over-income advice case</t>
  </si>
  <si>
    <t>&gt;200%</t>
  </si>
  <si>
    <t>Advice call back case - assigned on 5.28.19.- DONE</t>
  </si>
  <si>
    <t>over 200%</t>
  </si>
  <si>
    <t>Veteran not subject to income limits</t>
  </si>
  <si>
    <t>over income - CLS</t>
  </si>
  <si>
    <t>CL refused to sign forms so recoded as 3020</t>
  </si>
  <si>
    <t>Need an income waiver</t>
  </si>
  <si>
    <t>Client will need an income waiver for TRC funding</t>
  </si>
  <si>
    <t>income waiver required for client who is part of a building wide initiative</t>
  </si>
  <si>
    <t>need income waiver for client who is part of a building wide initiative</t>
  </si>
  <si>
    <t>Income waiver needed for client participating in building wide initiative</t>
  </si>
  <si>
    <t>Needs an income waiver for building wide initiative</t>
  </si>
  <si>
    <t>LAS TRC case</t>
  </si>
  <si>
    <t>HRA BVR came back as no benefit</t>
  </si>
  <si>
    <t>Once we get pro bono, we can count towards TRC, need to check with JCO if is the son of Stiegfried</t>
  </si>
  <si>
    <t>6.25.19: Advice call back assigned.</t>
  </si>
  <si>
    <t>needs waiver if full rep</t>
  </si>
  <si>
    <t>Income waiver may be required</t>
  </si>
  <si>
    <t>No forms, so can't report</t>
  </si>
  <si>
    <t>needs waiver &gt;200%</t>
  </si>
  <si>
    <t>Income waiver needed. Client gets PA but mom is employed so household number are above FPL</t>
  </si>
  <si>
    <t>ZZ Closing - no advice given. HRA referral advice call-back</t>
  </si>
  <si>
    <t>Client's DHCI contradicts her earlier info. Income changed to reflect. Need Income waiver.</t>
  </si>
  <si>
    <t>&gt;200%, HRA referral, advice only</t>
  </si>
  <si>
    <t>Client Refuses to Sign the Release</t>
  </si>
  <si>
    <t>&gt;200% FPL, court referred call back advice</t>
  </si>
  <si>
    <t>zz closing</t>
  </si>
  <si>
    <t>Old release does not include HRA</t>
  </si>
  <si>
    <t>billing consent given via phone... Not sure if this can be reported since advice was given in march and 1 note from 7/1</t>
  </si>
  <si>
    <t>HRA Rollover case</t>
  </si>
  <si>
    <t>Advice call back assigned on 6.4.19.</t>
  </si>
  <si>
    <t>4/10 - need index # once HP is filed; if not filed, report under TRC</t>
  </si>
  <si>
    <t>Notes from FY19 can't report</t>
  </si>
  <si>
    <t>4/10-need index # to bill HPLP; if HP not filed, bill under TRC as OOC advocacy</t>
  </si>
  <si>
    <t>4/18 - case status unclear from notes</t>
  </si>
  <si>
    <t>4/10-appearing as FOC in Article 81 proceeding. Not sure whether/how we can count?</t>
  </si>
  <si>
    <t>5/10 - need consent uploaded; case status?</t>
  </si>
  <si>
    <t>4/10 - need consent + DHCI or active PA/SNAP # entered</t>
  </si>
  <si>
    <t>missing date of birth in DHCI for family member</t>
  </si>
  <si>
    <t>Advice call back assigned on 6.3.19.</t>
  </si>
  <si>
    <t>5/10 - still on hold?</t>
  </si>
  <si>
    <t>intake scheduled 5/29</t>
  </si>
  <si>
    <t>5/10 - need consent uploaded + DHCI or PA/SNAP # entered</t>
  </si>
  <si>
    <t>4/10 - case status unclear from notes</t>
  </si>
  <si>
    <t>7/11/2019 advice callback need index #</t>
  </si>
  <si>
    <t>over income advice case</t>
  </si>
  <si>
    <t>verbal consent needed</t>
  </si>
  <si>
    <t>need advice notes</t>
  </si>
  <si>
    <t>advice call-back</t>
  </si>
  <si>
    <t>Advice call  back assigned on 6.5.19.</t>
  </si>
  <si>
    <t>4/10-need DHCR docket # once one is issued</t>
  </si>
  <si>
    <t>5/10 - need advice notes</t>
  </si>
  <si>
    <t>4/23 - need call-back advice notes</t>
  </si>
  <si>
    <t>4/10 - need index # once HP is filed; if not filed, report under TRC as OOC Advocacy</t>
  </si>
  <si>
    <t>4/18 - case type &amp; status unclear from notes; need updated consent &amp; DHCI or PA#</t>
  </si>
  <si>
    <t>missing HRA and DHCI</t>
  </si>
  <si>
    <t>4/23 - need consent + DHCI or active CA/SNAP # entered</t>
  </si>
  <si>
    <t>if case is filed, report as HPLP; if not, report as TRC out-of-court advocacy</t>
  </si>
  <si>
    <t>5.31.19: Advice call back assigned</t>
  </si>
  <si>
    <t>4/18 - case type/status unclear</t>
  </si>
  <si>
    <t>Changed to HPLP b/c this is a NYCHA reasonable accommodation case</t>
  </si>
  <si>
    <t>4/10 - case on hold</t>
  </si>
  <si>
    <t>Missing DHCI &amp; HRA forms</t>
  </si>
  <si>
    <t>4/18 - need billing consent form signed; DHCI uploaded</t>
  </si>
  <si>
    <t>income waiver requested  on 11.22.2019</t>
  </si>
  <si>
    <t>HRA Not signed by client</t>
  </si>
  <si>
    <t>needs waiver if full</t>
  </si>
  <si>
    <t>&gt;200%, court referral advice Advice given during FY19 can't report</t>
  </si>
  <si>
    <t>enter eligibility date once we get Appellate term index #</t>
  </si>
  <si>
    <t>missing forms; mailed new ones on 9/16/19</t>
  </si>
  <si>
    <t>&gt;200% advice only advice gicen in FY19 can't report</t>
  </si>
  <si>
    <t>overincome advice only</t>
  </si>
  <si>
    <t>UA Advice - clt refused full rep</t>
  </si>
  <si>
    <t>5/13 - need billing consent uploaded + signed DHCI or active CA/SNAP # entered</t>
  </si>
  <si>
    <t>5/10 - case status?</t>
  </si>
  <si>
    <t>all compliance forms are uploaded</t>
  </si>
  <si>
    <t>5/13 - confirm case status; cannot report under HRA grant  if advice only, but could maybe report under TRC?</t>
  </si>
  <si>
    <t>5/13 -  no notes, confirm rep</t>
  </si>
  <si>
    <t>missing DHCI and consent</t>
  </si>
  <si>
    <t>HRA &amp; DHCI FORMS MISSING</t>
  </si>
  <si>
    <t>DHCI NOT SIGNED</t>
  </si>
  <si>
    <t>5/9 - need DHCI uploaded or active PA/SNAP # entered</t>
  </si>
  <si>
    <t>income waiver requested on 9.25.19.</t>
  </si>
  <si>
    <t>UA Advice - NAICA reps this T</t>
  </si>
  <si>
    <t>mandatory NYCHA Admin Hearing - we must use UAC funding code</t>
  </si>
  <si>
    <t>UAC under 200% - clt is not TOR</t>
  </si>
  <si>
    <t>4/10 - need consent uploaded + DHCI or active CA/SNAP # entered</t>
  </si>
  <si>
    <t>refused to sign billing consent</t>
  </si>
  <si>
    <t>5/10 - case type &amp; status? need consent &amp; DHCI or CA/SNAP</t>
  </si>
  <si>
    <t>4/10 - need consent uploaded + DHCI or active CA/SNAP #</t>
  </si>
  <si>
    <t>5/10 - index #, case type, forms?</t>
  </si>
  <si>
    <t>family member YOB missing in DHCI</t>
  </si>
  <si>
    <t>missing advice notes</t>
  </si>
  <si>
    <t>case came in thu NYCHA Admin although there is no admin proceeding - we use UAC</t>
  </si>
  <si>
    <t>11.12 missing forms</t>
  </si>
  <si>
    <t>4/10 - need consent + DHCI or active CA/SNAP # entered</t>
  </si>
  <si>
    <t>Missing PA or DHCI</t>
  </si>
  <si>
    <t>Need HRA consent and DHCI</t>
  </si>
  <si>
    <t>HK - over-income. Anna to email me</t>
  </si>
  <si>
    <t>income waiver requested  on 11.22.2019 BUT is it a FULL REP CASE???</t>
  </si>
  <si>
    <t>need waiver if full rep &gt;200%</t>
  </si>
  <si>
    <t>income waiver requested on 11.22.2019</t>
  </si>
  <si>
    <t>income waiver needed BUT NO CONTACT fr/ clt - ZZ closing???</t>
  </si>
  <si>
    <t>Waiver if full</t>
  </si>
  <si>
    <t>Disabled veterean - not subject to income verification</t>
  </si>
  <si>
    <t>cl will not share SSN</t>
  </si>
  <si>
    <t>will not transfer, not active after 7/1/17. SRB 5.2.18</t>
  </si>
  <si>
    <t>will not transfer</t>
  </si>
  <si>
    <t>will not transfer, not active after 7/1 SRB</t>
  </si>
  <si>
    <t>no eligible benefits SRB</t>
  </si>
  <si>
    <t>need to check with advocate to see if we can transfer</t>
  </si>
  <si>
    <t>Way Over Income Not Waived in - HPI 3312</t>
  </si>
  <si>
    <t>pro bono case</t>
  </si>
  <si>
    <t>LAS case</t>
  </si>
  <si>
    <t>Counsel Assisted in Filing or Refiling of Answer</t>
  </si>
  <si>
    <t>Filed for an Emergency Order to Show Cause</t>
  </si>
  <si>
    <t>Filed/Argued/Supplemented Dispositive or other Substantive Motion</t>
  </si>
  <si>
    <t>Filed/Argued/Supplemented Dispositive or other Substantive Motion, Filed for an Emergency Order to Show Cause</t>
  </si>
  <si>
    <t>Conducted Evidentiary Hearing</t>
  </si>
  <si>
    <t>Counsel Assisted in Filing or Refiling of Answer, Filed for an Emergency Order to Show Cause</t>
  </si>
  <si>
    <t>Commenced Trial, Counsel Assisted in Filing or Refiling of Answer, Filed for an Emergency Order to Show Cause</t>
  </si>
  <si>
    <t>Counsel Assisted in Filing or Refiling of Answer, Filed/Argued/Supplemented Dispositive or other Substantive Motion</t>
  </si>
  <si>
    <t>Counsel Assisted in Filing or Refiling of Answer, Filed/Argued/Supplemented Dispositive or other Substantive Motion, Filed for an Emergency Order to Show Cause</t>
  </si>
  <si>
    <t>Commenced Trial</t>
  </si>
  <si>
    <t>Commenced Trial, Conducted Evidentiary Hearing, Counsel Assisted in Filing or Refiling of Answer</t>
  </si>
  <si>
    <t>Case Discontinued/Dismissed/Landlord Fails to Prosecute, Case Resolved without Judgment of Eviction Against Client</t>
  </si>
  <si>
    <t>Case Discontinued/Dismissed/Landlord Fails to Prosecute</t>
  </si>
  <si>
    <t>Case Resolved without Judgment of Eviction Against Client</t>
  </si>
  <si>
    <t>Restored Access to Personal Property</t>
  </si>
  <si>
    <t>Case Resolved without Judgment of Eviction Against Client, Secured Order or Agreement for Repairs in Apartment/Building, Secured Rent Abatement</t>
  </si>
  <si>
    <t>Case Discontinued/Dismissed/Landlord Fails to Prosecute, Case Resolved without Judgment of Eviction Against Client, Other</t>
  </si>
  <si>
    <t>Secured 6 Months or Longer in Residence</t>
  </si>
  <si>
    <t>Obtain Ongoing Rent Subsidy</t>
  </si>
  <si>
    <t>Case Discontinued/Dismissed/Landlord Fails to Prosecute, Secured Rent Abatement</t>
  </si>
  <si>
    <t>Obtained Negotiated Buyout</t>
  </si>
  <si>
    <t>Case Resolved without Judgment of Eviction Against Client, Obtained Succession Rights to Residence, Obtain Ongoing Rent Subsidy</t>
  </si>
  <si>
    <t>Obtained Renewal of Lease</t>
  </si>
  <si>
    <t>Case Discontinued/Dismissed/Landlord Fails to Prosecute, Secured Order or Agreement for Repairs in Apartment/Building, Secured Rent Abatement</t>
  </si>
  <si>
    <t>Case Resolved without Judgment of Eviction Against Client, Secured 6 Months or Longer in Residence, Secured Rent Abatement</t>
  </si>
  <si>
    <t>Secured Rent Reduction</t>
  </si>
  <si>
    <t>Case Resolved without Judgment of Eviction Against Client, Secured 6 Months or Longer in Residence</t>
  </si>
  <si>
    <t>Secured 6 Months or Longer in Residence, Secured Rent Abatement</t>
  </si>
  <si>
    <t>Case Discontinued/Dismissed/Landlord Fails to Prosecute, Overcame Housing Discrimination</t>
  </si>
  <si>
    <t>Case Discontinued/Dismissed/Landlord Fails to Prosecute, Case Resolved without Judgment of Eviction Against Client, Secured Order or Agreement for Repairs in Apartment/Building</t>
  </si>
  <si>
    <t>Case Discontinued/Dismissed/Landlord Fails to Prosecute, Secured Order or Agreement for Repairs in Apartment/Building</t>
  </si>
  <si>
    <t>Obtained Renewal of Lease, Other, Returned Unit to Rent Regulation</t>
  </si>
  <si>
    <t>Case Discontinued/Dismissed/Landlord Fails to Prosecute, Case Resolved without Judgment of Eviction Against Client, Obtained Renewal of Lease, Obtain Ongoing Rent Subsidy, Secured 6 Months or Longer in Residence</t>
  </si>
  <si>
    <t>Other, Restored Access to Personal Property</t>
  </si>
  <si>
    <t>Case Discontinued/Dismissed/Landlord Fails to Prosecute, Other</t>
  </si>
  <si>
    <t>Case Discontinued/Dismissed/Landlord Fails to Prosecute, Obtained Succession Rights to Residence</t>
  </si>
  <si>
    <t>Case Discontinued/Dismissed/Landlord Fails to Prosecute, Case Resolved without Judgment of Eviction Against Client, Obtained Succession Rights to Residence</t>
  </si>
  <si>
    <t>Case Discontinued/Dismissed/Landlord Fails to Prosecute, Case Resolved without Judgment of Eviction Against Client, Restored Access to Personal Property</t>
  </si>
  <si>
    <t>Case Discontinued/Dismissed/Landlord Fails to Prosecute, Obtain Ongoing Rent Subsidy, Restored Access to Personal Property</t>
  </si>
  <si>
    <t>Case Discontinued/Dismissed/Landlord Fails to Prosecute, Case Resolved without Judgment of Eviction Against Client, Other, Secured Order or Agreement for Repairs in Apartment/Building</t>
  </si>
  <si>
    <t>Case Resolved without Judgment of Eviction Against Client, Other</t>
  </si>
  <si>
    <t>Obtained Renewal of Lease, Obtained Succession Rights to Residence</t>
  </si>
  <si>
    <t>Case Discontinued/Dismissed/Landlord Fails to Prosecute, Case Resolved without Judgment of Eviction Against Client, Obtain Ongoing Rent Subsidy, Other</t>
  </si>
  <si>
    <t>Case Discontinued/Dismissed/Landlord Fails to Prosecute, Case Resolved without Judgment of Eviction Against Client, Obtained Renewal of Lease, Other, Secured Order or Agreement for Repairs in Apartment/Building</t>
  </si>
  <si>
    <t>Case Resolved without Judgment of Eviction Against Client, Obtained Renewal of Lease</t>
  </si>
  <si>
    <t>Case Discontinued/Dismissed/Landlord Fails to Prosecute, Case Resolved without Judgment of Eviction Against Client, Other, Overcame Housing Discrimination</t>
  </si>
  <si>
    <t>Case Discontinued/Dismissed/Landlord Fails to Prosecute, Case Resolved without Judgment of Eviction Against Client, Obtain Ongoing Rent Subsidy</t>
  </si>
  <si>
    <t>Case Discontinued/Dismissed/Landlord Fails to Prosecute, Obtain Ongoing Rent Subsidy, Secured Order or Agreement for Repairs in Apartment/Building, Secured Rent Abatement</t>
  </si>
  <si>
    <t>Case Resolved without Judgment of Eviction Against Client, Obtained Renewal of Lease, Other</t>
  </si>
  <si>
    <t>Case Discontinued/Dismissed/Landlord Fails to Prosecute, Other, Restored Access to Personal Property</t>
  </si>
  <si>
    <t>Other, Secured Order or Agreement for Repairs in Apartment/Building, Secured Rent Abatement</t>
  </si>
  <si>
    <t>Obtained Negotiated Buyout, Restored Access to Personal Property</t>
  </si>
  <si>
    <t>Secured 6 Months or Longer in Residence, Secured Order or Agreement for Repairs in Apartment/Building, Secured Rent Reduction</t>
  </si>
  <si>
    <t>Obtained Negotiated Buyout, Secured Rent Reduction</t>
  </si>
  <si>
    <t>Case Resolved without Judgment of Eviction Against Client, Obtained Renewal of Lease, Obtain Ongoing Rent Subsidy, Secured 6 Months or Longer in Residence, Secured Rent Reduction</t>
  </si>
  <si>
    <t>Case Resolved without Judgment of Eviction Against Client, Overcame Housing Discrimination, Secured 6 Months or Longer in Residence</t>
  </si>
  <si>
    <t>Client Allowed to Remain in Residence</t>
  </si>
  <si>
    <t>Client Required to be Displaced from Residence</t>
  </si>
  <si>
    <t>Attorney Withdrew</t>
  </si>
  <si>
    <t>Client Discharged Attorney</t>
  </si>
  <si>
    <t>2019-04-11</t>
  </si>
  <si>
    <t>2019-02-15</t>
  </si>
  <si>
    <t>2019-04-30</t>
  </si>
  <si>
    <t>2018-08-22</t>
  </si>
  <si>
    <t>2019-09-03</t>
  </si>
  <si>
    <t>2019-05-13</t>
  </si>
  <si>
    <t>2019-10-04</t>
  </si>
  <si>
    <t>2019-02-20</t>
  </si>
  <si>
    <t>2019-09-04</t>
  </si>
  <si>
    <t>2019-11-26</t>
  </si>
  <si>
    <t>2019-07-19</t>
  </si>
  <si>
    <t>2019-08-06</t>
  </si>
  <si>
    <t>2019-08-08</t>
  </si>
  <si>
    <t>2019-07-16</t>
  </si>
  <si>
    <t>2019-08-13</t>
  </si>
  <si>
    <t>2019-08-16</t>
  </si>
  <si>
    <t>2019-08-21</t>
  </si>
  <si>
    <t>2019-07-25</t>
  </si>
  <si>
    <t>2019-07-09</t>
  </si>
  <si>
    <t>2019-06-30</t>
  </si>
  <si>
    <t>2019-08-29</t>
  </si>
  <si>
    <t>2019-09-18</t>
  </si>
  <si>
    <t>2019-08-20</t>
  </si>
  <si>
    <t>2019-09-01</t>
  </si>
  <si>
    <t>2019-08-28</t>
  </si>
  <si>
    <t>2019-09-23</t>
  </si>
  <si>
    <t>2019-09-24</t>
  </si>
  <si>
    <t>2019-09-27</t>
  </si>
  <si>
    <t>2019-09-30</t>
  </si>
  <si>
    <t>2019-10-07</t>
  </si>
  <si>
    <t>2019-10-11</t>
  </si>
  <si>
    <t>2019-06-18</t>
  </si>
  <si>
    <t>2019-10-21</t>
  </si>
  <si>
    <t>2019-10-24</t>
  </si>
  <si>
    <t>2019-10-09</t>
  </si>
  <si>
    <t>2019-10-31</t>
  </si>
  <si>
    <t>2019-09-26</t>
  </si>
  <si>
    <t>2019-10-30</t>
  </si>
  <si>
    <t>2019-07-17</t>
  </si>
  <si>
    <t>2019-06-03</t>
  </si>
  <si>
    <t>2019-11-06</t>
  </si>
  <si>
    <t>2019-10-28</t>
  </si>
  <si>
    <t>2019-11-04</t>
  </si>
  <si>
    <t>2019-10-03</t>
  </si>
  <si>
    <t>2019-10-02</t>
  </si>
  <si>
    <t>2019-11-21</t>
  </si>
  <si>
    <t>2019-11-01</t>
  </si>
  <si>
    <t>2019-10-14</t>
  </si>
  <si>
    <t>2018-02-05</t>
  </si>
  <si>
    <t>2019-10-18</t>
  </si>
  <si>
    <t>2019-07-31</t>
  </si>
  <si>
    <t>2018-04-23</t>
  </si>
  <si>
    <t>2019-08-30</t>
  </si>
  <si>
    <t>2019-08-09</t>
  </si>
  <si>
    <t>2019-09-13</t>
  </si>
  <si>
    <t>2019-11-14</t>
  </si>
  <si>
    <t>2019-10-29</t>
  </si>
  <si>
    <t>2019-03-06</t>
  </si>
  <si>
    <t>2019-07-08</t>
  </si>
  <si>
    <t>2019-06-20</t>
  </si>
  <si>
    <t>2019-09-05</t>
  </si>
  <si>
    <t>2019-09-19</t>
  </si>
  <si>
    <t>2019-04-12</t>
  </si>
  <si>
    <t>2018-10-17</t>
  </si>
  <si>
    <t>2019-07-12</t>
  </si>
  <si>
    <t>2019-07-29</t>
  </si>
  <si>
    <t>2019-09-16</t>
  </si>
  <si>
    <t>2019-05-20</t>
  </si>
  <si>
    <t>2019-05-29</t>
  </si>
  <si>
    <t>2017-10-18</t>
  </si>
  <si>
    <t>2018-03-27</t>
  </si>
  <si>
    <t>2019-06-26</t>
  </si>
  <si>
    <t>2019-05-15</t>
  </si>
  <si>
    <t>2019-11-13</t>
  </si>
  <si>
    <t>2019-10-17</t>
  </si>
  <si>
    <t>2019-11-12</t>
  </si>
  <si>
    <t>2019-11-27</t>
  </si>
  <si>
    <t>2017-09-13</t>
  </si>
  <si>
    <t>2015-12-24</t>
  </si>
  <si>
    <t>2019-05-02</t>
  </si>
  <si>
    <t>2019-07-26</t>
  </si>
  <si>
    <t>2019-07-23</t>
  </si>
  <si>
    <t>2019-08-23</t>
  </si>
  <si>
    <t>2019-08-22</t>
  </si>
  <si>
    <t>2019-08-14</t>
  </si>
  <si>
    <t>2019-09-06</t>
  </si>
  <si>
    <t>2019-09-11</t>
  </si>
  <si>
    <t>2019-10-23</t>
  </si>
  <si>
    <t>2019-11-18</t>
  </si>
  <si>
    <t>2019-07-01</t>
  </si>
  <si>
    <t>2019-11-08</t>
  </si>
  <si>
    <t>2018-10-30</t>
  </si>
  <si>
    <t>2019-10-16</t>
  </si>
  <si>
    <t>2019-06-06</t>
  </si>
  <si>
    <t>2019-02-28</t>
  </si>
  <si>
    <t>2019-08-02</t>
  </si>
  <si>
    <t>2019-08-25</t>
  </si>
  <si>
    <t>2019-09-17</t>
  </si>
  <si>
    <t>2019-09-25</t>
  </si>
  <si>
    <t>2019-07-11</t>
  </si>
  <si>
    <t>2019-06-27</t>
  </si>
  <si>
    <t>2019-10-22</t>
  </si>
  <si>
    <t>2019-10-15</t>
  </si>
  <si>
    <t>2019-07-30</t>
  </si>
  <si>
    <t>2019-04-04</t>
  </si>
  <si>
    <t>2019-08-12</t>
  </si>
  <si>
    <t>2019-09-20</t>
  </si>
  <si>
    <t>2019-08-07</t>
  </si>
  <si>
    <t>2019-10-01</t>
  </si>
  <si>
    <t>2019-09-12</t>
  </si>
  <si>
    <t>2019-09-10</t>
  </si>
  <si>
    <t>2019-11-20</t>
  </si>
  <si>
    <t>2019-11-22</t>
  </si>
  <si>
    <t>2019-11-07</t>
  </si>
  <si>
    <t>2019-05-10</t>
  </si>
  <si>
    <t>2019-10-25</t>
  </si>
  <si>
    <t>2019-10-10</t>
  </si>
  <si>
    <t>2018-08-13</t>
  </si>
  <si>
    <t>2019-09-09</t>
  </si>
  <si>
    <t>2019-08-05</t>
  </si>
  <si>
    <t>2019-07-02</t>
  </si>
  <si>
    <t>2019-07-24</t>
  </si>
  <si>
    <t>2019-08-15</t>
  </si>
  <si>
    <t>2019-10-20</t>
  </si>
  <si>
    <t>2019-11-19</t>
  </si>
  <si>
    <t>2018-02-01</t>
  </si>
  <si>
    <t>2019-03-15</t>
  </si>
  <si>
    <t>2018-10-10</t>
  </si>
  <si>
    <t>2017-05-05</t>
  </si>
  <si>
    <t>2016-10-31</t>
  </si>
  <si>
    <t>02/20/2018</t>
  </si>
  <si>
    <t>12/11/2018</t>
  </si>
  <si>
    <t>04/19/2018</t>
  </si>
  <si>
    <t>08/29/2017</t>
  </si>
  <si>
    <t>07/02/2018</t>
  </si>
  <si>
    <t>11/07/2018</t>
  </si>
  <si>
    <t>01/08/2018</t>
  </si>
  <si>
    <t>01/25/2019</t>
  </si>
  <si>
    <t>10/17/2017</t>
  </si>
  <si>
    <t>01/17/2017</t>
  </si>
  <si>
    <t>02/20/2019</t>
  </si>
  <si>
    <t>07/16/2018</t>
  </si>
  <si>
    <t>12/14/2018</t>
  </si>
  <si>
    <t>12/01/2017</t>
  </si>
  <si>
    <t>09/22/2017</t>
  </si>
  <si>
    <t>10/12/2019</t>
  </si>
  <si>
    <t>12/29/2016</t>
  </si>
  <si>
    <t>07/05/2018</t>
  </si>
  <si>
    <t>04/16/2018</t>
  </si>
  <si>
    <t>02/07/2017</t>
  </si>
  <si>
    <t>09/06/2018</t>
  </si>
  <si>
    <t>12/30/2016</t>
  </si>
  <si>
    <t>11/02/2018</t>
  </si>
  <si>
    <t>12/28/2016</t>
  </si>
  <si>
    <t>11/09/2016</t>
  </si>
  <si>
    <t>04/20/2019</t>
  </si>
  <si>
    <t>12/21/2017</t>
  </si>
  <si>
    <t>12/05/2015</t>
  </si>
  <si>
    <t>04/06/2018</t>
  </si>
  <si>
    <t>03/20/2018</t>
  </si>
  <si>
    <t>02/11/2016</t>
  </si>
  <si>
    <t>08/09/2017</t>
  </si>
  <si>
    <t>02/02/2018</t>
  </si>
  <si>
    <t>04/05/2018</t>
  </si>
  <si>
    <t>05/05/2019</t>
  </si>
  <si>
    <t>06/08/2018</t>
  </si>
  <si>
    <t>03/27/2018</t>
  </si>
  <si>
    <t>01/13/2019</t>
  </si>
  <si>
    <t>03/26/2015</t>
  </si>
  <si>
    <t>10/05/2016</t>
  </si>
  <si>
    <t>07/28/2017</t>
  </si>
  <si>
    <t>06/03/2016</t>
  </si>
  <si>
    <t>07/29/2016</t>
  </si>
  <si>
    <t>12/07/2015</t>
  </si>
  <si>
    <t>02/28/2018</t>
  </si>
  <si>
    <t>01/19/2018</t>
  </si>
  <si>
    <t>11/24/2015</t>
  </si>
  <si>
    <t>10/04/2017</t>
  </si>
  <si>
    <t>02/15/2018</t>
  </si>
  <si>
    <t>06/06/2017</t>
  </si>
  <si>
    <t>11/09/2018</t>
  </si>
  <si>
    <t>06/29/2018</t>
  </si>
  <si>
    <t>05/02/2016</t>
  </si>
  <si>
    <t>05/25/2018</t>
  </si>
  <si>
    <t>06/12/2018</t>
  </si>
  <si>
    <t>07/26/2018</t>
  </si>
  <si>
    <t>06/11/2019</t>
  </si>
  <si>
    <t>08/03/2018</t>
  </si>
  <si>
    <t>10/06/2019</t>
  </si>
  <si>
    <t>07/27/2017</t>
  </si>
  <si>
    <t>12/23/2016</t>
  </si>
  <si>
    <t>05/05/2016</t>
  </si>
  <si>
    <t>05/21/2015</t>
  </si>
  <si>
    <t>12/18/2015</t>
  </si>
  <si>
    <t>12/14/2017</t>
  </si>
  <si>
    <t>11/03/2017</t>
  </si>
  <si>
    <t>04/07/2016</t>
  </si>
  <si>
    <t>11/20/2015</t>
  </si>
  <si>
    <t>01/18/2018</t>
  </si>
  <si>
    <t>11/13/2015</t>
  </si>
  <si>
    <t>08/25/2016</t>
  </si>
  <si>
    <t>04/21/2017</t>
  </si>
  <si>
    <t>05/09/2016</t>
  </si>
  <si>
    <t>03/30/2017</t>
  </si>
  <si>
    <t>02/28/2017</t>
  </si>
  <si>
    <t>11/15/2017</t>
  </si>
  <si>
    <t>08/08/2016</t>
  </si>
  <si>
    <t>09/28/2015</t>
  </si>
  <si>
    <t>05/08/2017</t>
  </si>
  <si>
    <t>10/30/2017</t>
  </si>
  <si>
    <t>06/22/2016</t>
  </si>
  <si>
    <t>05/23/2018</t>
  </si>
  <si>
    <t>12/16/2016</t>
  </si>
  <si>
    <t>04/12/2016</t>
  </si>
  <si>
    <t>05/09/2017</t>
  </si>
  <si>
    <t>08/04/2016</t>
  </si>
  <si>
    <t>03/10/2016</t>
  </si>
  <si>
    <t>12/27/2017</t>
  </si>
  <si>
    <t>04/10/2016</t>
  </si>
  <si>
    <t>10/18/2016</t>
  </si>
  <si>
    <t>03/13/2014</t>
  </si>
  <si>
    <t>05/11/2018</t>
  </si>
  <si>
    <t>09/13/2018</t>
  </si>
  <si>
    <t>08/18/2017</t>
  </si>
  <si>
    <t>12/17/2015</t>
  </si>
  <si>
    <t>07/19/2017</t>
  </si>
  <si>
    <t>11/09/2014</t>
  </si>
  <si>
    <t>12/21/2016</t>
  </si>
  <si>
    <t>11/17/2017</t>
  </si>
  <si>
    <t>01/14/2017</t>
  </si>
  <si>
    <t>11/21/2016</t>
  </si>
  <si>
    <t>01/31/2018</t>
  </si>
  <si>
    <t>02/10/2016</t>
  </si>
  <si>
    <t>06/30/2018</t>
  </si>
  <si>
    <t>08/17/2018</t>
  </si>
  <si>
    <t>Amponsah, Oheneba</t>
  </si>
  <si>
    <t>Pierre, Haenley</t>
  </si>
  <si>
    <t>Dong, Sean</t>
  </si>
  <si>
    <t>Figueroa, Sylvia</t>
  </si>
  <si>
    <t>Guzman Velazquez, Leida</t>
  </si>
  <si>
    <t>Escobar, Sarah</t>
  </si>
  <si>
    <t>Baldova, Maria</t>
  </si>
  <si>
    <t>Castellanos, Rachel</t>
  </si>
  <si>
    <t>Pujols, Isabel</t>
  </si>
  <si>
    <t>Rodriguez, Ana</t>
  </si>
  <si>
    <t>Wilson-Wieland, Cherille</t>
  </si>
  <si>
    <t>Morales-Robinson, Ana</t>
  </si>
  <si>
    <t>Khanam, Aysha</t>
  </si>
  <si>
    <t>Ortega, Luis</t>
  </si>
  <si>
    <t>Then, Laura</t>
  </si>
  <si>
    <t>Wong, Angela</t>
  </si>
  <si>
    <t>Villanueva, Anthony</t>
  </si>
  <si>
    <t>Prado, Steven</t>
  </si>
  <si>
    <t>Neilson, Kathryn</t>
  </si>
  <si>
    <t>Djourab, Atteib</t>
  </si>
  <si>
    <t>Yeasmin, Sarzah</t>
  </si>
  <si>
    <t>Moss, Julieta</t>
  </si>
  <si>
    <t>Duman, Shirley</t>
  </si>
  <si>
    <t>Newton, Christopher</t>
  </si>
  <si>
    <t>Suriel, Sal</t>
  </si>
  <si>
    <t>Lopez, Gabriel</t>
  </si>
  <si>
    <t>Mendez-Acosta, Maria</t>
  </si>
  <si>
    <t>Acevedo, Tiffany</t>
  </si>
  <si>
    <t>Paz, Alex</t>
  </si>
  <si>
    <t>Abrigo, Jose</t>
  </si>
  <si>
    <t>Lee, Thomas</t>
  </si>
  <si>
    <t>Guzman, Michael</t>
  </si>
  <si>
    <t>Rodney, Gabby</t>
  </si>
  <si>
    <t>Lee, Soo Hyun</t>
  </si>
  <si>
    <t>Nataneli, Rachel</t>
  </si>
  <si>
    <t>Salcedo, Luciris</t>
  </si>
  <si>
    <t>Baez, Jeaneshia</t>
  </si>
  <si>
    <t>Allums, Kenneshea</t>
  </si>
  <si>
    <t>Connors, Michael</t>
  </si>
  <si>
    <t>Alexis, Jennifer</t>
  </si>
  <si>
    <t>Fuentes, Maria</t>
  </si>
  <si>
    <t>Vergeli, Evelyn</t>
  </si>
  <si>
    <t>Shang, Andrea</t>
  </si>
  <si>
    <t>Medina, Marta</t>
  </si>
  <si>
    <t>Fillingame, David</t>
  </si>
  <si>
    <t>Martinez, Renee</t>
  </si>
  <si>
    <t>Torres, Elizabeth</t>
  </si>
  <si>
    <t>Bohnett, Elizabeth</t>
  </si>
  <si>
    <t>Castillo, Evette</t>
  </si>
  <si>
    <t>Baltimore, Beth</t>
  </si>
  <si>
    <t>Lane, Diane</t>
  </si>
  <si>
    <t>Garcia, Diana</t>
  </si>
  <si>
    <t>Oquendo, Joann</t>
  </si>
  <si>
    <t>Benitez, Vicenta</t>
  </si>
  <si>
    <t>Guerra, Yolanda</t>
  </si>
  <si>
    <t>Hernandez, Jonathan</t>
  </si>
  <si>
    <t>Stump, Rafaela</t>
  </si>
  <si>
    <t>McDonald, Susan</t>
  </si>
  <si>
    <t>Sampert, Monica</t>
  </si>
  <si>
    <t>Griffin, Jacquelyn</t>
  </si>
  <si>
    <t>Frias De Sosa, Yajaira</t>
  </si>
  <si>
    <t>Sanchez, Dennis</t>
  </si>
  <si>
    <t>Arboleda, Paula</t>
  </si>
  <si>
    <t>Garcia, Delci</t>
  </si>
  <si>
    <t>Sanabria, Myrna</t>
  </si>
  <si>
    <t>Hernandez, Elizabeth</t>
  </si>
  <si>
    <t>Schwartz, Ester</t>
  </si>
  <si>
    <t>Rose, Lauren</t>
  </si>
  <si>
    <t>Weisberg, Michael</t>
  </si>
  <si>
    <t>Espinal, Wendy</t>
  </si>
  <si>
    <t>Savinon, Clara</t>
  </si>
  <si>
    <t>Liriano, Isa</t>
  </si>
  <si>
    <t>Agarwala, Shelly</t>
  </si>
  <si>
    <t>Diaz, Karla</t>
  </si>
  <si>
    <t>Namuche, Raquel</t>
  </si>
  <si>
    <t>Roman, Nydia</t>
  </si>
  <si>
    <t>Smith, Jeanne</t>
  </si>
  <si>
    <t>Gurung, Rina</t>
  </si>
  <si>
    <t>Singh, Ermela</t>
  </si>
  <si>
    <t>Calderon, Milta</t>
  </si>
  <si>
    <t>Armentrout, Lynn</t>
  </si>
  <si>
    <t>Groener, Aitan</t>
  </si>
  <si>
    <t>Perez-Pedemonti, Martha</t>
  </si>
  <si>
    <t>Hansen-Eder, Arlene</t>
  </si>
  <si>
    <t>Preiss, Isaac</t>
  </si>
  <si>
    <t>Casey, Jonnelle</t>
  </si>
  <si>
    <t>Diaz, Sharon</t>
  </si>
  <si>
    <t>Kassiano, Andrea</t>
  </si>
  <si>
    <t>Boyd, Sandhya</t>
  </si>
  <si>
    <t>Weaver, Cynthia</t>
  </si>
  <si>
    <t>Baptiste, Sharon</t>
  </si>
  <si>
    <t>Reyes, Erica</t>
  </si>
  <si>
    <t>Acosta, Rosa</t>
  </si>
  <si>
    <t>Hoffman, Julienne</t>
  </si>
  <si>
    <t>Gordon, Amelia</t>
  </si>
  <si>
    <t>Muir, Maurice</t>
  </si>
  <si>
    <t>Femiano, Tiffany</t>
  </si>
  <si>
    <t>Vazquez, Angel</t>
  </si>
  <si>
    <t>Fuith, Felix</t>
  </si>
  <si>
    <t>Donadio, Dan</t>
  </si>
  <si>
    <t>Huang, Thalia</t>
  </si>
  <si>
    <t>Deutsch, Ze'ev</t>
  </si>
  <si>
    <t>Leung, Larry</t>
  </si>
  <si>
    <t>Medina Mendez, Lino</t>
  </si>
  <si>
    <t>Koslofsky, Joanne</t>
  </si>
  <si>
    <t>Huang, Amanda</t>
  </si>
  <si>
    <t>Libbey, Mackenzie</t>
  </si>
  <si>
    <t>Almenas, Beatriz</t>
  </si>
  <si>
    <t>Alvarado, Zuly</t>
  </si>
  <si>
    <t>Active CA/SNAP</t>
  </si>
  <si>
    <t>DHCI Form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</si>
</sst>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u/>
      <sz val="11"/>
      <color rgb="FF0000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5463"/>
  <sheetViews>
    <sheetView tabSelected="1" workbookViewId="0"/>
  </sheetViews>
  <sheetFormatPr defaultRowHeight="15"/>
  <cols>
    <col min="1" max="1" width="20.7109375" style="1" customWidth="1"/>
  </cols>
  <sheetData>
    <row r="1" spans="1:49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</row>
    <row r="2" spans="1:49">
      <c r="A2" s="1">
        <f>HYPERLINK("https://lsnyc.legalserver.org/matter/dynamic-profile/view/1899508","19-1899508")</f>
        <v>0</v>
      </c>
      <c r="B2" t="s">
        <v>49</v>
      </c>
      <c r="C2" t="s">
        <v>329</v>
      </c>
      <c r="D2" t="s">
        <v>545</v>
      </c>
      <c r="E2" t="s">
        <v>1023</v>
      </c>
      <c r="F2" t="s">
        <v>3545</v>
      </c>
      <c r="G2" t="s">
        <v>6274</v>
      </c>
      <c r="H2" t="s">
        <v>10448</v>
      </c>
      <c r="I2" t="s">
        <v>11383</v>
      </c>
      <c r="J2">
        <v>10458</v>
      </c>
      <c r="K2" t="s">
        <v>11446</v>
      </c>
      <c r="L2" t="s">
        <v>11449</v>
      </c>
      <c r="M2" t="s">
        <v>14743</v>
      </c>
      <c r="N2" t="s">
        <v>14778</v>
      </c>
      <c r="O2" t="s">
        <v>14786</v>
      </c>
      <c r="P2" t="s">
        <v>14795</v>
      </c>
      <c r="Q2" t="s">
        <v>11448</v>
      </c>
      <c r="S2" t="s">
        <v>14827</v>
      </c>
      <c r="T2" t="s">
        <v>14832</v>
      </c>
      <c r="V2">
        <v>1100</v>
      </c>
      <c r="W2" t="s">
        <v>14858</v>
      </c>
      <c r="X2" t="s">
        <v>14863</v>
      </c>
      <c r="Y2" t="s">
        <v>14883</v>
      </c>
      <c r="Z2" t="s">
        <v>14900</v>
      </c>
      <c r="AA2" t="s">
        <v>19328</v>
      </c>
      <c r="AC2">
        <v>43</v>
      </c>
      <c r="AD2" t="s">
        <v>24595</v>
      </c>
      <c r="AE2" t="s">
        <v>11459</v>
      </c>
      <c r="AF2">
        <v>2</v>
      </c>
      <c r="AG2">
        <v>2</v>
      </c>
      <c r="AH2">
        <v>0</v>
      </c>
      <c r="AI2">
        <v>0</v>
      </c>
      <c r="AL2" t="s">
        <v>24632</v>
      </c>
      <c r="AM2">
        <v>0</v>
      </c>
      <c r="AN2" t="s">
        <v>24665</v>
      </c>
      <c r="AS2">
        <v>2</v>
      </c>
      <c r="AT2" t="s">
        <v>459</v>
      </c>
      <c r="AU2" t="s">
        <v>145</v>
      </c>
      <c r="AV2" t="s">
        <v>25334</v>
      </c>
      <c r="AW2" t="s">
        <v>11447</v>
      </c>
    </row>
    <row r="3" spans="1:49">
      <c r="A3" s="1">
        <f>HYPERLINK("https://lsnyc.legalserver.org/matter/dynamic-profile/view/1901496","19-1901496")</f>
        <v>0</v>
      </c>
      <c r="B3" t="s">
        <v>50</v>
      </c>
      <c r="C3" t="s">
        <v>330</v>
      </c>
      <c r="D3" t="s">
        <v>338</v>
      </c>
      <c r="E3" t="s">
        <v>1024</v>
      </c>
      <c r="F3" t="s">
        <v>3546</v>
      </c>
      <c r="G3" t="s">
        <v>6275</v>
      </c>
      <c r="H3" t="s">
        <v>10449</v>
      </c>
      <c r="I3" t="s">
        <v>11384</v>
      </c>
      <c r="J3">
        <v>10308</v>
      </c>
      <c r="K3" t="s">
        <v>11447</v>
      </c>
      <c r="L3" t="s">
        <v>11450</v>
      </c>
      <c r="M3" t="s">
        <v>14744</v>
      </c>
      <c r="O3" t="s">
        <v>14786</v>
      </c>
      <c r="P3" t="s">
        <v>14795</v>
      </c>
      <c r="S3" t="s">
        <v>14827</v>
      </c>
      <c r="V3">
        <v>2000</v>
      </c>
      <c r="W3" t="s">
        <v>14859</v>
      </c>
      <c r="X3" t="s">
        <v>14755</v>
      </c>
      <c r="Y3" t="s">
        <v>14883</v>
      </c>
      <c r="Z3" t="s">
        <v>14901</v>
      </c>
      <c r="AB3" t="s">
        <v>20099</v>
      </c>
      <c r="AC3">
        <v>0</v>
      </c>
      <c r="AE3" t="s">
        <v>11459</v>
      </c>
      <c r="AF3">
        <v>0</v>
      </c>
      <c r="AG3">
        <v>2</v>
      </c>
      <c r="AH3">
        <v>1</v>
      </c>
      <c r="AI3">
        <v>0</v>
      </c>
      <c r="AL3" t="s">
        <v>5011</v>
      </c>
      <c r="AM3">
        <v>0</v>
      </c>
      <c r="AS3">
        <v>1.7</v>
      </c>
      <c r="AT3" t="s">
        <v>338</v>
      </c>
      <c r="AU3" t="s">
        <v>25225</v>
      </c>
      <c r="AW3" t="s">
        <v>11447</v>
      </c>
    </row>
    <row r="4" spans="1:49">
      <c r="A4" s="1">
        <f>HYPERLINK("https://lsnyc.legalserver.org/matter/dynamic-profile/view/1899986","19-1899986")</f>
        <v>0</v>
      </c>
      <c r="B4" t="s">
        <v>51</v>
      </c>
      <c r="C4" t="s">
        <v>331</v>
      </c>
      <c r="D4" t="s">
        <v>338</v>
      </c>
      <c r="E4" t="s">
        <v>1025</v>
      </c>
      <c r="F4" t="s">
        <v>3547</v>
      </c>
      <c r="G4" t="s">
        <v>6276</v>
      </c>
      <c r="H4" t="s">
        <v>10450</v>
      </c>
      <c r="I4" t="s">
        <v>11383</v>
      </c>
      <c r="J4">
        <v>10452</v>
      </c>
      <c r="K4" t="s">
        <v>11446</v>
      </c>
      <c r="M4" t="s">
        <v>14744</v>
      </c>
      <c r="N4" t="s">
        <v>14779</v>
      </c>
      <c r="O4" t="s">
        <v>14787</v>
      </c>
      <c r="P4" t="s">
        <v>14795</v>
      </c>
      <c r="Q4" t="s">
        <v>11448</v>
      </c>
      <c r="S4" t="s">
        <v>14827</v>
      </c>
      <c r="V4">
        <v>339</v>
      </c>
      <c r="W4" t="s">
        <v>14858</v>
      </c>
      <c r="X4" t="s">
        <v>14864</v>
      </c>
      <c r="Y4" t="s">
        <v>14884</v>
      </c>
      <c r="Z4" t="s">
        <v>14902</v>
      </c>
      <c r="AB4" t="s">
        <v>20100</v>
      </c>
      <c r="AC4">
        <v>0</v>
      </c>
      <c r="AD4" t="s">
        <v>24596</v>
      </c>
      <c r="AE4" t="s">
        <v>24610</v>
      </c>
      <c r="AF4">
        <v>37</v>
      </c>
      <c r="AG4">
        <v>2</v>
      </c>
      <c r="AH4">
        <v>0</v>
      </c>
      <c r="AI4">
        <v>103.89</v>
      </c>
      <c r="AL4" t="s">
        <v>24632</v>
      </c>
      <c r="AM4">
        <v>17568</v>
      </c>
      <c r="AN4" t="s">
        <v>24666</v>
      </c>
      <c r="AS4">
        <v>0.2</v>
      </c>
      <c r="AT4" t="s">
        <v>338</v>
      </c>
      <c r="AU4" t="s">
        <v>51</v>
      </c>
      <c r="AV4" t="s">
        <v>25335</v>
      </c>
      <c r="AW4" t="s">
        <v>11447</v>
      </c>
    </row>
    <row r="5" spans="1:49">
      <c r="A5" s="1">
        <f>HYPERLINK("https://lsnyc.legalserver.org/matter/dynamic-profile/view/1904321","19-1904321")</f>
        <v>0</v>
      </c>
      <c r="B5" t="s">
        <v>50</v>
      </c>
      <c r="C5" t="s">
        <v>332</v>
      </c>
      <c r="D5" t="s">
        <v>607</v>
      </c>
      <c r="E5" t="s">
        <v>1026</v>
      </c>
      <c r="F5" t="s">
        <v>3548</v>
      </c>
      <c r="G5" t="s">
        <v>6277</v>
      </c>
      <c r="H5" t="s">
        <v>10451</v>
      </c>
      <c r="I5" t="s">
        <v>11385</v>
      </c>
      <c r="J5">
        <v>11212</v>
      </c>
      <c r="K5" t="s">
        <v>11447</v>
      </c>
      <c r="O5" t="s">
        <v>14786</v>
      </c>
      <c r="P5" t="s">
        <v>14795</v>
      </c>
      <c r="S5" t="s">
        <v>14828</v>
      </c>
      <c r="V5">
        <v>240</v>
      </c>
      <c r="W5" t="s">
        <v>14859</v>
      </c>
      <c r="Y5" t="s">
        <v>14883</v>
      </c>
      <c r="Z5" t="s">
        <v>14903</v>
      </c>
      <c r="AB5" t="s">
        <v>20101</v>
      </c>
      <c r="AC5">
        <v>0</v>
      </c>
      <c r="AD5" t="s">
        <v>24597</v>
      </c>
      <c r="AF5">
        <v>0</v>
      </c>
      <c r="AG5">
        <v>2</v>
      </c>
      <c r="AH5">
        <v>2</v>
      </c>
      <c r="AI5">
        <v>24.23</v>
      </c>
      <c r="AL5" t="s">
        <v>5011</v>
      </c>
      <c r="AM5">
        <v>6240</v>
      </c>
      <c r="AS5">
        <v>1.3</v>
      </c>
      <c r="AT5" t="s">
        <v>607</v>
      </c>
      <c r="AU5" t="s">
        <v>25226</v>
      </c>
      <c r="AW5" t="s">
        <v>11447</v>
      </c>
    </row>
    <row r="6" spans="1:49">
      <c r="A6" s="1">
        <f>HYPERLINK("https://lsnyc.legalserver.org/matter/dynamic-profile/view/1895290","19-1895290")</f>
        <v>0</v>
      </c>
      <c r="B6" t="s">
        <v>52</v>
      </c>
      <c r="C6" t="s">
        <v>333</v>
      </c>
      <c r="D6" t="s">
        <v>493</v>
      </c>
      <c r="E6" t="s">
        <v>1027</v>
      </c>
      <c r="F6" t="s">
        <v>3549</v>
      </c>
      <c r="G6" t="s">
        <v>6278</v>
      </c>
      <c r="H6" t="s">
        <v>10452</v>
      </c>
      <c r="I6" t="s">
        <v>11383</v>
      </c>
      <c r="J6">
        <v>10462</v>
      </c>
      <c r="K6" t="s">
        <v>11446</v>
      </c>
      <c r="L6" t="s">
        <v>11451</v>
      </c>
      <c r="M6" t="s">
        <v>14744</v>
      </c>
      <c r="N6" t="s">
        <v>14778</v>
      </c>
      <c r="O6" t="s">
        <v>14786</v>
      </c>
      <c r="P6" t="s">
        <v>14795</v>
      </c>
      <c r="S6" t="s">
        <v>14827</v>
      </c>
      <c r="T6" t="s">
        <v>14832</v>
      </c>
      <c r="V6">
        <v>640</v>
      </c>
      <c r="W6" t="s">
        <v>14858</v>
      </c>
      <c r="Y6" t="s">
        <v>14883</v>
      </c>
      <c r="Z6" t="s">
        <v>14904</v>
      </c>
      <c r="AB6" t="s">
        <v>20102</v>
      </c>
      <c r="AC6">
        <v>25</v>
      </c>
      <c r="AD6" t="s">
        <v>24598</v>
      </c>
      <c r="AE6" t="s">
        <v>11459</v>
      </c>
      <c r="AF6">
        <v>16</v>
      </c>
      <c r="AG6">
        <v>1</v>
      </c>
      <c r="AH6">
        <v>1</v>
      </c>
      <c r="AI6">
        <v>167.47</v>
      </c>
      <c r="AL6" t="s">
        <v>5011</v>
      </c>
      <c r="AM6">
        <v>28320</v>
      </c>
      <c r="AN6" t="s">
        <v>24667</v>
      </c>
      <c r="AR6" t="s">
        <v>24990</v>
      </c>
      <c r="AS6">
        <v>2.3</v>
      </c>
      <c r="AT6" t="s">
        <v>492</v>
      </c>
      <c r="AU6" t="s">
        <v>25227</v>
      </c>
      <c r="AV6" t="s">
        <v>25335</v>
      </c>
      <c r="AW6" t="s">
        <v>11447</v>
      </c>
    </row>
    <row r="7" spans="1:49">
      <c r="A7" s="1">
        <f>HYPERLINK("https://lsnyc.legalserver.org/matter/dynamic-profile/view/1888955","19-1888955")</f>
        <v>0</v>
      </c>
      <c r="B7" t="s">
        <v>51</v>
      </c>
      <c r="C7" t="s">
        <v>334</v>
      </c>
      <c r="D7" t="s">
        <v>456</v>
      </c>
      <c r="E7" t="s">
        <v>1028</v>
      </c>
      <c r="F7" t="s">
        <v>3550</v>
      </c>
      <c r="G7" t="s">
        <v>6279</v>
      </c>
      <c r="H7" t="s">
        <v>10453</v>
      </c>
      <c r="I7" t="s">
        <v>11383</v>
      </c>
      <c r="J7">
        <v>10452</v>
      </c>
      <c r="K7" t="s">
        <v>11446</v>
      </c>
      <c r="M7" t="s">
        <v>11601</v>
      </c>
      <c r="N7" t="s">
        <v>14778</v>
      </c>
      <c r="O7" t="s">
        <v>14786</v>
      </c>
      <c r="P7" t="s">
        <v>14795</v>
      </c>
      <c r="Q7" t="s">
        <v>11446</v>
      </c>
      <c r="S7" t="s">
        <v>14827</v>
      </c>
      <c r="V7">
        <v>751.63</v>
      </c>
      <c r="W7" t="s">
        <v>14858</v>
      </c>
      <c r="X7" t="s">
        <v>14864</v>
      </c>
      <c r="Y7" t="s">
        <v>14883</v>
      </c>
      <c r="Z7" t="s">
        <v>14905</v>
      </c>
      <c r="AB7" t="s">
        <v>20103</v>
      </c>
      <c r="AC7">
        <v>0</v>
      </c>
      <c r="AD7" t="s">
        <v>24595</v>
      </c>
      <c r="AF7">
        <v>42</v>
      </c>
      <c r="AG7">
        <v>1</v>
      </c>
      <c r="AH7">
        <v>0</v>
      </c>
      <c r="AI7">
        <v>0</v>
      </c>
      <c r="AL7" t="s">
        <v>5011</v>
      </c>
      <c r="AM7">
        <v>0</v>
      </c>
      <c r="AN7" t="s">
        <v>24668</v>
      </c>
      <c r="AS7">
        <v>2</v>
      </c>
      <c r="AT7" t="s">
        <v>456</v>
      </c>
      <c r="AU7" t="s">
        <v>230</v>
      </c>
      <c r="AW7" t="s">
        <v>11446</v>
      </c>
    </row>
    <row r="8" spans="1:49">
      <c r="A8" s="1">
        <f>HYPERLINK("https://lsnyc.legalserver.org/matter/dynamic-profile/view/1874698","18-1874698")</f>
        <v>0</v>
      </c>
      <c r="B8" t="s">
        <v>51</v>
      </c>
      <c r="C8" t="s">
        <v>335</v>
      </c>
      <c r="D8" t="s">
        <v>456</v>
      </c>
      <c r="E8" t="s">
        <v>1028</v>
      </c>
      <c r="F8" t="s">
        <v>3550</v>
      </c>
      <c r="G8" t="s">
        <v>6279</v>
      </c>
      <c r="H8" t="s">
        <v>10453</v>
      </c>
      <c r="I8" t="s">
        <v>11383</v>
      </c>
      <c r="J8">
        <v>10452</v>
      </c>
      <c r="K8" t="s">
        <v>11446</v>
      </c>
      <c r="M8" t="s">
        <v>14745</v>
      </c>
      <c r="N8" t="s">
        <v>14780</v>
      </c>
      <c r="O8" t="s">
        <v>14787</v>
      </c>
      <c r="P8" t="s">
        <v>14795</v>
      </c>
      <c r="Q8" t="s">
        <v>11446</v>
      </c>
      <c r="S8" t="s">
        <v>14827</v>
      </c>
      <c r="V8">
        <v>751.63</v>
      </c>
      <c r="W8" t="s">
        <v>14858</v>
      </c>
      <c r="X8" t="s">
        <v>14755</v>
      </c>
      <c r="Y8" t="s">
        <v>14884</v>
      </c>
      <c r="Z8" t="s">
        <v>14905</v>
      </c>
      <c r="AB8" t="s">
        <v>20103</v>
      </c>
      <c r="AC8">
        <v>76</v>
      </c>
      <c r="AD8" t="s">
        <v>24595</v>
      </c>
      <c r="AF8">
        <v>41</v>
      </c>
      <c r="AG8">
        <v>1</v>
      </c>
      <c r="AH8">
        <v>0</v>
      </c>
      <c r="AI8">
        <v>0</v>
      </c>
      <c r="AL8" t="s">
        <v>5011</v>
      </c>
      <c r="AM8">
        <v>0</v>
      </c>
      <c r="AN8" t="s">
        <v>24668</v>
      </c>
      <c r="AS8">
        <v>0.6</v>
      </c>
      <c r="AT8" t="s">
        <v>456</v>
      </c>
      <c r="AU8" t="s">
        <v>25228</v>
      </c>
      <c r="AW8" t="s">
        <v>11448</v>
      </c>
    </row>
    <row r="9" spans="1:49">
      <c r="A9" s="1">
        <f>HYPERLINK("https://lsnyc.legalserver.org/matter/dynamic-profile/view/1900570","19-1900570")</f>
        <v>0</v>
      </c>
      <c r="B9" t="s">
        <v>53</v>
      </c>
      <c r="C9" t="s">
        <v>336</v>
      </c>
      <c r="D9" t="s">
        <v>456</v>
      </c>
      <c r="E9" t="s">
        <v>1029</v>
      </c>
      <c r="F9" t="s">
        <v>1588</v>
      </c>
      <c r="G9" t="s">
        <v>6280</v>
      </c>
      <c r="H9">
        <v>3</v>
      </c>
      <c r="I9" t="s">
        <v>11385</v>
      </c>
      <c r="J9">
        <v>11208</v>
      </c>
      <c r="K9" t="s">
        <v>11446</v>
      </c>
      <c r="L9" t="s">
        <v>11452</v>
      </c>
      <c r="M9" t="s">
        <v>14743</v>
      </c>
      <c r="N9" t="s">
        <v>14778</v>
      </c>
      <c r="O9" t="s">
        <v>14786</v>
      </c>
      <c r="P9" t="s">
        <v>14795</v>
      </c>
      <c r="S9" t="s">
        <v>14827</v>
      </c>
      <c r="V9">
        <v>0</v>
      </c>
      <c r="W9" t="s">
        <v>14859</v>
      </c>
      <c r="X9" t="s">
        <v>14865</v>
      </c>
      <c r="Y9" t="s">
        <v>14883</v>
      </c>
      <c r="Z9" t="s">
        <v>14906</v>
      </c>
      <c r="AB9" t="s">
        <v>20104</v>
      </c>
      <c r="AC9">
        <v>3</v>
      </c>
      <c r="AF9">
        <v>8</v>
      </c>
      <c r="AG9">
        <v>1</v>
      </c>
      <c r="AH9">
        <v>2</v>
      </c>
      <c r="AI9">
        <v>33.66</v>
      </c>
      <c r="AL9" t="s">
        <v>5011</v>
      </c>
      <c r="AM9">
        <v>7180</v>
      </c>
      <c r="AS9">
        <v>1.51</v>
      </c>
      <c r="AT9" t="s">
        <v>474</v>
      </c>
      <c r="AU9" t="s">
        <v>25229</v>
      </c>
      <c r="AV9" t="s">
        <v>25335</v>
      </c>
      <c r="AW9" t="s">
        <v>11447</v>
      </c>
    </row>
    <row r="10" spans="1:49">
      <c r="A10" s="1">
        <f>HYPERLINK("https://lsnyc.legalserver.org/matter/dynamic-profile/view/1900212","19-1900212")</f>
        <v>0</v>
      </c>
      <c r="B10" t="s">
        <v>54</v>
      </c>
      <c r="C10" t="s">
        <v>337</v>
      </c>
      <c r="D10" t="s">
        <v>456</v>
      </c>
      <c r="E10" t="s">
        <v>1030</v>
      </c>
      <c r="F10" t="s">
        <v>3551</v>
      </c>
      <c r="G10" t="s">
        <v>6281</v>
      </c>
      <c r="H10" t="s">
        <v>10454</v>
      </c>
      <c r="I10" t="s">
        <v>11385</v>
      </c>
      <c r="J10">
        <v>11206</v>
      </c>
      <c r="K10" t="s">
        <v>11446</v>
      </c>
      <c r="L10" t="s">
        <v>11453</v>
      </c>
      <c r="N10" t="s">
        <v>14779</v>
      </c>
      <c r="O10" t="s">
        <v>14786</v>
      </c>
      <c r="P10" t="s">
        <v>14795</v>
      </c>
      <c r="S10" t="s">
        <v>14829</v>
      </c>
      <c r="V10">
        <v>954</v>
      </c>
      <c r="W10" t="s">
        <v>14859</v>
      </c>
      <c r="X10" t="s">
        <v>14865</v>
      </c>
      <c r="Y10" t="s">
        <v>14885</v>
      </c>
      <c r="Z10" t="s">
        <v>14907</v>
      </c>
      <c r="AB10" t="s">
        <v>20105</v>
      </c>
      <c r="AC10">
        <v>0</v>
      </c>
      <c r="AF10">
        <v>0</v>
      </c>
      <c r="AG10">
        <v>1</v>
      </c>
      <c r="AH10">
        <v>0</v>
      </c>
      <c r="AI10">
        <v>159.58</v>
      </c>
      <c r="AL10" t="s">
        <v>5011</v>
      </c>
      <c r="AM10">
        <v>19932</v>
      </c>
      <c r="AS10">
        <v>2.9</v>
      </c>
      <c r="AT10" t="s">
        <v>456</v>
      </c>
      <c r="AU10" t="s">
        <v>25230</v>
      </c>
      <c r="AV10" t="s">
        <v>25335</v>
      </c>
      <c r="AW10" t="s">
        <v>11447</v>
      </c>
    </row>
    <row r="11" spans="1:49">
      <c r="A11" s="1">
        <f>HYPERLINK("https://lsnyc.legalserver.org/matter/dynamic-profile/view/1899979","19-1899979")</f>
        <v>0</v>
      </c>
      <c r="B11" t="s">
        <v>55</v>
      </c>
      <c r="C11" t="s">
        <v>331</v>
      </c>
      <c r="D11" t="s">
        <v>619</v>
      </c>
      <c r="E11" t="s">
        <v>1031</v>
      </c>
      <c r="F11" t="s">
        <v>3552</v>
      </c>
      <c r="G11" t="s">
        <v>6282</v>
      </c>
      <c r="H11" t="s">
        <v>10455</v>
      </c>
      <c r="I11" t="s">
        <v>11383</v>
      </c>
      <c r="J11">
        <v>10455</v>
      </c>
      <c r="K11" t="s">
        <v>11447</v>
      </c>
      <c r="N11" t="s">
        <v>14778</v>
      </c>
      <c r="O11" t="s">
        <v>14787</v>
      </c>
      <c r="P11" t="s">
        <v>14795</v>
      </c>
      <c r="S11" t="s">
        <v>14827</v>
      </c>
      <c r="V11">
        <v>0</v>
      </c>
      <c r="W11" t="s">
        <v>14860</v>
      </c>
      <c r="X11" t="s">
        <v>14866</v>
      </c>
      <c r="Y11" t="s">
        <v>14883</v>
      </c>
      <c r="Z11" t="s">
        <v>14908</v>
      </c>
      <c r="AB11" t="s">
        <v>19344</v>
      </c>
      <c r="AC11">
        <v>0</v>
      </c>
      <c r="AF11">
        <v>0</v>
      </c>
      <c r="AG11">
        <v>1</v>
      </c>
      <c r="AH11">
        <v>0</v>
      </c>
      <c r="AI11">
        <v>116.57</v>
      </c>
      <c r="AL11" t="s">
        <v>24632</v>
      </c>
      <c r="AM11">
        <v>14560</v>
      </c>
      <c r="AS11">
        <v>0.5</v>
      </c>
      <c r="AT11" t="s">
        <v>331</v>
      </c>
      <c r="AU11" t="s">
        <v>25229</v>
      </c>
      <c r="AW11" t="s">
        <v>11447</v>
      </c>
    </row>
    <row r="12" spans="1:49">
      <c r="A12" s="1">
        <f>HYPERLINK("https://lsnyc.legalserver.org/matter/dynamic-profile/view/1904198","19-1904198")</f>
        <v>0</v>
      </c>
      <c r="B12" t="s">
        <v>55</v>
      </c>
      <c r="C12" t="s">
        <v>338</v>
      </c>
      <c r="D12" t="s">
        <v>619</v>
      </c>
      <c r="E12" t="s">
        <v>1032</v>
      </c>
      <c r="F12" t="s">
        <v>3553</v>
      </c>
      <c r="G12" t="s">
        <v>6283</v>
      </c>
      <c r="H12">
        <v>51</v>
      </c>
      <c r="I12" t="s">
        <v>11386</v>
      </c>
      <c r="J12">
        <v>10033</v>
      </c>
      <c r="K12" t="s">
        <v>11447</v>
      </c>
      <c r="M12" t="s">
        <v>11601</v>
      </c>
      <c r="O12" t="s">
        <v>14786</v>
      </c>
      <c r="P12" t="s">
        <v>14795</v>
      </c>
      <c r="S12" t="s">
        <v>14827</v>
      </c>
      <c r="V12">
        <v>1395</v>
      </c>
      <c r="W12" t="s">
        <v>14860</v>
      </c>
      <c r="Y12" t="s">
        <v>14883</v>
      </c>
      <c r="Z12" t="s">
        <v>14909</v>
      </c>
      <c r="AB12" t="s">
        <v>20106</v>
      </c>
      <c r="AC12">
        <v>0</v>
      </c>
      <c r="AD12" t="s">
        <v>24595</v>
      </c>
      <c r="AE12" t="s">
        <v>24611</v>
      </c>
      <c r="AF12">
        <v>11</v>
      </c>
      <c r="AG12">
        <v>1</v>
      </c>
      <c r="AH12">
        <v>0</v>
      </c>
      <c r="AI12">
        <v>134.51</v>
      </c>
      <c r="AL12" t="s">
        <v>5011</v>
      </c>
      <c r="AM12">
        <v>16800</v>
      </c>
      <c r="AS12">
        <v>1</v>
      </c>
      <c r="AT12" t="s">
        <v>338</v>
      </c>
      <c r="AU12" t="s">
        <v>25231</v>
      </c>
      <c r="AW12" t="s">
        <v>11447</v>
      </c>
    </row>
    <row r="13" spans="1:49">
      <c r="A13" s="1">
        <f>HYPERLINK("https://lsnyc.legalserver.org/matter/dynamic-profile/view/1894700","19-1894700")</f>
        <v>0</v>
      </c>
      <c r="B13" t="s">
        <v>49</v>
      </c>
      <c r="C13" t="s">
        <v>339</v>
      </c>
      <c r="D13" t="s">
        <v>520</v>
      </c>
      <c r="E13" t="s">
        <v>1033</v>
      </c>
      <c r="F13" t="s">
        <v>3554</v>
      </c>
      <c r="G13" t="s">
        <v>6284</v>
      </c>
      <c r="H13">
        <v>3</v>
      </c>
      <c r="I13" t="s">
        <v>11383</v>
      </c>
      <c r="J13">
        <v>10457</v>
      </c>
      <c r="K13" t="s">
        <v>11446</v>
      </c>
      <c r="L13" t="s">
        <v>11454</v>
      </c>
      <c r="M13" t="s">
        <v>14746</v>
      </c>
      <c r="N13" t="s">
        <v>14781</v>
      </c>
      <c r="O13" t="s">
        <v>14788</v>
      </c>
      <c r="P13" t="s">
        <v>14795</v>
      </c>
      <c r="Q13" t="s">
        <v>11448</v>
      </c>
      <c r="S13" t="s">
        <v>14827</v>
      </c>
      <c r="T13" t="s">
        <v>14833</v>
      </c>
      <c r="V13">
        <v>1024.45</v>
      </c>
      <c r="W13" t="s">
        <v>14858</v>
      </c>
      <c r="X13" t="s">
        <v>14867</v>
      </c>
      <c r="Y13" t="s">
        <v>14886</v>
      </c>
      <c r="Z13" t="s">
        <v>14910</v>
      </c>
      <c r="AA13" t="s">
        <v>19329</v>
      </c>
      <c r="AB13" t="s">
        <v>20107</v>
      </c>
      <c r="AC13">
        <v>20</v>
      </c>
      <c r="AD13" t="s">
        <v>24595</v>
      </c>
      <c r="AE13" t="s">
        <v>11459</v>
      </c>
      <c r="AF13">
        <v>27</v>
      </c>
      <c r="AG13">
        <v>1</v>
      </c>
      <c r="AH13">
        <v>0</v>
      </c>
      <c r="AI13">
        <v>166.53</v>
      </c>
      <c r="AL13" t="s">
        <v>24632</v>
      </c>
      <c r="AM13">
        <v>20800</v>
      </c>
      <c r="AN13" t="s">
        <v>24669</v>
      </c>
      <c r="AP13" t="s">
        <v>24941</v>
      </c>
      <c r="AQ13" t="s">
        <v>24986</v>
      </c>
      <c r="AR13" t="s">
        <v>24991</v>
      </c>
      <c r="AS13">
        <v>0.5</v>
      </c>
      <c r="AT13" t="s">
        <v>339</v>
      </c>
      <c r="AU13" t="s">
        <v>25232</v>
      </c>
      <c r="AV13" t="s">
        <v>25334</v>
      </c>
      <c r="AW13" t="s">
        <v>11447</v>
      </c>
    </row>
    <row r="14" spans="1:49">
      <c r="A14" s="1">
        <f>HYPERLINK("https://lsnyc.legalserver.org/matter/dynamic-profile/view/1893685","19-1893685")</f>
        <v>0</v>
      </c>
      <c r="B14" t="s">
        <v>50</v>
      </c>
      <c r="C14" t="s">
        <v>340</v>
      </c>
      <c r="D14" t="s">
        <v>555</v>
      </c>
      <c r="E14" t="s">
        <v>1034</v>
      </c>
      <c r="F14" t="s">
        <v>3555</v>
      </c>
      <c r="G14" t="s">
        <v>6285</v>
      </c>
      <c r="H14">
        <v>9</v>
      </c>
      <c r="I14" t="s">
        <v>11385</v>
      </c>
      <c r="J14">
        <v>11213</v>
      </c>
      <c r="K14" t="s">
        <v>11447</v>
      </c>
      <c r="N14" t="s">
        <v>14781</v>
      </c>
      <c r="O14" t="s">
        <v>14788</v>
      </c>
      <c r="P14" t="s">
        <v>14795</v>
      </c>
      <c r="S14" t="s">
        <v>14827</v>
      </c>
      <c r="V14">
        <v>200</v>
      </c>
      <c r="W14" t="s">
        <v>14859</v>
      </c>
      <c r="X14" t="s">
        <v>14755</v>
      </c>
      <c r="Y14" t="s">
        <v>14887</v>
      </c>
      <c r="Z14" t="s">
        <v>14911</v>
      </c>
      <c r="AB14" t="s">
        <v>20108</v>
      </c>
      <c r="AC14">
        <v>20</v>
      </c>
      <c r="AD14" t="s">
        <v>24599</v>
      </c>
      <c r="AE14" t="s">
        <v>11459</v>
      </c>
      <c r="AF14">
        <v>15</v>
      </c>
      <c r="AG14">
        <v>4</v>
      </c>
      <c r="AH14">
        <v>0</v>
      </c>
      <c r="AI14">
        <v>65.23999999999999</v>
      </c>
      <c r="AL14" t="s">
        <v>5011</v>
      </c>
      <c r="AM14">
        <v>16800</v>
      </c>
      <c r="AS14">
        <v>48.1</v>
      </c>
      <c r="AT14" t="s">
        <v>555</v>
      </c>
      <c r="AU14" t="s">
        <v>25233</v>
      </c>
      <c r="AW14" t="s">
        <v>11447</v>
      </c>
    </row>
    <row r="15" spans="1:49">
      <c r="A15" s="1">
        <f>HYPERLINK("https://lsnyc.legalserver.org/matter/dynamic-profile/view/1886294","18-1886294")</f>
        <v>0</v>
      </c>
      <c r="B15" t="s">
        <v>56</v>
      </c>
      <c r="C15" t="s">
        <v>341</v>
      </c>
      <c r="D15" t="s">
        <v>555</v>
      </c>
      <c r="E15" t="s">
        <v>1035</v>
      </c>
      <c r="F15" t="s">
        <v>3556</v>
      </c>
      <c r="G15" t="s">
        <v>6286</v>
      </c>
      <c r="H15" t="s">
        <v>10456</v>
      </c>
      <c r="I15" t="s">
        <v>11385</v>
      </c>
      <c r="J15">
        <v>11207</v>
      </c>
      <c r="K15" t="s">
        <v>11447</v>
      </c>
      <c r="L15" t="s">
        <v>11455</v>
      </c>
      <c r="M15" t="s">
        <v>14744</v>
      </c>
      <c r="O15" t="s">
        <v>14788</v>
      </c>
      <c r="P15" t="s">
        <v>14795</v>
      </c>
      <c r="Q15" t="s">
        <v>11448</v>
      </c>
      <c r="S15" t="s">
        <v>14827</v>
      </c>
      <c r="V15">
        <v>1362</v>
      </c>
      <c r="W15" t="s">
        <v>14859</v>
      </c>
      <c r="Y15" t="s">
        <v>14888</v>
      </c>
      <c r="Z15" t="s">
        <v>14912</v>
      </c>
      <c r="AB15" t="s">
        <v>20109</v>
      </c>
      <c r="AC15">
        <v>2</v>
      </c>
      <c r="AD15" t="s">
        <v>24600</v>
      </c>
      <c r="AE15" t="s">
        <v>24612</v>
      </c>
      <c r="AF15">
        <v>2</v>
      </c>
      <c r="AG15">
        <v>1</v>
      </c>
      <c r="AH15">
        <v>0</v>
      </c>
      <c r="AI15">
        <v>171.33</v>
      </c>
      <c r="AL15" t="s">
        <v>5011</v>
      </c>
      <c r="AM15">
        <v>20800</v>
      </c>
      <c r="AS15">
        <v>7.1</v>
      </c>
      <c r="AT15" t="s">
        <v>708</v>
      </c>
      <c r="AU15" t="s">
        <v>25227</v>
      </c>
      <c r="AW15" t="s">
        <v>11447</v>
      </c>
    </row>
    <row r="16" spans="1:49">
      <c r="A16" s="1">
        <f>HYPERLINK("https://lsnyc.legalserver.org/matter/dynamic-profile/view/1898923","19-1898923")</f>
        <v>0</v>
      </c>
      <c r="B16" t="s">
        <v>57</v>
      </c>
      <c r="C16" t="s">
        <v>342</v>
      </c>
      <c r="D16" t="s">
        <v>496</v>
      </c>
      <c r="E16" t="s">
        <v>1036</v>
      </c>
      <c r="F16" t="s">
        <v>3557</v>
      </c>
      <c r="G16" t="s">
        <v>6287</v>
      </c>
      <c r="H16" t="s">
        <v>10457</v>
      </c>
      <c r="I16" t="s">
        <v>11383</v>
      </c>
      <c r="J16">
        <v>10457</v>
      </c>
      <c r="K16" t="s">
        <v>11448</v>
      </c>
      <c r="M16" t="s">
        <v>14747</v>
      </c>
      <c r="N16" t="s">
        <v>14779</v>
      </c>
      <c r="O16" t="s">
        <v>14787</v>
      </c>
      <c r="P16" t="s">
        <v>14795</v>
      </c>
      <c r="Q16" t="s">
        <v>11448</v>
      </c>
      <c r="S16" t="s">
        <v>14827</v>
      </c>
      <c r="V16">
        <v>833.4</v>
      </c>
      <c r="W16" t="s">
        <v>14858</v>
      </c>
      <c r="X16" t="s">
        <v>14864</v>
      </c>
      <c r="Y16" t="s">
        <v>14883</v>
      </c>
      <c r="Z16" t="s">
        <v>14913</v>
      </c>
      <c r="AC16">
        <v>0</v>
      </c>
      <c r="AD16" t="s">
        <v>24595</v>
      </c>
      <c r="AE16" t="s">
        <v>11459</v>
      </c>
      <c r="AF16">
        <v>30</v>
      </c>
      <c r="AG16">
        <v>1</v>
      </c>
      <c r="AH16">
        <v>0</v>
      </c>
      <c r="AI16">
        <v>0</v>
      </c>
      <c r="AL16" t="s">
        <v>5011</v>
      </c>
      <c r="AM16">
        <v>0</v>
      </c>
      <c r="AN16" t="s">
        <v>24670</v>
      </c>
      <c r="AS16">
        <v>4.6</v>
      </c>
      <c r="AT16" t="s">
        <v>595</v>
      </c>
      <c r="AU16" t="s">
        <v>57</v>
      </c>
      <c r="AW16" t="s">
        <v>11448</v>
      </c>
    </row>
    <row r="17" spans="1:49">
      <c r="A17" s="1">
        <f>HYPERLINK("https://lsnyc.legalserver.org/matter/dynamic-profile/view/1902896","19-1902896")</f>
        <v>0</v>
      </c>
      <c r="B17" t="s">
        <v>58</v>
      </c>
      <c r="C17" t="s">
        <v>343</v>
      </c>
      <c r="D17" t="s">
        <v>496</v>
      </c>
      <c r="E17" t="s">
        <v>1037</v>
      </c>
      <c r="F17" t="s">
        <v>3558</v>
      </c>
      <c r="G17" t="s">
        <v>6288</v>
      </c>
      <c r="I17" t="s">
        <v>11387</v>
      </c>
      <c r="J17">
        <v>11432</v>
      </c>
      <c r="K17" t="s">
        <v>11447</v>
      </c>
      <c r="O17" t="s">
        <v>14789</v>
      </c>
      <c r="P17" t="s">
        <v>14795</v>
      </c>
      <c r="S17" t="s">
        <v>14829</v>
      </c>
      <c r="V17">
        <v>0</v>
      </c>
      <c r="W17" t="s">
        <v>14861</v>
      </c>
      <c r="Y17" t="s">
        <v>14885</v>
      </c>
      <c r="Z17" t="s">
        <v>14914</v>
      </c>
      <c r="AB17" t="s">
        <v>20110</v>
      </c>
      <c r="AC17">
        <v>0</v>
      </c>
      <c r="AF17">
        <v>0</v>
      </c>
      <c r="AG17">
        <v>3</v>
      </c>
      <c r="AH17">
        <v>0</v>
      </c>
      <c r="AI17">
        <v>125.06</v>
      </c>
      <c r="AL17" t="s">
        <v>5011</v>
      </c>
      <c r="AM17">
        <v>26676</v>
      </c>
      <c r="AS17">
        <v>2.5</v>
      </c>
      <c r="AT17" t="s">
        <v>593</v>
      </c>
      <c r="AU17" t="s">
        <v>58</v>
      </c>
      <c r="AW17" t="s">
        <v>11447</v>
      </c>
    </row>
    <row r="18" spans="1:49">
      <c r="A18" s="1">
        <f>HYPERLINK("https://lsnyc.legalserver.org/matter/dynamic-profile/view/1880488","18-1880488")</f>
        <v>0</v>
      </c>
      <c r="B18" t="s">
        <v>58</v>
      </c>
      <c r="C18" t="s">
        <v>344</v>
      </c>
      <c r="D18" t="s">
        <v>496</v>
      </c>
      <c r="E18" t="s">
        <v>1038</v>
      </c>
      <c r="F18" t="s">
        <v>3559</v>
      </c>
      <c r="G18" t="s">
        <v>6289</v>
      </c>
      <c r="I18" t="s">
        <v>11388</v>
      </c>
      <c r="J18">
        <v>11385</v>
      </c>
      <c r="K18" t="s">
        <v>11447</v>
      </c>
      <c r="O18" t="s">
        <v>14789</v>
      </c>
      <c r="P18" t="s">
        <v>14795</v>
      </c>
      <c r="S18" t="s">
        <v>14829</v>
      </c>
      <c r="V18">
        <v>0</v>
      </c>
      <c r="W18" t="s">
        <v>14861</v>
      </c>
      <c r="Y18" t="s">
        <v>14885</v>
      </c>
      <c r="Z18" t="s">
        <v>14915</v>
      </c>
      <c r="AB18" t="s">
        <v>20111</v>
      </c>
      <c r="AC18">
        <v>0</v>
      </c>
      <c r="AF18">
        <v>0</v>
      </c>
      <c r="AG18">
        <v>1</v>
      </c>
      <c r="AH18">
        <v>0</v>
      </c>
      <c r="AI18">
        <v>161.05</v>
      </c>
      <c r="AL18" t="s">
        <v>5011</v>
      </c>
      <c r="AM18">
        <v>19552</v>
      </c>
      <c r="AS18">
        <v>10.65</v>
      </c>
      <c r="AT18" t="s">
        <v>411</v>
      </c>
      <c r="AU18" t="s">
        <v>25234</v>
      </c>
      <c r="AW18" t="s">
        <v>11447</v>
      </c>
    </row>
    <row r="19" spans="1:49">
      <c r="A19" s="1">
        <f>HYPERLINK("https://lsnyc.legalserver.org/matter/dynamic-profile/view/1904876","19-1904876")</f>
        <v>0</v>
      </c>
      <c r="B19" t="s">
        <v>55</v>
      </c>
      <c r="C19" t="s">
        <v>345</v>
      </c>
      <c r="D19" t="s">
        <v>500</v>
      </c>
      <c r="E19" t="s">
        <v>1039</v>
      </c>
      <c r="F19" t="s">
        <v>3560</v>
      </c>
      <c r="G19" t="s">
        <v>6290</v>
      </c>
      <c r="H19">
        <v>58</v>
      </c>
      <c r="I19" t="s">
        <v>11386</v>
      </c>
      <c r="J19">
        <v>10024</v>
      </c>
      <c r="K19" t="s">
        <v>11446</v>
      </c>
      <c r="N19" t="s">
        <v>14779</v>
      </c>
      <c r="O19" t="s">
        <v>14787</v>
      </c>
      <c r="P19" t="s">
        <v>14795</v>
      </c>
      <c r="R19" t="s">
        <v>14817</v>
      </c>
      <c r="S19" t="s">
        <v>14827</v>
      </c>
      <c r="U19" t="s">
        <v>480</v>
      </c>
      <c r="V19">
        <v>860</v>
      </c>
      <c r="W19" t="s">
        <v>14860</v>
      </c>
      <c r="Y19" t="s">
        <v>14884</v>
      </c>
      <c r="Z19" t="s">
        <v>14916</v>
      </c>
      <c r="AB19" t="s">
        <v>20112</v>
      </c>
      <c r="AC19">
        <v>25</v>
      </c>
      <c r="AE19" t="s">
        <v>24613</v>
      </c>
      <c r="AF19">
        <v>45</v>
      </c>
      <c r="AG19">
        <v>1</v>
      </c>
      <c r="AH19">
        <v>0</v>
      </c>
      <c r="AI19">
        <v>67.25</v>
      </c>
      <c r="AL19" t="s">
        <v>5011</v>
      </c>
      <c r="AM19">
        <v>8400</v>
      </c>
      <c r="AS19">
        <v>1</v>
      </c>
      <c r="AT19" t="s">
        <v>345</v>
      </c>
      <c r="AU19" t="s">
        <v>25227</v>
      </c>
      <c r="AV19" t="s">
        <v>25335</v>
      </c>
      <c r="AW19" t="s">
        <v>11447</v>
      </c>
    </row>
    <row r="20" spans="1:49">
      <c r="A20" s="1">
        <f>HYPERLINK("https://lsnyc.legalserver.org/matter/dynamic-profile/view/1904346","19-1904346")</f>
        <v>0</v>
      </c>
      <c r="B20" t="s">
        <v>55</v>
      </c>
      <c r="C20" t="s">
        <v>332</v>
      </c>
      <c r="D20" t="s">
        <v>500</v>
      </c>
      <c r="E20" t="s">
        <v>1040</v>
      </c>
      <c r="F20" t="s">
        <v>2569</v>
      </c>
      <c r="G20" t="s">
        <v>6291</v>
      </c>
      <c r="H20" t="s">
        <v>10458</v>
      </c>
      <c r="I20" t="s">
        <v>11386</v>
      </c>
      <c r="J20">
        <v>10029</v>
      </c>
      <c r="K20" t="s">
        <v>11447</v>
      </c>
      <c r="N20" t="s">
        <v>14779</v>
      </c>
      <c r="O20" t="s">
        <v>14787</v>
      </c>
      <c r="P20" t="s">
        <v>14795</v>
      </c>
      <c r="Q20" t="s">
        <v>11448</v>
      </c>
      <c r="S20" t="s">
        <v>14828</v>
      </c>
      <c r="V20">
        <v>900</v>
      </c>
      <c r="W20" t="s">
        <v>14860</v>
      </c>
      <c r="Y20" t="s">
        <v>14884</v>
      </c>
      <c r="Z20" t="s">
        <v>14917</v>
      </c>
      <c r="AC20">
        <v>70</v>
      </c>
      <c r="AF20">
        <v>10</v>
      </c>
      <c r="AG20">
        <v>2</v>
      </c>
      <c r="AH20">
        <v>1</v>
      </c>
      <c r="AI20">
        <v>28.13</v>
      </c>
      <c r="AL20" t="s">
        <v>24633</v>
      </c>
      <c r="AM20">
        <v>6000</v>
      </c>
      <c r="AS20">
        <v>1</v>
      </c>
      <c r="AT20" t="s">
        <v>332</v>
      </c>
      <c r="AU20" t="s">
        <v>25227</v>
      </c>
      <c r="AW20" t="s">
        <v>11447</v>
      </c>
    </row>
    <row r="21" spans="1:49">
      <c r="A21" s="1">
        <f>HYPERLINK("https://lsnyc.legalserver.org/matter/dynamic-profile/view/1903173","19-1903173")</f>
        <v>0</v>
      </c>
      <c r="B21" t="s">
        <v>55</v>
      </c>
      <c r="C21" t="s">
        <v>346</v>
      </c>
      <c r="D21" t="s">
        <v>500</v>
      </c>
      <c r="E21" t="s">
        <v>1041</v>
      </c>
      <c r="F21" t="s">
        <v>3561</v>
      </c>
      <c r="G21" t="s">
        <v>6292</v>
      </c>
      <c r="H21" t="s">
        <v>10459</v>
      </c>
      <c r="I21" t="s">
        <v>11386</v>
      </c>
      <c r="J21">
        <v>10029</v>
      </c>
      <c r="K21" t="s">
        <v>11447</v>
      </c>
      <c r="N21" t="s">
        <v>14779</v>
      </c>
      <c r="O21" t="s">
        <v>14787</v>
      </c>
      <c r="P21" t="s">
        <v>14795</v>
      </c>
      <c r="S21" t="s">
        <v>14828</v>
      </c>
      <c r="V21">
        <v>193</v>
      </c>
      <c r="W21" t="s">
        <v>14860</v>
      </c>
      <c r="X21" t="s">
        <v>14868</v>
      </c>
      <c r="Y21" t="s">
        <v>14884</v>
      </c>
      <c r="Z21" t="s">
        <v>14918</v>
      </c>
      <c r="AB21" t="s">
        <v>20113</v>
      </c>
      <c r="AC21">
        <v>282</v>
      </c>
      <c r="AD21" t="s">
        <v>24597</v>
      </c>
      <c r="AF21">
        <v>2</v>
      </c>
      <c r="AG21">
        <v>1</v>
      </c>
      <c r="AH21">
        <v>0</v>
      </c>
      <c r="AI21">
        <v>66.58</v>
      </c>
      <c r="AL21" t="s">
        <v>5011</v>
      </c>
      <c r="AM21">
        <v>8316</v>
      </c>
      <c r="AS21">
        <v>1</v>
      </c>
      <c r="AT21" t="s">
        <v>346</v>
      </c>
      <c r="AU21" t="s">
        <v>25226</v>
      </c>
      <c r="AW21" t="s">
        <v>11447</v>
      </c>
    </row>
    <row r="22" spans="1:49">
      <c r="A22" s="1">
        <f>HYPERLINK("https://lsnyc.legalserver.org/matter/dynamic-profile/view/1904835","19-1904835")</f>
        <v>0</v>
      </c>
      <c r="B22" t="s">
        <v>59</v>
      </c>
      <c r="C22" t="s">
        <v>345</v>
      </c>
      <c r="D22" t="s">
        <v>461</v>
      </c>
      <c r="E22" t="s">
        <v>1042</v>
      </c>
      <c r="F22" t="s">
        <v>3562</v>
      </c>
      <c r="G22" t="s">
        <v>6293</v>
      </c>
      <c r="H22" t="s">
        <v>10460</v>
      </c>
      <c r="I22" t="s">
        <v>11389</v>
      </c>
      <c r="J22">
        <v>11354</v>
      </c>
      <c r="K22" t="s">
        <v>11447</v>
      </c>
      <c r="L22" t="s">
        <v>11456</v>
      </c>
      <c r="M22" t="s">
        <v>11601</v>
      </c>
      <c r="N22" t="s">
        <v>14778</v>
      </c>
      <c r="O22" t="s">
        <v>14786</v>
      </c>
      <c r="P22" t="s">
        <v>14795</v>
      </c>
      <c r="Q22" t="s">
        <v>11448</v>
      </c>
      <c r="S22" t="s">
        <v>14827</v>
      </c>
      <c r="T22" t="s">
        <v>14832</v>
      </c>
      <c r="V22">
        <v>1350</v>
      </c>
      <c r="W22" t="s">
        <v>14861</v>
      </c>
      <c r="X22" t="s">
        <v>14869</v>
      </c>
      <c r="Y22" t="s">
        <v>14883</v>
      </c>
      <c r="Z22" t="s">
        <v>14919</v>
      </c>
      <c r="AA22" t="s">
        <v>11459</v>
      </c>
      <c r="AB22" t="s">
        <v>20114</v>
      </c>
      <c r="AC22">
        <v>4</v>
      </c>
      <c r="AD22" t="s">
        <v>24600</v>
      </c>
      <c r="AE22" t="s">
        <v>11459</v>
      </c>
      <c r="AF22">
        <v>-1</v>
      </c>
      <c r="AG22">
        <v>1</v>
      </c>
      <c r="AH22">
        <v>0</v>
      </c>
      <c r="AI22">
        <v>0</v>
      </c>
      <c r="AL22" t="s">
        <v>24634</v>
      </c>
      <c r="AM22">
        <v>0</v>
      </c>
      <c r="AS22">
        <v>2.3</v>
      </c>
      <c r="AT22" t="s">
        <v>520</v>
      </c>
      <c r="AU22" t="s">
        <v>25231</v>
      </c>
      <c r="AW22" t="s">
        <v>11447</v>
      </c>
    </row>
    <row r="23" spans="1:49">
      <c r="A23" s="1">
        <f>HYPERLINK("https://lsnyc.legalserver.org/matter/dynamic-profile/view/1901911","19-1901911")</f>
        <v>0</v>
      </c>
      <c r="B23" t="s">
        <v>60</v>
      </c>
      <c r="C23" t="s">
        <v>347</v>
      </c>
      <c r="D23" t="s">
        <v>553</v>
      </c>
      <c r="E23" t="s">
        <v>1043</v>
      </c>
      <c r="F23" t="s">
        <v>3563</v>
      </c>
      <c r="G23" t="s">
        <v>6294</v>
      </c>
      <c r="H23" t="s">
        <v>10461</v>
      </c>
      <c r="I23" t="s">
        <v>11383</v>
      </c>
      <c r="J23">
        <v>10453</v>
      </c>
      <c r="K23" t="s">
        <v>11448</v>
      </c>
      <c r="L23" t="s">
        <v>11457</v>
      </c>
      <c r="M23" t="s">
        <v>14744</v>
      </c>
      <c r="N23" t="s">
        <v>14778</v>
      </c>
      <c r="O23" t="s">
        <v>14786</v>
      </c>
      <c r="P23" t="s">
        <v>14795</v>
      </c>
      <c r="Q23" t="s">
        <v>11448</v>
      </c>
      <c r="R23" t="s">
        <v>14795</v>
      </c>
      <c r="S23" t="s">
        <v>14827</v>
      </c>
      <c r="T23" t="s">
        <v>14832</v>
      </c>
      <c r="V23">
        <v>1503.44</v>
      </c>
      <c r="W23" t="s">
        <v>14858</v>
      </c>
      <c r="Y23" t="s">
        <v>14883</v>
      </c>
      <c r="Z23" t="s">
        <v>14920</v>
      </c>
      <c r="AC23">
        <v>0</v>
      </c>
      <c r="AD23" t="s">
        <v>24595</v>
      </c>
      <c r="AE23" t="s">
        <v>24610</v>
      </c>
      <c r="AF23">
        <v>17</v>
      </c>
      <c r="AG23">
        <v>2</v>
      </c>
      <c r="AH23">
        <v>1</v>
      </c>
      <c r="AI23">
        <v>15</v>
      </c>
      <c r="AL23" t="s">
        <v>5011</v>
      </c>
      <c r="AM23">
        <v>3200</v>
      </c>
      <c r="AN23" t="s">
        <v>24671</v>
      </c>
      <c r="AS23">
        <v>1.7</v>
      </c>
      <c r="AT23" t="s">
        <v>553</v>
      </c>
      <c r="AU23" t="s">
        <v>145</v>
      </c>
      <c r="AV23" t="s">
        <v>11459</v>
      </c>
      <c r="AW23" t="s">
        <v>11447</v>
      </c>
    </row>
    <row r="24" spans="1:49">
      <c r="A24" s="1">
        <f>HYPERLINK("https://lsnyc.legalserver.org/matter/dynamic-profile/view/1900481","19-1900481")</f>
        <v>0</v>
      </c>
      <c r="B24" t="s">
        <v>57</v>
      </c>
      <c r="C24" t="s">
        <v>348</v>
      </c>
      <c r="D24" t="s">
        <v>553</v>
      </c>
      <c r="E24" t="s">
        <v>1044</v>
      </c>
      <c r="F24" t="s">
        <v>3564</v>
      </c>
      <c r="G24" t="s">
        <v>6295</v>
      </c>
      <c r="H24" t="s">
        <v>10462</v>
      </c>
      <c r="I24" t="s">
        <v>11383</v>
      </c>
      <c r="J24">
        <v>10463</v>
      </c>
      <c r="K24" t="s">
        <v>11447</v>
      </c>
      <c r="N24" t="s">
        <v>14778</v>
      </c>
      <c r="O24" t="s">
        <v>14786</v>
      </c>
      <c r="P24" t="s">
        <v>14795</v>
      </c>
      <c r="S24" t="s">
        <v>14827</v>
      </c>
      <c r="V24">
        <v>1404.97</v>
      </c>
      <c r="W24" t="s">
        <v>14858</v>
      </c>
      <c r="X24" t="s">
        <v>14866</v>
      </c>
      <c r="Y24" t="s">
        <v>14883</v>
      </c>
      <c r="Z24" t="s">
        <v>14921</v>
      </c>
      <c r="AB24" t="s">
        <v>20115</v>
      </c>
      <c r="AC24">
        <v>0</v>
      </c>
      <c r="AD24" t="s">
        <v>24595</v>
      </c>
      <c r="AE24" t="s">
        <v>24610</v>
      </c>
      <c r="AF24">
        <v>15</v>
      </c>
      <c r="AG24">
        <v>1</v>
      </c>
      <c r="AH24">
        <v>0</v>
      </c>
      <c r="AI24">
        <v>26.9</v>
      </c>
      <c r="AL24" t="s">
        <v>5011</v>
      </c>
      <c r="AM24">
        <v>3360</v>
      </c>
      <c r="AS24">
        <v>2</v>
      </c>
      <c r="AT24" t="s">
        <v>595</v>
      </c>
      <c r="AU24" t="s">
        <v>25226</v>
      </c>
      <c r="AW24" t="s">
        <v>11447</v>
      </c>
    </row>
    <row r="25" spans="1:49">
      <c r="A25" s="1">
        <f>HYPERLINK("https://lsnyc.legalserver.org/matter/dynamic-profile/view/1902067","19-1902067")</f>
        <v>0</v>
      </c>
      <c r="B25" t="s">
        <v>61</v>
      </c>
      <c r="C25" t="s">
        <v>349</v>
      </c>
      <c r="D25" t="s">
        <v>485</v>
      </c>
      <c r="E25" t="s">
        <v>1045</v>
      </c>
      <c r="F25" t="s">
        <v>3565</v>
      </c>
      <c r="G25" t="s">
        <v>6296</v>
      </c>
      <c r="H25" t="s">
        <v>10463</v>
      </c>
      <c r="I25" t="s">
        <v>11385</v>
      </c>
      <c r="J25">
        <v>11225</v>
      </c>
      <c r="K25" t="s">
        <v>11446</v>
      </c>
      <c r="L25" t="s">
        <v>11458</v>
      </c>
      <c r="M25" t="s">
        <v>14748</v>
      </c>
      <c r="N25" t="s">
        <v>14780</v>
      </c>
      <c r="O25" t="s">
        <v>14789</v>
      </c>
      <c r="P25" t="s">
        <v>14795</v>
      </c>
      <c r="Q25" t="s">
        <v>11448</v>
      </c>
      <c r="S25" t="s">
        <v>14829</v>
      </c>
      <c r="V25">
        <v>1008.26</v>
      </c>
      <c r="W25" t="s">
        <v>14859</v>
      </c>
      <c r="X25" t="s">
        <v>14868</v>
      </c>
      <c r="Y25" t="s">
        <v>14885</v>
      </c>
      <c r="Z25" t="s">
        <v>14922</v>
      </c>
      <c r="AB25" t="s">
        <v>20116</v>
      </c>
      <c r="AC25">
        <v>40</v>
      </c>
      <c r="AD25" t="s">
        <v>24595</v>
      </c>
      <c r="AF25">
        <v>30</v>
      </c>
      <c r="AG25">
        <v>1</v>
      </c>
      <c r="AH25">
        <v>0</v>
      </c>
      <c r="AI25">
        <v>88.68000000000001</v>
      </c>
      <c r="AL25" t="s">
        <v>5011</v>
      </c>
      <c r="AM25">
        <v>11076</v>
      </c>
      <c r="AS25">
        <v>2.4</v>
      </c>
      <c r="AT25" t="s">
        <v>485</v>
      </c>
      <c r="AU25" t="s">
        <v>25235</v>
      </c>
      <c r="AW25" t="s">
        <v>11447</v>
      </c>
    </row>
    <row r="26" spans="1:49">
      <c r="A26" s="1">
        <f>HYPERLINK("https://lsnyc.legalserver.org/matter/dynamic-profile/view/1851708","17-1851708")</f>
        <v>0</v>
      </c>
      <c r="B26" t="s">
        <v>62</v>
      </c>
      <c r="C26" t="s">
        <v>350</v>
      </c>
      <c r="D26" t="s">
        <v>380</v>
      </c>
      <c r="E26" t="s">
        <v>1046</v>
      </c>
      <c r="F26" t="s">
        <v>3566</v>
      </c>
      <c r="G26" t="s">
        <v>6297</v>
      </c>
      <c r="H26" t="s">
        <v>10464</v>
      </c>
      <c r="I26" t="s">
        <v>11390</v>
      </c>
      <c r="J26">
        <v>11368</v>
      </c>
      <c r="K26" t="s">
        <v>11447</v>
      </c>
      <c r="O26" t="s">
        <v>14786</v>
      </c>
      <c r="P26" t="s">
        <v>14795</v>
      </c>
      <c r="S26" t="s">
        <v>14827</v>
      </c>
      <c r="V26">
        <v>0</v>
      </c>
      <c r="W26" t="s">
        <v>14861</v>
      </c>
      <c r="Y26" t="s">
        <v>14883</v>
      </c>
      <c r="Z26" t="s">
        <v>14923</v>
      </c>
      <c r="AC26">
        <v>0</v>
      </c>
      <c r="AF26">
        <v>0</v>
      </c>
      <c r="AG26">
        <v>2</v>
      </c>
      <c r="AH26">
        <v>1</v>
      </c>
      <c r="AI26">
        <v>114.59</v>
      </c>
      <c r="AL26" t="s">
        <v>24632</v>
      </c>
      <c r="AM26">
        <v>54600</v>
      </c>
      <c r="AS26">
        <v>1.1</v>
      </c>
      <c r="AT26" t="s">
        <v>25120</v>
      </c>
      <c r="AU26" t="s">
        <v>25233</v>
      </c>
      <c r="AW26" t="s">
        <v>11447</v>
      </c>
    </row>
    <row r="27" spans="1:49">
      <c r="A27" s="1">
        <f>HYPERLINK("https://lsnyc.legalserver.org/matter/dynamic-profile/view/1900784","19-1900784")</f>
        <v>0</v>
      </c>
      <c r="B27" t="s">
        <v>63</v>
      </c>
      <c r="C27" t="s">
        <v>351</v>
      </c>
      <c r="D27" t="s">
        <v>373</v>
      </c>
      <c r="E27" t="s">
        <v>1047</v>
      </c>
      <c r="F27" t="s">
        <v>3567</v>
      </c>
      <c r="G27" t="s">
        <v>6298</v>
      </c>
      <c r="H27" t="s">
        <v>10465</v>
      </c>
      <c r="I27" t="s">
        <v>11389</v>
      </c>
      <c r="J27">
        <v>11354</v>
      </c>
      <c r="K27" t="s">
        <v>11447</v>
      </c>
      <c r="L27" t="s">
        <v>11459</v>
      </c>
      <c r="M27" t="s">
        <v>11601</v>
      </c>
      <c r="N27" t="s">
        <v>14778</v>
      </c>
      <c r="O27" t="s">
        <v>14786</v>
      </c>
      <c r="P27" t="s">
        <v>14795</v>
      </c>
      <c r="Q27" t="s">
        <v>11448</v>
      </c>
      <c r="S27" t="s">
        <v>14827</v>
      </c>
      <c r="T27" t="s">
        <v>14832</v>
      </c>
      <c r="V27">
        <v>1000</v>
      </c>
      <c r="W27" t="s">
        <v>14861</v>
      </c>
      <c r="X27" t="s">
        <v>14866</v>
      </c>
      <c r="Y27" t="s">
        <v>14883</v>
      </c>
      <c r="Z27" t="s">
        <v>14924</v>
      </c>
      <c r="AC27">
        <v>70</v>
      </c>
      <c r="AD27" t="s">
        <v>24595</v>
      </c>
      <c r="AE27" t="s">
        <v>11459</v>
      </c>
      <c r="AF27">
        <v>40</v>
      </c>
      <c r="AG27">
        <v>1</v>
      </c>
      <c r="AH27">
        <v>0</v>
      </c>
      <c r="AI27">
        <v>197.76</v>
      </c>
      <c r="AL27" t="s">
        <v>5011</v>
      </c>
      <c r="AM27">
        <v>24700</v>
      </c>
      <c r="AS27">
        <v>1.66</v>
      </c>
      <c r="AT27" t="s">
        <v>767</v>
      </c>
      <c r="AU27" t="s">
        <v>25227</v>
      </c>
      <c r="AW27" t="s">
        <v>11447</v>
      </c>
    </row>
    <row r="28" spans="1:49">
      <c r="A28" s="1">
        <f>HYPERLINK("https://lsnyc.legalserver.org/matter/dynamic-profile/view/1886175","18-1886175")</f>
        <v>0</v>
      </c>
      <c r="B28" t="s">
        <v>64</v>
      </c>
      <c r="C28" t="s">
        <v>352</v>
      </c>
      <c r="D28" t="s">
        <v>620</v>
      </c>
      <c r="E28" t="s">
        <v>1048</v>
      </c>
      <c r="F28" t="s">
        <v>3568</v>
      </c>
      <c r="G28" t="s">
        <v>6299</v>
      </c>
      <c r="H28" t="s">
        <v>10466</v>
      </c>
      <c r="I28" t="s">
        <v>11386</v>
      </c>
      <c r="J28">
        <v>10128</v>
      </c>
      <c r="K28" t="s">
        <v>11447</v>
      </c>
      <c r="O28" t="s">
        <v>14786</v>
      </c>
      <c r="P28" t="s">
        <v>14795</v>
      </c>
      <c r="S28" t="s">
        <v>14827</v>
      </c>
      <c r="V28">
        <v>0</v>
      </c>
      <c r="W28" t="s">
        <v>14859</v>
      </c>
      <c r="Y28" t="s">
        <v>14889</v>
      </c>
      <c r="Z28" t="s">
        <v>14925</v>
      </c>
      <c r="AB28" t="s">
        <v>20117</v>
      </c>
      <c r="AC28">
        <v>0</v>
      </c>
      <c r="AF28">
        <v>0</v>
      </c>
      <c r="AG28">
        <v>2</v>
      </c>
      <c r="AH28">
        <v>0</v>
      </c>
      <c r="AI28">
        <v>0</v>
      </c>
      <c r="AL28" t="s">
        <v>5011</v>
      </c>
      <c r="AM28">
        <v>0</v>
      </c>
      <c r="AS28">
        <v>5.65</v>
      </c>
      <c r="AT28" t="s">
        <v>620</v>
      </c>
      <c r="AU28" t="s">
        <v>77</v>
      </c>
      <c r="AW28" t="s">
        <v>11447</v>
      </c>
    </row>
    <row r="29" spans="1:49">
      <c r="A29" s="1">
        <f>HYPERLINK("https://lsnyc.legalserver.org/matter/dynamic-profile/view/1890151","19-1890151")</f>
        <v>0</v>
      </c>
      <c r="B29" t="s">
        <v>65</v>
      </c>
      <c r="C29" t="s">
        <v>353</v>
      </c>
      <c r="D29" t="s">
        <v>564</v>
      </c>
      <c r="E29" t="s">
        <v>1049</v>
      </c>
      <c r="F29" t="s">
        <v>3569</v>
      </c>
      <c r="G29" t="s">
        <v>6300</v>
      </c>
      <c r="H29" t="s">
        <v>10467</v>
      </c>
      <c r="I29" t="s">
        <v>11385</v>
      </c>
      <c r="J29">
        <v>11209</v>
      </c>
      <c r="K29" t="s">
        <v>11447</v>
      </c>
      <c r="O29" t="s">
        <v>14787</v>
      </c>
      <c r="P29" t="s">
        <v>14795</v>
      </c>
      <c r="S29" t="s">
        <v>14829</v>
      </c>
      <c r="V29">
        <v>0</v>
      </c>
      <c r="W29" t="s">
        <v>14859</v>
      </c>
      <c r="Y29" t="s">
        <v>14884</v>
      </c>
      <c r="Z29" t="s">
        <v>14926</v>
      </c>
      <c r="AB29" t="s">
        <v>20118</v>
      </c>
      <c r="AC29">
        <v>0</v>
      </c>
      <c r="AF29">
        <v>0</v>
      </c>
      <c r="AG29">
        <v>1</v>
      </c>
      <c r="AH29">
        <v>0</v>
      </c>
      <c r="AI29">
        <v>17.29</v>
      </c>
      <c r="AL29" t="s">
        <v>5011</v>
      </c>
      <c r="AM29">
        <v>2160</v>
      </c>
      <c r="AS29">
        <v>2</v>
      </c>
      <c r="AT29" t="s">
        <v>773</v>
      </c>
      <c r="AU29" t="s">
        <v>65</v>
      </c>
      <c r="AW29" t="s">
        <v>11447</v>
      </c>
    </row>
    <row r="30" spans="1:49">
      <c r="A30" s="1">
        <f>HYPERLINK("https://lsnyc.legalserver.org/matter/dynamic-profile/view/1906960","19-1906960")</f>
        <v>0</v>
      </c>
      <c r="B30" t="s">
        <v>66</v>
      </c>
      <c r="C30" t="s">
        <v>354</v>
      </c>
      <c r="D30" t="s">
        <v>354</v>
      </c>
      <c r="E30" t="s">
        <v>1050</v>
      </c>
      <c r="F30" t="s">
        <v>3570</v>
      </c>
      <c r="G30" t="s">
        <v>6301</v>
      </c>
      <c r="H30" t="s">
        <v>10468</v>
      </c>
      <c r="I30" t="s">
        <v>11385</v>
      </c>
      <c r="J30">
        <v>11207</v>
      </c>
      <c r="K30" t="s">
        <v>11447</v>
      </c>
      <c r="L30" t="s">
        <v>11460</v>
      </c>
      <c r="M30" t="s">
        <v>14743</v>
      </c>
      <c r="N30" t="s">
        <v>14778</v>
      </c>
      <c r="O30" t="s">
        <v>14786</v>
      </c>
      <c r="P30" t="s">
        <v>14795</v>
      </c>
      <c r="Q30" t="s">
        <v>11448</v>
      </c>
      <c r="S30" t="s">
        <v>14827</v>
      </c>
      <c r="V30">
        <v>1025</v>
      </c>
      <c r="W30" t="s">
        <v>14859</v>
      </c>
      <c r="X30" t="s">
        <v>14870</v>
      </c>
      <c r="Y30" t="s">
        <v>14885</v>
      </c>
      <c r="Z30" t="s">
        <v>14927</v>
      </c>
      <c r="AB30" t="s">
        <v>20119</v>
      </c>
      <c r="AC30">
        <v>28</v>
      </c>
      <c r="AD30" t="s">
        <v>11479</v>
      </c>
      <c r="AE30" t="s">
        <v>24614</v>
      </c>
      <c r="AF30">
        <v>2</v>
      </c>
      <c r="AG30">
        <v>1</v>
      </c>
      <c r="AH30">
        <v>0</v>
      </c>
      <c r="AI30">
        <v>156.7</v>
      </c>
      <c r="AL30" t="s">
        <v>5011</v>
      </c>
      <c r="AM30">
        <v>19572</v>
      </c>
      <c r="AS30">
        <v>0.75</v>
      </c>
      <c r="AT30" t="s">
        <v>354</v>
      </c>
      <c r="AU30" t="s">
        <v>25236</v>
      </c>
      <c r="AW30" t="s">
        <v>11447</v>
      </c>
    </row>
    <row r="31" spans="1:49">
      <c r="A31" s="1">
        <f>HYPERLINK("https://lsnyc.legalserver.org/matter/dynamic-profile/view/1906280","19-1906280")</f>
        <v>0</v>
      </c>
      <c r="B31" t="s">
        <v>67</v>
      </c>
      <c r="C31" t="s">
        <v>355</v>
      </c>
      <c r="D31" t="s">
        <v>626</v>
      </c>
      <c r="E31" t="s">
        <v>1051</v>
      </c>
      <c r="F31" t="s">
        <v>3571</v>
      </c>
      <c r="G31" t="s">
        <v>6302</v>
      </c>
      <c r="H31">
        <v>508</v>
      </c>
      <c r="I31" t="s">
        <v>11383</v>
      </c>
      <c r="J31">
        <v>10457</v>
      </c>
      <c r="K31" t="s">
        <v>11446</v>
      </c>
      <c r="M31" t="s">
        <v>11601</v>
      </c>
      <c r="N31" t="s">
        <v>14778</v>
      </c>
      <c r="O31" t="s">
        <v>14786</v>
      </c>
      <c r="P31" t="s">
        <v>14795</v>
      </c>
      <c r="Q31" t="s">
        <v>11448</v>
      </c>
      <c r="S31" t="s">
        <v>14829</v>
      </c>
      <c r="V31">
        <v>810</v>
      </c>
      <c r="W31" t="s">
        <v>14858</v>
      </c>
      <c r="X31" t="s">
        <v>14867</v>
      </c>
      <c r="Y31" t="s">
        <v>14883</v>
      </c>
      <c r="Z31" t="s">
        <v>14928</v>
      </c>
      <c r="AB31" t="s">
        <v>20120</v>
      </c>
      <c r="AC31">
        <v>119</v>
      </c>
      <c r="AD31" t="s">
        <v>24595</v>
      </c>
      <c r="AE31" t="s">
        <v>24610</v>
      </c>
      <c r="AF31">
        <v>22</v>
      </c>
      <c r="AG31">
        <v>1</v>
      </c>
      <c r="AH31">
        <v>0</v>
      </c>
      <c r="AI31">
        <v>74.08</v>
      </c>
      <c r="AL31" t="s">
        <v>5011</v>
      </c>
      <c r="AM31">
        <v>9252</v>
      </c>
      <c r="AS31">
        <v>2.2</v>
      </c>
      <c r="AT31" t="s">
        <v>485</v>
      </c>
      <c r="AU31" t="s">
        <v>25237</v>
      </c>
      <c r="AV31" t="s">
        <v>25335</v>
      </c>
      <c r="AW31" t="s">
        <v>11447</v>
      </c>
    </row>
    <row r="32" spans="1:49">
      <c r="A32" s="1">
        <f>HYPERLINK("https://lsnyc.legalserver.org/matter/dynamic-profile/view/1894198","19-1894198")</f>
        <v>0</v>
      </c>
      <c r="B32" t="s">
        <v>63</v>
      </c>
      <c r="C32" t="s">
        <v>356</v>
      </c>
      <c r="D32" t="s">
        <v>661</v>
      </c>
      <c r="E32" t="s">
        <v>1052</v>
      </c>
      <c r="F32" t="s">
        <v>3572</v>
      </c>
      <c r="G32" t="s">
        <v>6303</v>
      </c>
      <c r="H32">
        <v>2</v>
      </c>
      <c r="I32" t="s">
        <v>11391</v>
      </c>
      <c r="J32">
        <v>11691</v>
      </c>
      <c r="K32" t="s">
        <v>11447</v>
      </c>
      <c r="O32" t="s">
        <v>14786</v>
      </c>
      <c r="P32" t="s">
        <v>14795</v>
      </c>
      <c r="S32" t="s">
        <v>14827</v>
      </c>
      <c r="V32">
        <v>0</v>
      </c>
      <c r="W32" t="s">
        <v>14861</v>
      </c>
      <c r="Y32" t="s">
        <v>14883</v>
      </c>
      <c r="Z32" t="s">
        <v>14929</v>
      </c>
      <c r="AB32" t="s">
        <v>20121</v>
      </c>
      <c r="AC32">
        <v>0</v>
      </c>
      <c r="AE32" t="s">
        <v>24610</v>
      </c>
      <c r="AF32">
        <v>0</v>
      </c>
      <c r="AG32">
        <v>1</v>
      </c>
      <c r="AH32">
        <v>1</v>
      </c>
      <c r="AI32">
        <v>54.71</v>
      </c>
      <c r="AL32" t="s">
        <v>5011</v>
      </c>
      <c r="AM32">
        <v>9252</v>
      </c>
      <c r="AS32">
        <v>1.4</v>
      </c>
      <c r="AT32" t="s">
        <v>661</v>
      </c>
      <c r="AU32" t="s">
        <v>25231</v>
      </c>
      <c r="AW32" t="s">
        <v>11447</v>
      </c>
    </row>
    <row r="33" spans="1:49">
      <c r="A33" s="1">
        <f>HYPERLINK("https://lsnyc.legalserver.org/matter/dynamic-profile/view/1894060","19-1894060")</f>
        <v>0</v>
      </c>
      <c r="B33" t="s">
        <v>63</v>
      </c>
      <c r="C33" t="s">
        <v>357</v>
      </c>
      <c r="D33" t="s">
        <v>661</v>
      </c>
      <c r="E33" t="s">
        <v>1053</v>
      </c>
      <c r="F33" t="s">
        <v>3573</v>
      </c>
      <c r="G33" t="s">
        <v>6304</v>
      </c>
      <c r="H33" t="s">
        <v>10469</v>
      </c>
      <c r="I33" t="s">
        <v>11392</v>
      </c>
      <c r="J33">
        <v>11372</v>
      </c>
      <c r="K33" t="s">
        <v>11447</v>
      </c>
      <c r="M33" t="s">
        <v>11601</v>
      </c>
      <c r="N33" t="s">
        <v>14778</v>
      </c>
      <c r="O33" t="s">
        <v>14786</v>
      </c>
      <c r="P33" t="s">
        <v>14795</v>
      </c>
      <c r="Q33" t="s">
        <v>11448</v>
      </c>
      <c r="S33" t="s">
        <v>14827</v>
      </c>
      <c r="T33" t="s">
        <v>14832</v>
      </c>
      <c r="V33">
        <v>2000</v>
      </c>
      <c r="W33" t="s">
        <v>14861</v>
      </c>
      <c r="X33" t="s">
        <v>14869</v>
      </c>
      <c r="Y33" t="s">
        <v>14883</v>
      </c>
      <c r="Z33" t="s">
        <v>14930</v>
      </c>
      <c r="AB33" t="s">
        <v>20122</v>
      </c>
      <c r="AC33">
        <v>83</v>
      </c>
      <c r="AD33" t="s">
        <v>11479</v>
      </c>
      <c r="AE33" t="s">
        <v>11459</v>
      </c>
      <c r="AF33">
        <v>45</v>
      </c>
      <c r="AG33">
        <v>1</v>
      </c>
      <c r="AH33">
        <v>0</v>
      </c>
      <c r="AI33">
        <v>74.94</v>
      </c>
      <c r="AL33" t="s">
        <v>5011</v>
      </c>
      <c r="AM33">
        <v>9360</v>
      </c>
      <c r="AS33">
        <v>1</v>
      </c>
      <c r="AT33" t="s">
        <v>661</v>
      </c>
      <c r="AU33" t="s">
        <v>25238</v>
      </c>
      <c r="AW33" t="s">
        <v>11447</v>
      </c>
    </row>
    <row r="34" spans="1:49">
      <c r="A34" s="1">
        <f>HYPERLINK("https://lsnyc.legalserver.org/matter/dynamic-profile/view/1892177","19-1892177")</f>
        <v>0</v>
      </c>
      <c r="B34" t="s">
        <v>63</v>
      </c>
      <c r="C34" t="s">
        <v>358</v>
      </c>
      <c r="D34" t="s">
        <v>661</v>
      </c>
      <c r="E34" t="s">
        <v>1054</v>
      </c>
      <c r="F34" t="s">
        <v>3571</v>
      </c>
      <c r="G34" t="s">
        <v>6305</v>
      </c>
      <c r="H34" t="s">
        <v>10470</v>
      </c>
      <c r="I34" t="s">
        <v>11391</v>
      </c>
      <c r="J34">
        <v>11691</v>
      </c>
      <c r="K34" t="s">
        <v>11447</v>
      </c>
      <c r="M34" t="s">
        <v>11601</v>
      </c>
      <c r="N34" t="s">
        <v>14778</v>
      </c>
      <c r="O34" t="s">
        <v>14786</v>
      </c>
      <c r="P34" t="s">
        <v>14795</v>
      </c>
      <c r="Q34" t="s">
        <v>11448</v>
      </c>
      <c r="S34" t="s">
        <v>14827</v>
      </c>
      <c r="T34" t="s">
        <v>14832</v>
      </c>
      <c r="V34">
        <v>0.01</v>
      </c>
      <c r="W34" t="s">
        <v>14861</v>
      </c>
      <c r="X34" t="s">
        <v>14867</v>
      </c>
      <c r="Y34" t="s">
        <v>14883</v>
      </c>
      <c r="Z34" t="s">
        <v>14931</v>
      </c>
      <c r="AB34" t="s">
        <v>20123</v>
      </c>
      <c r="AC34">
        <v>917</v>
      </c>
      <c r="AD34" t="s">
        <v>24595</v>
      </c>
      <c r="AE34" t="s">
        <v>24615</v>
      </c>
      <c r="AF34">
        <v>1</v>
      </c>
      <c r="AG34">
        <v>2</v>
      </c>
      <c r="AH34">
        <v>1</v>
      </c>
      <c r="AI34">
        <v>78.76000000000001</v>
      </c>
      <c r="AL34" t="s">
        <v>5011</v>
      </c>
      <c r="AM34">
        <v>16800</v>
      </c>
      <c r="AS34">
        <v>1.55</v>
      </c>
      <c r="AT34" t="s">
        <v>661</v>
      </c>
      <c r="AU34" t="s">
        <v>25229</v>
      </c>
      <c r="AW34" t="s">
        <v>11447</v>
      </c>
    </row>
    <row r="35" spans="1:49">
      <c r="A35" s="1">
        <f>HYPERLINK("https://lsnyc.legalserver.org/matter/dynamic-profile/view/1889832","19-1889832")</f>
        <v>0</v>
      </c>
      <c r="B35" t="s">
        <v>63</v>
      </c>
      <c r="C35" t="s">
        <v>359</v>
      </c>
      <c r="D35" t="s">
        <v>661</v>
      </c>
      <c r="E35" t="s">
        <v>1025</v>
      </c>
      <c r="F35" t="s">
        <v>3574</v>
      </c>
      <c r="G35" t="s">
        <v>6306</v>
      </c>
      <c r="H35" t="s">
        <v>10471</v>
      </c>
      <c r="I35" t="s">
        <v>11393</v>
      </c>
      <c r="J35">
        <v>11374</v>
      </c>
      <c r="K35" t="s">
        <v>11447</v>
      </c>
      <c r="M35" t="s">
        <v>11601</v>
      </c>
      <c r="N35" t="s">
        <v>14778</v>
      </c>
      <c r="O35" t="s">
        <v>14786</v>
      </c>
      <c r="P35" t="s">
        <v>14795</v>
      </c>
      <c r="Q35" t="s">
        <v>11448</v>
      </c>
      <c r="S35" t="s">
        <v>14827</v>
      </c>
      <c r="V35">
        <v>1135.96</v>
      </c>
      <c r="W35" t="s">
        <v>14861</v>
      </c>
      <c r="X35" t="s">
        <v>14866</v>
      </c>
      <c r="Y35" t="s">
        <v>14883</v>
      </c>
      <c r="Z35" t="s">
        <v>14932</v>
      </c>
      <c r="AB35" t="s">
        <v>20124</v>
      </c>
      <c r="AC35">
        <v>70</v>
      </c>
      <c r="AD35" t="s">
        <v>24599</v>
      </c>
      <c r="AE35" t="s">
        <v>11459</v>
      </c>
      <c r="AF35">
        <v>18</v>
      </c>
      <c r="AG35">
        <v>1</v>
      </c>
      <c r="AH35">
        <v>1</v>
      </c>
      <c r="AI35">
        <v>110.94</v>
      </c>
      <c r="AL35" t="s">
        <v>24632</v>
      </c>
      <c r="AM35">
        <v>18760</v>
      </c>
      <c r="AS35">
        <v>2.3</v>
      </c>
      <c r="AT35" t="s">
        <v>661</v>
      </c>
      <c r="AU35" t="s">
        <v>25233</v>
      </c>
      <c r="AW35" t="s">
        <v>11447</v>
      </c>
    </row>
    <row r="36" spans="1:49">
      <c r="A36" s="1">
        <f>HYPERLINK("https://lsnyc.legalserver.org/matter/dynamic-profile/view/1898483","19-1898483")</f>
        <v>0</v>
      </c>
      <c r="B36" t="s">
        <v>68</v>
      </c>
      <c r="C36" t="s">
        <v>360</v>
      </c>
      <c r="D36" t="s">
        <v>379</v>
      </c>
      <c r="E36" t="s">
        <v>1055</v>
      </c>
      <c r="F36" t="s">
        <v>3575</v>
      </c>
      <c r="G36" t="s">
        <v>6307</v>
      </c>
      <c r="I36" t="s">
        <v>11394</v>
      </c>
      <c r="J36">
        <v>11694</v>
      </c>
      <c r="K36" t="s">
        <v>11447</v>
      </c>
      <c r="L36" t="s">
        <v>11461</v>
      </c>
      <c r="N36" t="s">
        <v>14778</v>
      </c>
      <c r="O36" t="s">
        <v>14786</v>
      </c>
      <c r="P36" t="s">
        <v>14795</v>
      </c>
      <c r="S36" t="s">
        <v>14829</v>
      </c>
      <c r="V36">
        <v>0</v>
      </c>
      <c r="W36" t="s">
        <v>14861</v>
      </c>
      <c r="Y36" t="s">
        <v>14883</v>
      </c>
      <c r="Z36" t="s">
        <v>14933</v>
      </c>
      <c r="AB36" t="s">
        <v>20125</v>
      </c>
      <c r="AC36">
        <v>0</v>
      </c>
      <c r="AF36">
        <v>50</v>
      </c>
      <c r="AG36">
        <v>2</v>
      </c>
      <c r="AH36">
        <v>0</v>
      </c>
      <c r="AI36">
        <v>92.61</v>
      </c>
      <c r="AL36" t="s">
        <v>5011</v>
      </c>
      <c r="AM36">
        <v>15660</v>
      </c>
      <c r="AS36">
        <v>2.85</v>
      </c>
      <c r="AT36" t="s">
        <v>361</v>
      </c>
      <c r="AU36" t="s">
        <v>25237</v>
      </c>
      <c r="AW36" t="s">
        <v>11447</v>
      </c>
    </row>
    <row r="37" spans="1:49">
      <c r="A37" s="1">
        <f>HYPERLINK("https://lsnyc.legalserver.org/matter/dynamic-profile/view/1899359","19-1899359")</f>
        <v>0</v>
      </c>
      <c r="B37" t="s">
        <v>68</v>
      </c>
      <c r="C37" t="s">
        <v>361</v>
      </c>
      <c r="D37" t="s">
        <v>379</v>
      </c>
      <c r="E37" t="s">
        <v>1056</v>
      </c>
      <c r="F37" t="s">
        <v>2375</v>
      </c>
      <c r="G37" t="s">
        <v>6308</v>
      </c>
      <c r="I37" t="s">
        <v>11387</v>
      </c>
      <c r="J37">
        <v>11434</v>
      </c>
      <c r="K37" t="s">
        <v>11446</v>
      </c>
      <c r="L37" t="s">
        <v>11462</v>
      </c>
      <c r="M37" t="s">
        <v>14743</v>
      </c>
      <c r="N37" t="s">
        <v>14778</v>
      </c>
      <c r="O37" t="s">
        <v>14786</v>
      </c>
      <c r="P37" t="s">
        <v>14795</v>
      </c>
      <c r="S37" t="s">
        <v>14827</v>
      </c>
      <c r="V37">
        <v>1500</v>
      </c>
      <c r="W37" t="s">
        <v>14861</v>
      </c>
      <c r="X37" t="s">
        <v>14865</v>
      </c>
      <c r="Y37" t="s">
        <v>14883</v>
      </c>
      <c r="Z37" t="s">
        <v>14934</v>
      </c>
      <c r="AB37" t="s">
        <v>20126</v>
      </c>
      <c r="AC37">
        <v>0</v>
      </c>
      <c r="AF37">
        <v>8</v>
      </c>
      <c r="AG37">
        <v>3</v>
      </c>
      <c r="AH37">
        <v>0</v>
      </c>
      <c r="AI37">
        <v>187.53</v>
      </c>
      <c r="AL37" t="s">
        <v>5011</v>
      </c>
      <c r="AM37">
        <v>40000</v>
      </c>
      <c r="AS37">
        <v>0.55</v>
      </c>
      <c r="AT37" t="s">
        <v>329</v>
      </c>
      <c r="AU37" t="s">
        <v>25234</v>
      </c>
      <c r="AW37" t="s">
        <v>11447</v>
      </c>
    </row>
    <row r="38" spans="1:49">
      <c r="A38" s="1">
        <f>HYPERLINK("https://lsnyc.legalserver.org/matter/dynamic-profile/view/1902407","19-1902407")</f>
        <v>0</v>
      </c>
      <c r="B38" t="s">
        <v>69</v>
      </c>
      <c r="C38" t="s">
        <v>362</v>
      </c>
      <c r="D38" t="s">
        <v>366</v>
      </c>
      <c r="E38" t="s">
        <v>1057</v>
      </c>
      <c r="F38" t="s">
        <v>3576</v>
      </c>
      <c r="G38" t="s">
        <v>6309</v>
      </c>
      <c r="H38" t="s">
        <v>10472</v>
      </c>
      <c r="I38" t="s">
        <v>11383</v>
      </c>
      <c r="J38">
        <v>10466</v>
      </c>
      <c r="K38" t="s">
        <v>11446</v>
      </c>
      <c r="L38" t="s">
        <v>11463</v>
      </c>
      <c r="M38" t="s">
        <v>14743</v>
      </c>
      <c r="N38" t="s">
        <v>14778</v>
      </c>
      <c r="O38" t="s">
        <v>14786</v>
      </c>
      <c r="P38" t="s">
        <v>14795</v>
      </c>
      <c r="Q38" t="s">
        <v>11448</v>
      </c>
      <c r="S38" t="s">
        <v>14827</v>
      </c>
      <c r="V38">
        <v>700</v>
      </c>
      <c r="W38" t="s">
        <v>14858</v>
      </c>
      <c r="X38" t="s">
        <v>14868</v>
      </c>
      <c r="Y38" t="s">
        <v>14883</v>
      </c>
      <c r="Z38" t="s">
        <v>14935</v>
      </c>
      <c r="AB38" t="s">
        <v>19344</v>
      </c>
      <c r="AC38">
        <v>0</v>
      </c>
      <c r="AE38" t="s">
        <v>11459</v>
      </c>
      <c r="AF38">
        <v>1</v>
      </c>
      <c r="AG38">
        <v>1</v>
      </c>
      <c r="AH38">
        <v>0</v>
      </c>
      <c r="AI38">
        <v>72.86</v>
      </c>
      <c r="AL38" t="s">
        <v>5011</v>
      </c>
      <c r="AM38">
        <v>9100</v>
      </c>
      <c r="AN38" t="s">
        <v>24672</v>
      </c>
      <c r="AS38">
        <v>2.5</v>
      </c>
      <c r="AT38" t="s">
        <v>517</v>
      </c>
      <c r="AU38" t="s">
        <v>25239</v>
      </c>
      <c r="AV38" t="s">
        <v>25335</v>
      </c>
      <c r="AW38" t="s">
        <v>11447</v>
      </c>
    </row>
    <row r="39" spans="1:49">
      <c r="A39" s="1">
        <f>HYPERLINK("https://lsnyc.legalserver.org/matter/dynamic-profile/view/1899046","19-1899046")</f>
        <v>0</v>
      </c>
      <c r="B39" t="s">
        <v>70</v>
      </c>
      <c r="C39" t="s">
        <v>363</v>
      </c>
      <c r="D39" t="s">
        <v>366</v>
      </c>
      <c r="E39" t="s">
        <v>1058</v>
      </c>
      <c r="F39" t="s">
        <v>3577</v>
      </c>
      <c r="G39" t="s">
        <v>6310</v>
      </c>
      <c r="H39" t="s">
        <v>10473</v>
      </c>
      <c r="I39" t="s">
        <v>11383</v>
      </c>
      <c r="J39">
        <v>10457</v>
      </c>
      <c r="K39" t="s">
        <v>11446</v>
      </c>
      <c r="L39" t="s">
        <v>11464</v>
      </c>
      <c r="M39" t="s">
        <v>14744</v>
      </c>
      <c r="N39" t="s">
        <v>14781</v>
      </c>
      <c r="O39" t="s">
        <v>14788</v>
      </c>
      <c r="P39" t="s">
        <v>14795</v>
      </c>
      <c r="Q39" t="s">
        <v>11448</v>
      </c>
      <c r="S39" t="s">
        <v>14827</v>
      </c>
      <c r="V39">
        <v>0</v>
      </c>
      <c r="W39" t="s">
        <v>14858</v>
      </c>
      <c r="X39" t="s">
        <v>14865</v>
      </c>
      <c r="Y39" t="s">
        <v>14887</v>
      </c>
      <c r="Z39" t="s">
        <v>14936</v>
      </c>
      <c r="AC39">
        <v>239</v>
      </c>
      <c r="AE39" t="s">
        <v>24610</v>
      </c>
      <c r="AF39">
        <v>0</v>
      </c>
      <c r="AG39">
        <v>1</v>
      </c>
      <c r="AH39">
        <v>1</v>
      </c>
      <c r="AI39">
        <v>88.7</v>
      </c>
      <c r="AL39" t="s">
        <v>5011</v>
      </c>
      <c r="AM39">
        <v>15000</v>
      </c>
      <c r="AN39" t="s">
        <v>24673</v>
      </c>
      <c r="AP39" t="s">
        <v>24941</v>
      </c>
      <c r="AQ39" t="s">
        <v>24986</v>
      </c>
      <c r="AR39" t="s">
        <v>24992</v>
      </c>
      <c r="AS39">
        <v>0.75</v>
      </c>
      <c r="AT39" t="s">
        <v>343</v>
      </c>
      <c r="AU39" t="s">
        <v>25239</v>
      </c>
      <c r="AV39" t="s">
        <v>25335</v>
      </c>
      <c r="AW39" t="s">
        <v>11447</v>
      </c>
    </row>
    <row r="40" spans="1:49">
      <c r="A40" s="1">
        <f>HYPERLINK("https://lsnyc.legalserver.org/matter/dynamic-profile/view/0821214","16-0821214")</f>
        <v>0</v>
      </c>
      <c r="B40" t="s">
        <v>71</v>
      </c>
      <c r="C40" t="s">
        <v>364</v>
      </c>
      <c r="D40" t="s">
        <v>465</v>
      </c>
      <c r="E40" t="s">
        <v>1059</v>
      </c>
      <c r="F40" t="s">
        <v>3578</v>
      </c>
      <c r="G40" t="s">
        <v>6311</v>
      </c>
      <c r="H40" t="s">
        <v>10474</v>
      </c>
      <c r="I40" t="s">
        <v>11383</v>
      </c>
      <c r="J40">
        <v>10456</v>
      </c>
      <c r="K40" t="s">
        <v>11447</v>
      </c>
      <c r="M40" t="s">
        <v>14748</v>
      </c>
      <c r="N40" t="s">
        <v>14780</v>
      </c>
      <c r="O40" t="s">
        <v>14790</v>
      </c>
      <c r="P40" t="s">
        <v>14795</v>
      </c>
      <c r="S40" t="s">
        <v>14829</v>
      </c>
      <c r="V40">
        <v>0</v>
      </c>
      <c r="W40" t="s">
        <v>14858</v>
      </c>
      <c r="Y40" t="s">
        <v>14885</v>
      </c>
      <c r="Z40" t="s">
        <v>14937</v>
      </c>
      <c r="AB40" t="s">
        <v>20127</v>
      </c>
      <c r="AC40">
        <v>0</v>
      </c>
      <c r="AF40">
        <v>0</v>
      </c>
      <c r="AG40">
        <v>2</v>
      </c>
      <c r="AH40">
        <v>0</v>
      </c>
      <c r="AI40">
        <v>54.91</v>
      </c>
      <c r="AL40" t="s">
        <v>5011</v>
      </c>
      <c r="AM40">
        <v>8796</v>
      </c>
      <c r="AS40">
        <v>37.25</v>
      </c>
      <c r="AT40" t="s">
        <v>25121</v>
      </c>
      <c r="AU40" t="s">
        <v>128</v>
      </c>
      <c r="AW40" t="s">
        <v>11447</v>
      </c>
    </row>
    <row r="41" spans="1:49">
      <c r="A41" s="1">
        <f>HYPERLINK("https://lsnyc.legalserver.org/matter/dynamic-profile/view/1904668","19-1904668")</f>
        <v>0</v>
      </c>
      <c r="B41" t="s">
        <v>72</v>
      </c>
      <c r="C41" t="s">
        <v>365</v>
      </c>
      <c r="D41" t="s">
        <v>465</v>
      </c>
      <c r="E41" t="s">
        <v>1057</v>
      </c>
      <c r="F41" t="s">
        <v>3579</v>
      </c>
      <c r="G41" t="s">
        <v>6312</v>
      </c>
      <c r="H41" t="s">
        <v>10475</v>
      </c>
      <c r="I41" t="s">
        <v>11385</v>
      </c>
      <c r="J41">
        <v>11230</v>
      </c>
      <c r="K41" t="s">
        <v>11447</v>
      </c>
      <c r="M41" t="s">
        <v>14744</v>
      </c>
      <c r="N41" t="s">
        <v>14778</v>
      </c>
      <c r="O41" t="s">
        <v>14786</v>
      </c>
      <c r="P41" t="s">
        <v>14795</v>
      </c>
      <c r="S41" t="s">
        <v>14827</v>
      </c>
      <c r="V41">
        <v>2200</v>
      </c>
      <c r="W41" t="s">
        <v>14859</v>
      </c>
      <c r="X41" t="s">
        <v>14755</v>
      </c>
      <c r="Y41" t="s">
        <v>14883</v>
      </c>
      <c r="Z41" t="s">
        <v>14938</v>
      </c>
      <c r="AB41" t="s">
        <v>20128</v>
      </c>
      <c r="AC41">
        <v>3</v>
      </c>
      <c r="AF41">
        <v>1</v>
      </c>
      <c r="AG41">
        <v>2</v>
      </c>
      <c r="AH41">
        <v>2</v>
      </c>
      <c r="AI41">
        <v>135.92</v>
      </c>
      <c r="AL41" t="s">
        <v>5011</v>
      </c>
      <c r="AM41">
        <v>35000</v>
      </c>
      <c r="AS41">
        <v>5.2</v>
      </c>
      <c r="AT41" t="s">
        <v>461</v>
      </c>
      <c r="AU41" t="s">
        <v>25238</v>
      </c>
      <c r="AW41" t="s">
        <v>11447</v>
      </c>
    </row>
    <row r="42" spans="1:49">
      <c r="A42" s="1">
        <f>HYPERLINK("https://lsnyc.legalserver.org/matter/dynamic-profile/view/1907280","19-1907280")</f>
        <v>0</v>
      </c>
      <c r="B42" t="s">
        <v>73</v>
      </c>
      <c r="C42" t="s">
        <v>366</v>
      </c>
      <c r="D42" t="s">
        <v>465</v>
      </c>
      <c r="E42" t="s">
        <v>1056</v>
      </c>
      <c r="F42" t="s">
        <v>3580</v>
      </c>
      <c r="G42" t="s">
        <v>6313</v>
      </c>
      <c r="H42" t="s">
        <v>10476</v>
      </c>
      <c r="I42" t="s">
        <v>11383</v>
      </c>
      <c r="J42">
        <v>10468</v>
      </c>
      <c r="K42" t="s">
        <v>11447</v>
      </c>
      <c r="L42" t="s">
        <v>11465</v>
      </c>
      <c r="M42" t="s">
        <v>11601</v>
      </c>
      <c r="N42" t="s">
        <v>14778</v>
      </c>
      <c r="O42" t="s">
        <v>14786</v>
      </c>
      <c r="P42" t="s">
        <v>14795</v>
      </c>
      <c r="Q42" t="s">
        <v>11448</v>
      </c>
      <c r="S42" t="s">
        <v>14827</v>
      </c>
      <c r="V42">
        <v>1350</v>
      </c>
      <c r="W42" t="s">
        <v>14858</v>
      </c>
      <c r="X42" t="s">
        <v>14755</v>
      </c>
      <c r="Y42" t="s">
        <v>14883</v>
      </c>
      <c r="Z42" t="s">
        <v>14939</v>
      </c>
      <c r="AB42" t="s">
        <v>20129</v>
      </c>
      <c r="AC42">
        <v>40</v>
      </c>
      <c r="AD42" t="s">
        <v>11479</v>
      </c>
      <c r="AE42" t="s">
        <v>24610</v>
      </c>
      <c r="AF42">
        <v>7</v>
      </c>
      <c r="AG42">
        <v>1</v>
      </c>
      <c r="AH42">
        <v>0</v>
      </c>
      <c r="AI42">
        <v>163.14</v>
      </c>
      <c r="AL42" t="s">
        <v>5011</v>
      </c>
      <c r="AM42">
        <v>20376</v>
      </c>
      <c r="AN42" t="s">
        <v>24674</v>
      </c>
      <c r="AS42">
        <v>1.41</v>
      </c>
      <c r="AT42" t="s">
        <v>465</v>
      </c>
      <c r="AU42" t="s">
        <v>25240</v>
      </c>
      <c r="AW42" t="s">
        <v>11447</v>
      </c>
    </row>
    <row r="43" spans="1:49">
      <c r="A43" s="1">
        <f>HYPERLINK("https://lsnyc.legalserver.org/matter/dynamic-profile/view/1865281","18-1865281")</f>
        <v>0</v>
      </c>
      <c r="B43" t="s">
        <v>74</v>
      </c>
      <c r="C43" t="s">
        <v>367</v>
      </c>
      <c r="D43" t="s">
        <v>1013</v>
      </c>
      <c r="E43" t="s">
        <v>1060</v>
      </c>
      <c r="F43" t="s">
        <v>3581</v>
      </c>
      <c r="G43" t="s">
        <v>6314</v>
      </c>
      <c r="H43" t="s">
        <v>10477</v>
      </c>
      <c r="I43" t="s">
        <v>11389</v>
      </c>
      <c r="J43">
        <v>11355</v>
      </c>
      <c r="K43" t="s">
        <v>11446</v>
      </c>
      <c r="L43" t="s">
        <v>11466</v>
      </c>
      <c r="M43" t="s">
        <v>14744</v>
      </c>
      <c r="N43" t="s">
        <v>14780</v>
      </c>
      <c r="O43" t="s">
        <v>14787</v>
      </c>
      <c r="P43" t="s">
        <v>14795</v>
      </c>
      <c r="Q43" t="s">
        <v>11448</v>
      </c>
      <c r="S43" t="s">
        <v>14827</v>
      </c>
      <c r="V43">
        <v>1262.63</v>
      </c>
      <c r="W43" t="s">
        <v>14861</v>
      </c>
      <c r="X43" t="s">
        <v>14868</v>
      </c>
      <c r="Y43" t="s">
        <v>14884</v>
      </c>
      <c r="Z43" t="s">
        <v>14940</v>
      </c>
      <c r="AB43" t="s">
        <v>20130</v>
      </c>
      <c r="AC43">
        <v>53</v>
      </c>
      <c r="AD43" t="s">
        <v>24595</v>
      </c>
      <c r="AE43" t="s">
        <v>11459</v>
      </c>
      <c r="AF43">
        <v>11</v>
      </c>
      <c r="AG43">
        <v>1</v>
      </c>
      <c r="AH43">
        <v>0</v>
      </c>
      <c r="AI43">
        <v>29.98</v>
      </c>
      <c r="AL43" t="s">
        <v>24635</v>
      </c>
      <c r="AM43">
        <v>3640</v>
      </c>
      <c r="AS43">
        <v>0.55</v>
      </c>
      <c r="AT43" t="s">
        <v>1013</v>
      </c>
      <c r="AU43" t="s">
        <v>292</v>
      </c>
      <c r="AW43" t="s">
        <v>11447</v>
      </c>
    </row>
    <row r="44" spans="1:49">
      <c r="A44" s="1">
        <f>HYPERLINK("https://lsnyc.legalserver.org/matter/dynamic-profile/view/1907320","19-1907320")</f>
        <v>0</v>
      </c>
      <c r="B44" t="s">
        <v>75</v>
      </c>
      <c r="C44" t="s">
        <v>366</v>
      </c>
      <c r="D44" t="s">
        <v>633</v>
      </c>
      <c r="E44" t="s">
        <v>1061</v>
      </c>
      <c r="F44" t="s">
        <v>3582</v>
      </c>
      <c r="G44" t="s">
        <v>6315</v>
      </c>
      <c r="H44" t="s">
        <v>10478</v>
      </c>
      <c r="I44" t="s">
        <v>11385</v>
      </c>
      <c r="J44">
        <v>11206</v>
      </c>
      <c r="K44" t="s">
        <v>11447</v>
      </c>
      <c r="M44" t="s">
        <v>11601</v>
      </c>
      <c r="O44" t="s">
        <v>14787</v>
      </c>
      <c r="P44" t="s">
        <v>14795</v>
      </c>
      <c r="S44" t="s">
        <v>14827</v>
      </c>
      <c r="V44">
        <v>234</v>
      </c>
      <c r="W44" t="s">
        <v>14859</v>
      </c>
      <c r="Y44" t="s">
        <v>14883</v>
      </c>
      <c r="Z44" t="s">
        <v>14941</v>
      </c>
      <c r="AB44" t="s">
        <v>20131</v>
      </c>
      <c r="AC44">
        <v>0</v>
      </c>
      <c r="AD44" t="s">
        <v>24596</v>
      </c>
      <c r="AF44">
        <v>32</v>
      </c>
      <c r="AG44">
        <v>1</v>
      </c>
      <c r="AH44">
        <v>0</v>
      </c>
      <c r="AI44">
        <v>76</v>
      </c>
      <c r="AL44" t="s">
        <v>5011</v>
      </c>
      <c r="AM44">
        <v>9492</v>
      </c>
      <c r="AS44">
        <v>1</v>
      </c>
      <c r="AT44" t="s">
        <v>366</v>
      </c>
      <c r="AU44" t="s">
        <v>25231</v>
      </c>
      <c r="AW44" t="s">
        <v>11447</v>
      </c>
    </row>
    <row r="45" spans="1:49">
      <c r="A45" s="1">
        <f>HYPERLINK("https://lsnyc.legalserver.org/matter/dynamic-profile/view/1907365","19-1907365")</f>
        <v>0</v>
      </c>
      <c r="B45" t="s">
        <v>75</v>
      </c>
      <c r="C45" t="s">
        <v>368</v>
      </c>
      <c r="D45" t="s">
        <v>633</v>
      </c>
      <c r="E45" t="s">
        <v>1062</v>
      </c>
      <c r="F45" t="s">
        <v>3583</v>
      </c>
      <c r="G45" t="s">
        <v>6316</v>
      </c>
      <c r="H45" t="s">
        <v>10479</v>
      </c>
      <c r="I45" t="s">
        <v>11385</v>
      </c>
      <c r="J45">
        <v>11206</v>
      </c>
      <c r="K45" t="s">
        <v>11447</v>
      </c>
      <c r="O45" t="s">
        <v>14787</v>
      </c>
      <c r="P45" t="s">
        <v>14795</v>
      </c>
      <c r="S45" t="s">
        <v>14828</v>
      </c>
      <c r="V45">
        <v>0</v>
      </c>
      <c r="W45" t="s">
        <v>14859</v>
      </c>
      <c r="Y45" t="s">
        <v>14885</v>
      </c>
      <c r="Z45" t="s">
        <v>14942</v>
      </c>
      <c r="AB45" t="s">
        <v>20132</v>
      </c>
      <c r="AC45">
        <v>0</v>
      </c>
      <c r="AF45">
        <v>0</v>
      </c>
      <c r="AG45">
        <v>1</v>
      </c>
      <c r="AH45">
        <v>0</v>
      </c>
      <c r="AI45">
        <v>184.47</v>
      </c>
      <c r="AL45" t="s">
        <v>24632</v>
      </c>
      <c r="AM45">
        <v>23040</v>
      </c>
      <c r="AS45">
        <v>0.4</v>
      </c>
      <c r="AT45" t="s">
        <v>368</v>
      </c>
      <c r="AU45" t="s">
        <v>25229</v>
      </c>
      <c r="AW45" t="s">
        <v>11447</v>
      </c>
    </row>
    <row r="46" spans="1:49">
      <c r="A46" s="1">
        <f>HYPERLINK("https://lsnyc.legalserver.org/matter/dynamic-profile/view/1899648","19-1899648")</f>
        <v>0</v>
      </c>
      <c r="B46" t="s">
        <v>76</v>
      </c>
      <c r="C46" t="s">
        <v>369</v>
      </c>
      <c r="D46" t="s">
        <v>377</v>
      </c>
      <c r="E46" t="s">
        <v>1057</v>
      </c>
      <c r="F46" t="s">
        <v>3584</v>
      </c>
      <c r="G46" t="s">
        <v>6317</v>
      </c>
      <c r="H46" t="s">
        <v>10464</v>
      </c>
      <c r="I46" t="s">
        <v>11385</v>
      </c>
      <c r="J46">
        <v>11212</v>
      </c>
      <c r="K46" t="s">
        <v>11446</v>
      </c>
      <c r="N46" t="s">
        <v>14778</v>
      </c>
      <c r="O46" t="s">
        <v>14786</v>
      </c>
      <c r="P46" t="s">
        <v>14795</v>
      </c>
      <c r="S46" t="s">
        <v>14827</v>
      </c>
      <c r="U46" t="s">
        <v>500</v>
      </c>
      <c r="V46">
        <v>1800</v>
      </c>
      <c r="W46" t="s">
        <v>14859</v>
      </c>
      <c r="Y46" t="s">
        <v>14883</v>
      </c>
      <c r="Z46" t="s">
        <v>14943</v>
      </c>
      <c r="AB46" t="s">
        <v>20133</v>
      </c>
      <c r="AC46">
        <v>4</v>
      </c>
      <c r="AF46">
        <v>4</v>
      </c>
      <c r="AG46">
        <v>4</v>
      </c>
      <c r="AH46">
        <v>0</v>
      </c>
      <c r="AI46">
        <v>111.01</v>
      </c>
      <c r="AL46" t="s">
        <v>5011</v>
      </c>
      <c r="AM46">
        <v>28584</v>
      </c>
      <c r="AS46">
        <v>1.2</v>
      </c>
      <c r="AT46" t="s">
        <v>649</v>
      </c>
      <c r="AU46" t="s">
        <v>25227</v>
      </c>
      <c r="AV46" t="s">
        <v>25335</v>
      </c>
      <c r="AW46" t="s">
        <v>11447</v>
      </c>
    </row>
    <row r="47" spans="1:49">
      <c r="A47" s="1">
        <f>HYPERLINK("https://lsnyc.legalserver.org/matter/dynamic-profile/view/1899930","19-1899930")</f>
        <v>0</v>
      </c>
      <c r="B47" t="s">
        <v>77</v>
      </c>
      <c r="C47" t="s">
        <v>370</v>
      </c>
      <c r="D47" t="s">
        <v>458</v>
      </c>
      <c r="E47" t="s">
        <v>1063</v>
      </c>
      <c r="F47" t="s">
        <v>3585</v>
      </c>
      <c r="G47" t="s">
        <v>6318</v>
      </c>
      <c r="H47" t="s">
        <v>10480</v>
      </c>
      <c r="I47" t="s">
        <v>11385</v>
      </c>
      <c r="J47">
        <v>11226</v>
      </c>
      <c r="K47" t="s">
        <v>11447</v>
      </c>
      <c r="N47" t="s">
        <v>14778</v>
      </c>
      <c r="O47" t="s">
        <v>14786</v>
      </c>
      <c r="P47" t="s">
        <v>14795</v>
      </c>
      <c r="S47" t="s">
        <v>14827</v>
      </c>
      <c r="V47">
        <v>0</v>
      </c>
      <c r="W47" t="s">
        <v>14859</v>
      </c>
      <c r="Y47" t="s">
        <v>14883</v>
      </c>
      <c r="Z47" t="s">
        <v>14944</v>
      </c>
      <c r="AC47">
        <v>0</v>
      </c>
      <c r="AF47">
        <v>0</v>
      </c>
      <c r="AG47">
        <v>1</v>
      </c>
      <c r="AH47">
        <v>0</v>
      </c>
      <c r="AI47">
        <v>163.33</v>
      </c>
      <c r="AM47">
        <v>20400</v>
      </c>
      <c r="AS47">
        <v>1.25</v>
      </c>
      <c r="AT47" t="s">
        <v>458</v>
      </c>
      <c r="AU47" t="s">
        <v>77</v>
      </c>
      <c r="AW47" t="s">
        <v>11447</v>
      </c>
    </row>
    <row r="48" spans="1:49">
      <c r="A48" s="1">
        <f>HYPERLINK("https://lsnyc.legalserver.org/matter/dynamic-profile/view/1902681","19-1902681")</f>
        <v>0</v>
      </c>
      <c r="B48" t="s">
        <v>78</v>
      </c>
      <c r="C48" t="s">
        <v>371</v>
      </c>
      <c r="D48" t="s">
        <v>455</v>
      </c>
      <c r="E48" t="s">
        <v>1064</v>
      </c>
      <c r="F48" t="s">
        <v>3586</v>
      </c>
      <c r="G48" t="s">
        <v>6319</v>
      </c>
      <c r="H48" t="s">
        <v>10450</v>
      </c>
      <c r="I48" t="s">
        <v>11383</v>
      </c>
      <c r="J48">
        <v>10459</v>
      </c>
      <c r="K48" t="s">
        <v>11447</v>
      </c>
      <c r="L48" t="s">
        <v>11467</v>
      </c>
      <c r="M48" t="s">
        <v>14743</v>
      </c>
      <c r="N48" t="s">
        <v>14778</v>
      </c>
      <c r="O48" t="s">
        <v>14786</v>
      </c>
      <c r="P48" t="s">
        <v>14795</v>
      </c>
      <c r="Q48" t="s">
        <v>11448</v>
      </c>
      <c r="S48" t="s">
        <v>14827</v>
      </c>
      <c r="V48">
        <v>318</v>
      </c>
      <c r="W48" t="s">
        <v>14858</v>
      </c>
      <c r="X48" t="s">
        <v>14866</v>
      </c>
      <c r="Y48" t="s">
        <v>14883</v>
      </c>
      <c r="Z48" t="s">
        <v>14945</v>
      </c>
      <c r="AB48" t="s">
        <v>20134</v>
      </c>
      <c r="AC48">
        <v>26</v>
      </c>
      <c r="AD48" t="s">
        <v>24595</v>
      </c>
      <c r="AF48">
        <v>29</v>
      </c>
      <c r="AG48">
        <v>1</v>
      </c>
      <c r="AH48">
        <v>0</v>
      </c>
      <c r="AI48">
        <v>55.53</v>
      </c>
      <c r="AL48" t="s">
        <v>5011</v>
      </c>
      <c r="AM48">
        <v>6936</v>
      </c>
      <c r="AN48">
        <v>3018</v>
      </c>
      <c r="AS48">
        <v>1</v>
      </c>
      <c r="AT48" t="s">
        <v>371</v>
      </c>
      <c r="AU48" t="s">
        <v>25241</v>
      </c>
      <c r="AW48" t="s">
        <v>11447</v>
      </c>
    </row>
    <row r="49" spans="1:49">
      <c r="A49" s="1">
        <f>HYPERLINK("https://lsnyc.legalserver.org/matter/dynamic-profile/view/1908128","19-1908128")</f>
        <v>0</v>
      </c>
      <c r="B49" t="s">
        <v>73</v>
      </c>
      <c r="C49" t="s">
        <v>372</v>
      </c>
      <c r="D49" t="s">
        <v>372</v>
      </c>
      <c r="E49" t="s">
        <v>1065</v>
      </c>
      <c r="F49" t="s">
        <v>3587</v>
      </c>
      <c r="G49" t="s">
        <v>6320</v>
      </c>
      <c r="H49">
        <v>645</v>
      </c>
      <c r="I49" t="s">
        <v>11383</v>
      </c>
      <c r="J49">
        <v>10462</v>
      </c>
      <c r="K49" t="s">
        <v>11447</v>
      </c>
      <c r="L49" t="s">
        <v>11468</v>
      </c>
      <c r="M49" t="s">
        <v>14746</v>
      </c>
      <c r="N49" t="s">
        <v>14778</v>
      </c>
      <c r="O49" t="s">
        <v>14786</v>
      </c>
      <c r="P49" t="s">
        <v>14795</v>
      </c>
      <c r="S49" t="s">
        <v>14827</v>
      </c>
      <c r="V49">
        <v>1450</v>
      </c>
      <c r="W49" t="s">
        <v>14858</v>
      </c>
      <c r="Y49" t="s">
        <v>14883</v>
      </c>
      <c r="Z49" t="s">
        <v>14946</v>
      </c>
      <c r="AB49" t="s">
        <v>20135</v>
      </c>
      <c r="AC49">
        <v>1000</v>
      </c>
      <c r="AF49">
        <v>20</v>
      </c>
      <c r="AG49">
        <v>3</v>
      </c>
      <c r="AH49">
        <v>0</v>
      </c>
      <c r="AI49">
        <v>90.01000000000001</v>
      </c>
      <c r="AL49" t="s">
        <v>5011</v>
      </c>
      <c r="AM49">
        <v>19200</v>
      </c>
      <c r="AS49">
        <v>1.3</v>
      </c>
      <c r="AT49" t="s">
        <v>372</v>
      </c>
      <c r="AU49" t="s">
        <v>25227</v>
      </c>
      <c r="AW49" t="s">
        <v>11447</v>
      </c>
    </row>
    <row r="50" spans="1:49">
      <c r="A50" s="1">
        <f>HYPERLINK("https://lsnyc.legalserver.org/matter/dynamic-profile/view/1906677","19-1906677")</f>
        <v>0</v>
      </c>
      <c r="B50" t="s">
        <v>50</v>
      </c>
      <c r="C50" t="s">
        <v>373</v>
      </c>
      <c r="D50" t="s">
        <v>372</v>
      </c>
      <c r="E50" t="s">
        <v>1066</v>
      </c>
      <c r="F50" t="s">
        <v>1227</v>
      </c>
      <c r="G50" t="s">
        <v>6321</v>
      </c>
      <c r="H50" t="s">
        <v>10464</v>
      </c>
      <c r="I50" t="s">
        <v>11385</v>
      </c>
      <c r="J50">
        <v>11221</v>
      </c>
      <c r="K50" t="s">
        <v>11447</v>
      </c>
      <c r="M50" t="s">
        <v>11601</v>
      </c>
      <c r="N50" t="s">
        <v>14782</v>
      </c>
      <c r="O50" t="s">
        <v>14786</v>
      </c>
      <c r="P50" t="s">
        <v>14795</v>
      </c>
      <c r="S50" t="s">
        <v>14827</v>
      </c>
      <c r="V50">
        <v>1300</v>
      </c>
      <c r="W50" t="s">
        <v>14859</v>
      </c>
      <c r="Y50" t="s">
        <v>14883</v>
      </c>
      <c r="Z50" t="s">
        <v>14947</v>
      </c>
      <c r="AB50" t="s">
        <v>20136</v>
      </c>
      <c r="AC50">
        <v>0</v>
      </c>
      <c r="AD50" t="s">
        <v>11479</v>
      </c>
      <c r="AE50" t="s">
        <v>24614</v>
      </c>
      <c r="AF50">
        <v>7</v>
      </c>
      <c r="AG50">
        <v>1</v>
      </c>
      <c r="AH50">
        <v>0</v>
      </c>
      <c r="AI50">
        <v>195.8</v>
      </c>
      <c r="AL50" t="s">
        <v>5011</v>
      </c>
      <c r="AM50">
        <v>24456</v>
      </c>
      <c r="AS50">
        <v>2.9</v>
      </c>
      <c r="AT50" t="s">
        <v>466</v>
      </c>
      <c r="AU50" t="s">
        <v>25231</v>
      </c>
      <c r="AW50" t="s">
        <v>11447</v>
      </c>
    </row>
    <row r="51" spans="1:49">
      <c r="A51" s="1">
        <f>HYPERLINK("https://lsnyc.legalserver.org/matter/dynamic-profile/view/1860958","18-1860958")</f>
        <v>0</v>
      </c>
      <c r="B51" t="s">
        <v>79</v>
      </c>
      <c r="C51" t="s">
        <v>374</v>
      </c>
      <c r="D51" t="s">
        <v>375</v>
      </c>
      <c r="E51" t="s">
        <v>1067</v>
      </c>
      <c r="F51" t="s">
        <v>3588</v>
      </c>
      <c r="G51" t="s">
        <v>6322</v>
      </c>
      <c r="I51" t="s">
        <v>11383</v>
      </c>
      <c r="J51">
        <v>10470</v>
      </c>
      <c r="K51" t="s">
        <v>11447</v>
      </c>
      <c r="M51" t="s">
        <v>14749</v>
      </c>
      <c r="N51" t="s">
        <v>14778</v>
      </c>
      <c r="O51" t="s">
        <v>14786</v>
      </c>
      <c r="P51" t="s">
        <v>14795</v>
      </c>
      <c r="Q51" t="s">
        <v>11446</v>
      </c>
      <c r="S51" t="s">
        <v>14827</v>
      </c>
      <c r="V51">
        <v>0</v>
      </c>
      <c r="W51" t="s">
        <v>14858</v>
      </c>
      <c r="Y51" t="s">
        <v>14883</v>
      </c>
      <c r="AC51">
        <v>0</v>
      </c>
      <c r="AF51">
        <v>0</v>
      </c>
      <c r="AG51">
        <v>1</v>
      </c>
      <c r="AH51">
        <v>0</v>
      </c>
      <c r="AI51">
        <v>0</v>
      </c>
      <c r="AM51">
        <v>0</v>
      </c>
      <c r="AQ51" t="s">
        <v>24986</v>
      </c>
      <c r="AR51" t="s">
        <v>24993</v>
      </c>
      <c r="AS51">
        <v>0.85</v>
      </c>
      <c r="AT51" t="s">
        <v>375</v>
      </c>
      <c r="AU51" t="s">
        <v>25242</v>
      </c>
      <c r="AW51" t="s">
        <v>11447</v>
      </c>
    </row>
    <row r="52" spans="1:49">
      <c r="A52" s="1">
        <f>HYPERLINK("https://lsnyc.legalserver.org/matter/dynamic-profile/view/1860961","18-1860961")</f>
        <v>0</v>
      </c>
      <c r="B52" t="s">
        <v>80</v>
      </c>
      <c r="C52" t="s">
        <v>374</v>
      </c>
      <c r="D52" t="s">
        <v>375</v>
      </c>
      <c r="E52" t="s">
        <v>1068</v>
      </c>
      <c r="F52" t="s">
        <v>1706</v>
      </c>
      <c r="G52" t="s">
        <v>6322</v>
      </c>
      <c r="H52" t="s">
        <v>10481</v>
      </c>
      <c r="I52" t="s">
        <v>11383</v>
      </c>
      <c r="J52">
        <v>10470</v>
      </c>
      <c r="K52" t="s">
        <v>11447</v>
      </c>
      <c r="M52" t="s">
        <v>14749</v>
      </c>
      <c r="N52" t="s">
        <v>14781</v>
      </c>
      <c r="O52" t="s">
        <v>14786</v>
      </c>
      <c r="P52" t="s">
        <v>14795</v>
      </c>
      <c r="Q52" t="s">
        <v>11446</v>
      </c>
      <c r="S52" t="s">
        <v>14827</v>
      </c>
      <c r="V52">
        <v>767.59</v>
      </c>
      <c r="W52" t="s">
        <v>14858</v>
      </c>
      <c r="Y52" t="s">
        <v>14883</v>
      </c>
      <c r="Z52" t="s">
        <v>14948</v>
      </c>
      <c r="AB52" t="s">
        <v>20137</v>
      </c>
      <c r="AC52">
        <v>7</v>
      </c>
      <c r="AD52" t="s">
        <v>24595</v>
      </c>
      <c r="AF52">
        <v>12</v>
      </c>
      <c r="AG52">
        <v>1</v>
      </c>
      <c r="AH52">
        <v>0</v>
      </c>
      <c r="AI52">
        <v>192.75</v>
      </c>
      <c r="AL52" t="s">
        <v>5011</v>
      </c>
      <c r="AM52">
        <v>23400</v>
      </c>
      <c r="AS52">
        <v>5.45</v>
      </c>
      <c r="AT52" t="s">
        <v>375</v>
      </c>
      <c r="AU52" t="s">
        <v>25242</v>
      </c>
      <c r="AW52" t="s">
        <v>11447</v>
      </c>
    </row>
    <row r="53" spans="1:49">
      <c r="A53" s="1">
        <f>HYPERLINK("https://lsnyc.legalserver.org/matter/dynamic-profile/view/1908335","19-1908335")</f>
        <v>0</v>
      </c>
      <c r="B53" t="s">
        <v>81</v>
      </c>
      <c r="C53" t="s">
        <v>375</v>
      </c>
      <c r="D53" t="s">
        <v>464</v>
      </c>
      <c r="E53" t="s">
        <v>1069</v>
      </c>
      <c r="F53" t="s">
        <v>1879</v>
      </c>
      <c r="G53" t="s">
        <v>6323</v>
      </c>
      <c r="H53" t="s">
        <v>10482</v>
      </c>
      <c r="I53" t="s">
        <v>11383</v>
      </c>
      <c r="J53">
        <v>10470</v>
      </c>
      <c r="K53" t="s">
        <v>11446</v>
      </c>
      <c r="L53" t="s">
        <v>11469</v>
      </c>
      <c r="M53" t="s">
        <v>14744</v>
      </c>
      <c r="N53" t="s">
        <v>14778</v>
      </c>
      <c r="O53" t="s">
        <v>14786</v>
      </c>
      <c r="P53" t="s">
        <v>14795</v>
      </c>
      <c r="Q53" t="s">
        <v>11448</v>
      </c>
      <c r="S53" t="s">
        <v>14827</v>
      </c>
      <c r="T53" t="s">
        <v>14832</v>
      </c>
      <c r="V53">
        <v>0</v>
      </c>
      <c r="W53" t="s">
        <v>14858</v>
      </c>
      <c r="X53" t="s">
        <v>14871</v>
      </c>
      <c r="Y53" t="s">
        <v>14883</v>
      </c>
      <c r="Z53" t="s">
        <v>14949</v>
      </c>
      <c r="AC53">
        <v>0</v>
      </c>
      <c r="AF53">
        <v>0</v>
      </c>
      <c r="AG53">
        <v>1</v>
      </c>
      <c r="AH53">
        <v>2</v>
      </c>
      <c r="AI53">
        <v>79.7</v>
      </c>
      <c r="AL53" t="s">
        <v>5011</v>
      </c>
      <c r="AM53">
        <v>17000</v>
      </c>
      <c r="AS53">
        <v>0.5</v>
      </c>
      <c r="AT53" t="s">
        <v>464</v>
      </c>
      <c r="AU53" t="s">
        <v>114</v>
      </c>
      <c r="AW53" t="s">
        <v>11447</v>
      </c>
    </row>
    <row r="54" spans="1:49">
      <c r="A54" s="1">
        <f>HYPERLINK("https://lsnyc.legalserver.org/matter/dynamic-profile/view/1894789","19-1894789")</f>
        <v>0</v>
      </c>
      <c r="B54" t="s">
        <v>82</v>
      </c>
      <c r="C54" t="s">
        <v>376</v>
      </c>
      <c r="D54" t="s">
        <v>466</v>
      </c>
      <c r="E54" t="s">
        <v>1070</v>
      </c>
      <c r="F54" t="s">
        <v>3589</v>
      </c>
      <c r="G54" t="s">
        <v>6324</v>
      </c>
      <c r="H54" t="s">
        <v>10483</v>
      </c>
      <c r="I54" t="s">
        <v>11383</v>
      </c>
      <c r="J54">
        <v>10473</v>
      </c>
      <c r="K54" t="s">
        <v>11447</v>
      </c>
      <c r="M54" t="s">
        <v>14746</v>
      </c>
      <c r="N54" t="s">
        <v>14778</v>
      </c>
      <c r="O54" t="s">
        <v>14786</v>
      </c>
      <c r="P54" t="s">
        <v>14795</v>
      </c>
      <c r="Q54" t="s">
        <v>11448</v>
      </c>
      <c r="S54" t="s">
        <v>14827</v>
      </c>
      <c r="V54">
        <v>1167</v>
      </c>
      <c r="W54" t="s">
        <v>14858</v>
      </c>
      <c r="X54" t="s">
        <v>14863</v>
      </c>
      <c r="Y54" t="s">
        <v>14883</v>
      </c>
      <c r="Z54" t="s">
        <v>14950</v>
      </c>
      <c r="AB54" t="s">
        <v>20138</v>
      </c>
      <c r="AC54">
        <v>0</v>
      </c>
      <c r="AD54" t="s">
        <v>24597</v>
      </c>
      <c r="AF54">
        <v>1</v>
      </c>
      <c r="AG54">
        <v>1</v>
      </c>
      <c r="AH54">
        <v>1</v>
      </c>
      <c r="AI54">
        <v>195.15</v>
      </c>
      <c r="AL54" t="s">
        <v>5011</v>
      </c>
      <c r="AM54">
        <v>33000</v>
      </c>
      <c r="AN54" t="s">
        <v>24675</v>
      </c>
      <c r="AS54">
        <v>0.1</v>
      </c>
      <c r="AT54" t="s">
        <v>677</v>
      </c>
      <c r="AU54" t="s">
        <v>25243</v>
      </c>
      <c r="AW54" t="s">
        <v>11447</v>
      </c>
    </row>
    <row r="55" spans="1:49">
      <c r="A55" s="1">
        <f>HYPERLINK("https://lsnyc.legalserver.org/matter/dynamic-profile/view/1907799","19-1907799")</f>
        <v>0</v>
      </c>
      <c r="B55" t="s">
        <v>63</v>
      </c>
      <c r="C55" t="s">
        <v>377</v>
      </c>
      <c r="D55" t="s">
        <v>1014</v>
      </c>
      <c r="E55" t="s">
        <v>1071</v>
      </c>
      <c r="F55" t="s">
        <v>3590</v>
      </c>
      <c r="G55" t="s">
        <v>6325</v>
      </c>
      <c r="H55" t="s">
        <v>10484</v>
      </c>
      <c r="I55" t="s">
        <v>11390</v>
      </c>
      <c r="J55">
        <v>11368</v>
      </c>
      <c r="K55" t="s">
        <v>11447</v>
      </c>
      <c r="M55" t="s">
        <v>14747</v>
      </c>
      <c r="N55" t="s">
        <v>14778</v>
      </c>
      <c r="O55" t="s">
        <v>14786</v>
      </c>
      <c r="P55" t="s">
        <v>14795</v>
      </c>
      <c r="Q55" t="s">
        <v>11448</v>
      </c>
      <c r="S55" t="s">
        <v>14827</v>
      </c>
      <c r="V55">
        <v>1200</v>
      </c>
      <c r="W55" t="s">
        <v>14861</v>
      </c>
      <c r="X55" t="s">
        <v>14866</v>
      </c>
      <c r="Y55" t="s">
        <v>14883</v>
      </c>
      <c r="Z55" t="s">
        <v>14951</v>
      </c>
      <c r="AB55" t="s">
        <v>20139</v>
      </c>
      <c r="AC55">
        <v>7</v>
      </c>
      <c r="AF55">
        <v>6</v>
      </c>
      <c r="AG55">
        <v>1</v>
      </c>
      <c r="AH55">
        <v>0</v>
      </c>
      <c r="AI55">
        <v>124.9</v>
      </c>
      <c r="AL55" t="s">
        <v>5011</v>
      </c>
      <c r="AM55">
        <v>15600</v>
      </c>
      <c r="AS55">
        <v>1.15</v>
      </c>
      <c r="AT55" t="s">
        <v>464</v>
      </c>
      <c r="AU55" t="s">
        <v>25241</v>
      </c>
      <c r="AW55" t="s">
        <v>11447</v>
      </c>
    </row>
    <row r="56" spans="1:49">
      <c r="A56" s="1">
        <f>HYPERLINK("https://lsnyc.legalserver.org/matter/dynamic-profile/view/1903911","19-1903911")</f>
        <v>0</v>
      </c>
      <c r="B56" t="s">
        <v>83</v>
      </c>
      <c r="C56" t="s">
        <v>378</v>
      </c>
      <c r="D56" t="s">
        <v>410</v>
      </c>
      <c r="E56" t="s">
        <v>1072</v>
      </c>
      <c r="F56" t="s">
        <v>3591</v>
      </c>
      <c r="G56" t="s">
        <v>6326</v>
      </c>
      <c r="H56" t="s">
        <v>10485</v>
      </c>
      <c r="I56" t="s">
        <v>11395</v>
      </c>
      <c r="J56">
        <v>11373</v>
      </c>
      <c r="K56" t="s">
        <v>11446</v>
      </c>
      <c r="L56" t="s">
        <v>11470</v>
      </c>
      <c r="M56" t="s">
        <v>14744</v>
      </c>
      <c r="N56" t="s">
        <v>14778</v>
      </c>
      <c r="O56" t="s">
        <v>14786</v>
      </c>
      <c r="P56" t="s">
        <v>14795</v>
      </c>
      <c r="Q56" t="s">
        <v>11446</v>
      </c>
      <c r="S56" t="s">
        <v>14827</v>
      </c>
      <c r="T56" t="s">
        <v>14832</v>
      </c>
      <c r="U56" t="s">
        <v>410</v>
      </c>
      <c r="V56">
        <v>700</v>
      </c>
      <c r="W56" t="s">
        <v>14861</v>
      </c>
      <c r="X56" t="s">
        <v>14865</v>
      </c>
      <c r="Y56" t="s">
        <v>14883</v>
      </c>
      <c r="Z56" t="s">
        <v>14952</v>
      </c>
      <c r="AA56" t="s">
        <v>11459</v>
      </c>
      <c r="AB56" t="s">
        <v>20140</v>
      </c>
      <c r="AC56">
        <v>96</v>
      </c>
      <c r="AD56" t="s">
        <v>24600</v>
      </c>
      <c r="AE56" t="s">
        <v>11459</v>
      </c>
      <c r="AF56">
        <v>18</v>
      </c>
      <c r="AG56">
        <v>2</v>
      </c>
      <c r="AH56">
        <v>0</v>
      </c>
      <c r="AI56">
        <v>47.31</v>
      </c>
      <c r="AL56" t="s">
        <v>5011</v>
      </c>
      <c r="AM56">
        <v>8000</v>
      </c>
      <c r="AS56">
        <v>3.43</v>
      </c>
      <c r="AT56" t="s">
        <v>410</v>
      </c>
      <c r="AU56" t="s">
        <v>25233</v>
      </c>
      <c r="AV56" t="s">
        <v>25335</v>
      </c>
      <c r="AW56" t="s">
        <v>11447</v>
      </c>
    </row>
    <row r="57" spans="1:49">
      <c r="A57" s="1">
        <f>HYPERLINK("https://lsnyc.legalserver.org/matter/dynamic-profile/view/1907150","19-1907150")</f>
        <v>0</v>
      </c>
      <c r="B57" t="s">
        <v>84</v>
      </c>
      <c r="C57" t="s">
        <v>379</v>
      </c>
      <c r="D57" t="s">
        <v>410</v>
      </c>
      <c r="E57" t="s">
        <v>1073</v>
      </c>
      <c r="F57" t="s">
        <v>3592</v>
      </c>
      <c r="G57" t="s">
        <v>6327</v>
      </c>
      <c r="H57">
        <v>3</v>
      </c>
      <c r="I57" t="s">
        <v>11383</v>
      </c>
      <c r="J57">
        <v>10459</v>
      </c>
      <c r="K57" t="s">
        <v>11446</v>
      </c>
      <c r="L57" t="s">
        <v>11471</v>
      </c>
      <c r="M57" t="s">
        <v>14743</v>
      </c>
      <c r="N57" t="s">
        <v>14778</v>
      </c>
      <c r="O57" t="s">
        <v>14786</v>
      </c>
      <c r="P57" t="s">
        <v>14795</v>
      </c>
      <c r="S57" t="s">
        <v>14827</v>
      </c>
      <c r="V57">
        <v>1528</v>
      </c>
      <c r="W57" t="s">
        <v>14858</v>
      </c>
      <c r="Y57" t="s">
        <v>14883</v>
      </c>
      <c r="Z57" t="s">
        <v>14953</v>
      </c>
      <c r="AB57" t="s">
        <v>20141</v>
      </c>
      <c r="AC57">
        <v>0</v>
      </c>
      <c r="AD57" t="s">
        <v>11479</v>
      </c>
      <c r="AE57" t="s">
        <v>24610</v>
      </c>
      <c r="AF57">
        <v>17</v>
      </c>
      <c r="AG57">
        <v>1</v>
      </c>
      <c r="AH57">
        <v>0</v>
      </c>
      <c r="AI57">
        <v>116.45</v>
      </c>
      <c r="AL57" t="s">
        <v>5011</v>
      </c>
      <c r="AM57">
        <v>14544</v>
      </c>
      <c r="AS57">
        <v>1.1</v>
      </c>
      <c r="AT57" t="s">
        <v>410</v>
      </c>
      <c r="AU57" t="s">
        <v>25231</v>
      </c>
      <c r="AV57" t="s">
        <v>25335</v>
      </c>
      <c r="AW57" t="s">
        <v>11447</v>
      </c>
    </row>
    <row r="58" spans="1:49">
      <c r="A58" s="1">
        <f>HYPERLINK("https://lsnyc.legalserver.org/matter/dynamic-profile/view/1906433","19-1906433")</f>
        <v>0</v>
      </c>
      <c r="B58" t="s">
        <v>81</v>
      </c>
      <c r="C58" t="s">
        <v>380</v>
      </c>
      <c r="D58" t="s">
        <v>410</v>
      </c>
      <c r="E58" t="s">
        <v>1074</v>
      </c>
      <c r="F58" t="s">
        <v>3593</v>
      </c>
      <c r="G58" t="s">
        <v>6328</v>
      </c>
      <c r="H58" t="s">
        <v>10465</v>
      </c>
      <c r="I58" t="s">
        <v>11383</v>
      </c>
      <c r="J58">
        <v>10453</v>
      </c>
      <c r="K58" t="s">
        <v>11446</v>
      </c>
      <c r="L58" t="s">
        <v>11472</v>
      </c>
      <c r="M58" t="s">
        <v>14743</v>
      </c>
      <c r="N58" t="s">
        <v>14778</v>
      </c>
      <c r="O58" t="s">
        <v>14786</v>
      </c>
      <c r="P58" t="s">
        <v>14795</v>
      </c>
      <c r="S58" t="s">
        <v>14828</v>
      </c>
      <c r="V58">
        <v>312</v>
      </c>
      <c r="W58" t="s">
        <v>14858</v>
      </c>
      <c r="Y58" t="s">
        <v>14883</v>
      </c>
      <c r="Z58" t="s">
        <v>14954</v>
      </c>
      <c r="AB58" t="s">
        <v>20142</v>
      </c>
      <c r="AC58">
        <v>11</v>
      </c>
      <c r="AD58" t="s">
        <v>24597</v>
      </c>
      <c r="AF58">
        <v>2</v>
      </c>
      <c r="AG58">
        <v>2</v>
      </c>
      <c r="AH58">
        <v>0</v>
      </c>
      <c r="AI58">
        <v>150.68</v>
      </c>
      <c r="AL58" t="s">
        <v>5011</v>
      </c>
      <c r="AM58">
        <v>25480</v>
      </c>
      <c r="AS58">
        <v>1</v>
      </c>
      <c r="AT58" t="s">
        <v>410</v>
      </c>
      <c r="AU58" t="s">
        <v>145</v>
      </c>
      <c r="AV58" t="s">
        <v>25335</v>
      </c>
      <c r="AW58" t="s">
        <v>11447</v>
      </c>
    </row>
    <row r="59" spans="1:49">
      <c r="A59" s="1">
        <f>HYPERLINK("https://lsnyc.legalserver.org/matter/dynamic-profile/view/1907321","19-1907321")</f>
        <v>0</v>
      </c>
      <c r="B59" t="s">
        <v>84</v>
      </c>
      <c r="C59" t="s">
        <v>366</v>
      </c>
      <c r="D59" t="s">
        <v>410</v>
      </c>
      <c r="E59" t="s">
        <v>1075</v>
      </c>
      <c r="F59" t="s">
        <v>2123</v>
      </c>
      <c r="G59" t="s">
        <v>6329</v>
      </c>
      <c r="H59" t="s">
        <v>10476</v>
      </c>
      <c r="I59" t="s">
        <v>11383</v>
      </c>
      <c r="J59">
        <v>10452</v>
      </c>
      <c r="K59" t="s">
        <v>11447</v>
      </c>
      <c r="O59" t="s">
        <v>14786</v>
      </c>
      <c r="P59" t="s">
        <v>14795</v>
      </c>
      <c r="S59" t="s">
        <v>14827</v>
      </c>
      <c r="V59">
        <v>972</v>
      </c>
      <c r="W59" t="s">
        <v>14858</v>
      </c>
      <c r="X59" t="s">
        <v>14868</v>
      </c>
      <c r="Y59" t="s">
        <v>14883</v>
      </c>
      <c r="Z59" t="s">
        <v>14955</v>
      </c>
      <c r="AB59" t="s">
        <v>20143</v>
      </c>
      <c r="AC59">
        <v>24</v>
      </c>
      <c r="AD59" t="s">
        <v>24595</v>
      </c>
      <c r="AE59" t="s">
        <v>11459</v>
      </c>
      <c r="AF59">
        <v>35</v>
      </c>
      <c r="AG59">
        <v>1</v>
      </c>
      <c r="AH59">
        <v>0</v>
      </c>
      <c r="AI59">
        <v>153.53</v>
      </c>
      <c r="AL59" t="s">
        <v>5011</v>
      </c>
      <c r="AM59">
        <v>19176</v>
      </c>
      <c r="AS59">
        <v>1.1</v>
      </c>
      <c r="AT59" t="s">
        <v>410</v>
      </c>
      <c r="AU59" t="s">
        <v>25226</v>
      </c>
      <c r="AW59" t="s">
        <v>11447</v>
      </c>
    </row>
    <row r="60" spans="1:49">
      <c r="A60" s="1">
        <f>HYPERLINK("https://lsnyc.legalserver.org/matter/dynamic-profile/view/1862446","18-1862446")</f>
        <v>0</v>
      </c>
      <c r="B60" t="s">
        <v>85</v>
      </c>
      <c r="C60" t="s">
        <v>381</v>
      </c>
      <c r="D60" t="s">
        <v>585</v>
      </c>
      <c r="E60" t="s">
        <v>1076</v>
      </c>
      <c r="F60" t="s">
        <v>3594</v>
      </c>
      <c r="G60" t="s">
        <v>6330</v>
      </c>
      <c r="H60" t="s">
        <v>10486</v>
      </c>
      <c r="I60" t="s">
        <v>11395</v>
      </c>
      <c r="J60">
        <v>11373</v>
      </c>
      <c r="K60" t="s">
        <v>11447</v>
      </c>
      <c r="O60" t="s">
        <v>14786</v>
      </c>
      <c r="P60" t="s">
        <v>14795</v>
      </c>
      <c r="S60" t="s">
        <v>14827</v>
      </c>
      <c r="V60">
        <v>1700</v>
      </c>
      <c r="W60" t="s">
        <v>14861</v>
      </c>
      <c r="X60" t="s">
        <v>14866</v>
      </c>
      <c r="Y60" t="s">
        <v>14883</v>
      </c>
      <c r="Z60" t="s">
        <v>14956</v>
      </c>
      <c r="AB60" t="s">
        <v>20144</v>
      </c>
      <c r="AC60">
        <v>2</v>
      </c>
      <c r="AD60" t="s">
        <v>11479</v>
      </c>
      <c r="AE60" t="s">
        <v>11459</v>
      </c>
      <c r="AF60">
        <v>1</v>
      </c>
      <c r="AG60">
        <v>1</v>
      </c>
      <c r="AH60">
        <v>1</v>
      </c>
      <c r="AI60">
        <v>0</v>
      </c>
      <c r="AL60" t="s">
        <v>5011</v>
      </c>
      <c r="AM60">
        <v>0</v>
      </c>
      <c r="AS60">
        <v>1.6</v>
      </c>
      <c r="AT60" t="s">
        <v>434</v>
      </c>
      <c r="AU60" t="s">
        <v>25233</v>
      </c>
      <c r="AW60" t="s">
        <v>11447</v>
      </c>
    </row>
    <row r="61" spans="1:49">
      <c r="A61" s="1">
        <f>HYPERLINK("https://lsnyc.legalserver.org/matter/dynamic-profile/view/1847225","17-1847225")</f>
        <v>0</v>
      </c>
      <c r="B61" t="s">
        <v>85</v>
      </c>
      <c r="C61" t="s">
        <v>382</v>
      </c>
      <c r="D61" t="s">
        <v>585</v>
      </c>
      <c r="E61" t="s">
        <v>1077</v>
      </c>
      <c r="F61" t="s">
        <v>3595</v>
      </c>
      <c r="G61" t="s">
        <v>6331</v>
      </c>
      <c r="H61" t="s">
        <v>10487</v>
      </c>
      <c r="I61" t="s">
        <v>11392</v>
      </c>
      <c r="J61">
        <v>11372</v>
      </c>
      <c r="K61" t="s">
        <v>11447</v>
      </c>
      <c r="M61" t="s">
        <v>14746</v>
      </c>
      <c r="N61" t="s">
        <v>14778</v>
      </c>
      <c r="O61" t="s">
        <v>14786</v>
      </c>
      <c r="P61" t="s">
        <v>14795</v>
      </c>
      <c r="S61" t="s">
        <v>14827</v>
      </c>
      <c r="V61">
        <v>900</v>
      </c>
      <c r="W61" t="s">
        <v>14861</v>
      </c>
      <c r="X61" t="s">
        <v>14867</v>
      </c>
      <c r="Y61" t="s">
        <v>14883</v>
      </c>
      <c r="Z61" t="s">
        <v>14957</v>
      </c>
      <c r="AC61">
        <v>200</v>
      </c>
      <c r="AD61" t="s">
        <v>24595</v>
      </c>
      <c r="AE61" t="s">
        <v>11459</v>
      </c>
      <c r="AF61">
        <v>18</v>
      </c>
      <c r="AG61">
        <v>1</v>
      </c>
      <c r="AH61">
        <v>0</v>
      </c>
      <c r="AI61">
        <v>0</v>
      </c>
      <c r="AL61" t="s">
        <v>5011</v>
      </c>
      <c r="AM61">
        <v>0</v>
      </c>
      <c r="AS61">
        <v>1</v>
      </c>
      <c r="AT61" t="s">
        <v>382</v>
      </c>
      <c r="AU61" t="s">
        <v>25233</v>
      </c>
      <c r="AW61" t="s">
        <v>11447</v>
      </c>
    </row>
    <row r="62" spans="1:49">
      <c r="A62" s="1">
        <f>HYPERLINK("https://lsnyc.legalserver.org/matter/dynamic-profile/view/1874069","18-1874069")</f>
        <v>0</v>
      </c>
      <c r="B62" t="s">
        <v>85</v>
      </c>
      <c r="C62" t="s">
        <v>383</v>
      </c>
      <c r="D62" t="s">
        <v>585</v>
      </c>
      <c r="E62" t="s">
        <v>1078</v>
      </c>
      <c r="F62" t="s">
        <v>3596</v>
      </c>
      <c r="G62" t="s">
        <v>6332</v>
      </c>
      <c r="H62" t="s">
        <v>10488</v>
      </c>
      <c r="I62" t="s">
        <v>11390</v>
      </c>
      <c r="J62">
        <v>11368</v>
      </c>
      <c r="K62" t="s">
        <v>11447</v>
      </c>
      <c r="N62" t="s">
        <v>14778</v>
      </c>
      <c r="O62" t="s">
        <v>14786</v>
      </c>
      <c r="P62" t="s">
        <v>14795</v>
      </c>
      <c r="S62" t="s">
        <v>14827</v>
      </c>
      <c r="V62">
        <v>0</v>
      </c>
      <c r="W62" t="s">
        <v>14861</v>
      </c>
      <c r="Y62" t="s">
        <v>14883</v>
      </c>
      <c r="Z62" t="s">
        <v>14958</v>
      </c>
      <c r="AB62" t="s">
        <v>20145</v>
      </c>
      <c r="AC62">
        <v>0</v>
      </c>
      <c r="AF62">
        <v>0</v>
      </c>
      <c r="AG62">
        <v>2</v>
      </c>
      <c r="AH62">
        <v>0</v>
      </c>
      <c r="AI62">
        <v>0</v>
      </c>
      <c r="AL62" t="s">
        <v>5011</v>
      </c>
      <c r="AM62">
        <v>0</v>
      </c>
      <c r="AS62">
        <v>1</v>
      </c>
      <c r="AT62" t="s">
        <v>383</v>
      </c>
      <c r="AU62" t="s">
        <v>25227</v>
      </c>
      <c r="AW62" t="s">
        <v>11447</v>
      </c>
    </row>
    <row r="63" spans="1:49">
      <c r="A63" s="1">
        <f>HYPERLINK("https://lsnyc.legalserver.org/matter/dynamic-profile/view/1862294","18-1862294")</f>
        <v>0</v>
      </c>
      <c r="B63" t="s">
        <v>85</v>
      </c>
      <c r="C63" t="s">
        <v>384</v>
      </c>
      <c r="D63" t="s">
        <v>585</v>
      </c>
      <c r="E63" t="s">
        <v>1079</v>
      </c>
      <c r="F63" t="s">
        <v>3597</v>
      </c>
      <c r="G63" t="s">
        <v>6333</v>
      </c>
      <c r="H63" t="s">
        <v>10468</v>
      </c>
      <c r="I63" t="s">
        <v>11396</v>
      </c>
      <c r="J63">
        <v>11365</v>
      </c>
      <c r="K63" t="s">
        <v>11447</v>
      </c>
      <c r="L63" t="s">
        <v>11465</v>
      </c>
      <c r="M63" t="s">
        <v>14744</v>
      </c>
      <c r="N63" t="s">
        <v>14778</v>
      </c>
      <c r="O63" t="s">
        <v>14786</v>
      </c>
      <c r="P63" t="s">
        <v>14795</v>
      </c>
      <c r="Q63" t="s">
        <v>11448</v>
      </c>
      <c r="S63" t="s">
        <v>14827</v>
      </c>
      <c r="V63">
        <v>1300</v>
      </c>
      <c r="W63" t="s">
        <v>14861</v>
      </c>
      <c r="X63" t="s">
        <v>14867</v>
      </c>
      <c r="Y63" t="s">
        <v>14883</v>
      </c>
      <c r="Z63" t="s">
        <v>14959</v>
      </c>
      <c r="AB63" t="s">
        <v>20146</v>
      </c>
      <c r="AC63">
        <v>500</v>
      </c>
      <c r="AD63" t="s">
        <v>24595</v>
      </c>
      <c r="AE63" t="s">
        <v>11459</v>
      </c>
      <c r="AF63">
        <v>18</v>
      </c>
      <c r="AG63">
        <v>1</v>
      </c>
      <c r="AH63">
        <v>0</v>
      </c>
      <c r="AI63">
        <v>0</v>
      </c>
      <c r="AL63" t="s">
        <v>5011</v>
      </c>
      <c r="AM63">
        <v>0</v>
      </c>
      <c r="AS63">
        <v>2</v>
      </c>
      <c r="AT63" t="s">
        <v>435</v>
      </c>
      <c r="AU63" t="s">
        <v>25226</v>
      </c>
      <c r="AW63" t="s">
        <v>11447</v>
      </c>
    </row>
    <row r="64" spans="1:49">
      <c r="A64" s="1">
        <f>HYPERLINK("https://lsnyc.legalserver.org/matter/dynamic-profile/view/1858702","18-1858702")</f>
        <v>0</v>
      </c>
      <c r="B64" t="s">
        <v>85</v>
      </c>
      <c r="C64" t="s">
        <v>385</v>
      </c>
      <c r="D64" t="s">
        <v>585</v>
      </c>
      <c r="E64" t="s">
        <v>1080</v>
      </c>
      <c r="F64" t="s">
        <v>3598</v>
      </c>
      <c r="G64" t="s">
        <v>6334</v>
      </c>
      <c r="H64" t="s">
        <v>10489</v>
      </c>
      <c r="I64" t="s">
        <v>6196</v>
      </c>
      <c r="J64">
        <v>11423</v>
      </c>
      <c r="K64" t="s">
        <v>11447</v>
      </c>
      <c r="N64" t="s">
        <v>14778</v>
      </c>
      <c r="O64" t="s">
        <v>14786</v>
      </c>
      <c r="P64" t="s">
        <v>14795</v>
      </c>
      <c r="S64" t="s">
        <v>14827</v>
      </c>
      <c r="V64">
        <v>1190</v>
      </c>
      <c r="W64" t="s">
        <v>14861</v>
      </c>
      <c r="Y64" t="s">
        <v>14883</v>
      </c>
      <c r="Z64" t="s">
        <v>14960</v>
      </c>
      <c r="AB64" t="s">
        <v>20147</v>
      </c>
      <c r="AC64">
        <v>54</v>
      </c>
      <c r="AE64" t="s">
        <v>24615</v>
      </c>
      <c r="AF64">
        <v>8</v>
      </c>
      <c r="AG64">
        <v>1</v>
      </c>
      <c r="AH64">
        <v>3</v>
      </c>
      <c r="AI64">
        <v>7.9</v>
      </c>
      <c r="AL64" t="s">
        <v>5011</v>
      </c>
      <c r="AM64">
        <v>1944</v>
      </c>
      <c r="AS64">
        <v>1.25</v>
      </c>
      <c r="AT64" t="s">
        <v>827</v>
      </c>
      <c r="AU64" t="s">
        <v>25227</v>
      </c>
      <c r="AW64" t="s">
        <v>11447</v>
      </c>
    </row>
    <row r="65" spans="1:49">
      <c r="A65" s="1">
        <f>HYPERLINK("https://lsnyc.legalserver.org/matter/dynamic-profile/view/1880587","18-1880587")</f>
        <v>0</v>
      </c>
      <c r="B65" t="s">
        <v>85</v>
      </c>
      <c r="C65" t="s">
        <v>386</v>
      </c>
      <c r="D65" t="s">
        <v>585</v>
      </c>
      <c r="E65" t="s">
        <v>1081</v>
      </c>
      <c r="F65" t="s">
        <v>3599</v>
      </c>
      <c r="G65" t="s">
        <v>6335</v>
      </c>
      <c r="I65" t="s">
        <v>11397</v>
      </c>
      <c r="J65">
        <v>11378</v>
      </c>
      <c r="K65" t="s">
        <v>11447</v>
      </c>
      <c r="O65" t="s">
        <v>14786</v>
      </c>
      <c r="P65" t="s">
        <v>14795</v>
      </c>
      <c r="S65" t="s">
        <v>14827</v>
      </c>
      <c r="V65">
        <v>2500</v>
      </c>
      <c r="W65" t="s">
        <v>14861</v>
      </c>
      <c r="Y65" t="s">
        <v>14883</v>
      </c>
      <c r="Z65" t="s">
        <v>14961</v>
      </c>
      <c r="AB65" t="s">
        <v>20148</v>
      </c>
      <c r="AC65">
        <v>1</v>
      </c>
      <c r="AF65">
        <v>1</v>
      </c>
      <c r="AG65">
        <v>1</v>
      </c>
      <c r="AH65">
        <v>2</v>
      </c>
      <c r="AI65">
        <v>11.55</v>
      </c>
      <c r="AL65" t="s">
        <v>5011</v>
      </c>
      <c r="AM65">
        <v>2400</v>
      </c>
      <c r="AS65">
        <v>0.7</v>
      </c>
      <c r="AT65" t="s">
        <v>386</v>
      </c>
      <c r="AU65" t="s">
        <v>25227</v>
      </c>
      <c r="AW65" t="s">
        <v>11447</v>
      </c>
    </row>
    <row r="66" spans="1:49">
      <c r="A66" s="1">
        <f>HYPERLINK("https://lsnyc.legalserver.org/matter/dynamic-profile/view/1852106","17-1852106")</f>
        <v>0</v>
      </c>
      <c r="B66" t="s">
        <v>85</v>
      </c>
      <c r="C66" t="s">
        <v>387</v>
      </c>
      <c r="D66" t="s">
        <v>585</v>
      </c>
      <c r="E66" t="s">
        <v>1082</v>
      </c>
      <c r="F66" t="s">
        <v>1254</v>
      </c>
      <c r="G66" t="s">
        <v>6336</v>
      </c>
      <c r="H66" t="s">
        <v>10490</v>
      </c>
      <c r="I66" t="s">
        <v>11387</v>
      </c>
      <c r="J66">
        <v>11434</v>
      </c>
      <c r="K66" t="s">
        <v>11447</v>
      </c>
      <c r="M66" t="s">
        <v>14746</v>
      </c>
      <c r="N66" t="s">
        <v>14778</v>
      </c>
      <c r="O66" t="s">
        <v>14786</v>
      </c>
      <c r="P66" t="s">
        <v>14795</v>
      </c>
      <c r="S66" t="s">
        <v>14827</v>
      </c>
      <c r="V66">
        <v>0</v>
      </c>
      <c r="W66" t="s">
        <v>14861</v>
      </c>
      <c r="Y66" t="s">
        <v>14883</v>
      </c>
      <c r="Z66" t="s">
        <v>14962</v>
      </c>
      <c r="AB66" t="s">
        <v>20149</v>
      </c>
      <c r="AC66">
        <v>0</v>
      </c>
      <c r="AF66">
        <v>0</v>
      </c>
      <c r="AG66">
        <v>1</v>
      </c>
      <c r="AH66">
        <v>3</v>
      </c>
      <c r="AI66">
        <v>21.27</v>
      </c>
      <c r="AL66" t="s">
        <v>5011</v>
      </c>
      <c r="AM66">
        <v>5232</v>
      </c>
      <c r="AS66">
        <v>1.25</v>
      </c>
      <c r="AT66" t="s">
        <v>827</v>
      </c>
      <c r="AU66" t="s">
        <v>25231</v>
      </c>
      <c r="AW66" t="s">
        <v>11447</v>
      </c>
    </row>
    <row r="67" spans="1:49">
      <c r="A67" s="1">
        <f>HYPERLINK("https://lsnyc.legalserver.org/matter/dynamic-profile/view/1873334","18-1873334")</f>
        <v>0</v>
      </c>
      <c r="B67" t="s">
        <v>85</v>
      </c>
      <c r="C67" t="s">
        <v>388</v>
      </c>
      <c r="D67" t="s">
        <v>585</v>
      </c>
      <c r="E67" t="s">
        <v>1083</v>
      </c>
      <c r="F67" t="s">
        <v>3600</v>
      </c>
      <c r="G67" t="s">
        <v>6337</v>
      </c>
      <c r="H67" t="s">
        <v>10491</v>
      </c>
      <c r="I67" t="s">
        <v>11398</v>
      </c>
      <c r="J67">
        <v>11693</v>
      </c>
      <c r="K67" t="s">
        <v>11447</v>
      </c>
      <c r="O67" t="s">
        <v>14786</v>
      </c>
      <c r="P67" t="s">
        <v>14795</v>
      </c>
      <c r="S67" t="s">
        <v>14828</v>
      </c>
      <c r="V67">
        <v>282</v>
      </c>
      <c r="W67" t="s">
        <v>14861</v>
      </c>
      <c r="Y67" t="s">
        <v>14883</v>
      </c>
      <c r="Z67" t="s">
        <v>14963</v>
      </c>
      <c r="AB67" t="s">
        <v>20150</v>
      </c>
      <c r="AC67">
        <v>60</v>
      </c>
      <c r="AF67">
        <v>1</v>
      </c>
      <c r="AG67">
        <v>1</v>
      </c>
      <c r="AH67">
        <v>1</v>
      </c>
      <c r="AI67">
        <v>21.87</v>
      </c>
      <c r="AL67" t="s">
        <v>5011</v>
      </c>
      <c r="AM67">
        <v>3600</v>
      </c>
      <c r="AS67">
        <v>0.9</v>
      </c>
      <c r="AT67" t="s">
        <v>388</v>
      </c>
      <c r="AU67" t="s">
        <v>25227</v>
      </c>
      <c r="AW67" t="s">
        <v>11447</v>
      </c>
    </row>
    <row r="68" spans="1:49">
      <c r="A68" s="1">
        <f>HYPERLINK("https://lsnyc.legalserver.org/matter/dynamic-profile/view/1866046","18-1866046")</f>
        <v>0</v>
      </c>
      <c r="B68" t="s">
        <v>86</v>
      </c>
      <c r="C68" t="s">
        <v>389</v>
      </c>
      <c r="D68" t="s">
        <v>585</v>
      </c>
      <c r="E68" t="s">
        <v>1084</v>
      </c>
      <c r="F68" t="s">
        <v>3601</v>
      </c>
      <c r="G68" t="s">
        <v>6338</v>
      </c>
      <c r="I68" t="s">
        <v>11383</v>
      </c>
      <c r="J68">
        <v>10459</v>
      </c>
      <c r="K68" t="s">
        <v>11447</v>
      </c>
      <c r="L68" t="s">
        <v>11473</v>
      </c>
      <c r="M68" t="s">
        <v>14744</v>
      </c>
      <c r="N68" t="s">
        <v>14781</v>
      </c>
      <c r="O68" t="s">
        <v>14788</v>
      </c>
      <c r="P68" t="s">
        <v>14795</v>
      </c>
      <c r="Q68" t="s">
        <v>11448</v>
      </c>
      <c r="S68" t="s">
        <v>14827</v>
      </c>
      <c r="V68">
        <v>1832.96</v>
      </c>
      <c r="W68" t="s">
        <v>14858</v>
      </c>
      <c r="X68" t="s">
        <v>14868</v>
      </c>
      <c r="Y68" t="s">
        <v>14887</v>
      </c>
      <c r="Z68" t="s">
        <v>14964</v>
      </c>
      <c r="AA68" t="s">
        <v>19330</v>
      </c>
      <c r="AB68" t="s">
        <v>20151</v>
      </c>
      <c r="AC68">
        <v>0</v>
      </c>
      <c r="AD68" t="s">
        <v>24595</v>
      </c>
      <c r="AE68" t="s">
        <v>24610</v>
      </c>
      <c r="AF68">
        <v>20</v>
      </c>
      <c r="AG68">
        <v>3</v>
      </c>
      <c r="AH68">
        <v>2</v>
      </c>
      <c r="AI68">
        <v>22.89</v>
      </c>
      <c r="AL68" t="s">
        <v>5011</v>
      </c>
      <c r="AM68">
        <v>6734.4</v>
      </c>
      <c r="AS68">
        <v>6</v>
      </c>
      <c r="AT68" t="s">
        <v>556</v>
      </c>
      <c r="AU68" t="s">
        <v>86</v>
      </c>
      <c r="AW68" t="s">
        <v>11447</v>
      </c>
    </row>
    <row r="69" spans="1:49">
      <c r="A69" s="1">
        <f>HYPERLINK("https://lsnyc.legalserver.org/matter/dynamic-profile/view/1878024","18-1878024")</f>
        <v>0</v>
      </c>
      <c r="B69" t="s">
        <v>85</v>
      </c>
      <c r="C69" t="s">
        <v>390</v>
      </c>
      <c r="D69" t="s">
        <v>585</v>
      </c>
      <c r="E69" t="s">
        <v>1030</v>
      </c>
      <c r="F69" t="s">
        <v>3602</v>
      </c>
      <c r="G69" t="s">
        <v>6339</v>
      </c>
      <c r="H69" t="s">
        <v>10492</v>
      </c>
      <c r="I69" t="s">
        <v>11399</v>
      </c>
      <c r="J69">
        <v>11421</v>
      </c>
      <c r="K69" t="s">
        <v>11447</v>
      </c>
      <c r="M69" t="s">
        <v>14747</v>
      </c>
      <c r="N69" t="s">
        <v>14778</v>
      </c>
      <c r="O69" t="s">
        <v>14786</v>
      </c>
      <c r="P69" t="s">
        <v>14795</v>
      </c>
      <c r="Q69" t="s">
        <v>11448</v>
      </c>
      <c r="S69" t="s">
        <v>14827</v>
      </c>
      <c r="V69">
        <v>890</v>
      </c>
      <c r="W69" t="s">
        <v>14861</v>
      </c>
      <c r="X69" t="s">
        <v>14870</v>
      </c>
      <c r="Y69" t="s">
        <v>14883</v>
      </c>
      <c r="Z69" t="s">
        <v>14965</v>
      </c>
      <c r="AC69">
        <v>32</v>
      </c>
      <c r="AD69" t="s">
        <v>24595</v>
      </c>
      <c r="AE69" t="s">
        <v>11459</v>
      </c>
      <c r="AF69">
        <v>20</v>
      </c>
      <c r="AG69">
        <v>1</v>
      </c>
      <c r="AH69">
        <v>0</v>
      </c>
      <c r="AI69">
        <v>49.42</v>
      </c>
      <c r="AL69" t="s">
        <v>5011</v>
      </c>
      <c r="AM69">
        <v>6000</v>
      </c>
      <c r="AS69">
        <v>0.76</v>
      </c>
      <c r="AT69" t="s">
        <v>624</v>
      </c>
      <c r="AU69" t="s">
        <v>25240</v>
      </c>
      <c r="AW69" t="s">
        <v>11447</v>
      </c>
    </row>
    <row r="70" spans="1:49">
      <c r="A70" s="1">
        <f>HYPERLINK("https://lsnyc.legalserver.org/matter/dynamic-profile/view/1867488","18-1867488")</f>
        <v>0</v>
      </c>
      <c r="B70" t="s">
        <v>85</v>
      </c>
      <c r="C70" t="s">
        <v>391</v>
      </c>
      <c r="D70" t="s">
        <v>585</v>
      </c>
      <c r="E70" t="s">
        <v>1085</v>
      </c>
      <c r="F70" t="s">
        <v>3603</v>
      </c>
      <c r="G70" t="s">
        <v>6340</v>
      </c>
      <c r="I70" t="s">
        <v>11400</v>
      </c>
      <c r="J70">
        <v>11385</v>
      </c>
      <c r="K70" t="s">
        <v>11447</v>
      </c>
      <c r="M70" t="s">
        <v>14746</v>
      </c>
      <c r="O70" t="s">
        <v>14786</v>
      </c>
      <c r="P70" t="s">
        <v>14795</v>
      </c>
      <c r="Q70" t="s">
        <v>11448</v>
      </c>
      <c r="S70" t="s">
        <v>14827</v>
      </c>
      <c r="V70">
        <v>1475</v>
      </c>
      <c r="W70" t="s">
        <v>14861</v>
      </c>
      <c r="X70" t="s">
        <v>14755</v>
      </c>
      <c r="Y70" t="s">
        <v>14883</v>
      </c>
      <c r="Z70" t="s">
        <v>14966</v>
      </c>
      <c r="AB70" t="s">
        <v>20152</v>
      </c>
      <c r="AC70">
        <v>2</v>
      </c>
      <c r="AD70" t="s">
        <v>11479</v>
      </c>
      <c r="AE70" t="s">
        <v>11459</v>
      </c>
      <c r="AF70">
        <v>20</v>
      </c>
      <c r="AG70">
        <v>1</v>
      </c>
      <c r="AH70">
        <v>0</v>
      </c>
      <c r="AI70">
        <v>61.29</v>
      </c>
      <c r="AL70" t="s">
        <v>5011</v>
      </c>
      <c r="AM70">
        <v>7440</v>
      </c>
      <c r="AS70">
        <v>1.4</v>
      </c>
      <c r="AT70" t="s">
        <v>434</v>
      </c>
      <c r="AU70" t="s">
        <v>25244</v>
      </c>
      <c r="AW70" t="s">
        <v>11447</v>
      </c>
    </row>
    <row r="71" spans="1:49">
      <c r="A71" s="1">
        <f>HYPERLINK("https://lsnyc.legalserver.org/matter/dynamic-profile/view/1873118","18-1873118")</f>
        <v>0</v>
      </c>
      <c r="B71" t="s">
        <v>85</v>
      </c>
      <c r="C71" t="s">
        <v>392</v>
      </c>
      <c r="D71" t="s">
        <v>585</v>
      </c>
      <c r="E71" t="s">
        <v>1086</v>
      </c>
      <c r="F71" t="s">
        <v>3604</v>
      </c>
      <c r="G71" t="s">
        <v>6341</v>
      </c>
      <c r="H71" t="s">
        <v>10493</v>
      </c>
      <c r="I71" t="s">
        <v>11388</v>
      </c>
      <c r="J71">
        <v>11385</v>
      </c>
      <c r="K71" t="s">
        <v>11447</v>
      </c>
      <c r="N71" t="s">
        <v>14778</v>
      </c>
      <c r="O71" t="s">
        <v>14786</v>
      </c>
      <c r="P71" t="s">
        <v>14795</v>
      </c>
      <c r="S71" t="s">
        <v>14827</v>
      </c>
      <c r="V71">
        <v>1765</v>
      </c>
      <c r="W71" t="s">
        <v>14861</v>
      </c>
      <c r="Y71" t="s">
        <v>14883</v>
      </c>
      <c r="Z71" t="s">
        <v>14967</v>
      </c>
      <c r="AC71">
        <v>8</v>
      </c>
      <c r="AF71">
        <v>6</v>
      </c>
      <c r="AG71">
        <v>2</v>
      </c>
      <c r="AH71">
        <v>0</v>
      </c>
      <c r="AI71">
        <v>66.05</v>
      </c>
      <c r="AL71" t="s">
        <v>5011</v>
      </c>
      <c r="AM71">
        <v>10872</v>
      </c>
      <c r="AS71">
        <v>0.9</v>
      </c>
      <c r="AT71" t="s">
        <v>392</v>
      </c>
      <c r="AU71" t="s">
        <v>25227</v>
      </c>
      <c r="AW71" t="s">
        <v>11447</v>
      </c>
    </row>
    <row r="72" spans="1:49">
      <c r="A72" s="1">
        <f>HYPERLINK("https://lsnyc.legalserver.org/matter/dynamic-profile/view/1878555","18-1878555")</f>
        <v>0</v>
      </c>
      <c r="B72" t="s">
        <v>85</v>
      </c>
      <c r="C72" t="s">
        <v>393</v>
      </c>
      <c r="D72" t="s">
        <v>585</v>
      </c>
      <c r="E72" t="s">
        <v>1087</v>
      </c>
      <c r="F72" t="s">
        <v>3605</v>
      </c>
      <c r="G72" t="s">
        <v>6342</v>
      </c>
      <c r="H72" t="s">
        <v>10494</v>
      </c>
      <c r="I72" t="s">
        <v>11399</v>
      </c>
      <c r="J72">
        <v>11421</v>
      </c>
      <c r="K72" t="s">
        <v>11447</v>
      </c>
      <c r="O72" t="s">
        <v>14786</v>
      </c>
      <c r="P72" t="s">
        <v>14795</v>
      </c>
      <c r="S72" t="s">
        <v>14827</v>
      </c>
      <c r="V72">
        <v>1710</v>
      </c>
      <c r="W72" t="s">
        <v>14861</v>
      </c>
      <c r="X72" t="s">
        <v>14866</v>
      </c>
      <c r="Y72" t="s">
        <v>14883</v>
      </c>
      <c r="Z72" t="s">
        <v>14968</v>
      </c>
      <c r="AC72">
        <v>2</v>
      </c>
      <c r="AD72" t="s">
        <v>24600</v>
      </c>
      <c r="AE72" t="s">
        <v>11459</v>
      </c>
      <c r="AF72">
        <v>1</v>
      </c>
      <c r="AG72">
        <v>1</v>
      </c>
      <c r="AH72">
        <v>1</v>
      </c>
      <c r="AI72">
        <v>67.65000000000001</v>
      </c>
      <c r="AL72" t="s">
        <v>5011</v>
      </c>
      <c r="AM72">
        <v>11136</v>
      </c>
      <c r="AS72">
        <v>0.6</v>
      </c>
      <c r="AT72" t="s">
        <v>393</v>
      </c>
      <c r="AU72" t="s">
        <v>25225</v>
      </c>
      <c r="AW72" t="s">
        <v>11447</v>
      </c>
    </row>
    <row r="73" spans="1:49">
      <c r="A73" s="1">
        <f>HYPERLINK("https://lsnyc.legalserver.org/matter/dynamic-profile/view/1855856","18-1855856")</f>
        <v>0</v>
      </c>
      <c r="B73" t="s">
        <v>85</v>
      </c>
      <c r="C73" t="s">
        <v>394</v>
      </c>
      <c r="D73" t="s">
        <v>585</v>
      </c>
      <c r="E73" t="s">
        <v>1088</v>
      </c>
      <c r="F73" t="s">
        <v>3606</v>
      </c>
      <c r="G73" t="s">
        <v>6343</v>
      </c>
      <c r="H73" t="s">
        <v>10495</v>
      </c>
      <c r="I73" t="s">
        <v>11395</v>
      </c>
      <c r="J73">
        <v>11373</v>
      </c>
      <c r="K73" t="s">
        <v>11447</v>
      </c>
      <c r="M73" t="s">
        <v>11601</v>
      </c>
      <c r="O73" t="s">
        <v>14786</v>
      </c>
      <c r="P73" t="s">
        <v>14795</v>
      </c>
      <c r="S73" t="s">
        <v>14827</v>
      </c>
      <c r="V73">
        <v>1200</v>
      </c>
      <c r="W73" t="s">
        <v>14861</v>
      </c>
      <c r="Y73" t="s">
        <v>14883</v>
      </c>
      <c r="Z73" t="s">
        <v>14969</v>
      </c>
      <c r="AB73" t="s">
        <v>20153</v>
      </c>
      <c r="AC73">
        <v>0</v>
      </c>
      <c r="AE73" t="s">
        <v>11459</v>
      </c>
      <c r="AF73">
        <v>1</v>
      </c>
      <c r="AG73">
        <v>1</v>
      </c>
      <c r="AH73">
        <v>0</v>
      </c>
      <c r="AI73">
        <v>73.13</v>
      </c>
      <c r="AL73" t="s">
        <v>5011</v>
      </c>
      <c r="AM73">
        <v>8820</v>
      </c>
      <c r="AS73">
        <v>2</v>
      </c>
      <c r="AT73" t="s">
        <v>827</v>
      </c>
      <c r="AU73" t="s">
        <v>25231</v>
      </c>
      <c r="AW73" t="s">
        <v>11447</v>
      </c>
    </row>
    <row r="74" spans="1:49">
      <c r="A74" s="1">
        <f>HYPERLINK("https://lsnyc.legalserver.org/matter/dynamic-profile/view/1860967","18-1860967")</f>
        <v>0</v>
      </c>
      <c r="B74" t="s">
        <v>85</v>
      </c>
      <c r="C74" t="s">
        <v>374</v>
      </c>
      <c r="D74" t="s">
        <v>585</v>
      </c>
      <c r="E74" t="s">
        <v>1089</v>
      </c>
      <c r="F74" t="s">
        <v>3607</v>
      </c>
      <c r="G74" t="s">
        <v>6344</v>
      </c>
      <c r="H74" t="s">
        <v>10496</v>
      </c>
      <c r="I74" t="s">
        <v>11387</v>
      </c>
      <c r="J74">
        <v>11435</v>
      </c>
      <c r="K74" t="s">
        <v>11447</v>
      </c>
      <c r="M74" t="s">
        <v>14746</v>
      </c>
      <c r="N74" t="s">
        <v>14778</v>
      </c>
      <c r="O74" t="s">
        <v>14786</v>
      </c>
      <c r="P74" t="s">
        <v>14795</v>
      </c>
      <c r="Q74" t="s">
        <v>11446</v>
      </c>
      <c r="S74" t="s">
        <v>14827</v>
      </c>
      <c r="V74">
        <v>1796</v>
      </c>
      <c r="W74" t="s">
        <v>14861</v>
      </c>
      <c r="X74" t="s">
        <v>14866</v>
      </c>
      <c r="Y74" t="s">
        <v>14883</v>
      </c>
      <c r="Z74" t="s">
        <v>14970</v>
      </c>
      <c r="AB74" t="s">
        <v>20154</v>
      </c>
      <c r="AC74">
        <v>3</v>
      </c>
      <c r="AD74" t="s">
        <v>24595</v>
      </c>
      <c r="AE74" t="s">
        <v>24615</v>
      </c>
      <c r="AF74">
        <v>9</v>
      </c>
      <c r="AG74">
        <v>1</v>
      </c>
      <c r="AH74">
        <v>0</v>
      </c>
      <c r="AI74">
        <v>74.14</v>
      </c>
      <c r="AL74" t="s">
        <v>5011</v>
      </c>
      <c r="AM74">
        <v>9000</v>
      </c>
      <c r="AS74">
        <v>1.2</v>
      </c>
      <c r="AT74" t="s">
        <v>696</v>
      </c>
      <c r="AU74" t="s">
        <v>25245</v>
      </c>
      <c r="AW74" t="s">
        <v>11447</v>
      </c>
    </row>
    <row r="75" spans="1:49">
      <c r="A75" s="1">
        <f>HYPERLINK("https://lsnyc.legalserver.org/matter/dynamic-profile/view/1857201","18-1857201")</f>
        <v>0</v>
      </c>
      <c r="B75" t="s">
        <v>85</v>
      </c>
      <c r="C75" t="s">
        <v>395</v>
      </c>
      <c r="D75" t="s">
        <v>585</v>
      </c>
      <c r="E75" t="s">
        <v>1090</v>
      </c>
      <c r="F75" t="s">
        <v>3608</v>
      </c>
      <c r="G75" t="s">
        <v>6345</v>
      </c>
      <c r="H75" t="s">
        <v>10497</v>
      </c>
      <c r="I75" t="s">
        <v>11389</v>
      </c>
      <c r="J75">
        <v>11355</v>
      </c>
      <c r="K75" t="s">
        <v>11447</v>
      </c>
      <c r="M75" t="s">
        <v>11601</v>
      </c>
      <c r="N75" t="s">
        <v>14778</v>
      </c>
      <c r="O75" t="s">
        <v>14786</v>
      </c>
      <c r="P75" t="s">
        <v>14795</v>
      </c>
      <c r="S75" t="s">
        <v>14827</v>
      </c>
      <c r="V75">
        <v>562</v>
      </c>
      <c r="W75" t="s">
        <v>14861</v>
      </c>
      <c r="Y75" t="s">
        <v>14883</v>
      </c>
      <c r="Z75" t="s">
        <v>14971</v>
      </c>
      <c r="AB75" t="s">
        <v>20155</v>
      </c>
      <c r="AC75">
        <v>70</v>
      </c>
      <c r="AD75" t="s">
        <v>24595</v>
      </c>
      <c r="AE75" t="s">
        <v>24613</v>
      </c>
      <c r="AF75">
        <v>31</v>
      </c>
      <c r="AG75">
        <v>1</v>
      </c>
      <c r="AH75">
        <v>0</v>
      </c>
      <c r="AI75">
        <v>90.75</v>
      </c>
      <c r="AL75" t="s">
        <v>5011</v>
      </c>
      <c r="AM75">
        <v>10944</v>
      </c>
      <c r="AS75">
        <v>1.25</v>
      </c>
      <c r="AT75" t="s">
        <v>570</v>
      </c>
      <c r="AU75" t="s">
        <v>25231</v>
      </c>
      <c r="AW75" t="s">
        <v>11447</v>
      </c>
    </row>
    <row r="76" spans="1:49">
      <c r="A76" s="1">
        <f>HYPERLINK("https://lsnyc.legalserver.org/matter/dynamic-profile/view/1856344","18-1856344")</f>
        <v>0</v>
      </c>
      <c r="B76" t="s">
        <v>85</v>
      </c>
      <c r="C76" t="s">
        <v>396</v>
      </c>
      <c r="D76" t="s">
        <v>585</v>
      </c>
      <c r="E76" t="s">
        <v>1091</v>
      </c>
      <c r="F76" t="s">
        <v>3609</v>
      </c>
      <c r="G76" t="s">
        <v>6346</v>
      </c>
      <c r="H76" t="s">
        <v>10481</v>
      </c>
      <c r="I76" t="s">
        <v>11389</v>
      </c>
      <c r="J76">
        <v>11355</v>
      </c>
      <c r="K76" t="s">
        <v>11447</v>
      </c>
      <c r="O76" t="s">
        <v>14786</v>
      </c>
      <c r="P76" t="s">
        <v>14795</v>
      </c>
      <c r="S76" t="s">
        <v>14827</v>
      </c>
      <c r="V76">
        <v>1200</v>
      </c>
      <c r="W76" t="s">
        <v>14861</v>
      </c>
      <c r="Y76" t="s">
        <v>14883</v>
      </c>
      <c r="Z76" t="s">
        <v>14972</v>
      </c>
      <c r="AB76" t="s">
        <v>20156</v>
      </c>
      <c r="AC76">
        <v>9</v>
      </c>
      <c r="AF76">
        <v>4</v>
      </c>
      <c r="AG76">
        <v>2</v>
      </c>
      <c r="AH76">
        <v>0</v>
      </c>
      <c r="AI76">
        <v>94.43000000000001</v>
      </c>
      <c r="AL76" t="s">
        <v>24633</v>
      </c>
      <c r="AM76">
        <v>15336</v>
      </c>
      <c r="AS76">
        <v>1.75</v>
      </c>
      <c r="AT76" t="s">
        <v>827</v>
      </c>
      <c r="AU76" t="s">
        <v>25227</v>
      </c>
      <c r="AW76" t="s">
        <v>11447</v>
      </c>
    </row>
    <row r="77" spans="1:49">
      <c r="A77" s="1">
        <f>HYPERLINK("https://lsnyc.legalserver.org/matter/dynamic-profile/view/1859167","18-1859167")</f>
        <v>0</v>
      </c>
      <c r="B77" t="s">
        <v>85</v>
      </c>
      <c r="C77" t="s">
        <v>397</v>
      </c>
      <c r="D77" t="s">
        <v>585</v>
      </c>
      <c r="E77" t="s">
        <v>1092</v>
      </c>
      <c r="F77" t="s">
        <v>3610</v>
      </c>
      <c r="G77" t="s">
        <v>6347</v>
      </c>
      <c r="H77" t="s">
        <v>10498</v>
      </c>
      <c r="I77" t="s">
        <v>11401</v>
      </c>
      <c r="J77">
        <v>11375</v>
      </c>
      <c r="K77" t="s">
        <v>11447</v>
      </c>
      <c r="M77" t="s">
        <v>14746</v>
      </c>
      <c r="O77" t="s">
        <v>14786</v>
      </c>
      <c r="P77" t="s">
        <v>14795</v>
      </c>
      <c r="Q77" t="s">
        <v>11448</v>
      </c>
      <c r="S77" t="s">
        <v>14827</v>
      </c>
      <c r="V77">
        <v>850</v>
      </c>
      <c r="W77" t="s">
        <v>14861</v>
      </c>
      <c r="X77" t="s">
        <v>14755</v>
      </c>
      <c r="Y77" t="s">
        <v>14883</v>
      </c>
      <c r="Z77" t="s">
        <v>14973</v>
      </c>
      <c r="AB77" t="s">
        <v>20157</v>
      </c>
      <c r="AC77">
        <v>60</v>
      </c>
      <c r="AD77" t="s">
        <v>24595</v>
      </c>
      <c r="AE77" t="s">
        <v>11459</v>
      </c>
      <c r="AF77">
        <v>1</v>
      </c>
      <c r="AG77">
        <v>1</v>
      </c>
      <c r="AH77">
        <v>1</v>
      </c>
      <c r="AI77">
        <v>112.07</v>
      </c>
      <c r="AL77" t="s">
        <v>5011</v>
      </c>
      <c r="AM77">
        <v>18200</v>
      </c>
      <c r="AS77">
        <v>3.7</v>
      </c>
      <c r="AT77" t="s">
        <v>25122</v>
      </c>
      <c r="AU77" t="s">
        <v>25244</v>
      </c>
      <c r="AW77" t="s">
        <v>11447</v>
      </c>
    </row>
    <row r="78" spans="1:49">
      <c r="A78" s="1">
        <f>HYPERLINK("https://lsnyc.legalserver.org/matter/dynamic-profile/view/1885285","18-1885285")</f>
        <v>0</v>
      </c>
      <c r="B78" t="s">
        <v>85</v>
      </c>
      <c r="C78" t="s">
        <v>398</v>
      </c>
      <c r="D78" t="s">
        <v>585</v>
      </c>
      <c r="E78" t="s">
        <v>1093</v>
      </c>
      <c r="F78" t="s">
        <v>3611</v>
      </c>
      <c r="G78" t="s">
        <v>6348</v>
      </c>
      <c r="H78" t="s">
        <v>10448</v>
      </c>
      <c r="I78" t="s">
        <v>11392</v>
      </c>
      <c r="J78">
        <v>11372</v>
      </c>
      <c r="K78" t="s">
        <v>11447</v>
      </c>
      <c r="O78" t="s">
        <v>14786</v>
      </c>
      <c r="P78" t="s">
        <v>14795</v>
      </c>
      <c r="S78" t="s">
        <v>14827</v>
      </c>
      <c r="V78">
        <v>890.4</v>
      </c>
      <c r="W78" t="s">
        <v>14861</v>
      </c>
      <c r="X78" t="s">
        <v>14870</v>
      </c>
      <c r="Y78" t="s">
        <v>14883</v>
      </c>
      <c r="Z78" t="s">
        <v>14974</v>
      </c>
      <c r="AB78" t="s">
        <v>20158</v>
      </c>
      <c r="AC78">
        <v>6</v>
      </c>
      <c r="AD78" t="s">
        <v>24595</v>
      </c>
      <c r="AE78" t="s">
        <v>11459</v>
      </c>
      <c r="AF78">
        <v>32</v>
      </c>
      <c r="AG78">
        <v>1</v>
      </c>
      <c r="AH78">
        <v>0</v>
      </c>
      <c r="AI78">
        <v>128.5</v>
      </c>
      <c r="AL78" t="s">
        <v>5011</v>
      </c>
      <c r="AM78">
        <v>15600</v>
      </c>
      <c r="AS78">
        <v>1</v>
      </c>
      <c r="AT78" t="s">
        <v>398</v>
      </c>
      <c r="AU78" t="s">
        <v>25226</v>
      </c>
      <c r="AW78" t="s">
        <v>11447</v>
      </c>
    </row>
    <row r="79" spans="1:49">
      <c r="A79" s="1">
        <f>HYPERLINK("https://lsnyc.legalserver.org/matter/dynamic-profile/view/1861570","18-1861570")</f>
        <v>0</v>
      </c>
      <c r="B79" t="s">
        <v>85</v>
      </c>
      <c r="C79" t="s">
        <v>399</v>
      </c>
      <c r="D79" t="s">
        <v>585</v>
      </c>
      <c r="E79" t="s">
        <v>1094</v>
      </c>
      <c r="F79" t="s">
        <v>3612</v>
      </c>
      <c r="G79" t="s">
        <v>6349</v>
      </c>
      <c r="H79">
        <v>1</v>
      </c>
      <c r="I79" t="s">
        <v>11391</v>
      </c>
      <c r="J79">
        <v>11691</v>
      </c>
      <c r="K79" t="s">
        <v>11447</v>
      </c>
      <c r="M79" t="s">
        <v>14746</v>
      </c>
      <c r="N79" t="s">
        <v>14778</v>
      </c>
      <c r="O79" t="s">
        <v>14786</v>
      </c>
      <c r="P79" t="s">
        <v>14795</v>
      </c>
      <c r="Q79" t="s">
        <v>11448</v>
      </c>
      <c r="S79" t="s">
        <v>14827</v>
      </c>
      <c r="V79">
        <v>1650</v>
      </c>
      <c r="W79" t="s">
        <v>14861</v>
      </c>
      <c r="X79" t="s">
        <v>14866</v>
      </c>
      <c r="Y79" t="s">
        <v>14883</v>
      </c>
      <c r="Z79" t="s">
        <v>14975</v>
      </c>
      <c r="AB79" t="s">
        <v>20159</v>
      </c>
      <c r="AC79">
        <v>3</v>
      </c>
      <c r="AD79" t="s">
        <v>11479</v>
      </c>
      <c r="AE79" t="s">
        <v>11459</v>
      </c>
      <c r="AF79">
        <v>1</v>
      </c>
      <c r="AG79">
        <v>1</v>
      </c>
      <c r="AH79">
        <v>0</v>
      </c>
      <c r="AI79">
        <v>137.69</v>
      </c>
      <c r="AL79" t="s">
        <v>5011</v>
      </c>
      <c r="AM79">
        <v>16716</v>
      </c>
      <c r="AS79">
        <v>1</v>
      </c>
      <c r="AT79" t="s">
        <v>399</v>
      </c>
      <c r="AU79" t="s">
        <v>25244</v>
      </c>
      <c r="AW79" t="s">
        <v>11447</v>
      </c>
    </row>
    <row r="80" spans="1:49">
      <c r="A80" s="1">
        <f>HYPERLINK("https://lsnyc.legalserver.org/matter/dynamic-profile/view/1877304","18-1877304")</f>
        <v>0</v>
      </c>
      <c r="B80" t="s">
        <v>85</v>
      </c>
      <c r="C80" t="s">
        <v>400</v>
      </c>
      <c r="D80" t="s">
        <v>585</v>
      </c>
      <c r="E80" t="s">
        <v>1095</v>
      </c>
      <c r="F80" t="s">
        <v>3613</v>
      </c>
      <c r="G80" t="s">
        <v>6350</v>
      </c>
      <c r="H80" t="s">
        <v>10499</v>
      </c>
      <c r="I80" t="s">
        <v>11402</v>
      </c>
      <c r="J80">
        <v>11422</v>
      </c>
      <c r="K80" t="s">
        <v>11447</v>
      </c>
      <c r="N80" t="s">
        <v>14778</v>
      </c>
      <c r="O80" t="s">
        <v>14786</v>
      </c>
      <c r="P80" t="s">
        <v>14795</v>
      </c>
      <c r="S80" t="s">
        <v>14827</v>
      </c>
      <c r="V80">
        <v>2100</v>
      </c>
      <c r="W80" t="s">
        <v>14861</v>
      </c>
      <c r="X80" t="s">
        <v>14870</v>
      </c>
      <c r="Y80" t="s">
        <v>14883</v>
      </c>
      <c r="Z80" t="s">
        <v>14976</v>
      </c>
      <c r="AB80" t="s">
        <v>20160</v>
      </c>
      <c r="AC80">
        <v>3</v>
      </c>
      <c r="AE80" t="s">
        <v>11459</v>
      </c>
      <c r="AF80">
        <v>3</v>
      </c>
      <c r="AG80">
        <v>2</v>
      </c>
      <c r="AH80">
        <v>4</v>
      </c>
      <c r="AI80">
        <v>154.12</v>
      </c>
      <c r="AL80" t="s">
        <v>5011</v>
      </c>
      <c r="AM80">
        <v>52000</v>
      </c>
      <c r="AS80">
        <v>1</v>
      </c>
      <c r="AT80" t="s">
        <v>400</v>
      </c>
      <c r="AU80" t="s">
        <v>25226</v>
      </c>
      <c r="AW80" t="s">
        <v>11447</v>
      </c>
    </row>
    <row r="81" spans="1:49">
      <c r="A81" s="1">
        <f>HYPERLINK("https://lsnyc.legalserver.org/matter/dynamic-profile/view/1856156","18-1856156")</f>
        <v>0</v>
      </c>
      <c r="B81" t="s">
        <v>85</v>
      </c>
      <c r="C81" t="s">
        <v>401</v>
      </c>
      <c r="D81" t="s">
        <v>585</v>
      </c>
      <c r="E81" t="s">
        <v>1096</v>
      </c>
      <c r="F81" t="s">
        <v>3561</v>
      </c>
      <c r="G81" t="s">
        <v>6351</v>
      </c>
      <c r="H81" t="s">
        <v>10485</v>
      </c>
      <c r="I81" t="s">
        <v>11391</v>
      </c>
      <c r="J81">
        <v>11691</v>
      </c>
      <c r="K81" t="s">
        <v>11447</v>
      </c>
      <c r="M81" t="s">
        <v>11601</v>
      </c>
      <c r="N81" t="s">
        <v>14778</v>
      </c>
      <c r="O81" t="s">
        <v>14786</v>
      </c>
      <c r="P81" t="s">
        <v>14795</v>
      </c>
      <c r="S81" t="s">
        <v>14827</v>
      </c>
      <c r="V81">
        <v>2000</v>
      </c>
      <c r="W81" t="s">
        <v>14861</v>
      </c>
      <c r="Y81" t="s">
        <v>14883</v>
      </c>
      <c r="Z81" t="s">
        <v>14977</v>
      </c>
      <c r="AC81">
        <v>54</v>
      </c>
      <c r="AF81">
        <v>6</v>
      </c>
      <c r="AG81">
        <v>1</v>
      </c>
      <c r="AH81">
        <v>2</v>
      </c>
      <c r="AI81">
        <v>156.71</v>
      </c>
      <c r="AL81" t="s">
        <v>24632</v>
      </c>
      <c r="AM81">
        <v>32000</v>
      </c>
      <c r="AS81">
        <v>0.75</v>
      </c>
      <c r="AT81" t="s">
        <v>401</v>
      </c>
      <c r="AU81" t="s">
        <v>25236</v>
      </c>
      <c r="AW81" t="s">
        <v>11447</v>
      </c>
    </row>
    <row r="82" spans="1:49">
      <c r="A82" s="1">
        <f>HYPERLINK("https://lsnyc.legalserver.org/matter/dynamic-profile/view/1874774","18-1874774")</f>
        <v>0</v>
      </c>
      <c r="B82" t="s">
        <v>85</v>
      </c>
      <c r="C82" t="s">
        <v>402</v>
      </c>
      <c r="D82" t="s">
        <v>585</v>
      </c>
      <c r="E82" t="s">
        <v>1097</v>
      </c>
      <c r="F82" t="s">
        <v>3614</v>
      </c>
      <c r="G82" t="s">
        <v>6352</v>
      </c>
      <c r="H82" t="s">
        <v>10500</v>
      </c>
      <c r="I82" t="s">
        <v>11388</v>
      </c>
      <c r="J82">
        <v>11385</v>
      </c>
      <c r="K82" t="s">
        <v>11447</v>
      </c>
      <c r="O82" t="s">
        <v>14786</v>
      </c>
      <c r="P82" t="s">
        <v>14795</v>
      </c>
      <c r="S82" t="s">
        <v>14827</v>
      </c>
      <c r="V82">
        <v>876</v>
      </c>
      <c r="W82" t="s">
        <v>14861</v>
      </c>
      <c r="Y82" t="s">
        <v>14883</v>
      </c>
      <c r="Z82" t="s">
        <v>14978</v>
      </c>
      <c r="AB82" t="s">
        <v>20161</v>
      </c>
      <c r="AC82">
        <v>18</v>
      </c>
      <c r="AF82">
        <v>24</v>
      </c>
      <c r="AG82">
        <v>2</v>
      </c>
      <c r="AH82">
        <v>0</v>
      </c>
      <c r="AI82">
        <v>182.26</v>
      </c>
      <c r="AL82" t="s">
        <v>5011</v>
      </c>
      <c r="AM82">
        <v>30000</v>
      </c>
      <c r="AS82">
        <v>1</v>
      </c>
      <c r="AT82" t="s">
        <v>402</v>
      </c>
      <c r="AU82" t="s">
        <v>25227</v>
      </c>
      <c r="AW82" t="s">
        <v>11447</v>
      </c>
    </row>
    <row r="83" spans="1:49">
      <c r="A83" s="1">
        <f>HYPERLINK("https://lsnyc.legalserver.org/matter/dynamic-profile/view/1880123","18-1880123")</f>
        <v>0</v>
      </c>
      <c r="B83" t="s">
        <v>85</v>
      </c>
      <c r="C83" t="s">
        <v>403</v>
      </c>
      <c r="D83" t="s">
        <v>585</v>
      </c>
      <c r="E83" t="s">
        <v>1098</v>
      </c>
      <c r="F83" t="s">
        <v>3615</v>
      </c>
      <c r="G83" t="s">
        <v>6353</v>
      </c>
      <c r="H83" t="s">
        <v>10501</v>
      </c>
      <c r="I83" t="s">
        <v>11392</v>
      </c>
      <c r="J83">
        <v>11372</v>
      </c>
      <c r="K83" t="s">
        <v>11447</v>
      </c>
      <c r="M83" t="s">
        <v>11601</v>
      </c>
      <c r="N83" t="s">
        <v>14778</v>
      </c>
      <c r="O83" t="s">
        <v>14786</v>
      </c>
      <c r="P83" t="s">
        <v>14795</v>
      </c>
      <c r="S83" t="s">
        <v>14827</v>
      </c>
      <c r="V83">
        <v>1500</v>
      </c>
      <c r="W83" t="s">
        <v>14861</v>
      </c>
      <c r="Y83" t="s">
        <v>14883</v>
      </c>
      <c r="Z83" t="s">
        <v>14979</v>
      </c>
      <c r="AC83">
        <v>3</v>
      </c>
      <c r="AD83" t="s">
        <v>11479</v>
      </c>
      <c r="AF83">
        <v>2</v>
      </c>
      <c r="AG83">
        <v>2</v>
      </c>
      <c r="AH83">
        <v>0</v>
      </c>
      <c r="AI83">
        <v>182.26</v>
      </c>
      <c r="AL83" t="s">
        <v>5011</v>
      </c>
      <c r="AM83">
        <v>30000</v>
      </c>
      <c r="AS83">
        <v>0.75</v>
      </c>
      <c r="AT83" t="s">
        <v>403</v>
      </c>
      <c r="AU83" t="s">
        <v>25236</v>
      </c>
      <c r="AW83" t="s">
        <v>11447</v>
      </c>
    </row>
    <row r="84" spans="1:49">
      <c r="A84" s="1">
        <f>HYPERLINK("https://lsnyc.legalserver.org/matter/dynamic-profile/view/1846591","17-1846591")</f>
        <v>0</v>
      </c>
      <c r="B84" t="s">
        <v>85</v>
      </c>
      <c r="C84" t="s">
        <v>404</v>
      </c>
      <c r="D84" t="s">
        <v>585</v>
      </c>
      <c r="E84" t="s">
        <v>1099</v>
      </c>
      <c r="F84" t="s">
        <v>3616</v>
      </c>
      <c r="G84" t="s">
        <v>6354</v>
      </c>
      <c r="H84" t="s">
        <v>10502</v>
      </c>
      <c r="I84" t="s">
        <v>11387</v>
      </c>
      <c r="J84">
        <v>11434</v>
      </c>
      <c r="K84" t="s">
        <v>11447</v>
      </c>
      <c r="M84" t="s">
        <v>14746</v>
      </c>
      <c r="N84" t="s">
        <v>14778</v>
      </c>
      <c r="O84" t="s">
        <v>14786</v>
      </c>
      <c r="P84" t="s">
        <v>14795</v>
      </c>
      <c r="Q84" t="s">
        <v>11448</v>
      </c>
      <c r="S84" t="s">
        <v>14827</v>
      </c>
      <c r="V84">
        <v>700</v>
      </c>
      <c r="W84" t="s">
        <v>14861</v>
      </c>
      <c r="X84" t="s">
        <v>14755</v>
      </c>
      <c r="Y84" t="s">
        <v>14883</v>
      </c>
      <c r="Z84" t="s">
        <v>14980</v>
      </c>
      <c r="AC84">
        <v>3</v>
      </c>
      <c r="AD84" t="s">
        <v>11479</v>
      </c>
      <c r="AE84" t="s">
        <v>11459</v>
      </c>
      <c r="AF84">
        <v>4</v>
      </c>
      <c r="AG84">
        <v>2</v>
      </c>
      <c r="AH84">
        <v>0</v>
      </c>
      <c r="AI84">
        <v>192.12</v>
      </c>
      <c r="AL84" t="s">
        <v>5011</v>
      </c>
      <c r="AM84">
        <v>31200</v>
      </c>
      <c r="AS84">
        <v>1.2</v>
      </c>
      <c r="AT84" t="s">
        <v>827</v>
      </c>
      <c r="AU84" t="s">
        <v>25244</v>
      </c>
      <c r="AW84" t="s">
        <v>11447</v>
      </c>
    </row>
    <row r="85" spans="1:49">
      <c r="A85" s="1">
        <f>HYPERLINK("https://lsnyc.legalserver.org/matter/dynamic-profile/view/1885426","18-1885426")</f>
        <v>0</v>
      </c>
      <c r="B85" t="s">
        <v>85</v>
      </c>
      <c r="C85" t="s">
        <v>405</v>
      </c>
      <c r="D85" t="s">
        <v>585</v>
      </c>
      <c r="E85" t="s">
        <v>1100</v>
      </c>
      <c r="F85" t="s">
        <v>3617</v>
      </c>
      <c r="G85" t="s">
        <v>6355</v>
      </c>
      <c r="H85" t="s">
        <v>10503</v>
      </c>
      <c r="I85" t="s">
        <v>11403</v>
      </c>
      <c r="J85">
        <v>11357</v>
      </c>
      <c r="K85" t="s">
        <v>11447</v>
      </c>
      <c r="N85" t="s">
        <v>14778</v>
      </c>
      <c r="O85" t="s">
        <v>14786</v>
      </c>
      <c r="P85" t="s">
        <v>14795</v>
      </c>
      <c r="S85" t="s">
        <v>14827</v>
      </c>
      <c r="V85">
        <v>2500</v>
      </c>
      <c r="W85" t="s">
        <v>14861</v>
      </c>
      <c r="Y85" t="s">
        <v>14883</v>
      </c>
      <c r="Z85" t="s">
        <v>14981</v>
      </c>
      <c r="AB85" t="s">
        <v>20162</v>
      </c>
      <c r="AC85">
        <v>2</v>
      </c>
      <c r="AF85">
        <v>1</v>
      </c>
      <c r="AG85">
        <v>2</v>
      </c>
      <c r="AH85">
        <v>1</v>
      </c>
      <c r="AI85">
        <v>192.49</v>
      </c>
      <c r="AL85" t="s">
        <v>24633</v>
      </c>
      <c r="AM85">
        <v>40000</v>
      </c>
      <c r="AS85">
        <v>1.3</v>
      </c>
      <c r="AT85" t="s">
        <v>745</v>
      </c>
      <c r="AU85" t="s">
        <v>25227</v>
      </c>
      <c r="AW85" t="s">
        <v>11447</v>
      </c>
    </row>
    <row r="86" spans="1:49">
      <c r="A86" s="1">
        <f>HYPERLINK("https://lsnyc.legalserver.org/matter/dynamic-profile/view/1843303","17-1843303")</f>
        <v>0</v>
      </c>
      <c r="B86" t="s">
        <v>85</v>
      </c>
      <c r="C86" t="s">
        <v>406</v>
      </c>
      <c r="D86" t="s">
        <v>585</v>
      </c>
      <c r="E86" t="s">
        <v>1101</v>
      </c>
      <c r="F86" t="s">
        <v>3618</v>
      </c>
      <c r="G86" t="s">
        <v>6356</v>
      </c>
      <c r="H86" t="s">
        <v>10504</v>
      </c>
      <c r="I86" t="s">
        <v>11395</v>
      </c>
      <c r="J86">
        <v>11373</v>
      </c>
      <c r="K86" t="s">
        <v>11447</v>
      </c>
      <c r="L86" t="s">
        <v>11474</v>
      </c>
      <c r="M86" t="s">
        <v>11601</v>
      </c>
      <c r="N86" t="s">
        <v>14778</v>
      </c>
      <c r="O86" t="s">
        <v>14786</v>
      </c>
      <c r="P86" t="s">
        <v>14795</v>
      </c>
      <c r="Q86" t="s">
        <v>11448</v>
      </c>
      <c r="S86" t="s">
        <v>14827</v>
      </c>
      <c r="V86">
        <v>785</v>
      </c>
      <c r="W86" t="s">
        <v>14861</v>
      </c>
      <c r="X86" t="s">
        <v>14867</v>
      </c>
      <c r="Y86" t="s">
        <v>14883</v>
      </c>
      <c r="Z86" t="s">
        <v>14982</v>
      </c>
      <c r="AB86" t="s">
        <v>20163</v>
      </c>
      <c r="AC86">
        <v>70</v>
      </c>
      <c r="AD86" t="s">
        <v>24600</v>
      </c>
      <c r="AE86" t="s">
        <v>11459</v>
      </c>
      <c r="AF86">
        <v>2</v>
      </c>
      <c r="AG86">
        <v>1</v>
      </c>
      <c r="AH86">
        <v>0</v>
      </c>
      <c r="AI86">
        <v>194.03</v>
      </c>
      <c r="AL86" t="s">
        <v>5011</v>
      </c>
      <c r="AM86">
        <v>23400</v>
      </c>
      <c r="AS86">
        <v>0.7</v>
      </c>
      <c r="AT86" t="s">
        <v>25123</v>
      </c>
      <c r="AU86" t="s">
        <v>25225</v>
      </c>
      <c r="AW86" t="s">
        <v>11447</v>
      </c>
    </row>
    <row r="87" spans="1:49">
      <c r="A87" s="1">
        <f>HYPERLINK("https://lsnyc.legalserver.org/matter/dynamic-profile/view/1877163","18-1877163")</f>
        <v>0</v>
      </c>
      <c r="B87" t="s">
        <v>85</v>
      </c>
      <c r="C87" t="s">
        <v>407</v>
      </c>
      <c r="D87" t="s">
        <v>585</v>
      </c>
      <c r="E87" t="s">
        <v>1102</v>
      </c>
      <c r="F87" t="s">
        <v>1636</v>
      </c>
      <c r="G87" t="s">
        <v>6357</v>
      </c>
      <c r="H87" t="s">
        <v>10505</v>
      </c>
      <c r="I87" t="s">
        <v>11402</v>
      </c>
      <c r="J87">
        <v>11422</v>
      </c>
      <c r="K87" t="s">
        <v>11447</v>
      </c>
      <c r="O87" t="s">
        <v>14786</v>
      </c>
      <c r="P87" t="s">
        <v>14795</v>
      </c>
      <c r="S87" t="s">
        <v>14827</v>
      </c>
      <c r="V87">
        <v>1700</v>
      </c>
      <c r="W87" t="s">
        <v>14861</v>
      </c>
      <c r="Y87" t="s">
        <v>14883</v>
      </c>
      <c r="Z87" t="s">
        <v>14983</v>
      </c>
      <c r="AB87" t="s">
        <v>20164</v>
      </c>
      <c r="AC87">
        <v>2</v>
      </c>
      <c r="AF87">
        <v>11</v>
      </c>
      <c r="AG87">
        <v>1</v>
      </c>
      <c r="AH87">
        <v>0</v>
      </c>
      <c r="AI87">
        <v>197.69</v>
      </c>
      <c r="AL87" t="s">
        <v>5011</v>
      </c>
      <c r="AM87">
        <v>24000</v>
      </c>
      <c r="AS87">
        <v>1</v>
      </c>
      <c r="AT87" t="s">
        <v>407</v>
      </c>
      <c r="AU87" t="s">
        <v>25227</v>
      </c>
      <c r="AW87" t="s">
        <v>11447</v>
      </c>
    </row>
    <row r="88" spans="1:49">
      <c r="A88" s="1">
        <f>HYPERLINK("https://lsnyc.legalserver.org/matter/dynamic-profile/view/1845918","17-1845918")</f>
        <v>0</v>
      </c>
      <c r="B88" t="s">
        <v>85</v>
      </c>
      <c r="C88" t="s">
        <v>408</v>
      </c>
      <c r="D88" t="s">
        <v>585</v>
      </c>
      <c r="E88" t="s">
        <v>1103</v>
      </c>
      <c r="F88" t="s">
        <v>1254</v>
      </c>
      <c r="G88" t="s">
        <v>6358</v>
      </c>
      <c r="H88" t="s">
        <v>10506</v>
      </c>
      <c r="I88" t="s">
        <v>11404</v>
      </c>
      <c r="J88">
        <v>11105</v>
      </c>
      <c r="K88" t="s">
        <v>11447</v>
      </c>
      <c r="M88" t="s">
        <v>14746</v>
      </c>
      <c r="N88" t="s">
        <v>14778</v>
      </c>
      <c r="O88" t="s">
        <v>14786</v>
      </c>
      <c r="P88" t="s">
        <v>14795</v>
      </c>
      <c r="Q88" t="s">
        <v>11448</v>
      </c>
      <c r="S88" t="s">
        <v>14827</v>
      </c>
      <c r="V88">
        <v>1247.4</v>
      </c>
      <c r="W88" t="s">
        <v>14861</v>
      </c>
      <c r="X88" t="s">
        <v>14755</v>
      </c>
      <c r="Y88" t="s">
        <v>14883</v>
      </c>
      <c r="Z88" t="s">
        <v>14984</v>
      </c>
      <c r="AC88">
        <v>6</v>
      </c>
      <c r="AD88" t="s">
        <v>11479</v>
      </c>
      <c r="AE88" t="s">
        <v>11459</v>
      </c>
      <c r="AF88">
        <v>28</v>
      </c>
      <c r="AG88">
        <v>1</v>
      </c>
      <c r="AH88">
        <v>0</v>
      </c>
      <c r="AI88">
        <v>198.02</v>
      </c>
      <c r="AL88" t="s">
        <v>5011</v>
      </c>
      <c r="AM88">
        <v>23881.56</v>
      </c>
      <c r="AS88">
        <v>1.35</v>
      </c>
      <c r="AT88" t="s">
        <v>827</v>
      </c>
      <c r="AU88" t="s">
        <v>25244</v>
      </c>
      <c r="AW88" t="s">
        <v>11447</v>
      </c>
    </row>
    <row r="89" spans="1:49">
      <c r="A89" s="1">
        <f>HYPERLINK("https://lsnyc.legalserver.org/matter/dynamic-profile/view/1843246","17-1843246")</f>
        <v>0</v>
      </c>
      <c r="B89" t="s">
        <v>85</v>
      </c>
      <c r="C89" t="s">
        <v>409</v>
      </c>
      <c r="D89" t="s">
        <v>640</v>
      </c>
      <c r="E89" t="s">
        <v>1104</v>
      </c>
      <c r="F89" t="s">
        <v>3619</v>
      </c>
      <c r="G89" t="s">
        <v>6359</v>
      </c>
      <c r="H89" t="s">
        <v>10507</v>
      </c>
      <c r="I89" t="s">
        <v>11389</v>
      </c>
      <c r="J89">
        <v>11367</v>
      </c>
      <c r="K89" t="s">
        <v>11447</v>
      </c>
      <c r="L89" t="s">
        <v>11474</v>
      </c>
      <c r="M89" t="s">
        <v>11601</v>
      </c>
      <c r="N89" t="s">
        <v>14778</v>
      </c>
      <c r="O89" t="s">
        <v>14786</v>
      </c>
      <c r="P89" t="s">
        <v>14795</v>
      </c>
      <c r="S89" t="s">
        <v>14829</v>
      </c>
      <c r="V89">
        <v>0</v>
      </c>
      <c r="W89" t="s">
        <v>14861</v>
      </c>
      <c r="Y89" t="s">
        <v>14883</v>
      </c>
      <c r="Z89" t="s">
        <v>14985</v>
      </c>
      <c r="AB89" t="s">
        <v>20165</v>
      </c>
      <c r="AC89">
        <v>0</v>
      </c>
      <c r="AF89">
        <v>0</v>
      </c>
      <c r="AG89">
        <v>1</v>
      </c>
      <c r="AH89">
        <v>0</v>
      </c>
      <c r="AI89">
        <v>119.4</v>
      </c>
      <c r="AL89" t="s">
        <v>5011</v>
      </c>
      <c r="AM89">
        <v>14400</v>
      </c>
      <c r="AS89">
        <v>0.8</v>
      </c>
      <c r="AT89" t="s">
        <v>25123</v>
      </c>
      <c r="AU89" t="s">
        <v>25238</v>
      </c>
      <c r="AW89" t="s">
        <v>11447</v>
      </c>
    </row>
    <row r="90" spans="1:49">
      <c r="A90" s="1">
        <f>HYPERLINK("https://lsnyc.legalserver.org/matter/dynamic-profile/view/1908716","19-1908716")</f>
        <v>0</v>
      </c>
      <c r="B90" t="s">
        <v>87</v>
      </c>
      <c r="C90" t="s">
        <v>410</v>
      </c>
      <c r="D90" t="s">
        <v>641</v>
      </c>
      <c r="E90" t="s">
        <v>1105</v>
      </c>
      <c r="F90" t="s">
        <v>3620</v>
      </c>
      <c r="G90" t="s">
        <v>6360</v>
      </c>
      <c r="H90" t="s">
        <v>10502</v>
      </c>
      <c r="I90" t="s">
        <v>11384</v>
      </c>
      <c r="J90">
        <v>10310</v>
      </c>
      <c r="K90" t="s">
        <v>11448</v>
      </c>
      <c r="M90" t="s">
        <v>11601</v>
      </c>
      <c r="N90" t="s">
        <v>14778</v>
      </c>
      <c r="O90" t="s">
        <v>14786</v>
      </c>
      <c r="P90" t="s">
        <v>14795</v>
      </c>
      <c r="Q90" t="s">
        <v>11448</v>
      </c>
      <c r="S90" t="s">
        <v>14827</v>
      </c>
      <c r="T90" t="s">
        <v>14832</v>
      </c>
      <c r="U90" t="s">
        <v>410</v>
      </c>
      <c r="V90">
        <v>1000</v>
      </c>
      <c r="W90" t="s">
        <v>14862</v>
      </c>
      <c r="X90" t="s">
        <v>14755</v>
      </c>
      <c r="Y90" t="s">
        <v>14883</v>
      </c>
      <c r="Z90" t="s">
        <v>14986</v>
      </c>
      <c r="AC90">
        <v>3</v>
      </c>
      <c r="AD90" t="s">
        <v>11479</v>
      </c>
      <c r="AE90" t="s">
        <v>11459</v>
      </c>
      <c r="AF90">
        <v>1</v>
      </c>
      <c r="AG90">
        <v>1</v>
      </c>
      <c r="AH90">
        <v>0</v>
      </c>
      <c r="AI90">
        <v>0</v>
      </c>
      <c r="AL90" t="s">
        <v>5011</v>
      </c>
      <c r="AM90">
        <v>0</v>
      </c>
      <c r="AP90" t="s">
        <v>14755</v>
      </c>
      <c r="AR90" t="s">
        <v>24994</v>
      </c>
      <c r="AS90">
        <v>2.4</v>
      </c>
      <c r="AT90" t="s">
        <v>640</v>
      </c>
      <c r="AU90" t="s">
        <v>25244</v>
      </c>
      <c r="AW90" t="s">
        <v>11447</v>
      </c>
    </row>
    <row r="91" spans="1:49">
      <c r="A91" s="1">
        <f>HYPERLINK("https://lsnyc.legalserver.org/matter/dynamic-profile/view/1904153","19-1904153")</f>
        <v>0</v>
      </c>
      <c r="B91" t="s">
        <v>88</v>
      </c>
      <c r="C91" t="s">
        <v>338</v>
      </c>
      <c r="D91" t="s">
        <v>463</v>
      </c>
      <c r="E91" t="s">
        <v>1106</v>
      </c>
      <c r="F91" t="s">
        <v>3621</v>
      </c>
      <c r="G91" t="s">
        <v>6361</v>
      </c>
      <c r="H91" t="s">
        <v>10498</v>
      </c>
      <c r="I91" t="s">
        <v>11385</v>
      </c>
      <c r="J91">
        <v>11210</v>
      </c>
      <c r="K91" t="s">
        <v>11447</v>
      </c>
      <c r="O91" t="s">
        <v>14786</v>
      </c>
      <c r="P91" t="s">
        <v>14795</v>
      </c>
      <c r="S91" t="s">
        <v>14827</v>
      </c>
      <c r="V91">
        <v>970</v>
      </c>
      <c r="W91" t="s">
        <v>14859</v>
      </c>
      <c r="X91" t="s">
        <v>14866</v>
      </c>
      <c r="Y91" t="s">
        <v>14883</v>
      </c>
      <c r="Z91" t="s">
        <v>14987</v>
      </c>
      <c r="AB91" t="s">
        <v>20166</v>
      </c>
      <c r="AC91">
        <v>42</v>
      </c>
      <c r="AD91" t="s">
        <v>24595</v>
      </c>
      <c r="AE91" t="s">
        <v>24613</v>
      </c>
      <c r="AF91">
        <v>41</v>
      </c>
      <c r="AG91">
        <v>1</v>
      </c>
      <c r="AH91">
        <v>0</v>
      </c>
      <c r="AI91">
        <v>153.72</v>
      </c>
      <c r="AL91" t="s">
        <v>5011</v>
      </c>
      <c r="AM91">
        <v>19200</v>
      </c>
      <c r="AS91">
        <v>1.85</v>
      </c>
      <c r="AT91" t="s">
        <v>463</v>
      </c>
      <c r="AU91" t="s">
        <v>25225</v>
      </c>
      <c r="AW91" t="s">
        <v>11447</v>
      </c>
    </row>
    <row r="92" spans="1:49">
      <c r="A92" s="1">
        <f>HYPERLINK("https://lsnyc.legalserver.org/matter/dynamic-profile/view/1898630","19-1898630")</f>
        <v>0</v>
      </c>
      <c r="B92" t="s">
        <v>89</v>
      </c>
      <c r="C92" t="s">
        <v>411</v>
      </c>
      <c r="D92" t="s">
        <v>1015</v>
      </c>
      <c r="E92" t="s">
        <v>1107</v>
      </c>
      <c r="F92" t="s">
        <v>3622</v>
      </c>
      <c r="G92" t="s">
        <v>6362</v>
      </c>
      <c r="H92" t="s">
        <v>10508</v>
      </c>
      <c r="I92" t="s">
        <v>11383</v>
      </c>
      <c r="J92">
        <v>10454</v>
      </c>
      <c r="K92" t="s">
        <v>11448</v>
      </c>
      <c r="L92" t="s">
        <v>11465</v>
      </c>
      <c r="M92" t="s">
        <v>14745</v>
      </c>
      <c r="N92" t="s">
        <v>14779</v>
      </c>
      <c r="O92" t="s">
        <v>14787</v>
      </c>
      <c r="P92" t="s">
        <v>14795</v>
      </c>
      <c r="Q92" t="s">
        <v>11448</v>
      </c>
      <c r="S92" t="s">
        <v>14827</v>
      </c>
      <c r="T92" t="s">
        <v>14832</v>
      </c>
      <c r="V92">
        <v>1334</v>
      </c>
      <c r="W92" t="s">
        <v>14858</v>
      </c>
      <c r="X92" t="s">
        <v>14871</v>
      </c>
      <c r="Y92" t="s">
        <v>14883</v>
      </c>
      <c r="Z92" t="s">
        <v>14988</v>
      </c>
      <c r="AA92" t="s">
        <v>11465</v>
      </c>
      <c r="AB92" t="s">
        <v>20167</v>
      </c>
      <c r="AC92">
        <v>188</v>
      </c>
      <c r="AD92" t="s">
        <v>24601</v>
      </c>
      <c r="AE92" t="s">
        <v>24610</v>
      </c>
      <c r="AF92">
        <v>8</v>
      </c>
      <c r="AG92">
        <v>2</v>
      </c>
      <c r="AH92">
        <v>2</v>
      </c>
      <c r="AI92">
        <v>0</v>
      </c>
      <c r="AL92" t="s">
        <v>24632</v>
      </c>
      <c r="AM92">
        <v>0</v>
      </c>
      <c r="AN92" t="s">
        <v>24676</v>
      </c>
      <c r="AR92" t="s">
        <v>24995</v>
      </c>
      <c r="AS92">
        <v>1.5</v>
      </c>
      <c r="AT92" t="s">
        <v>555</v>
      </c>
      <c r="AU92" t="s">
        <v>89</v>
      </c>
      <c r="AV92" t="s">
        <v>11459</v>
      </c>
      <c r="AW92" t="s">
        <v>11448</v>
      </c>
    </row>
    <row r="93" spans="1:49">
      <c r="A93" s="1">
        <f>HYPERLINK("https://lsnyc.legalserver.org/matter/dynamic-profile/view/1909412","19-1909412")</f>
        <v>0</v>
      </c>
      <c r="B93" t="s">
        <v>90</v>
      </c>
      <c r="C93" t="s">
        <v>412</v>
      </c>
      <c r="D93" t="s">
        <v>519</v>
      </c>
      <c r="E93" t="s">
        <v>1087</v>
      </c>
      <c r="F93" t="s">
        <v>3623</v>
      </c>
      <c r="G93" t="s">
        <v>6363</v>
      </c>
      <c r="H93">
        <v>29</v>
      </c>
      <c r="I93" t="s">
        <v>11383</v>
      </c>
      <c r="J93">
        <v>10453</v>
      </c>
      <c r="K93" t="s">
        <v>11446</v>
      </c>
      <c r="L93" t="s">
        <v>11475</v>
      </c>
      <c r="M93" t="s">
        <v>14743</v>
      </c>
      <c r="O93" t="s">
        <v>14786</v>
      </c>
      <c r="P93" t="s">
        <v>14795</v>
      </c>
      <c r="Q93" t="s">
        <v>11448</v>
      </c>
      <c r="S93" t="s">
        <v>14827</v>
      </c>
      <c r="T93" t="s">
        <v>14832</v>
      </c>
      <c r="V93">
        <v>1267</v>
      </c>
      <c r="W93" t="s">
        <v>14858</v>
      </c>
      <c r="X93" t="s">
        <v>14755</v>
      </c>
      <c r="Y93" t="s">
        <v>14883</v>
      </c>
      <c r="Z93" t="s">
        <v>14989</v>
      </c>
      <c r="AB93" t="s">
        <v>20168</v>
      </c>
      <c r="AC93">
        <v>50</v>
      </c>
      <c r="AD93" t="s">
        <v>24595</v>
      </c>
      <c r="AE93" t="s">
        <v>11459</v>
      </c>
      <c r="AF93">
        <v>5</v>
      </c>
      <c r="AG93">
        <v>1</v>
      </c>
      <c r="AH93">
        <v>2</v>
      </c>
      <c r="AI93">
        <v>101.1</v>
      </c>
      <c r="AL93" t="s">
        <v>5011</v>
      </c>
      <c r="AM93">
        <v>21564</v>
      </c>
      <c r="AS93">
        <v>1.2</v>
      </c>
      <c r="AT93" t="s">
        <v>519</v>
      </c>
      <c r="AU93" t="s">
        <v>25244</v>
      </c>
      <c r="AV93" t="s">
        <v>25335</v>
      </c>
      <c r="AW93" t="s">
        <v>11447</v>
      </c>
    </row>
    <row r="94" spans="1:49">
      <c r="A94" s="1">
        <f>HYPERLINK("https://lsnyc.legalserver.org/matter/dynamic-profile/view/1855892","18-1855892")</f>
        <v>0</v>
      </c>
      <c r="B94" t="s">
        <v>76</v>
      </c>
      <c r="C94" t="s">
        <v>394</v>
      </c>
      <c r="D94" t="s">
        <v>504</v>
      </c>
      <c r="E94" t="s">
        <v>1054</v>
      </c>
      <c r="F94" t="s">
        <v>3624</v>
      </c>
      <c r="G94" t="s">
        <v>6364</v>
      </c>
      <c r="H94" t="s">
        <v>10509</v>
      </c>
      <c r="I94" t="s">
        <v>11385</v>
      </c>
      <c r="J94">
        <v>11226</v>
      </c>
      <c r="K94" t="s">
        <v>11447</v>
      </c>
      <c r="O94" t="s">
        <v>14786</v>
      </c>
      <c r="P94" t="s">
        <v>14795</v>
      </c>
      <c r="S94" t="s">
        <v>14827</v>
      </c>
      <c r="V94">
        <v>1650</v>
      </c>
      <c r="W94" t="s">
        <v>14859</v>
      </c>
      <c r="Y94" t="s">
        <v>14890</v>
      </c>
      <c r="Z94" t="s">
        <v>14990</v>
      </c>
      <c r="AB94" t="s">
        <v>20169</v>
      </c>
      <c r="AC94">
        <v>0</v>
      </c>
      <c r="AF94">
        <v>0</v>
      </c>
      <c r="AG94">
        <v>1</v>
      </c>
      <c r="AH94">
        <v>0</v>
      </c>
      <c r="AI94">
        <v>0</v>
      </c>
      <c r="AL94" t="s">
        <v>5011</v>
      </c>
      <c r="AM94">
        <v>0</v>
      </c>
      <c r="AS94">
        <v>0.5</v>
      </c>
      <c r="AT94" t="s">
        <v>394</v>
      </c>
      <c r="AU94" t="s">
        <v>25236</v>
      </c>
      <c r="AW94" t="s">
        <v>11447</v>
      </c>
    </row>
    <row r="95" spans="1:49">
      <c r="A95" s="1">
        <f>HYPERLINK("https://lsnyc.legalserver.org/matter/dynamic-profile/view/1854952","18-1854952")</f>
        <v>0</v>
      </c>
      <c r="B95" t="s">
        <v>76</v>
      </c>
      <c r="C95" t="s">
        <v>413</v>
      </c>
      <c r="D95" t="s">
        <v>504</v>
      </c>
      <c r="E95" t="s">
        <v>1108</v>
      </c>
      <c r="F95" t="s">
        <v>3625</v>
      </c>
      <c r="G95" t="s">
        <v>6365</v>
      </c>
      <c r="H95">
        <v>1</v>
      </c>
      <c r="I95" t="s">
        <v>11385</v>
      </c>
      <c r="J95">
        <v>11222</v>
      </c>
      <c r="K95" t="s">
        <v>11447</v>
      </c>
      <c r="N95" t="s">
        <v>14778</v>
      </c>
      <c r="O95" t="s">
        <v>14786</v>
      </c>
      <c r="P95" t="s">
        <v>14795</v>
      </c>
      <c r="S95" t="s">
        <v>14827</v>
      </c>
      <c r="V95">
        <v>371</v>
      </c>
      <c r="W95" t="s">
        <v>14859</v>
      </c>
      <c r="X95" t="s">
        <v>14755</v>
      </c>
      <c r="Y95" t="s">
        <v>14890</v>
      </c>
      <c r="Z95" t="s">
        <v>14991</v>
      </c>
      <c r="AB95" t="s">
        <v>20170</v>
      </c>
      <c r="AC95">
        <v>3</v>
      </c>
      <c r="AD95" t="s">
        <v>24599</v>
      </c>
      <c r="AE95" t="s">
        <v>11459</v>
      </c>
      <c r="AF95">
        <v>19</v>
      </c>
      <c r="AG95">
        <v>1</v>
      </c>
      <c r="AH95">
        <v>0</v>
      </c>
      <c r="AI95">
        <v>0</v>
      </c>
      <c r="AL95" t="s">
        <v>5011</v>
      </c>
      <c r="AM95">
        <v>0</v>
      </c>
      <c r="AS95">
        <v>1</v>
      </c>
      <c r="AT95" t="s">
        <v>413</v>
      </c>
      <c r="AU95" t="s">
        <v>25233</v>
      </c>
      <c r="AW95" t="s">
        <v>11447</v>
      </c>
    </row>
    <row r="96" spans="1:49">
      <c r="A96" s="1">
        <f>HYPERLINK("https://lsnyc.legalserver.org/matter/dynamic-profile/view/1887572","19-1887572")</f>
        <v>0</v>
      </c>
      <c r="B96" t="s">
        <v>76</v>
      </c>
      <c r="C96" t="s">
        <v>414</v>
      </c>
      <c r="D96" t="s">
        <v>504</v>
      </c>
      <c r="E96" t="s">
        <v>1109</v>
      </c>
      <c r="F96" t="s">
        <v>3626</v>
      </c>
      <c r="G96" t="s">
        <v>6366</v>
      </c>
      <c r="H96" t="s">
        <v>10450</v>
      </c>
      <c r="I96" t="s">
        <v>11385</v>
      </c>
      <c r="J96">
        <v>11211</v>
      </c>
      <c r="K96" t="s">
        <v>11447</v>
      </c>
      <c r="O96" t="s">
        <v>14786</v>
      </c>
      <c r="P96" t="s">
        <v>14795</v>
      </c>
      <c r="S96" t="s">
        <v>14827</v>
      </c>
      <c r="V96">
        <v>1150</v>
      </c>
      <c r="W96" t="s">
        <v>14859</v>
      </c>
      <c r="X96" t="s">
        <v>14872</v>
      </c>
      <c r="Y96" t="s">
        <v>14890</v>
      </c>
      <c r="Z96" t="s">
        <v>14992</v>
      </c>
      <c r="AB96" t="s">
        <v>20171</v>
      </c>
      <c r="AC96">
        <v>8</v>
      </c>
      <c r="AD96" t="s">
        <v>24595</v>
      </c>
      <c r="AE96" t="s">
        <v>11459</v>
      </c>
      <c r="AF96">
        <v>7</v>
      </c>
      <c r="AG96">
        <v>1</v>
      </c>
      <c r="AH96">
        <v>0</v>
      </c>
      <c r="AI96">
        <v>0</v>
      </c>
      <c r="AL96" t="s">
        <v>5011</v>
      </c>
      <c r="AM96">
        <v>0</v>
      </c>
      <c r="AS96">
        <v>1.9</v>
      </c>
      <c r="AT96" t="s">
        <v>499</v>
      </c>
      <c r="AU96" t="s">
        <v>25226</v>
      </c>
      <c r="AW96" t="s">
        <v>11447</v>
      </c>
    </row>
    <row r="97" spans="1:49">
      <c r="A97" s="1">
        <f>HYPERLINK("https://lsnyc.legalserver.org/matter/dynamic-profile/view/1895995","19-1895995")</f>
        <v>0</v>
      </c>
      <c r="B97" t="s">
        <v>76</v>
      </c>
      <c r="C97" t="s">
        <v>415</v>
      </c>
      <c r="D97" t="s">
        <v>504</v>
      </c>
      <c r="E97" t="s">
        <v>1110</v>
      </c>
      <c r="F97" t="s">
        <v>3627</v>
      </c>
      <c r="G97" t="s">
        <v>6367</v>
      </c>
      <c r="H97">
        <v>13</v>
      </c>
      <c r="I97" t="s">
        <v>11385</v>
      </c>
      <c r="J97">
        <v>11208</v>
      </c>
      <c r="K97" t="s">
        <v>11447</v>
      </c>
      <c r="O97" t="s">
        <v>14786</v>
      </c>
      <c r="P97" t="s">
        <v>14795</v>
      </c>
      <c r="S97" t="s">
        <v>14827</v>
      </c>
      <c r="V97">
        <v>1515</v>
      </c>
      <c r="W97" t="s">
        <v>14859</v>
      </c>
      <c r="Y97" t="s">
        <v>14890</v>
      </c>
      <c r="Z97" t="s">
        <v>14993</v>
      </c>
      <c r="AB97" t="s">
        <v>20172</v>
      </c>
      <c r="AC97">
        <v>10</v>
      </c>
      <c r="AE97" t="s">
        <v>24616</v>
      </c>
      <c r="AF97">
        <v>1</v>
      </c>
      <c r="AG97">
        <v>1</v>
      </c>
      <c r="AH97">
        <v>2</v>
      </c>
      <c r="AI97">
        <v>23.4</v>
      </c>
      <c r="AL97" t="s">
        <v>5011</v>
      </c>
      <c r="AM97">
        <v>4992</v>
      </c>
      <c r="AS97">
        <v>2.8</v>
      </c>
      <c r="AT97" t="s">
        <v>369</v>
      </c>
      <c r="AU97" t="s">
        <v>25227</v>
      </c>
      <c r="AW97" t="s">
        <v>11447</v>
      </c>
    </row>
    <row r="98" spans="1:49">
      <c r="A98" s="1">
        <f>HYPERLINK("https://lsnyc.legalserver.org/matter/dynamic-profile/view/1894262","19-1894262")</f>
        <v>0</v>
      </c>
      <c r="B98" t="s">
        <v>76</v>
      </c>
      <c r="C98" t="s">
        <v>356</v>
      </c>
      <c r="D98" t="s">
        <v>504</v>
      </c>
      <c r="E98" t="s">
        <v>1111</v>
      </c>
      <c r="F98" t="s">
        <v>3628</v>
      </c>
      <c r="G98" t="s">
        <v>6368</v>
      </c>
      <c r="H98" t="s">
        <v>10510</v>
      </c>
      <c r="I98" t="s">
        <v>11385</v>
      </c>
      <c r="J98">
        <v>11231</v>
      </c>
      <c r="K98" t="s">
        <v>11447</v>
      </c>
      <c r="O98" t="s">
        <v>14786</v>
      </c>
      <c r="P98" t="s">
        <v>14795</v>
      </c>
      <c r="S98" t="s">
        <v>14827</v>
      </c>
      <c r="V98">
        <v>380</v>
      </c>
      <c r="W98" t="s">
        <v>14859</v>
      </c>
      <c r="X98" t="s">
        <v>14868</v>
      </c>
      <c r="Y98" t="s">
        <v>14890</v>
      </c>
      <c r="Z98" t="s">
        <v>14994</v>
      </c>
      <c r="AB98" t="s">
        <v>20173</v>
      </c>
      <c r="AC98">
        <v>140</v>
      </c>
      <c r="AD98" t="s">
        <v>24597</v>
      </c>
      <c r="AE98" t="s">
        <v>11459</v>
      </c>
      <c r="AF98">
        <v>4</v>
      </c>
      <c r="AG98">
        <v>1</v>
      </c>
      <c r="AH98">
        <v>2</v>
      </c>
      <c r="AI98">
        <v>46.72</v>
      </c>
      <c r="AL98" t="s">
        <v>5011</v>
      </c>
      <c r="AM98">
        <v>9966</v>
      </c>
      <c r="AS98">
        <v>1</v>
      </c>
      <c r="AT98" t="s">
        <v>356</v>
      </c>
      <c r="AU98" t="s">
        <v>25226</v>
      </c>
      <c r="AW98" t="s">
        <v>11447</v>
      </c>
    </row>
    <row r="99" spans="1:49">
      <c r="A99" s="1">
        <f>HYPERLINK("https://lsnyc.legalserver.org/matter/dynamic-profile/view/1896340","19-1896340")</f>
        <v>0</v>
      </c>
      <c r="B99" t="s">
        <v>76</v>
      </c>
      <c r="C99" t="s">
        <v>416</v>
      </c>
      <c r="D99" t="s">
        <v>504</v>
      </c>
      <c r="E99" t="s">
        <v>1112</v>
      </c>
      <c r="F99" t="s">
        <v>3262</v>
      </c>
      <c r="G99" t="s">
        <v>6369</v>
      </c>
      <c r="H99" t="s">
        <v>10511</v>
      </c>
      <c r="I99" t="s">
        <v>11385</v>
      </c>
      <c r="J99">
        <v>11233</v>
      </c>
      <c r="K99" t="s">
        <v>11447</v>
      </c>
      <c r="O99" t="s">
        <v>14786</v>
      </c>
      <c r="P99" t="s">
        <v>14795</v>
      </c>
      <c r="S99" t="s">
        <v>14827</v>
      </c>
      <c r="V99">
        <v>1500</v>
      </c>
      <c r="W99" t="s">
        <v>14859</v>
      </c>
      <c r="Y99" t="s">
        <v>14890</v>
      </c>
      <c r="Z99" t="s">
        <v>14995</v>
      </c>
      <c r="AC99">
        <v>1</v>
      </c>
      <c r="AF99">
        <v>6</v>
      </c>
      <c r="AG99">
        <v>1</v>
      </c>
      <c r="AH99">
        <v>0</v>
      </c>
      <c r="AI99">
        <v>48.04</v>
      </c>
      <c r="AL99" t="s">
        <v>5011</v>
      </c>
      <c r="AM99">
        <v>6000</v>
      </c>
      <c r="AS99">
        <v>1</v>
      </c>
      <c r="AT99" t="s">
        <v>416</v>
      </c>
      <c r="AU99" t="s">
        <v>25227</v>
      </c>
      <c r="AW99" t="s">
        <v>11447</v>
      </c>
    </row>
    <row r="100" spans="1:49">
      <c r="A100" s="1">
        <f>HYPERLINK("https://lsnyc.legalserver.org/matter/dynamic-profile/view/1883692","18-1883692")</f>
        <v>0</v>
      </c>
      <c r="B100" t="s">
        <v>76</v>
      </c>
      <c r="C100" t="s">
        <v>417</v>
      </c>
      <c r="D100" t="s">
        <v>504</v>
      </c>
      <c r="E100" t="s">
        <v>1113</v>
      </c>
      <c r="F100" t="s">
        <v>3629</v>
      </c>
      <c r="G100" t="s">
        <v>6370</v>
      </c>
      <c r="H100" t="s">
        <v>10512</v>
      </c>
      <c r="I100" t="s">
        <v>11385</v>
      </c>
      <c r="J100">
        <v>11207</v>
      </c>
      <c r="K100" t="s">
        <v>11447</v>
      </c>
      <c r="M100" t="s">
        <v>11601</v>
      </c>
      <c r="O100" t="s">
        <v>14786</v>
      </c>
      <c r="P100" t="s">
        <v>14795</v>
      </c>
      <c r="S100" t="s">
        <v>14828</v>
      </c>
      <c r="V100">
        <v>222</v>
      </c>
      <c r="W100" t="s">
        <v>14859</v>
      </c>
      <c r="Y100" t="s">
        <v>14890</v>
      </c>
      <c r="Z100" t="s">
        <v>14996</v>
      </c>
      <c r="AB100" t="s">
        <v>20174</v>
      </c>
      <c r="AC100">
        <v>0</v>
      </c>
      <c r="AE100" t="s">
        <v>24610</v>
      </c>
      <c r="AF100">
        <v>0</v>
      </c>
      <c r="AG100">
        <v>2</v>
      </c>
      <c r="AH100">
        <v>0</v>
      </c>
      <c r="AI100">
        <v>49.21</v>
      </c>
      <c r="AL100" t="s">
        <v>5011</v>
      </c>
      <c r="AM100">
        <v>8100</v>
      </c>
      <c r="AS100">
        <v>1</v>
      </c>
      <c r="AT100" t="s">
        <v>417</v>
      </c>
      <c r="AU100" t="s">
        <v>25231</v>
      </c>
      <c r="AW100" t="s">
        <v>11447</v>
      </c>
    </row>
    <row r="101" spans="1:49">
      <c r="A101" s="1">
        <f>HYPERLINK("https://lsnyc.legalserver.org/matter/dynamic-profile/view/1870159","18-1870159")</f>
        <v>0</v>
      </c>
      <c r="B101" t="s">
        <v>76</v>
      </c>
      <c r="C101" t="s">
        <v>418</v>
      </c>
      <c r="D101" t="s">
        <v>504</v>
      </c>
      <c r="E101" t="s">
        <v>1114</v>
      </c>
      <c r="F101" t="s">
        <v>3630</v>
      </c>
      <c r="G101" t="s">
        <v>6371</v>
      </c>
      <c r="H101" t="s">
        <v>10513</v>
      </c>
      <c r="I101" t="s">
        <v>11385</v>
      </c>
      <c r="J101">
        <v>11220</v>
      </c>
      <c r="K101" t="s">
        <v>11447</v>
      </c>
      <c r="N101" t="s">
        <v>14778</v>
      </c>
      <c r="O101" t="s">
        <v>14786</v>
      </c>
      <c r="P101" t="s">
        <v>14795</v>
      </c>
      <c r="S101" t="s">
        <v>14827</v>
      </c>
      <c r="V101">
        <v>0</v>
      </c>
      <c r="W101" t="s">
        <v>14859</v>
      </c>
      <c r="X101" t="s">
        <v>14755</v>
      </c>
      <c r="Y101" t="s">
        <v>14890</v>
      </c>
      <c r="Z101" t="s">
        <v>14997</v>
      </c>
      <c r="AB101" t="s">
        <v>20175</v>
      </c>
      <c r="AC101">
        <v>6</v>
      </c>
      <c r="AE101" t="s">
        <v>24613</v>
      </c>
      <c r="AF101">
        <v>60</v>
      </c>
      <c r="AG101">
        <v>1</v>
      </c>
      <c r="AH101">
        <v>0</v>
      </c>
      <c r="AI101">
        <v>49.42</v>
      </c>
      <c r="AL101" t="s">
        <v>5011</v>
      </c>
      <c r="AM101">
        <v>6000</v>
      </c>
      <c r="AS101">
        <v>1.1</v>
      </c>
      <c r="AT101" t="s">
        <v>25124</v>
      </c>
      <c r="AU101" t="s">
        <v>25227</v>
      </c>
      <c r="AW101" t="s">
        <v>11447</v>
      </c>
    </row>
    <row r="102" spans="1:49">
      <c r="A102" s="1">
        <f>HYPERLINK("https://lsnyc.legalserver.org/matter/dynamic-profile/view/1906913","19-1906913")</f>
        <v>0</v>
      </c>
      <c r="B102" t="s">
        <v>91</v>
      </c>
      <c r="C102" t="s">
        <v>366</v>
      </c>
      <c r="D102" t="s">
        <v>504</v>
      </c>
      <c r="E102" t="s">
        <v>1114</v>
      </c>
      <c r="F102" t="s">
        <v>3631</v>
      </c>
      <c r="G102" t="s">
        <v>6372</v>
      </c>
      <c r="H102">
        <v>2</v>
      </c>
      <c r="I102" t="s">
        <v>11385</v>
      </c>
      <c r="J102">
        <v>11234</v>
      </c>
      <c r="K102" t="s">
        <v>11447</v>
      </c>
      <c r="M102" t="s">
        <v>14744</v>
      </c>
      <c r="N102" t="s">
        <v>14782</v>
      </c>
      <c r="O102" t="s">
        <v>14786</v>
      </c>
      <c r="P102" t="s">
        <v>14795</v>
      </c>
      <c r="Q102" t="s">
        <v>11448</v>
      </c>
      <c r="S102" t="s">
        <v>14827</v>
      </c>
      <c r="V102">
        <v>1200</v>
      </c>
      <c r="W102" t="s">
        <v>14859</v>
      </c>
      <c r="X102" t="s">
        <v>14873</v>
      </c>
      <c r="Y102" t="s">
        <v>14883</v>
      </c>
      <c r="Z102" t="s">
        <v>14998</v>
      </c>
      <c r="AB102" t="s">
        <v>20176</v>
      </c>
      <c r="AC102">
        <v>2</v>
      </c>
      <c r="AD102" t="s">
        <v>24600</v>
      </c>
      <c r="AF102">
        <v>15</v>
      </c>
      <c r="AG102">
        <v>2</v>
      </c>
      <c r="AH102">
        <v>0</v>
      </c>
      <c r="AI102">
        <v>56.77</v>
      </c>
      <c r="AM102">
        <v>9600</v>
      </c>
      <c r="AS102">
        <v>3.25</v>
      </c>
      <c r="AT102" t="s">
        <v>497</v>
      </c>
      <c r="AU102" t="s">
        <v>91</v>
      </c>
      <c r="AW102" t="s">
        <v>11447</v>
      </c>
    </row>
    <row r="103" spans="1:49">
      <c r="A103" s="1">
        <f>HYPERLINK("https://lsnyc.legalserver.org/matter/dynamic-profile/view/1886798","19-1886798")</f>
        <v>0</v>
      </c>
      <c r="B103" t="s">
        <v>76</v>
      </c>
      <c r="C103" t="s">
        <v>419</v>
      </c>
      <c r="D103" t="s">
        <v>504</v>
      </c>
      <c r="E103" t="s">
        <v>1115</v>
      </c>
      <c r="F103" t="s">
        <v>3632</v>
      </c>
      <c r="G103" t="s">
        <v>6373</v>
      </c>
      <c r="H103" t="s">
        <v>10514</v>
      </c>
      <c r="I103" t="s">
        <v>11385</v>
      </c>
      <c r="J103">
        <v>11235</v>
      </c>
      <c r="K103" t="s">
        <v>11447</v>
      </c>
      <c r="O103" t="s">
        <v>14786</v>
      </c>
      <c r="P103" t="s">
        <v>14795</v>
      </c>
      <c r="S103" t="s">
        <v>14827</v>
      </c>
      <c r="V103">
        <v>2200</v>
      </c>
      <c r="W103" t="s">
        <v>14859</v>
      </c>
      <c r="X103" t="s">
        <v>14868</v>
      </c>
      <c r="Y103" t="s">
        <v>14890</v>
      </c>
      <c r="Z103" t="s">
        <v>14999</v>
      </c>
      <c r="AB103" t="s">
        <v>20177</v>
      </c>
      <c r="AC103">
        <v>96</v>
      </c>
      <c r="AD103" t="s">
        <v>24595</v>
      </c>
      <c r="AE103" t="s">
        <v>11459</v>
      </c>
      <c r="AF103">
        <v>0</v>
      </c>
      <c r="AG103">
        <v>1</v>
      </c>
      <c r="AH103">
        <v>0</v>
      </c>
      <c r="AI103">
        <v>59.6</v>
      </c>
      <c r="AL103" t="s">
        <v>24636</v>
      </c>
      <c r="AM103">
        <v>7236</v>
      </c>
      <c r="AS103">
        <v>1.2</v>
      </c>
      <c r="AT103" t="s">
        <v>789</v>
      </c>
      <c r="AU103" t="s">
        <v>25226</v>
      </c>
      <c r="AW103" t="s">
        <v>11447</v>
      </c>
    </row>
    <row r="104" spans="1:49">
      <c r="A104" s="1">
        <f>HYPERLINK("https://lsnyc.legalserver.org/matter/dynamic-profile/view/1890073","19-1890073")</f>
        <v>0</v>
      </c>
      <c r="B104" t="s">
        <v>76</v>
      </c>
      <c r="C104" t="s">
        <v>353</v>
      </c>
      <c r="D104" t="s">
        <v>504</v>
      </c>
      <c r="E104" t="s">
        <v>1071</v>
      </c>
      <c r="F104" t="s">
        <v>2515</v>
      </c>
      <c r="G104" t="s">
        <v>6374</v>
      </c>
      <c r="H104" t="s">
        <v>10500</v>
      </c>
      <c r="I104" t="s">
        <v>11385</v>
      </c>
      <c r="J104">
        <v>11206</v>
      </c>
      <c r="K104" t="s">
        <v>11447</v>
      </c>
      <c r="O104" t="s">
        <v>14786</v>
      </c>
      <c r="P104" t="s">
        <v>14795</v>
      </c>
      <c r="S104" t="s">
        <v>14827</v>
      </c>
      <c r="V104">
        <v>1554</v>
      </c>
      <c r="W104" t="s">
        <v>14859</v>
      </c>
      <c r="X104" t="s">
        <v>14755</v>
      </c>
      <c r="Y104" t="s">
        <v>14890</v>
      </c>
      <c r="Z104" t="s">
        <v>15000</v>
      </c>
      <c r="AC104">
        <v>6</v>
      </c>
      <c r="AD104" t="s">
        <v>11479</v>
      </c>
      <c r="AE104" t="s">
        <v>11459</v>
      </c>
      <c r="AF104">
        <v>7</v>
      </c>
      <c r="AG104">
        <v>3</v>
      </c>
      <c r="AH104">
        <v>3</v>
      </c>
      <c r="AI104">
        <v>60.13</v>
      </c>
      <c r="AL104" t="s">
        <v>24632</v>
      </c>
      <c r="AM104">
        <v>20800</v>
      </c>
      <c r="AS104">
        <v>2.7</v>
      </c>
      <c r="AT104" t="s">
        <v>702</v>
      </c>
      <c r="AU104" t="s">
        <v>25233</v>
      </c>
      <c r="AW104" t="s">
        <v>11447</v>
      </c>
    </row>
    <row r="105" spans="1:49">
      <c r="A105" s="1">
        <f>HYPERLINK("https://lsnyc.legalserver.org/matter/dynamic-profile/view/1879307","18-1879307")</f>
        <v>0</v>
      </c>
      <c r="B105" t="s">
        <v>76</v>
      </c>
      <c r="C105" t="s">
        <v>420</v>
      </c>
      <c r="D105" t="s">
        <v>504</v>
      </c>
      <c r="E105" t="s">
        <v>1068</v>
      </c>
      <c r="F105" t="s">
        <v>3633</v>
      </c>
      <c r="G105" t="s">
        <v>6375</v>
      </c>
      <c r="H105">
        <v>5</v>
      </c>
      <c r="I105" t="s">
        <v>11385</v>
      </c>
      <c r="J105">
        <v>11237</v>
      </c>
      <c r="K105" t="s">
        <v>11447</v>
      </c>
      <c r="M105" t="s">
        <v>11601</v>
      </c>
      <c r="N105" t="s">
        <v>14778</v>
      </c>
      <c r="O105" t="s">
        <v>14786</v>
      </c>
      <c r="P105" t="s">
        <v>14795</v>
      </c>
      <c r="Q105" t="s">
        <v>11448</v>
      </c>
      <c r="S105" t="s">
        <v>14827</v>
      </c>
      <c r="V105">
        <v>1800</v>
      </c>
      <c r="W105" t="s">
        <v>14859</v>
      </c>
      <c r="X105" t="s">
        <v>14755</v>
      </c>
      <c r="Y105" t="s">
        <v>14890</v>
      </c>
      <c r="Z105" t="s">
        <v>15001</v>
      </c>
      <c r="AB105" t="s">
        <v>20178</v>
      </c>
      <c r="AC105">
        <v>0</v>
      </c>
      <c r="AD105" t="s">
        <v>11479</v>
      </c>
      <c r="AE105" t="s">
        <v>11459</v>
      </c>
      <c r="AF105">
        <v>1</v>
      </c>
      <c r="AG105">
        <v>1</v>
      </c>
      <c r="AH105">
        <v>2</v>
      </c>
      <c r="AI105">
        <v>64.22</v>
      </c>
      <c r="AL105" t="s">
        <v>5011</v>
      </c>
      <c r="AM105">
        <v>13344</v>
      </c>
      <c r="AS105">
        <v>1.15</v>
      </c>
      <c r="AT105" t="s">
        <v>25125</v>
      </c>
      <c r="AU105" t="s">
        <v>25236</v>
      </c>
      <c r="AW105" t="s">
        <v>11447</v>
      </c>
    </row>
    <row r="106" spans="1:49">
      <c r="A106" s="1">
        <f>HYPERLINK("https://lsnyc.legalserver.org/matter/dynamic-profile/view/1900347","19-1900347")</f>
        <v>0</v>
      </c>
      <c r="B106" t="s">
        <v>76</v>
      </c>
      <c r="C106" t="s">
        <v>421</v>
      </c>
      <c r="D106" t="s">
        <v>504</v>
      </c>
      <c r="E106" t="s">
        <v>1065</v>
      </c>
      <c r="F106" t="s">
        <v>1861</v>
      </c>
      <c r="G106" t="s">
        <v>6376</v>
      </c>
      <c r="H106" t="s">
        <v>10476</v>
      </c>
      <c r="I106" t="s">
        <v>11385</v>
      </c>
      <c r="J106">
        <v>11206</v>
      </c>
      <c r="K106" t="s">
        <v>11447</v>
      </c>
      <c r="O106" t="s">
        <v>14786</v>
      </c>
      <c r="P106" t="s">
        <v>14795</v>
      </c>
      <c r="S106" t="s">
        <v>14827</v>
      </c>
      <c r="V106">
        <v>657</v>
      </c>
      <c r="W106" t="s">
        <v>14859</v>
      </c>
      <c r="X106" t="s">
        <v>14870</v>
      </c>
      <c r="Y106" t="s">
        <v>14890</v>
      </c>
      <c r="Z106" t="s">
        <v>15002</v>
      </c>
      <c r="AB106" t="s">
        <v>20179</v>
      </c>
      <c r="AC106">
        <v>36</v>
      </c>
      <c r="AE106" t="s">
        <v>11459</v>
      </c>
      <c r="AF106">
        <v>25</v>
      </c>
      <c r="AG106">
        <v>2</v>
      </c>
      <c r="AH106">
        <v>1</v>
      </c>
      <c r="AI106">
        <v>70.58</v>
      </c>
      <c r="AL106" t="s">
        <v>5011</v>
      </c>
      <c r="AM106">
        <v>15054</v>
      </c>
      <c r="AS106">
        <v>1.9</v>
      </c>
      <c r="AT106" t="s">
        <v>649</v>
      </c>
      <c r="AU106" t="s">
        <v>25226</v>
      </c>
      <c r="AW106" t="s">
        <v>11447</v>
      </c>
    </row>
    <row r="107" spans="1:49">
      <c r="A107" s="1">
        <f>HYPERLINK("https://lsnyc.legalserver.org/matter/dynamic-profile/view/1869330","18-1869330")</f>
        <v>0</v>
      </c>
      <c r="B107" t="s">
        <v>76</v>
      </c>
      <c r="C107" t="s">
        <v>422</v>
      </c>
      <c r="D107" t="s">
        <v>504</v>
      </c>
      <c r="E107" t="s">
        <v>1114</v>
      </c>
      <c r="F107" t="s">
        <v>1395</v>
      </c>
      <c r="G107" t="s">
        <v>6377</v>
      </c>
      <c r="H107" t="s">
        <v>10515</v>
      </c>
      <c r="I107" t="s">
        <v>11385</v>
      </c>
      <c r="J107">
        <v>11217</v>
      </c>
      <c r="K107" t="s">
        <v>11447</v>
      </c>
      <c r="O107" t="s">
        <v>14786</v>
      </c>
      <c r="P107" t="s">
        <v>14795</v>
      </c>
      <c r="S107" t="s">
        <v>14827</v>
      </c>
      <c r="V107">
        <v>640</v>
      </c>
      <c r="W107" t="s">
        <v>14859</v>
      </c>
      <c r="X107" t="s">
        <v>14865</v>
      </c>
      <c r="Y107" t="s">
        <v>14890</v>
      </c>
      <c r="Z107" t="s">
        <v>15003</v>
      </c>
      <c r="AB107" t="s">
        <v>20180</v>
      </c>
      <c r="AC107">
        <v>42</v>
      </c>
      <c r="AF107">
        <v>3</v>
      </c>
      <c r="AG107">
        <v>1</v>
      </c>
      <c r="AH107">
        <v>0</v>
      </c>
      <c r="AI107">
        <v>81.05</v>
      </c>
      <c r="AL107" t="s">
        <v>5011</v>
      </c>
      <c r="AM107">
        <v>9840</v>
      </c>
      <c r="AS107">
        <v>0.5</v>
      </c>
      <c r="AT107" t="s">
        <v>422</v>
      </c>
      <c r="AU107" t="s">
        <v>25238</v>
      </c>
      <c r="AW107" t="s">
        <v>11447</v>
      </c>
    </row>
    <row r="108" spans="1:49">
      <c r="A108" s="1">
        <f>HYPERLINK("https://lsnyc.legalserver.org/matter/dynamic-profile/view/1835467","17-1835467")</f>
        <v>0</v>
      </c>
      <c r="B108" t="s">
        <v>76</v>
      </c>
      <c r="C108" t="s">
        <v>423</v>
      </c>
      <c r="D108" t="s">
        <v>504</v>
      </c>
      <c r="E108" t="s">
        <v>1116</v>
      </c>
      <c r="F108" t="s">
        <v>3634</v>
      </c>
      <c r="G108" t="s">
        <v>6378</v>
      </c>
      <c r="H108" t="s">
        <v>10516</v>
      </c>
      <c r="I108" t="s">
        <v>11385</v>
      </c>
      <c r="J108">
        <v>11203</v>
      </c>
      <c r="K108" t="s">
        <v>11447</v>
      </c>
      <c r="M108" t="s">
        <v>11601</v>
      </c>
      <c r="N108" t="s">
        <v>14782</v>
      </c>
      <c r="O108" t="s">
        <v>14791</v>
      </c>
      <c r="P108" t="s">
        <v>14795</v>
      </c>
      <c r="Q108" t="s">
        <v>11448</v>
      </c>
      <c r="S108" t="s">
        <v>14828</v>
      </c>
      <c r="V108">
        <v>195</v>
      </c>
      <c r="W108" t="s">
        <v>14859</v>
      </c>
      <c r="X108" t="s">
        <v>14871</v>
      </c>
      <c r="Y108" t="s">
        <v>14890</v>
      </c>
      <c r="Z108" t="s">
        <v>15004</v>
      </c>
      <c r="AC108">
        <v>230</v>
      </c>
      <c r="AD108" t="s">
        <v>24602</v>
      </c>
      <c r="AE108" t="s">
        <v>11459</v>
      </c>
      <c r="AF108">
        <v>2</v>
      </c>
      <c r="AG108">
        <v>1</v>
      </c>
      <c r="AH108">
        <v>0</v>
      </c>
      <c r="AI108">
        <v>81.79000000000001</v>
      </c>
      <c r="AL108" t="s">
        <v>24636</v>
      </c>
      <c r="AM108">
        <v>9864</v>
      </c>
      <c r="AS108">
        <v>5.1</v>
      </c>
      <c r="AT108" t="s">
        <v>813</v>
      </c>
      <c r="AU108" t="s">
        <v>263</v>
      </c>
      <c r="AW108" t="s">
        <v>11447</v>
      </c>
    </row>
    <row r="109" spans="1:49">
      <c r="A109" s="1">
        <f>HYPERLINK("https://lsnyc.legalserver.org/matter/dynamic-profile/view/1856182","18-1856182")</f>
        <v>0</v>
      </c>
      <c r="B109" t="s">
        <v>76</v>
      </c>
      <c r="C109" t="s">
        <v>401</v>
      </c>
      <c r="D109" t="s">
        <v>504</v>
      </c>
      <c r="E109" t="s">
        <v>1117</v>
      </c>
      <c r="F109" t="s">
        <v>3635</v>
      </c>
      <c r="G109" t="s">
        <v>6379</v>
      </c>
      <c r="H109" t="s">
        <v>10465</v>
      </c>
      <c r="I109" t="s">
        <v>11385</v>
      </c>
      <c r="J109">
        <v>11212</v>
      </c>
      <c r="K109" t="s">
        <v>11447</v>
      </c>
      <c r="O109" t="s">
        <v>14786</v>
      </c>
      <c r="P109" t="s">
        <v>14795</v>
      </c>
      <c r="S109" t="s">
        <v>14827</v>
      </c>
      <c r="V109">
        <v>0</v>
      </c>
      <c r="W109" t="s">
        <v>14859</v>
      </c>
      <c r="Y109" t="s">
        <v>14890</v>
      </c>
      <c r="Z109" t="s">
        <v>15005</v>
      </c>
      <c r="AB109" t="s">
        <v>20181</v>
      </c>
      <c r="AC109">
        <v>0</v>
      </c>
      <c r="AF109">
        <v>0</v>
      </c>
      <c r="AG109">
        <v>1</v>
      </c>
      <c r="AH109">
        <v>1</v>
      </c>
      <c r="AI109">
        <v>82.02</v>
      </c>
      <c r="AL109" t="s">
        <v>5011</v>
      </c>
      <c r="AM109">
        <v>13320</v>
      </c>
      <c r="AS109">
        <v>0.4</v>
      </c>
      <c r="AT109" t="s">
        <v>401</v>
      </c>
      <c r="AU109" t="s">
        <v>25244</v>
      </c>
      <c r="AW109" t="s">
        <v>11447</v>
      </c>
    </row>
    <row r="110" spans="1:49">
      <c r="A110" s="1">
        <f>HYPERLINK("https://lsnyc.legalserver.org/matter/dynamic-profile/view/1899327","19-1899327")</f>
        <v>0</v>
      </c>
      <c r="B110" t="s">
        <v>76</v>
      </c>
      <c r="C110" t="s">
        <v>361</v>
      </c>
      <c r="D110" t="s">
        <v>504</v>
      </c>
      <c r="E110" t="s">
        <v>1118</v>
      </c>
      <c r="F110" t="s">
        <v>3636</v>
      </c>
      <c r="G110" t="s">
        <v>6380</v>
      </c>
      <c r="H110" t="s">
        <v>10484</v>
      </c>
      <c r="I110" t="s">
        <v>11385</v>
      </c>
      <c r="J110">
        <v>11224</v>
      </c>
      <c r="K110" t="s">
        <v>11447</v>
      </c>
      <c r="M110" t="s">
        <v>11601</v>
      </c>
      <c r="N110" t="s">
        <v>14778</v>
      </c>
      <c r="O110" t="s">
        <v>14786</v>
      </c>
      <c r="P110" t="s">
        <v>14795</v>
      </c>
      <c r="Q110" t="s">
        <v>11448</v>
      </c>
      <c r="S110" t="s">
        <v>14827</v>
      </c>
      <c r="V110">
        <v>1248</v>
      </c>
      <c r="W110" t="s">
        <v>14859</v>
      </c>
      <c r="Y110" t="s">
        <v>14890</v>
      </c>
      <c r="Z110" t="s">
        <v>15006</v>
      </c>
      <c r="AC110">
        <v>6</v>
      </c>
      <c r="AD110" t="s">
        <v>11479</v>
      </c>
      <c r="AE110" t="s">
        <v>24615</v>
      </c>
      <c r="AF110">
        <v>15</v>
      </c>
      <c r="AG110">
        <v>1</v>
      </c>
      <c r="AH110">
        <v>0</v>
      </c>
      <c r="AI110">
        <v>85.97</v>
      </c>
      <c r="AL110" t="s">
        <v>5011</v>
      </c>
      <c r="AM110">
        <v>10738</v>
      </c>
      <c r="AS110">
        <v>0.8</v>
      </c>
      <c r="AT110" t="s">
        <v>649</v>
      </c>
      <c r="AU110" t="s">
        <v>25236</v>
      </c>
      <c r="AW110" t="s">
        <v>11447</v>
      </c>
    </row>
    <row r="111" spans="1:49">
      <c r="A111" s="1">
        <f>HYPERLINK("https://lsnyc.legalserver.org/matter/dynamic-profile/view/1889590","19-1889590")</f>
        <v>0</v>
      </c>
      <c r="B111" t="s">
        <v>76</v>
      </c>
      <c r="C111" t="s">
        <v>424</v>
      </c>
      <c r="D111" t="s">
        <v>504</v>
      </c>
      <c r="E111" t="s">
        <v>1119</v>
      </c>
      <c r="F111" t="s">
        <v>3637</v>
      </c>
      <c r="G111" t="s">
        <v>6381</v>
      </c>
      <c r="H111">
        <v>1</v>
      </c>
      <c r="I111" t="s">
        <v>11385</v>
      </c>
      <c r="J111">
        <v>11208</v>
      </c>
      <c r="K111" t="s">
        <v>11447</v>
      </c>
      <c r="O111" t="s">
        <v>14786</v>
      </c>
      <c r="P111" t="s">
        <v>14795</v>
      </c>
      <c r="S111" t="s">
        <v>14827</v>
      </c>
      <c r="V111">
        <v>0</v>
      </c>
      <c r="W111" t="s">
        <v>14859</v>
      </c>
      <c r="X111" t="s">
        <v>14755</v>
      </c>
      <c r="Y111" t="s">
        <v>14890</v>
      </c>
      <c r="Z111" t="s">
        <v>15007</v>
      </c>
      <c r="AB111" t="s">
        <v>20182</v>
      </c>
      <c r="AC111">
        <v>1263</v>
      </c>
      <c r="AD111" t="s">
        <v>11479</v>
      </c>
      <c r="AE111" t="s">
        <v>24617</v>
      </c>
      <c r="AF111">
        <v>0</v>
      </c>
      <c r="AG111">
        <v>1</v>
      </c>
      <c r="AH111">
        <v>0</v>
      </c>
      <c r="AI111">
        <v>87.43000000000001</v>
      </c>
      <c r="AL111" t="s">
        <v>5011</v>
      </c>
      <c r="AM111">
        <v>10920</v>
      </c>
      <c r="AS111">
        <v>0.5</v>
      </c>
      <c r="AT111" t="s">
        <v>424</v>
      </c>
      <c r="AU111" t="s">
        <v>25244</v>
      </c>
      <c r="AW111" t="s">
        <v>11447</v>
      </c>
    </row>
    <row r="112" spans="1:49">
      <c r="A112" s="1">
        <f>HYPERLINK("https://lsnyc.legalserver.org/matter/dynamic-profile/view/1869222","18-1869222")</f>
        <v>0</v>
      </c>
      <c r="B112" t="s">
        <v>76</v>
      </c>
      <c r="C112" t="s">
        <v>425</v>
      </c>
      <c r="D112" t="s">
        <v>504</v>
      </c>
      <c r="E112" t="s">
        <v>1120</v>
      </c>
      <c r="F112" t="s">
        <v>3638</v>
      </c>
      <c r="G112" t="s">
        <v>6382</v>
      </c>
      <c r="H112" t="s">
        <v>10517</v>
      </c>
      <c r="I112" t="s">
        <v>11385</v>
      </c>
      <c r="J112">
        <v>11203</v>
      </c>
      <c r="K112" t="s">
        <v>11447</v>
      </c>
      <c r="O112" t="s">
        <v>14786</v>
      </c>
      <c r="P112" t="s">
        <v>14795</v>
      </c>
      <c r="S112" t="s">
        <v>14827</v>
      </c>
      <c r="V112">
        <v>1201</v>
      </c>
      <c r="W112" t="s">
        <v>14859</v>
      </c>
      <c r="X112" t="s">
        <v>14867</v>
      </c>
      <c r="Y112" t="s">
        <v>14890</v>
      </c>
      <c r="Z112" t="s">
        <v>15008</v>
      </c>
      <c r="AB112" t="s">
        <v>20183</v>
      </c>
      <c r="AC112">
        <v>28</v>
      </c>
      <c r="AD112" t="s">
        <v>24595</v>
      </c>
      <c r="AE112" t="s">
        <v>24613</v>
      </c>
      <c r="AF112">
        <v>13</v>
      </c>
      <c r="AG112">
        <v>1</v>
      </c>
      <c r="AH112">
        <v>0</v>
      </c>
      <c r="AI112">
        <v>87.78</v>
      </c>
      <c r="AL112" t="s">
        <v>5011</v>
      </c>
      <c r="AM112">
        <v>10656</v>
      </c>
      <c r="AS112">
        <v>1.5</v>
      </c>
      <c r="AT112" t="s">
        <v>25124</v>
      </c>
      <c r="AU112" t="s">
        <v>25245</v>
      </c>
      <c r="AW112" t="s">
        <v>11447</v>
      </c>
    </row>
    <row r="113" spans="1:49">
      <c r="A113" s="1">
        <f>HYPERLINK("https://lsnyc.legalserver.org/matter/dynamic-profile/view/1871011","18-1871011")</f>
        <v>0</v>
      </c>
      <c r="B113" t="s">
        <v>76</v>
      </c>
      <c r="C113" t="s">
        <v>426</v>
      </c>
      <c r="D113" t="s">
        <v>504</v>
      </c>
      <c r="E113" t="s">
        <v>1121</v>
      </c>
      <c r="F113" t="s">
        <v>3639</v>
      </c>
      <c r="G113" t="s">
        <v>6383</v>
      </c>
      <c r="H113" t="s">
        <v>10481</v>
      </c>
      <c r="I113" t="s">
        <v>11385</v>
      </c>
      <c r="J113">
        <v>11229</v>
      </c>
      <c r="K113" t="s">
        <v>11447</v>
      </c>
      <c r="M113" t="s">
        <v>11601</v>
      </c>
      <c r="O113" t="s">
        <v>14786</v>
      </c>
      <c r="P113" t="s">
        <v>14795</v>
      </c>
      <c r="S113" t="s">
        <v>14827</v>
      </c>
      <c r="V113">
        <v>217</v>
      </c>
      <c r="W113" t="s">
        <v>14859</v>
      </c>
      <c r="Y113" t="s">
        <v>14890</v>
      </c>
      <c r="Z113" t="s">
        <v>15009</v>
      </c>
      <c r="AB113" t="s">
        <v>20184</v>
      </c>
      <c r="AC113">
        <v>0</v>
      </c>
      <c r="AD113" t="s">
        <v>24603</v>
      </c>
      <c r="AF113">
        <v>1</v>
      </c>
      <c r="AG113">
        <v>1</v>
      </c>
      <c r="AH113">
        <v>0</v>
      </c>
      <c r="AI113">
        <v>88.95999999999999</v>
      </c>
      <c r="AL113" t="s">
        <v>5011</v>
      </c>
      <c r="AM113">
        <v>10800</v>
      </c>
      <c r="AS113">
        <v>1</v>
      </c>
      <c r="AT113" t="s">
        <v>426</v>
      </c>
      <c r="AU113" t="s">
        <v>25231</v>
      </c>
      <c r="AW113" t="s">
        <v>11447</v>
      </c>
    </row>
    <row r="114" spans="1:49">
      <c r="A114" s="1">
        <f>HYPERLINK("https://lsnyc.legalserver.org/matter/dynamic-profile/view/1870943","18-1870943")</f>
        <v>0</v>
      </c>
      <c r="B114" t="s">
        <v>76</v>
      </c>
      <c r="C114" t="s">
        <v>427</v>
      </c>
      <c r="D114" t="s">
        <v>504</v>
      </c>
      <c r="E114" t="s">
        <v>1122</v>
      </c>
      <c r="F114" t="s">
        <v>3640</v>
      </c>
      <c r="G114" t="s">
        <v>6384</v>
      </c>
      <c r="H114" t="s">
        <v>10518</v>
      </c>
      <c r="I114" t="s">
        <v>11385</v>
      </c>
      <c r="J114">
        <v>11219</v>
      </c>
      <c r="K114" t="s">
        <v>11447</v>
      </c>
      <c r="O114" t="s">
        <v>14786</v>
      </c>
      <c r="P114" t="s">
        <v>14795</v>
      </c>
      <c r="S114" t="s">
        <v>14827</v>
      </c>
      <c r="V114">
        <v>900</v>
      </c>
      <c r="W114" t="s">
        <v>14859</v>
      </c>
      <c r="X114" t="s">
        <v>14864</v>
      </c>
      <c r="Y114" t="s">
        <v>14890</v>
      </c>
      <c r="Z114" t="s">
        <v>15010</v>
      </c>
      <c r="AB114" t="s">
        <v>20185</v>
      </c>
      <c r="AC114">
        <v>50</v>
      </c>
      <c r="AD114" t="s">
        <v>24600</v>
      </c>
      <c r="AE114" t="s">
        <v>24613</v>
      </c>
      <c r="AF114">
        <v>10</v>
      </c>
      <c r="AG114">
        <v>1</v>
      </c>
      <c r="AH114">
        <v>0</v>
      </c>
      <c r="AI114">
        <v>98.84999999999999</v>
      </c>
      <c r="AL114" t="s">
        <v>5011</v>
      </c>
      <c r="AM114">
        <v>12000</v>
      </c>
      <c r="AS114">
        <v>1.7</v>
      </c>
      <c r="AT114" t="s">
        <v>582</v>
      </c>
      <c r="AU114" t="s">
        <v>25245</v>
      </c>
      <c r="AW114" t="s">
        <v>11447</v>
      </c>
    </row>
    <row r="115" spans="1:49">
      <c r="A115" s="1">
        <f>HYPERLINK("https://lsnyc.legalserver.org/matter/dynamic-profile/view/1868683","18-1868683")</f>
        <v>0</v>
      </c>
      <c r="B115" t="s">
        <v>76</v>
      </c>
      <c r="C115" t="s">
        <v>428</v>
      </c>
      <c r="D115" t="s">
        <v>504</v>
      </c>
      <c r="E115" t="s">
        <v>1123</v>
      </c>
      <c r="F115" t="s">
        <v>1254</v>
      </c>
      <c r="G115" t="s">
        <v>6385</v>
      </c>
      <c r="H115">
        <v>4</v>
      </c>
      <c r="I115" t="s">
        <v>11385</v>
      </c>
      <c r="J115">
        <v>11216</v>
      </c>
      <c r="K115" t="s">
        <v>11447</v>
      </c>
      <c r="O115" t="s">
        <v>14786</v>
      </c>
      <c r="P115" t="s">
        <v>14795</v>
      </c>
      <c r="S115" t="s">
        <v>14827</v>
      </c>
      <c r="V115">
        <v>2000</v>
      </c>
      <c r="W115" t="s">
        <v>14859</v>
      </c>
      <c r="X115" t="s">
        <v>14867</v>
      </c>
      <c r="Y115" t="s">
        <v>14890</v>
      </c>
      <c r="Z115" t="s">
        <v>15011</v>
      </c>
      <c r="AB115" t="s">
        <v>20186</v>
      </c>
      <c r="AC115">
        <v>4</v>
      </c>
      <c r="AD115" t="s">
        <v>24600</v>
      </c>
      <c r="AE115" t="s">
        <v>11459</v>
      </c>
      <c r="AF115">
        <v>1</v>
      </c>
      <c r="AG115">
        <v>1</v>
      </c>
      <c r="AH115">
        <v>0</v>
      </c>
      <c r="AI115">
        <v>102.21</v>
      </c>
      <c r="AL115" t="s">
        <v>5011</v>
      </c>
      <c r="AM115">
        <v>12408</v>
      </c>
      <c r="AS115">
        <v>0.9</v>
      </c>
      <c r="AT115" t="s">
        <v>388</v>
      </c>
      <c r="AU115" t="s">
        <v>25225</v>
      </c>
      <c r="AW115" t="s">
        <v>11447</v>
      </c>
    </row>
    <row r="116" spans="1:49">
      <c r="A116" s="1">
        <f>HYPERLINK("https://lsnyc.legalserver.org/matter/dynamic-profile/view/1859547","18-1859547")</f>
        <v>0</v>
      </c>
      <c r="B116" t="s">
        <v>76</v>
      </c>
      <c r="C116" t="s">
        <v>429</v>
      </c>
      <c r="D116" t="s">
        <v>504</v>
      </c>
      <c r="E116" t="s">
        <v>1124</v>
      </c>
      <c r="F116" t="s">
        <v>3641</v>
      </c>
      <c r="G116" t="s">
        <v>6386</v>
      </c>
      <c r="H116" t="s">
        <v>10519</v>
      </c>
      <c r="I116" t="s">
        <v>11385</v>
      </c>
      <c r="J116">
        <v>11212</v>
      </c>
      <c r="K116" t="s">
        <v>11447</v>
      </c>
      <c r="O116" t="s">
        <v>14786</v>
      </c>
      <c r="P116" t="s">
        <v>14795</v>
      </c>
      <c r="S116" t="s">
        <v>14827</v>
      </c>
      <c r="V116">
        <v>1011</v>
      </c>
      <c r="W116" t="s">
        <v>14859</v>
      </c>
      <c r="X116" t="s">
        <v>14870</v>
      </c>
      <c r="Y116" t="s">
        <v>14890</v>
      </c>
      <c r="Z116" t="s">
        <v>15012</v>
      </c>
      <c r="AB116" t="s">
        <v>19344</v>
      </c>
      <c r="AC116">
        <v>170</v>
      </c>
      <c r="AE116" t="s">
        <v>11459</v>
      </c>
      <c r="AF116">
        <v>28</v>
      </c>
      <c r="AG116">
        <v>1</v>
      </c>
      <c r="AH116">
        <v>0</v>
      </c>
      <c r="AI116">
        <v>108.73</v>
      </c>
      <c r="AL116" t="s">
        <v>5011</v>
      </c>
      <c r="AM116">
        <v>13200</v>
      </c>
      <c r="AS116">
        <v>1.5</v>
      </c>
      <c r="AT116" t="s">
        <v>429</v>
      </c>
      <c r="AU116" t="s">
        <v>25226</v>
      </c>
      <c r="AW116" t="s">
        <v>11447</v>
      </c>
    </row>
    <row r="117" spans="1:49">
      <c r="A117" s="1">
        <f>HYPERLINK("https://lsnyc.legalserver.org/matter/dynamic-profile/view/1870502","18-1870502")</f>
        <v>0</v>
      </c>
      <c r="B117" t="s">
        <v>76</v>
      </c>
      <c r="C117" t="s">
        <v>430</v>
      </c>
      <c r="D117" t="s">
        <v>504</v>
      </c>
      <c r="E117" t="s">
        <v>1125</v>
      </c>
      <c r="F117" t="s">
        <v>3561</v>
      </c>
      <c r="G117" t="s">
        <v>6387</v>
      </c>
      <c r="H117" t="s">
        <v>10520</v>
      </c>
      <c r="I117" t="s">
        <v>11385</v>
      </c>
      <c r="J117">
        <v>11212</v>
      </c>
      <c r="K117" t="s">
        <v>11447</v>
      </c>
      <c r="O117" t="s">
        <v>14786</v>
      </c>
      <c r="P117" t="s">
        <v>14795</v>
      </c>
      <c r="S117" t="s">
        <v>14828</v>
      </c>
      <c r="V117">
        <v>816</v>
      </c>
      <c r="W117" t="s">
        <v>14859</v>
      </c>
      <c r="X117" t="s">
        <v>14864</v>
      </c>
      <c r="Y117" t="s">
        <v>14890</v>
      </c>
      <c r="Z117" t="s">
        <v>15013</v>
      </c>
      <c r="AB117" t="s">
        <v>20187</v>
      </c>
      <c r="AC117">
        <v>140</v>
      </c>
      <c r="AD117" t="s">
        <v>24597</v>
      </c>
      <c r="AF117">
        <v>17</v>
      </c>
      <c r="AG117">
        <v>1</v>
      </c>
      <c r="AH117">
        <v>2</v>
      </c>
      <c r="AI117">
        <v>110.59</v>
      </c>
      <c r="AL117" t="s">
        <v>5011</v>
      </c>
      <c r="AM117">
        <v>22980</v>
      </c>
      <c r="AS117">
        <v>1</v>
      </c>
      <c r="AT117" t="s">
        <v>430</v>
      </c>
      <c r="AU117" t="s">
        <v>25245</v>
      </c>
      <c r="AW117" t="s">
        <v>11447</v>
      </c>
    </row>
    <row r="118" spans="1:49">
      <c r="A118" s="1">
        <f>HYPERLINK("https://lsnyc.legalserver.org/matter/dynamic-profile/view/1869579","18-1869579")</f>
        <v>0</v>
      </c>
      <c r="B118" t="s">
        <v>76</v>
      </c>
      <c r="C118" t="s">
        <v>431</v>
      </c>
      <c r="D118" t="s">
        <v>504</v>
      </c>
      <c r="E118" t="s">
        <v>1117</v>
      </c>
      <c r="F118" t="s">
        <v>3642</v>
      </c>
      <c r="G118" t="s">
        <v>6388</v>
      </c>
      <c r="H118" t="s">
        <v>10464</v>
      </c>
      <c r="I118" t="s">
        <v>11385</v>
      </c>
      <c r="J118">
        <v>11210</v>
      </c>
      <c r="K118" t="s">
        <v>11447</v>
      </c>
      <c r="O118" t="s">
        <v>14786</v>
      </c>
      <c r="P118" t="s">
        <v>14795</v>
      </c>
      <c r="S118" t="s">
        <v>14827</v>
      </c>
      <c r="V118">
        <v>1610</v>
      </c>
      <c r="W118" t="s">
        <v>14859</v>
      </c>
      <c r="X118" t="s">
        <v>14866</v>
      </c>
      <c r="Y118" t="s">
        <v>14890</v>
      </c>
      <c r="Z118" t="s">
        <v>15014</v>
      </c>
      <c r="AC118">
        <v>6</v>
      </c>
      <c r="AD118" t="s">
        <v>11479</v>
      </c>
      <c r="AE118" t="s">
        <v>24610</v>
      </c>
      <c r="AF118">
        <v>8</v>
      </c>
      <c r="AG118">
        <v>1</v>
      </c>
      <c r="AH118">
        <v>0</v>
      </c>
      <c r="AI118">
        <v>117.79</v>
      </c>
      <c r="AL118" t="s">
        <v>5011</v>
      </c>
      <c r="AM118">
        <v>14300</v>
      </c>
      <c r="AS118">
        <v>1</v>
      </c>
      <c r="AT118" t="s">
        <v>431</v>
      </c>
      <c r="AU118" t="s">
        <v>25233</v>
      </c>
      <c r="AW118" t="s">
        <v>11447</v>
      </c>
    </row>
    <row r="119" spans="1:49">
      <c r="A119" s="1">
        <f>HYPERLINK("https://lsnyc.legalserver.org/matter/dynamic-profile/view/1896041","19-1896041")</f>
        <v>0</v>
      </c>
      <c r="B119" t="s">
        <v>76</v>
      </c>
      <c r="C119" t="s">
        <v>432</v>
      </c>
      <c r="D119" t="s">
        <v>504</v>
      </c>
      <c r="E119" t="s">
        <v>1126</v>
      </c>
      <c r="F119" t="s">
        <v>3643</v>
      </c>
      <c r="G119" t="s">
        <v>6389</v>
      </c>
      <c r="H119" t="s">
        <v>10521</v>
      </c>
      <c r="I119" t="s">
        <v>11385</v>
      </c>
      <c r="J119">
        <v>11224</v>
      </c>
      <c r="K119" t="s">
        <v>11447</v>
      </c>
      <c r="O119" t="s">
        <v>14786</v>
      </c>
      <c r="P119" t="s">
        <v>14795</v>
      </c>
      <c r="S119" t="s">
        <v>14827</v>
      </c>
      <c r="V119">
        <v>2200</v>
      </c>
      <c r="W119" t="s">
        <v>14859</v>
      </c>
      <c r="Y119" t="s">
        <v>14890</v>
      </c>
      <c r="Z119" t="s">
        <v>15015</v>
      </c>
      <c r="AB119" t="s">
        <v>20188</v>
      </c>
      <c r="AC119">
        <v>160</v>
      </c>
      <c r="AF119">
        <v>11</v>
      </c>
      <c r="AG119">
        <v>1</v>
      </c>
      <c r="AH119">
        <v>2</v>
      </c>
      <c r="AI119">
        <v>121.89</v>
      </c>
      <c r="AL119" t="s">
        <v>5011</v>
      </c>
      <c r="AM119">
        <v>26000</v>
      </c>
      <c r="AS119">
        <v>0.5</v>
      </c>
      <c r="AT119" t="s">
        <v>432</v>
      </c>
      <c r="AU119" t="s">
        <v>25238</v>
      </c>
      <c r="AW119" t="s">
        <v>11447</v>
      </c>
    </row>
    <row r="120" spans="1:49">
      <c r="A120" s="1">
        <f>HYPERLINK("https://lsnyc.legalserver.org/matter/dynamic-profile/view/1881275","18-1881275")</f>
        <v>0</v>
      </c>
      <c r="B120" t="s">
        <v>76</v>
      </c>
      <c r="C120" t="s">
        <v>433</v>
      </c>
      <c r="D120" t="s">
        <v>504</v>
      </c>
      <c r="E120" t="s">
        <v>1127</v>
      </c>
      <c r="F120" t="s">
        <v>3644</v>
      </c>
      <c r="G120" t="s">
        <v>6390</v>
      </c>
      <c r="H120" t="s">
        <v>10522</v>
      </c>
      <c r="I120" t="s">
        <v>11385</v>
      </c>
      <c r="J120">
        <v>11230</v>
      </c>
      <c r="K120" t="s">
        <v>11447</v>
      </c>
      <c r="M120" t="s">
        <v>11601</v>
      </c>
      <c r="O120" t="s">
        <v>14786</v>
      </c>
      <c r="P120" t="s">
        <v>14795</v>
      </c>
      <c r="Q120" t="s">
        <v>11448</v>
      </c>
      <c r="S120" t="s">
        <v>14827</v>
      </c>
      <c r="V120">
        <v>1254</v>
      </c>
      <c r="W120" t="s">
        <v>14859</v>
      </c>
      <c r="Y120" t="s">
        <v>14891</v>
      </c>
      <c r="Z120" t="s">
        <v>15016</v>
      </c>
      <c r="AC120">
        <v>40</v>
      </c>
      <c r="AD120" t="s">
        <v>11479</v>
      </c>
      <c r="AE120" t="s">
        <v>11459</v>
      </c>
      <c r="AF120">
        <v>23</v>
      </c>
      <c r="AG120">
        <v>2</v>
      </c>
      <c r="AH120">
        <v>0</v>
      </c>
      <c r="AI120">
        <v>123.21</v>
      </c>
      <c r="AL120" t="s">
        <v>24632</v>
      </c>
      <c r="AM120">
        <v>20280</v>
      </c>
      <c r="AS120">
        <v>0.75</v>
      </c>
      <c r="AT120" t="s">
        <v>433</v>
      </c>
      <c r="AU120" t="s">
        <v>25236</v>
      </c>
      <c r="AW120" t="s">
        <v>11447</v>
      </c>
    </row>
    <row r="121" spans="1:49">
      <c r="A121" s="1">
        <f>HYPERLINK("https://lsnyc.legalserver.org/matter/dynamic-profile/view/1871846","18-1871846")</f>
        <v>0</v>
      </c>
      <c r="B121" t="s">
        <v>76</v>
      </c>
      <c r="C121" t="s">
        <v>434</v>
      </c>
      <c r="D121" t="s">
        <v>504</v>
      </c>
      <c r="E121" t="s">
        <v>1128</v>
      </c>
      <c r="F121" t="s">
        <v>3645</v>
      </c>
      <c r="G121" t="s">
        <v>6391</v>
      </c>
      <c r="H121" t="s">
        <v>10523</v>
      </c>
      <c r="I121" t="s">
        <v>11385</v>
      </c>
      <c r="J121">
        <v>11224</v>
      </c>
      <c r="K121" t="s">
        <v>11447</v>
      </c>
      <c r="M121" t="s">
        <v>11601</v>
      </c>
      <c r="O121" t="s">
        <v>14786</v>
      </c>
      <c r="P121" t="s">
        <v>14795</v>
      </c>
      <c r="S121" t="s">
        <v>14827</v>
      </c>
      <c r="V121">
        <v>1800</v>
      </c>
      <c r="W121" t="s">
        <v>14859</v>
      </c>
      <c r="Y121" t="s">
        <v>14890</v>
      </c>
      <c r="Z121" t="s">
        <v>15017</v>
      </c>
      <c r="AB121" t="s">
        <v>20189</v>
      </c>
      <c r="AC121">
        <v>120</v>
      </c>
      <c r="AE121" t="s">
        <v>24610</v>
      </c>
      <c r="AF121">
        <v>10</v>
      </c>
      <c r="AG121">
        <v>2</v>
      </c>
      <c r="AH121">
        <v>0</v>
      </c>
      <c r="AI121">
        <v>126.85</v>
      </c>
      <c r="AL121" t="s">
        <v>24636</v>
      </c>
      <c r="AM121">
        <v>20880</v>
      </c>
      <c r="AS121">
        <v>1</v>
      </c>
      <c r="AT121" t="s">
        <v>434</v>
      </c>
      <c r="AU121" t="s">
        <v>25231</v>
      </c>
      <c r="AW121" t="s">
        <v>11447</v>
      </c>
    </row>
    <row r="122" spans="1:49">
      <c r="A122" s="1">
        <f>HYPERLINK("https://lsnyc.legalserver.org/matter/dynamic-profile/view/1854916","18-1854916")</f>
        <v>0</v>
      </c>
      <c r="B122" t="s">
        <v>76</v>
      </c>
      <c r="C122" t="s">
        <v>413</v>
      </c>
      <c r="D122" t="s">
        <v>504</v>
      </c>
      <c r="E122" t="s">
        <v>1129</v>
      </c>
      <c r="F122" t="s">
        <v>3646</v>
      </c>
      <c r="G122" t="s">
        <v>6392</v>
      </c>
      <c r="H122" t="s">
        <v>10465</v>
      </c>
      <c r="I122" t="s">
        <v>11385</v>
      </c>
      <c r="J122">
        <v>11223</v>
      </c>
      <c r="K122" t="s">
        <v>11447</v>
      </c>
      <c r="O122" t="s">
        <v>14786</v>
      </c>
      <c r="P122" t="s">
        <v>14795</v>
      </c>
      <c r="S122" t="s">
        <v>14827</v>
      </c>
      <c r="V122">
        <v>0</v>
      </c>
      <c r="W122" t="s">
        <v>14859</v>
      </c>
      <c r="Y122" t="s">
        <v>14890</v>
      </c>
      <c r="Z122" t="s">
        <v>15018</v>
      </c>
      <c r="AB122" t="s">
        <v>20190</v>
      </c>
      <c r="AC122">
        <v>2</v>
      </c>
      <c r="AF122">
        <v>1</v>
      </c>
      <c r="AG122">
        <v>3</v>
      </c>
      <c r="AH122">
        <v>0</v>
      </c>
      <c r="AI122">
        <v>132.22</v>
      </c>
      <c r="AL122" t="s">
        <v>5011</v>
      </c>
      <c r="AM122">
        <v>27000</v>
      </c>
      <c r="AS122">
        <v>1</v>
      </c>
      <c r="AT122" t="s">
        <v>413</v>
      </c>
      <c r="AU122" t="s">
        <v>25227</v>
      </c>
      <c r="AW122" t="s">
        <v>11447</v>
      </c>
    </row>
    <row r="123" spans="1:49">
      <c r="A123" s="1">
        <f>HYPERLINK("https://lsnyc.legalserver.org/matter/dynamic-profile/view/1865695","18-1865695")</f>
        <v>0</v>
      </c>
      <c r="B123" t="s">
        <v>76</v>
      </c>
      <c r="C123" t="s">
        <v>435</v>
      </c>
      <c r="D123" t="s">
        <v>504</v>
      </c>
      <c r="E123" t="s">
        <v>1130</v>
      </c>
      <c r="F123" t="s">
        <v>1395</v>
      </c>
      <c r="G123" t="s">
        <v>6393</v>
      </c>
      <c r="H123" t="s">
        <v>10524</v>
      </c>
      <c r="I123" t="s">
        <v>11385</v>
      </c>
      <c r="J123">
        <v>11217</v>
      </c>
      <c r="K123" t="s">
        <v>11447</v>
      </c>
      <c r="O123" t="s">
        <v>14786</v>
      </c>
      <c r="P123" t="s">
        <v>14795</v>
      </c>
      <c r="S123" t="s">
        <v>14827</v>
      </c>
      <c r="V123">
        <v>1300</v>
      </c>
      <c r="W123" t="s">
        <v>14859</v>
      </c>
      <c r="X123" t="s">
        <v>14874</v>
      </c>
      <c r="Y123" t="s">
        <v>14890</v>
      </c>
      <c r="Z123" t="s">
        <v>15019</v>
      </c>
      <c r="AB123" t="s">
        <v>20191</v>
      </c>
      <c r="AC123">
        <v>96</v>
      </c>
      <c r="AF123">
        <v>24</v>
      </c>
      <c r="AG123">
        <v>1</v>
      </c>
      <c r="AH123">
        <v>0</v>
      </c>
      <c r="AI123">
        <v>148.27</v>
      </c>
      <c r="AL123" t="s">
        <v>5011</v>
      </c>
      <c r="AM123">
        <v>18000</v>
      </c>
      <c r="AS123">
        <v>1.8</v>
      </c>
      <c r="AT123" t="s">
        <v>356</v>
      </c>
      <c r="AU123" t="s">
        <v>25227</v>
      </c>
      <c r="AW123" t="s">
        <v>11447</v>
      </c>
    </row>
    <row r="124" spans="1:49">
      <c r="A124" s="1">
        <f>HYPERLINK("https://lsnyc.legalserver.org/matter/dynamic-profile/view/1896438","19-1896438")</f>
        <v>0</v>
      </c>
      <c r="B124" t="s">
        <v>76</v>
      </c>
      <c r="C124" t="s">
        <v>416</v>
      </c>
      <c r="D124" t="s">
        <v>504</v>
      </c>
      <c r="E124" t="s">
        <v>1024</v>
      </c>
      <c r="F124" t="s">
        <v>1172</v>
      </c>
      <c r="G124" t="s">
        <v>6394</v>
      </c>
      <c r="H124" t="s">
        <v>10525</v>
      </c>
      <c r="I124" t="s">
        <v>11385</v>
      </c>
      <c r="J124">
        <v>11221</v>
      </c>
      <c r="K124" t="s">
        <v>11447</v>
      </c>
      <c r="O124" t="s">
        <v>14786</v>
      </c>
      <c r="P124" t="s">
        <v>14795</v>
      </c>
      <c r="S124" t="s">
        <v>14827</v>
      </c>
      <c r="V124">
        <v>1094.01</v>
      </c>
      <c r="W124" t="s">
        <v>14859</v>
      </c>
      <c r="Y124" t="s">
        <v>14890</v>
      </c>
      <c r="Z124" t="s">
        <v>15020</v>
      </c>
      <c r="AB124" t="s">
        <v>20192</v>
      </c>
      <c r="AC124">
        <v>6</v>
      </c>
      <c r="AF124">
        <v>15</v>
      </c>
      <c r="AG124">
        <v>1</v>
      </c>
      <c r="AH124">
        <v>0</v>
      </c>
      <c r="AI124">
        <v>152.38</v>
      </c>
      <c r="AL124" t="s">
        <v>5011</v>
      </c>
      <c r="AM124">
        <v>19032</v>
      </c>
      <c r="AS124">
        <v>0.5</v>
      </c>
      <c r="AT124" t="s">
        <v>416</v>
      </c>
      <c r="AU124" t="s">
        <v>25238</v>
      </c>
      <c r="AW124" t="s">
        <v>11447</v>
      </c>
    </row>
    <row r="125" spans="1:49">
      <c r="A125" s="1">
        <f>HYPERLINK("https://lsnyc.legalserver.org/matter/dynamic-profile/view/1877146","18-1877146")</f>
        <v>0</v>
      </c>
      <c r="B125" t="s">
        <v>76</v>
      </c>
      <c r="C125" t="s">
        <v>407</v>
      </c>
      <c r="D125" t="s">
        <v>504</v>
      </c>
      <c r="E125" t="s">
        <v>1131</v>
      </c>
      <c r="F125" t="s">
        <v>3647</v>
      </c>
      <c r="G125" t="s">
        <v>6395</v>
      </c>
      <c r="H125" t="s">
        <v>10526</v>
      </c>
      <c r="I125" t="s">
        <v>11385</v>
      </c>
      <c r="J125">
        <v>11215</v>
      </c>
      <c r="K125" t="s">
        <v>11447</v>
      </c>
      <c r="M125" t="s">
        <v>11601</v>
      </c>
      <c r="O125" t="s">
        <v>14786</v>
      </c>
      <c r="P125" t="s">
        <v>14795</v>
      </c>
      <c r="S125" t="s">
        <v>14827</v>
      </c>
      <c r="V125">
        <v>153.7</v>
      </c>
      <c r="W125" t="s">
        <v>14859</v>
      </c>
      <c r="Y125" t="s">
        <v>14890</v>
      </c>
      <c r="Z125" t="s">
        <v>15021</v>
      </c>
      <c r="AC125">
        <v>3</v>
      </c>
      <c r="AF125">
        <v>60</v>
      </c>
      <c r="AG125">
        <v>1</v>
      </c>
      <c r="AH125">
        <v>0</v>
      </c>
      <c r="AI125">
        <v>165.57</v>
      </c>
      <c r="AL125" t="s">
        <v>5011</v>
      </c>
      <c r="AM125">
        <v>20100</v>
      </c>
      <c r="AS125">
        <v>8.75</v>
      </c>
      <c r="AT125" t="s">
        <v>519</v>
      </c>
      <c r="AU125" t="s">
        <v>25236</v>
      </c>
      <c r="AW125" t="s">
        <v>11447</v>
      </c>
    </row>
    <row r="126" spans="1:49">
      <c r="A126" s="1">
        <f>HYPERLINK("https://lsnyc.legalserver.org/matter/dynamic-profile/view/1900913","19-1900913")</f>
        <v>0</v>
      </c>
      <c r="B126" t="s">
        <v>76</v>
      </c>
      <c r="C126" t="s">
        <v>351</v>
      </c>
      <c r="D126" t="s">
        <v>504</v>
      </c>
      <c r="E126" t="s">
        <v>1132</v>
      </c>
      <c r="F126" t="s">
        <v>3648</v>
      </c>
      <c r="G126" t="s">
        <v>6396</v>
      </c>
      <c r="H126" t="s">
        <v>10527</v>
      </c>
      <c r="I126" t="s">
        <v>11385</v>
      </c>
      <c r="J126">
        <v>11218</v>
      </c>
      <c r="K126" t="s">
        <v>11447</v>
      </c>
      <c r="O126" t="s">
        <v>14786</v>
      </c>
      <c r="P126" t="s">
        <v>14795</v>
      </c>
      <c r="S126" t="s">
        <v>14827</v>
      </c>
      <c r="V126">
        <v>1100</v>
      </c>
      <c r="W126" t="s">
        <v>14859</v>
      </c>
      <c r="Y126" t="s">
        <v>14890</v>
      </c>
      <c r="Z126" t="s">
        <v>15022</v>
      </c>
      <c r="AB126" t="s">
        <v>20193</v>
      </c>
      <c r="AC126">
        <v>49</v>
      </c>
      <c r="AF126">
        <v>1</v>
      </c>
      <c r="AG126">
        <v>1</v>
      </c>
      <c r="AH126">
        <v>0</v>
      </c>
      <c r="AI126">
        <v>187.35</v>
      </c>
      <c r="AL126" t="s">
        <v>5011</v>
      </c>
      <c r="AM126">
        <v>23400</v>
      </c>
      <c r="AS126">
        <v>2.3</v>
      </c>
      <c r="AT126" t="s">
        <v>380</v>
      </c>
      <c r="AU126" t="s">
        <v>25227</v>
      </c>
      <c r="AW126" t="s">
        <v>11447</v>
      </c>
    </row>
    <row r="127" spans="1:49">
      <c r="A127" s="1">
        <f>HYPERLINK("https://lsnyc.legalserver.org/matter/dynamic-profile/view/1855049","18-1855049")</f>
        <v>0</v>
      </c>
      <c r="B127" t="s">
        <v>76</v>
      </c>
      <c r="C127" t="s">
        <v>436</v>
      </c>
      <c r="D127" t="s">
        <v>504</v>
      </c>
      <c r="E127" t="s">
        <v>1133</v>
      </c>
      <c r="F127" t="s">
        <v>3649</v>
      </c>
      <c r="G127" t="s">
        <v>6397</v>
      </c>
      <c r="H127" t="s">
        <v>10455</v>
      </c>
      <c r="I127" t="s">
        <v>11385</v>
      </c>
      <c r="J127">
        <v>11203</v>
      </c>
      <c r="K127" t="s">
        <v>11447</v>
      </c>
      <c r="L127" t="s">
        <v>11476</v>
      </c>
      <c r="N127" t="s">
        <v>14778</v>
      </c>
      <c r="O127" t="s">
        <v>14786</v>
      </c>
      <c r="P127" t="s">
        <v>14795</v>
      </c>
      <c r="S127" t="s">
        <v>14827</v>
      </c>
      <c r="V127">
        <v>1100</v>
      </c>
      <c r="W127" t="s">
        <v>14859</v>
      </c>
      <c r="Y127" t="s">
        <v>14890</v>
      </c>
      <c r="Z127" t="s">
        <v>15023</v>
      </c>
      <c r="AB127" t="s">
        <v>20194</v>
      </c>
      <c r="AC127">
        <v>6</v>
      </c>
      <c r="AF127">
        <v>4</v>
      </c>
      <c r="AG127">
        <v>1</v>
      </c>
      <c r="AH127">
        <v>0</v>
      </c>
      <c r="AI127">
        <v>187.35</v>
      </c>
      <c r="AL127" t="s">
        <v>5011</v>
      </c>
      <c r="AM127">
        <v>22594</v>
      </c>
      <c r="AS127">
        <v>1.1</v>
      </c>
      <c r="AT127" t="s">
        <v>25126</v>
      </c>
      <c r="AU127" t="s">
        <v>25229</v>
      </c>
      <c r="AW127" t="s">
        <v>11447</v>
      </c>
    </row>
    <row r="128" spans="1:49">
      <c r="A128" s="1">
        <f>HYPERLINK("https://lsnyc.legalserver.org/matter/dynamic-profile/view/1868254","18-1868254")</f>
        <v>0</v>
      </c>
      <c r="B128" t="s">
        <v>76</v>
      </c>
      <c r="C128" t="s">
        <v>437</v>
      </c>
      <c r="D128" t="s">
        <v>504</v>
      </c>
      <c r="E128" t="s">
        <v>1134</v>
      </c>
      <c r="F128" t="s">
        <v>3650</v>
      </c>
      <c r="G128" t="s">
        <v>6398</v>
      </c>
      <c r="H128">
        <v>3</v>
      </c>
      <c r="I128" t="s">
        <v>11385</v>
      </c>
      <c r="J128">
        <v>11237</v>
      </c>
      <c r="K128" t="s">
        <v>11447</v>
      </c>
      <c r="M128" t="s">
        <v>11601</v>
      </c>
      <c r="O128" t="s">
        <v>14786</v>
      </c>
      <c r="P128" t="s">
        <v>14795</v>
      </c>
      <c r="S128" t="s">
        <v>14827</v>
      </c>
      <c r="V128">
        <v>2100</v>
      </c>
      <c r="W128" t="s">
        <v>14859</v>
      </c>
      <c r="Y128" t="s">
        <v>14890</v>
      </c>
      <c r="Z128" t="s">
        <v>15024</v>
      </c>
      <c r="AB128" t="s">
        <v>20195</v>
      </c>
      <c r="AC128">
        <v>2</v>
      </c>
      <c r="AD128" t="s">
        <v>11479</v>
      </c>
      <c r="AE128" t="s">
        <v>11459</v>
      </c>
      <c r="AF128">
        <v>1</v>
      </c>
      <c r="AG128">
        <v>1</v>
      </c>
      <c r="AH128">
        <v>0</v>
      </c>
      <c r="AI128">
        <v>197.69</v>
      </c>
      <c r="AL128" t="s">
        <v>5011</v>
      </c>
      <c r="AM128">
        <v>24000</v>
      </c>
      <c r="AS128">
        <v>1</v>
      </c>
      <c r="AT128" t="s">
        <v>437</v>
      </c>
      <c r="AU128" t="s">
        <v>25231</v>
      </c>
      <c r="AW128" t="s">
        <v>11447</v>
      </c>
    </row>
    <row r="129" spans="1:49">
      <c r="A129" s="1">
        <f>HYPERLINK("https://lsnyc.legalserver.org/matter/dynamic-profile/view/1876397","18-1876397")</f>
        <v>0</v>
      </c>
      <c r="B129" t="s">
        <v>76</v>
      </c>
      <c r="C129" t="s">
        <v>438</v>
      </c>
      <c r="D129" t="s">
        <v>468</v>
      </c>
      <c r="E129" t="s">
        <v>1135</v>
      </c>
      <c r="F129" t="s">
        <v>3651</v>
      </c>
      <c r="G129" t="s">
        <v>6399</v>
      </c>
      <c r="I129" t="s">
        <v>11385</v>
      </c>
      <c r="J129">
        <v>11234</v>
      </c>
      <c r="K129" t="s">
        <v>11447</v>
      </c>
      <c r="N129" t="s">
        <v>14778</v>
      </c>
      <c r="O129" t="s">
        <v>14786</v>
      </c>
      <c r="P129" t="s">
        <v>14795</v>
      </c>
      <c r="S129" t="s">
        <v>14827</v>
      </c>
      <c r="V129">
        <v>750</v>
      </c>
      <c r="W129" t="s">
        <v>14859</v>
      </c>
      <c r="X129" t="s">
        <v>14875</v>
      </c>
      <c r="Y129" t="s">
        <v>14890</v>
      </c>
      <c r="Z129" t="s">
        <v>15025</v>
      </c>
      <c r="AB129" t="s">
        <v>20196</v>
      </c>
      <c r="AC129">
        <v>0</v>
      </c>
      <c r="AE129" t="s">
        <v>11459</v>
      </c>
      <c r="AF129">
        <v>0</v>
      </c>
      <c r="AG129">
        <v>1</v>
      </c>
      <c r="AH129">
        <v>0</v>
      </c>
      <c r="AI129">
        <v>0</v>
      </c>
      <c r="AL129" t="s">
        <v>5011</v>
      </c>
      <c r="AM129">
        <v>0</v>
      </c>
      <c r="AS129">
        <v>1</v>
      </c>
      <c r="AT129" t="s">
        <v>438</v>
      </c>
      <c r="AU129" t="s">
        <v>25233</v>
      </c>
      <c r="AW129" t="s">
        <v>11447</v>
      </c>
    </row>
    <row r="130" spans="1:49">
      <c r="A130" s="1">
        <f>HYPERLINK("https://lsnyc.legalserver.org/matter/dynamic-profile/view/1882067","18-1882067")</f>
        <v>0</v>
      </c>
      <c r="B130" t="s">
        <v>76</v>
      </c>
      <c r="C130" t="s">
        <v>439</v>
      </c>
      <c r="D130" t="s">
        <v>468</v>
      </c>
      <c r="E130" t="s">
        <v>1136</v>
      </c>
      <c r="F130" t="s">
        <v>3652</v>
      </c>
      <c r="G130" t="s">
        <v>6400</v>
      </c>
      <c r="H130" t="s">
        <v>10528</v>
      </c>
      <c r="I130" t="s">
        <v>11385</v>
      </c>
      <c r="J130">
        <v>11226</v>
      </c>
      <c r="K130" t="s">
        <v>11447</v>
      </c>
      <c r="O130" t="s">
        <v>14786</v>
      </c>
      <c r="P130" t="s">
        <v>14795</v>
      </c>
      <c r="S130" t="s">
        <v>14827</v>
      </c>
      <c r="V130">
        <v>0</v>
      </c>
      <c r="W130" t="s">
        <v>14859</v>
      </c>
      <c r="Y130" t="s">
        <v>14891</v>
      </c>
      <c r="Z130" t="s">
        <v>15026</v>
      </c>
      <c r="AB130" t="s">
        <v>20197</v>
      </c>
      <c r="AC130">
        <v>0</v>
      </c>
      <c r="AF130">
        <v>0</v>
      </c>
      <c r="AG130">
        <v>1</v>
      </c>
      <c r="AH130">
        <v>0</v>
      </c>
      <c r="AI130">
        <v>0</v>
      </c>
      <c r="AL130" t="s">
        <v>5011</v>
      </c>
      <c r="AM130">
        <v>0</v>
      </c>
      <c r="AS130">
        <v>0.4</v>
      </c>
      <c r="AT130" t="s">
        <v>439</v>
      </c>
      <c r="AU130" t="s">
        <v>25229</v>
      </c>
      <c r="AW130" t="s">
        <v>11447</v>
      </c>
    </row>
    <row r="131" spans="1:49">
      <c r="A131" s="1">
        <f>HYPERLINK("https://lsnyc.legalserver.org/matter/dynamic-profile/view/1881006","18-1881006")</f>
        <v>0</v>
      </c>
      <c r="B131" t="s">
        <v>76</v>
      </c>
      <c r="C131" t="s">
        <v>440</v>
      </c>
      <c r="D131" t="s">
        <v>468</v>
      </c>
      <c r="E131" t="s">
        <v>1081</v>
      </c>
      <c r="F131" t="s">
        <v>3653</v>
      </c>
      <c r="G131" t="s">
        <v>6401</v>
      </c>
      <c r="H131">
        <v>1</v>
      </c>
      <c r="I131" t="s">
        <v>11385</v>
      </c>
      <c r="J131">
        <v>11213</v>
      </c>
      <c r="K131" t="s">
        <v>11447</v>
      </c>
      <c r="O131" t="s">
        <v>14786</v>
      </c>
      <c r="P131" t="s">
        <v>14795</v>
      </c>
      <c r="S131" t="s">
        <v>14827</v>
      </c>
      <c r="V131">
        <v>3000</v>
      </c>
      <c r="W131" t="s">
        <v>14859</v>
      </c>
      <c r="X131" t="s">
        <v>14867</v>
      </c>
      <c r="Y131" t="s">
        <v>14890</v>
      </c>
      <c r="Z131" t="s">
        <v>15027</v>
      </c>
      <c r="AB131" t="s">
        <v>20198</v>
      </c>
      <c r="AC131">
        <v>8</v>
      </c>
      <c r="AD131" t="s">
        <v>24600</v>
      </c>
      <c r="AE131" t="s">
        <v>11459</v>
      </c>
      <c r="AF131">
        <v>2</v>
      </c>
      <c r="AG131">
        <v>1</v>
      </c>
      <c r="AH131">
        <v>0</v>
      </c>
      <c r="AI131">
        <v>0</v>
      </c>
      <c r="AL131" t="s">
        <v>5011</v>
      </c>
      <c r="AM131">
        <v>0</v>
      </c>
      <c r="AS131">
        <v>1.6</v>
      </c>
      <c r="AT131" t="s">
        <v>600</v>
      </c>
      <c r="AU131" t="s">
        <v>25233</v>
      </c>
      <c r="AW131" t="s">
        <v>11447</v>
      </c>
    </row>
    <row r="132" spans="1:49">
      <c r="A132" s="1">
        <f>HYPERLINK("https://lsnyc.legalserver.org/matter/dynamic-profile/view/1882638","18-1882638")</f>
        <v>0</v>
      </c>
      <c r="B132" t="s">
        <v>76</v>
      </c>
      <c r="C132" t="s">
        <v>441</v>
      </c>
      <c r="D132" t="s">
        <v>468</v>
      </c>
      <c r="E132" t="s">
        <v>1137</v>
      </c>
      <c r="F132" t="s">
        <v>3654</v>
      </c>
      <c r="G132" t="s">
        <v>6402</v>
      </c>
      <c r="H132" t="s">
        <v>10529</v>
      </c>
      <c r="I132" t="s">
        <v>11385</v>
      </c>
      <c r="J132">
        <v>11206</v>
      </c>
      <c r="K132" t="s">
        <v>11447</v>
      </c>
      <c r="O132" t="s">
        <v>14786</v>
      </c>
      <c r="P132" t="s">
        <v>14795</v>
      </c>
      <c r="S132" t="s">
        <v>14827</v>
      </c>
      <c r="V132">
        <v>943</v>
      </c>
      <c r="W132" t="s">
        <v>14859</v>
      </c>
      <c r="Y132" t="s">
        <v>14890</v>
      </c>
      <c r="Z132" t="s">
        <v>15028</v>
      </c>
      <c r="AB132" t="s">
        <v>20199</v>
      </c>
      <c r="AC132">
        <v>50</v>
      </c>
      <c r="AF132">
        <v>1</v>
      </c>
      <c r="AG132">
        <v>1</v>
      </c>
      <c r="AH132">
        <v>0</v>
      </c>
      <c r="AI132">
        <v>0</v>
      </c>
      <c r="AL132" t="s">
        <v>5011</v>
      </c>
      <c r="AM132">
        <v>0</v>
      </c>
      <c r="AS132">
        <v>1</v>
      </c>
      <c r="AT132" t="s">
        <v>441</v>
      </c>
      <c r="AU132" t="s">
        <v>25227</v>
      </c>
      <c r="AW132" t="s">
        <v>11447</v>
      </c>
    </row>
    <row r="133" spans="1:49">
      <c r="A133" s="1">
        <f>HYPERLINK("https://lsnyc.legalserver.org/matter/dynamic-profile/view/1877518","18-1877518")</f>
        <v>0</v>
      </c>
      <c r="B133" t="s">
        <v>76</v>
      </c>
      <c r="C133" t="s">
        <v>442</v>
      </c>
      <c r="D133" t="s">
        <v>468</v>
      </c>
      <c r="E133" t="s">
        <v>1138</v>
      </c>
      <c r="F133" t="s">
        <v>3655</v>
      </c>
      <c r="G133" t="s">
        <v>6403</v>
      </c>
      <c r="H133" t="s">
        <v>10482</v>
      </c>
      <c r="I133" t="s">
        <v>11385</v>
      </c>
      <c r="J133">
        <v>11205</v>
      </c>
      <c r="K133" t="s">
        <v>11447</v>
      </c>
      <c r="O133" t="s">
        <v>14786</v>
      </c>
      <c r="P133" t="s">
        <v>14795</v>
      </c>
      <c r="S133" t="s">
        <v>14828</v>
      </c>
      <c r="V133">
        <v>219</v>
      </c>
      <c r="W133" t="s">
        <v>14859</v>
      </c>
      <c r="Y133" t="s">
        <v>14890</v>
      </c>
      <c r="Z133" t="s">
        <v>15029</v>
      </c>
      <c r="AB133" t="s">
        <v>20200</v>
      </c>
      <c r="AC133">
        <v>0</v>
      </c>
      <c r="AF133">
        <v>30</v>
      </c>
      <c r="AG133">
        <v>1</v>
      </c>
      <c r="AH133">
        <v>0</v>
      </c>
      <c r="AI133">
        <v>0</v>
      </c>
      <c r="AL133" t="s">
        <v>5011</v>
      </c>
      <c r="AM133">
        <v>0</v>
      </c>
      <c r="AS133">
        <v>1</v>
      </c>
      <c r="AT133" t="s">
        <v>442</v>
      </c>
      <c r="AU133" t="s">
        <v>25227</v>
      </c>
      <c r="AW133" t="s">
        <v>11447</v>
      </c>
    </row>
    <row r="134" spans="1:49">
      <c r="A134" s="1">
        <f>HYPERLINK("https://lsnyc.legalserver.org/matter/dynamic-profile/view/1884641","18-1884641")</f>
        <v>0</v>
      </c>
      <c r="B134" t="s">
        <v>76</v>
      </c>
      <c r="C134" t="s">
        <v>443</v>
      </c>
      <c r="D134" t="s">
        <v>468</v>
      </c>
      <c r="E134" t="s">
        <v>1139</v>
      </c>
      <c r="F134" t="s">
        <v>3656</v>
      </c>
      <c r="G134" t="s">
        <v>6404</v>
      </c>
      <c r="H134">
        <v>2</v>
      </c>
      <c r="I134" t="s">
        <v>11385</v>
      </c>
      <c r="J134">
        <v>11208</v>
      </c>
      <c r="K134" t="s">
        <v>11447</v>
      </c>
      <c r="N134" t="s">
        <v>14778</v>
      </c>
      <c r="O134" t="s">
        <v>14786</v>
      </c>
      <c r="P134" t="s">
        <v>14795</v>
      </c>
      <c r="S134" t="s">
        <v>14827</v>
      </c>
      <c r="V134">
        <v>800</v>
      </c>
      <c r="W134" t="s">
        <v>14859</v>
      </c>
      <c r="X134" t="s">
        <v>14866</v>
      </c>
      <c r="Y134" t="s">
        <v>14890</v>
      </c>
      <c r="Z134" t="s">
        <v>15030</v>
      </c>
      <c r="AB134" t="s">
        <v>20201</v>
      </c>
      <c r="AC134">
        <v>5</v>
      </c>
      <c r="AE134" t="s">
        <v>24617</v>
      </c>
      <c r="AF134">
        <v>2</v>
      </c>
      <c r="AG134">
        <v>1</v>
      </c>
      <c r="AH134">
        <v>0</v>
      </c>
      <c r="AI134">
        <v>12.85</v>
      </c>
      <c r="AL134" t="s">
        <v>5011</v>
      </c>
      <c r="AM134">
        <v>1560</v>
      </c>
      <c r="AS134">
        <v>1</v>
      </c>
      <c r="AT134" t="s">
        <v>443</v>
      </c>
      <c r="AU134" t="s">
        <v>25241</v>
      </c>
      <c r="AW134" t="s">
        <v>11447</v>
      </c>
    </row>
    <row r="135" spans="1:49">
      <c r="A135" s="1">
        <f>HYPERLINK("https://lsnyc.legalserver.org/matter/dynamic-profile/view/1879053","18-1879053")</f>
        <v>0</v>
      </c>
      <c r="B135" t="s">
        <v>76</v>
      </c>
      <c r="C135" t="s">
        <v>444</v>
      </c>
      <c r="D135" t="s">
        <v>468</v>
      </c>
      <c r="E135" t="s">
        <v>1140</v>
      </c>
      <c r="F135" t="s">
        <v>3657</v>
      </c>
      <c r="G135" t="s">
        <v>6405</v>
      </c>
      <c r="H135" t="s">
        <v>10530</v>
      </c>
      <c r="I135" t="s">
        <v>11385</v>
      </c>
      <c r="J135">
        <v>11216</v>
      </c>
      <c r="K135" t="s">
        <v>11447</v>
      </c>
      <c r="N135" t="s">
        <v>14779</v>
      </c>
      <c r="O135" t="s">
        <v>14786</v>
      </c>
      <c r="P135" t="s">
        <v>14795</v>
      </c>
      <c r="S135" t="s">
        <v>14827</v>
      </c>
      <c r="V135">
        <v>853</v>
      </c>
      <c r="W135" t="s">
        <v>14859</v>
      </c>
      <c r="X135" t="s">
        <v>14868</v>
      </c>
      <c r="Y135" t="s">
        <v>14890</v>
      </c>
      <c r="Z135" t="s">
        <v>15031</v>
      </c>
      <c r="AB135" t="s">
        <v>20202</v>
      </c>
      <c r="AC135">
        <v>100</v>
      </c>
      <c r="AE135" t="s">
        <v>24610</v>
      </c>
      <c r="AF135">
        <v>28</v>
      </c>
      <c r="AG135">
        <v>1</v>
      </c>
      <c r="AH135">
        <v>0</v>
      </c>
      <c r="AI135">
        <v>44.78</v>
      </c>
      <c r="AL135" t="s">
        <v>5011</v>
      </c>
      <c r="AM135">
        <v>5436</v>
      </c>
      <c r="AS135">
        <v>1</v>
      </c>
      <c r="AT135" t="s">
        <v>444</v>
      </c>
      <c r="AU135" t="s">
        <v>25226</v>
      </c>
      <c r="AW135" t="s">
        <v>11447</v>
      </c>
    </row>
    <row r="136" spans="1:49">
      <c r="A136" s="1">
        <f>HYPERLINK("https://lsnyc.legalserver.org/matter/dynamic-profile/view/1878630","18-1878630")</f>
        <v>0</v>
      </c>
      <c r="B136" t="s">
        <v>76</v>
      </c>
      <c r="C136" t="s">
        <v>445</v>
      </c>
      <c r="D136" t="s">
        <v>468</v>
      </c>
      <c r="E136" t="s">
        <v>1141</v>
      </c>
      <c r="F136" t="s">
        <v>2719</v>
      </c>
      <c r="G136" t="s">
        <v>6406</v>
      </c>
      <c r="H136">
        <v>2</v>
      </c>
      <c r="I136" t="s">
        <v>11385</v>
      </c>
      <c r="J136">
        <v>11212</v>
      </c>
      <c r="K136" t="s">
        <v>11447</v>
      </c>
      <c r="O136" t="s">
        <v>14786</v>
      </c>
      <c r="P136" t="s">
        <v>14795</v>
      </c>
      <c r="S136" t="s">
        <v>14827</v>
      </c>
      <c r="V136">
        <v>0</v>
      </c>
      <c r="W136" t="s">
        <v>14859</v>
      </c>
      <c r="Y136" t="s">
        <v>14890</v>
      </c>
      <c r="Z136" t="s">
        <v>15032</v>
      </c>
      <c r="AB136" t="s">
        <v>20203</v>
      </c>
      <c r="AC136">
        <v>0</v>
      </c>
      <c r="AF136">
        <v>0</v>
      </c>
      <c r="AG136">
        <v>1</v>
      </c>
      <c r="AH136">
        <v>3</v>
      </c>
      <c r="AI136">
        <v>46.37</v>
      </c>
      <c r="AL136" t="s">
        <v>5011</v>
      </c>
      <c r="AM136">
        <v>11640</v>
      </c>
      <c r="AS136">
        <v>0.5</v>
      </c>
      <c r="AT136" t="s">
        <v>445</v>
      </c>
      <c r="AU136" t="s">
        <v>25244</v>
      </c>
      <c r="AW136" t="s">
        <v>11447</v>
      </c>
    </row>
    <row r="137" spans="1:49">
      <c r="A137" s="1">
        <f>HYPERLINK("https://lsnyc.legalserver.org/matter/dynamic-profile/view/1880836","18-1880836")</f>
        <v>0</v>
      </c>
      <c r="B137" t="s">
        <v>76</v>
      </c>
      <c r="C137" t="s">
        <v>446</v>
      </c>
      <c r="D137" t="s">
        <v>468</v>
      </c>
      <c r="E137" t="s">
        <v>1142</v>
      </c>
      <c r="F137" t="s">
        <v>3658</v>
      </c>
      <c r="G137" t="s">
        <v>6407</v>
      </c>
      <c r="H137" t="s">
        <v>10529</v>
      </c>
      <c r="I137" t="s">
        <v>11385</v>
      </c>
      <c r="J137">
        <v>11201</v>
      </c>
      <c r="K137" t="s">
        <v>11447</v>
      </c>
      <c r="O137" t="s">
        <v>14786</v>
      </c>
      <c r="P137" t="s">
        <v>14795</v>
      </c>
      <c r="S137" t="s">
        <v>14827</v>
      </c>
      <c r="V137">
        <v>417</v>
      </c>
      <c r="W137" t="s">
        <v>14859</v>
      </c>
      <c r="X137" t="s">
        <v>14863</v>
      </c>
      <c r="Y137" t="s">
        <v>14890</v>
      </c>
      <c r="Z137" t="s">
        <v>15033</v>
      </c>
      <c r="AB137" t="s">
        <v>20204</v>
      </c>
      <c r="AC137">
        <v>100</v>
      </c>
      <c r="AD137" t="s">
        <v>24597</v>
      </c>
      <c r="AF137">
        <v>48</v>
      </c>
      <c r="AG137">
        <v>1</v>
      </c>
      <c r="AH137">
        <v>1</v>
      </c>
      <c r="AI137">
        <v>51.47</v>
      </c>
      <c r="AL137" t="s">
        <v>5011</v>
      </c>
      <c r="AM137">
        <v>8472</v>
      </c>
      <c r="AS137">
        <v>1.5</v>
      </c>
      <c r="AT137" t="s">
        <v>25125</v>
      </c>
      <c r="AU137" t="s">
        <v>25245</v>
      </c>
      <c r="AW137" t="s">
        <v>11447</v>
      </c>
    </row>
    <row r="138" spans="1:49">
      <c r="A138" s="1">
        <f>HYPERLINK("https://lsnyc.legalserver.org/matter/dynamic-profile/view/1878904","18-1878904")</f>
        <v>0</v>
      </c>
      <c r="B138" t="s">
        <v>76</v>
      </c>
      <c r="C138" t="s">
        <v>447</v>
      </c>
      <c r="D138" t="s">
        <v>468</v>
      </c>
      <c r="E138" t="s">
        <v>1143</v>
      </c>
      <c r="F138" t="s">
        <v>3659</v>
      </c>
      <c r="G138" t="s">
        <v>6408</v>
      </c>
      <c r="H138" t="s">
        <v>10531</v>
      </c>
      <c r="I138" t="s">
        <v>11385</v>
      </c>
      <c r="J138">
        <v>11216</v>
      </c>
      <c r="K138" t="s">
        <v>11447</v>
      </c>
      <c r="O138" t="s">
        <v>14786</v>
      </c>
      <c r="P138" t="s">
        <v>14795</v>
      </c>
      <c r="S138" t="s">
        <v>14827</v>
      </c>
      <c r="V138">
        <v>1633</v>
      </c>
      <c r="W138" t="s">
        <v>14859</v>
      </c>
      <c r="X138" t="s">
        <v>14867</v>
      </c>
      <c r="Y138" t="s">
        <v>14890</v>
      </c>
      <c r="Z138" t="s">
        <v>15034</v>
      </c>
      <c r="AB138" t="s">
        <v>20205</v>
      </c>
      <c r="AC138">
        <v>53</v>
      </c>
      <c r="AD138" t="s">
        <v>24600</v>
      </c>
      <c r="AE138" t="s">
        <v>24611</v>
      </c>
      <c r="AF138">
        <v>20</v>
      </c>
      <c r="AG138">
        <v>2</v>
      </c>
      <c r="AH138">
        <v>0</v>
      </c>
      <c r="AI138">
        <v>63.57</v>
      </c>
      <c r="AL138" t="s">
        <v>5011</v>
      </c>
      <c r="AM138">
        <v>10464</v>
      </c>
      <c r="AS138">
        <v>0.6</v>
      </c>
      <c r="AT138" t="s">
        <v>447</v>
      </c>
      <c r="AU138" t="s">
        <v>25225</v>
      </c>
      <c r="AW138" t="s">
        <v>11447</v>
      </c>
    </row>
    <row r="139" spans="1:49">
      <c r="A139" s="1">
        <f>HYPERLINK("https://lsnyc.legalserver.org/matter/dynamic-profile/view/1879886","18-1879886")</f>
        <v>0</v>
      </c>
      <c r="B139" t="s">
        <v>76</v>
      </c>
      <c r="C139" t="s">
        <v>448</v>
      </c>
      <c r="D139" t="s">
        <v>468</v>
      </c>
      <c r="E139" t="s">
        <v>1144</v>
      </c>
      <c r="F139" t="s">
        <v>3660</v>
      </c>
      <c r="G139" t="s">
        <v>6409</v>
      </c>
      <c r="H139" t="s">
        <v>10532</v>
      </c>
      <c r="I139" t="s">
        <v>11385</v>
      </c>
      <c r="J139">
        <v>11215</v>
      </c>
      <c r="K139" t="s">
        <v>11447</v>
      </c>
      <c r="N139" t="s">
        <v>14778</v>
      </c>
      <c r="O139" t="s">
        <v>14786</v>
      </c>
      <c r="P139" t="s">
        <v>14795</v>
      </c>
      <c r="S139" t="s">
        <v>14827</v>
      </c>
      <c r="V139">
        <v>1170.51</v>
      </c>
      <c r="W139" t="s">
        <v>14859</v>
      </c>
      <c r="X139" t="s">
        <v>14868</v>
      </c>
      <c r="Y139" t="s">
        <v>14890</v>
      </c>
      <c r="Z139" t="s">
        <v>15035</v>
      </c>
      <c r="AC139">
        <v>9</v>
      </c>
      <c r="AD139" t="s">
        <v>24595</v>
      </c>
      <c r="AE139" t="s">
        <v>24613</v>
      </c>
      <c r="AF139">
        <v>30</v>
      </c>
      <c r="AG139">
        <v>1</v>
      </c>
      <c r="AH139">
        <v>0</v>
      </c>
      <c r="AI139">
        <v>82.73</v>
      </c>
      <c r="AL139" t="s">
        <v>5011</v>
      </c>
      <c r="AM139">
        <v>10044</v>
      </c>
      <c r="AS139">
        <v>1.4</v>
      </c>
      <c r="AT139" t="s">
        <v>25125</v>
      </c>
      <c r="AU139" t="s">
        <v>25233</v>
      </c>
      <c r="AW139" t="s">
        <v>11447</v>
      </c>
    </row>
    <row r="140" spans="1:49">
      <c r="A140" s="1">
        <f>HYPERLINK("https://lsnyc.legalserver.org/matter/dynamic-profile/view/1876870","18-1876870")</f>
        <v>0</v>
      </c>
      <c r="B140" t="s">
        <v>76</v>
      </c>
      <c r="C140" t="s">
        <v>449</v>
      </c>
      <c r="D140" t="s">
        <v>468</v>
      </c>
      <c r="E140" t="s">
        <v>1145</v>
      </c>
      <c r="F140" t="s">
        <v>3661</v>
      </c>
      <c r="G140" t="s">
        <v>6410</v>
      </c>
      <c r="H140" t="s">
        <v>10533</v>
      </c>
      <c r="I140" t="s">
        <v>11385</v>
      </c>
      <c r="J140">
        <v>11210</v>
      </c>
      <c r="K140" t="s">
        <v>11447</v>
      </c>
      <c r="O140" t="s">
        <v>14786</v>
      </c>
      <c r="P140" t="s">
        <v>14795</v>
      </c>
      <c r="S140" t="s">
        <v>14827</v>
      </c>
      <c r="V140">
        <v>896</v>
      </c>
      <c r="W140" t="s">
        <v>14859</v>
      </c>
      <c r="X140" t="s">
        <v>14867</v>
      </c>
      <c r="Y140" t="s">
        <v>14890</v>
      </c>
      <c r="Z140" t="s">
        <v>15036</v>
      </c>
      <c r="AB140" t="s">
        <v>20206</v>
      </c>
      <c r="AC140">
        <v>31</v>
      </c>
      <c r="AD140" t="s">
        <v>24595</v>
      </c>
      <c r="AE140" t="s">
        <v>11459</v>
      </c>
      <c r="AF140">
        <v>20</v>
      </c>
      <c r="AG140">
        <v>2</v>
      </c>
      <c r="AH140">
        <v>0</v>
      </c>
      <c r="AI140">
        <v>90.51000000000001</v>
      </c>
      <c r="AL140" t="s">
        <v>5011</v>
      </c>
      <c r="AM140">
        <v>14898</v>
      </c>
      <c r="AS140">
        <v>0.6</v>
      </c>
      <c r="AT140" t="s">
        <v>449</v>
      </c>
      <c r="AU140" t="s">
        <v>25225</v>
      </c>
      <c r="AW140" t="s">
        <v>11447</v>
      </c>
    </row>
    <row r="141" spans="1:49">
      <c r="A141" s="1">
        <f>HYPERLINK("https://lsnyc.legalserver.org/matter/dynamic-profile/view/1879706","18-1879706")</f>
        <v>0</v>
      </c>
      <c r="B141" t="s">
        <v>76</v>
      </c>
      <c r="C141" t="s">
        <v>450</v>
      </c>
      <c r="D141" t="s">
        <v>468</v>
      </c>
      <c r="E141" t="s">
        <v>1146</v>
      </c>
      <c r="F141" t="s">
        <v>3662</v>
      </c>
      <c r="G141" t="s">
        <v>6411</v>
      </c>
      <c r="I141" t="s">
        <v>11385</v>
      </c>
      <c r="J141">
        <v>11206</v>
      </c>
      <c r="K141" t="s">
        <v>11447</v>
      </c>
      <c r="O141" t="s">
        <v>14786</v>
      </c>
      <c r="P141" t="s">
        <v>14795</v>
      </c>
      <c r="S141" t="s">
        <v>14827</v>
      </c>
      <c r="V141">
        <v>2000</v>
      </c>
      <c r="W141" t="s">
        <v>14859</v>
      </c>
      <c r="X141" t="s">
        <v>14866</v>
      </c>
      <c r="Y141" t="s">
        <v>14890</v>
      </c>
      <c r="Z141" t="s">
        <v>15037</v>
      </c>
      <c r="AB141" t="s">
        <v>20207</v>
      </c>
      <c r="AC141">
        <v>10</v>
      </c>
      <c r="AD141" t="s">
        <v>24599</v>
      </c>
      <c r="AF141">
        <v>3</v>
      </c>
      <c r="AG141">
        <v>2</v>
      </c>
      <c r="AH141">
        <v>0</v>
      </c>
      <c r="AI141">
        <v>94.78</v>
      </c>
      <c r="AL141" t="s">
        <v>5011</v>
      </c>
      <c r="AM141">
        <v>15600</v>
      </c>
      <c r="AS141">
        <v>1</v>
      </c>
      <c r="AT141" t="s">
        <v>450</v>
      </c>
      <c r="AU141" t="s">
        <v>25245</v>
      </c>
      <c r="AW141" t="s">
        <v>11447</v>
      </c>
    </row>
    <row r="142" spans="1:49">
      <c r="A142" s="1">
        <f>HYPERLINK("https://lsnyc.legalserver.org/matter/dynamic-profile/view/1886401","18-1886401")</f>
        <v>0</v>
      </c>
      <c r="B142" t="s">
        <v>76</v>
      </c>
      <c r="C142" t="s">
        <v>451</v>
      </c>
      <c r="D142" t="s">
        <v>468</v>
      </c>
      <c r="E142" t="s">
        <v>1147</v>
      </c>
      <c r="F142" t="s">
        <v>3663</v>
      </c>
      <c r="G142" t="s">
        <v>6412</v>
      </c>
      <c r="H142">
        <v>3</v>
      </c>
      <c r="I142" t="s">
        <v>11385</v>
      </c>
      <c r="J142">
        <v>11207</v>
      </c>
      <c r="K142" t="s">
        <v>11447</v>
      </c>
      <c r="N142" t="s">
        <v>14778</v>
      </c>
      <c r="O142" t="s">
        <v>14786</v>
      </c>
      <c r="P142" t="s">
        <v>14795</v>
      </c>
      <c r="S142" t="s">
        <v>14827</v>
      </c>
      <c r="V142">
        <v>860</v>
      </c>
      <c r="W142" t="s">
        <v>14859</v>
      </c>
      <c r="Y142" t="s">
        <v>14890</v>
      </c>
      <c r="Z142" t="s">
        <v>15038</v>
      </c>
      <c r="AB142" t="s">
        <v>20208</v>
      </c>
      <c r="AC142">
        <v>7</v>
      </c>
      <c r="AE142" t="s">
        <v>24617</v>
      </c>
      <c r="AF142">
        <v>1</v>
      </c>
      <c r="AG142">
        <v>1</v>
      </c>
      <c r="AH142">
        <v>0</v>
      </c>
      <c r="AI142">
        <v>108.73</v>
      </c>
      <c r="AL142" t="s">
        <v>5011</v>
      </c>
      <c r="AM142">
        <v>13200</v>
      </c>
      <c r="AS142">
        <v>1</v>
      </c>
      <c r="AT142" t="s">
        <v>451</v>
      </c>
      <c r="AU142" t="s">
        <v>25226</v>
      </c>
      <c r="AW142" t="s">
        <v>11447</v>
      </c>
    </row>
    <row r="143" spans="1:49">
      <c r="A143" s="1">
        <f>HYPERLINK("https://lsnyc.legalserver.org/matter/dynamic-profile/view/1877912","18-1877912")</f>
        <v>0</v>
      </c>
      <c r="B143" t="s">
        <v>76</v>
      </c>
      <c r="C143" t="s">
        <v>452</v>
      </c>
      <c r="D143" t="s">
        <v>468</v>
      </c>
      <c r="E143" t="s">
        <v>1148</v>
      </c>
      <c r="F143" t="s">
        <v>3664</v>
      </c>
      <c r="G143" t="s">
        <v>6413</v>
      </c>
      <c r="H143" t="s">
        <v>10534</v>
      </c>
      <c r="I143" t="s">
        <v>11385</v>
      </c>
      <c r="J143">
        <v>11206</v>
      </c>
      <c r="K143" t="s">
        <v>11447</v>
      </c>
      <c r="O143" t="s">
        <v>14786</v>
      </c>
      <c r="P143" t="s">
        <v>14795</v>
      </c>
      <c r="S143" t="s">
        <v>14828</v>
      </c>
      <c r="V143">
        <v>418</v>
      </c>
      <c r="W143" t="s">
        <v>14859</v>
      </c>
      <c r="Y143" t="s">
        <v>14890</v>
      </c>
      <c r="Z143" t="s">
        <v>15039</v>
      </c>
      <c r="AB143" t="s">
        <v>20209</v>
      </c>
      <c r="AC143">
        <v>24</v>
      </c>
      <c r="AF143">
        <v>7</v>
      </c>
      <c r="AG143">
        <v>2</v>
      </c>
      <c r="AH143">
        <v>0</v>
      </c>
      <c r="AI143">
        <v>121.51</v>
      </c>
      <c r="AL143" t="s">
        <v>24633</v>
      </c>
      <c r="AM143">
        <v>20000</v>
      </c>
      <c r="AS143">
        <v>1</v>
      </c>
      <c r="AT143" t="s">
        <v>452</v>
      </c>
      <c r="AU143" t="s">
        <v>25227</v>
      </c>
      <c r="AW143" t="s">
        <v>11447</v>
      </c>
    </row>
    <row r="144" spans="1:49">
      <c r="A144" s="1">
        <f>HYPERLINK("https://lsnyc.legalserver.org/matter/dynamic-profile/view/1882212","18-1882212")</f>
        <v>0</v>
      </c>
      <c r="B144" t="s">
        <v>76</v>
      </c>
      <c r="C144" t="s">
        <v>453</v>
      </c>
      <c r="D144" t="s">
        <v>468</v>
      </c>
      <c r="E144" t="s">
        <v>1149</v>
      </c>
      <c r="F144" t="s">
        <v>3665</v>
      </c>
      <c r="G144" t="s">
        <v>6414</v>
      </c>
      <c r="H144" t="s">
        <v>10535</v>
      </c>
      <c r="I144" t="s">
        <v>11385</v>
      </c>
      <c r="J144">
        <v>11212</v>
      </c>
      <c r="K144" t="s">
        <v>11447</v>
      </c>
      <c r="O144" t="s">
        <v>14786</v>
      </c>
      <c r="P144" t="s">
        <v>14795</v>
      </c>
      <c r="S144" t="s">
        <v>14827</v>
      </c>
      <c r="V144">
        <v>1956</v>
      </c>
      <c r="W144" t="s">
        <v>14859</v>
      </c>
      <c r="X144" t="s">
        <v>14873</v>
      </c>
      <c r="Y144" t="s">
        <v>14890</v>
      </c>
      <c r="Z144" t="s">
        <v>15040</v>
      </c>
      <c r="AB144" t="s">
        <v>20210</v>
      </c>
      <c r="AC144">
        <v>4</v>
      </c>
      <c r="AE144" t="s">
        <v>24616</v>
      </c>
      <c r="AF144">
        <v>2</v>
      </c>
      <c r="AG144">
        <v>1</v>
      </c>
      <c r="AH144">
        <v>0</v>
      </c>
      <c r="AI144">
        <v>127.86</v>
      </c>
      <c r="AL144" t="s">
        <v>5011</v>
      </c>
      <c r="AM144">
        <v>15522</v>
      </c>
      <c r="AS144">
        <v>1.3</v>
      </c>
      <c r="AT144" t="s">
        <v>636</v>
      </c>
      <c r="AU144" t="s">
        <v>25226</v>
      </c>
      <c r="AW144" t="s">
        <v>11447</v>
      </c>
    </row>
    <row r="145" spans="1:49">
      <c r="A145" s="1">
        <f>HYPERLINK("https://lsnyc.legalserver.org/matter/dynamic-profile/view/1880316","18-1880316")</f>
        <v>0</v>
      </c>
      <c r="B145" t="s">
        <v>76</v>
      </c>
      <c r="C145" t="s">
        <v>454</v>
      </c>
      <c r="D145" t="s">
        <v>468</v>
      </c>
      <c r="E145" t="s">
        <v>1075</v>
      </c>
      <c r="F145" t="s">
        <v>3666</v>
      </c>
      <c r="G145" t="s">
        <v>6415</v>
      </c>
      <c r="H145" t="s">
        <v>10536</v>
      </c>
      <c r="I145" t="s">
        <v>11385</v>
      </c>
      <c r="J145">
        <v>11225</v>
      </c>
      <c r="K145" t="s">
        <v>11447</v>
      </c>
      <c r="O145" t="s">
        <v>14786</v>
      </c>
      <c r="P145" t="s">
        <v>14795</v>
      </c>
      <c r="S145" t="s">
        <v>14827</v>
      </c>
      <c r="V145">
        <v>1800.94</v>
      </c>
      <c r="W145" t="s">
        <v>14859</v>
      </c>
      <c r="X145" t="s">
        <v>14873</v>
      </c>
      <c r="Y145" t="s">
        <v>14890</v>
      </c>
      <c r="Z145" t="s">
        <v>15041</v>
      </c>
      <c r="AB145" t="s">
        <v>20211</v>
      </c>
      <c r="AC145">
        <v>108</v>
      </c>
      <c r="AD145" t="s">
        <v>24595</v>
      </c>
      <c r="AE145" t="s">
        <v>24613</v>
      </c>
      <c r="AF145">
        <v>37</v>
      </c>
      <c r="AG145">
        <v>1</v>
      </c>
      <c r="AH145">
        <v>0</v>
      </c>
      <c r="AI145">
        <v>152.52</v>
      </c>
      <c r="AL145" t="s">
        <v>5011</v>
      </c>
      <c r="AM145">
        <v>18516</v>
      </c>
      <c r="AS145">
        <v>1</v>
      </c>
      <c r="AT145" t="s">
        <v>454</v>
      </c>
      <c r="AU145" t="s">
        <v>25245</v>
      </c>
      <c r="AW145" t="s">
        <v>11447</v>
      </c>
    </row>
    <row r="146" spans="1:49">
      <c r="A146" s="1">
        <f>HYPERLINK("https://lsnyc.legalserver.org/matter/dynamic-profile/view/1908078","19-1908078")</f>
        <v>0</v>
      </c>
      <c r="B146" t="s">
        <v>92</v>
      </c>
      <c r="C146" t="s">
        <v>455</v>
      </c>
      <c r="D146" t="s">
        <v>528</v>
      </c>
      <c r="E146" t="s">
        <v>1150</v>
      </c>
      <c r="F146" t="s">
        <v>3667</v>
      </c>
      <c r="G146" t="s">
        <v>6416</v>
      </c>
      <c r="H146">
        <v>2</v>
      </c>
      <c r="I146" t="s">
        <v>11383</v>
      </c>
      <c r="J146">
        <v>10453</v>
      </c>
      <c r="K146" t="s">
        <v>11446</v>
      </c>
      <c r="L146" t="s">
        <v>11477</v>
      </c>
      <c r="M146" t="s">
        <v>14743</v>
      </c>
      <c r="N146" t="s">
        <v>14778</v>
      </c>
      <c r="O146" t="s">
        <v>14786</v>
      </c>
      <c r="P146" t="s">
        <v>14795</v>
      </c>
      <c r="Q146" t="s">
        <v>11448</v>
      </c>
      <c r="S146" t="s">
        <v>14827</v>
      </c>
      <c r="T146" t="s">
        <v>14834</v>
      </c>
      <c r="V146">
        <v>1826</v>
      </c>
      <c r="W146" t="s">
        <v>14858</v>
      </c>
      <c r="X146" t="s">
        <v>14868</v>
      </c>
      <c r="Y146" t="s">
        <v>14888</v>
      </c>
      <c r="Z146" t="s">
        <v>15042</v>
      </c>
      <c r="AB146" t="s">
        <v>20212</v>
      </c>
      <c r="AC146">
        <v>3</v>
      </c>
      <c r="AE146" t="s">
        <v>24610</v>
      </c>
      <c r="AF146">
        <v>7</v>
      </c>
      <c r="AG146">
        <v>2</v>
      </c>
      <c r="AH146">
        <v>1</v>
      </c>
      <c r="AI146">
        <v>68.67</v>
      </c>
      <c r="AL146" t="s">
        <v>5011</v>
      </c>
      <c r="AM146">
        <v>14648</v>
      </c>
      <c r="AS146">
        <v>4.3</v>
      </c>
      <c r="AT146" t="s">
        <v>471</v>
      </c>
      <c r="AU146" t="s">
        <v>25226</v>
      </c>
      <c r="AV146" t="s">
        <v>25335</v>
      </c>
      <c r="AW146" t="s">
        <v>11447</v>
      </c>
    </row>
    <row r="147" spans="1:49">
      <c r="A147" s="1">
        <f>HYPERLINK("https://lsnyc.legalserver.org/matter/dynamic-profile/view/1904747","19-1904747")</f>
        <v>0</v>
      </c>
      <c r="B147" t="s">
        <v>88</v>
      </c>
      <c r="C147" t="s">
        <v>365</v>
      </c>
      <c r="D147" t="s">
        <v>528</v>
      </c>
      <c r="E147" t="s">
        <v>1151</v>
      </c>
      <c r="F147" t="s">
        <v>3668</v>
      </c>
      <c r="G147" t="s">
        <v>6417</v>
      </c>
      <c r="H147" t="s">
        <v>10537</v>
      </c>
      <c r="I147" t="s">
        <v>11385</v>
      </c>
      <c r="J147">
        <v>11226</v>
      </c>
      <c r="K147" t="s">
        <v>11446</v>
      </c>
      <c r="M147" t="s">
        <v>11601</v>
      </c>
      <c r="N147" t="s">
        <v>14779</v>
      </c>
      <c r="O147" t="s">
        <v>14787</v>
      </c>
      <c r="P147" t="s">
        <v>14795</v>
      </c>
      <c r="S147" t="s">
        <v>14827</v>
      </c>
      <c r="V147">
        <v>0</v>
      </c>
      <c r="W147" t="s">
        <v>14859</v>
      </c>
      <c r="Y147" t="s">
        <v>14883</v>
      </c>
      <c r="Z147" t="s">
        <v>15043</v>
      </c>
      <c r="AB147" t="s">
        <v>20213</v>
      </c>
      <c r="AC147">
        <v>0</v>
      </c>
      <c r="AF147">
        <v>0</v>
      </c>
      <c r="AG147">
        <v>2</v>
      </c>
      <c r="AH147">
        <v>4</v>
      </c>
      <c r="AI147">
        <v>196.59</v>
      </c>
      <c r="AL147" t="s">
        <v>5011</v>
      </c>
      <c r="AM147">
        <v>68000</v>
      </c>
      <c r="AS147">
        <v>1.5</v>
      </c>
      <c r="AT147" t="s">
        <v>528</v>
      </c>
      <c r="AU147" t="s">
        <v>88</v>
      </c>
      <c r="AW147" t="s">
        <v>11447</v>
      </c>
    </row>
    <row r="148" spans="1:49">
      <c r="A148" s="1">
        <f>HYPERLINK("https://lsnyc.legalserver.org/matter/dynamic-profile/view/1905050","19-1905050")</f>
        <v>0</v>
      </c>
      <c r="B148" t="s">
        <v>50</v>
      </c>
      <c r="C148" t="s">
        <v>456</v>
      </c>
      <c r="D148" t="s">
        <v>508</v>
      </c>
      <c r="E148" t="s">
        <v>1152</v>
      </c>
      <c r="F148" t="s">
        <v>1032</v>
      </c>
      <c r="G148" t="s">
        <v>6418</v>
      </c>
      <c r="H148" t="s">
        <v>10538</v>
      </c>
      <c r="I148" t="s">
        <v>11385</v>
      </c>
      <c r="J148">
        <v>11212</v>
      </c>
      <c r="K148" t="s">
        <v>11447</v>
      </c>
      <c r="N148" t="s">
        <v>14781</v>
      </c>
      <c r="O148" t="s">
        <v>14788</v>
      </c>
      <c r="P148" t="s">
        <v>14795</v>
      </c>
      <c r="S148" t="s">
        <v>14827</v>
      </c>
      <c r="V148">
        <v>0</v>
      </c>
      <c r="W148" t="s">
        <v>14859</v>
      </c>
      <c r="Y148" t="s">
        <v>14887</v>
      </c>
      <c r="Z148" t="s">
        <v>15044</v>
      </c>
      <c r="AB148" t="s">
        <v>20214</v>
      </c>
      <c r="AC148">
        <v>0</v>
      </c>
      <c r="AF148">
        <v>0</v>
      </c>
      <c r="AG148">
        <v>1</v>
      </c>
      <c r="AH148">
        <v>0</v>
      </c>
      <c r="AI148">
        <v>57.26</v>
      </c>
      <c r="AL148" t="s">
        <v>5011</v>
      </c>
      <c r="AM148">
        <v>7152</v>
      </c>
      <c r="AS148">
        <v>11.2</v>
      </c>
      <c r="AT148" t="s">
        <v>508</v>
      </c>
      <c r="AU148" t="s">
        <v>25244</v>
      </c>
      <c r="AW148" t="s">
        <v>11447</v>
      </c>
    </row>
    <row r="149" spans="1:49">
      <c r="A149" s="1">
        <f>HYPERLINK("https://lsnyc.legalserver.org/matter/dynamic-profile/view/1835413","17-1835413")</f>
        <v>0</v>
      </c>
      <c r="B149" t="s">
        <v>93</v>
      </c>
      <c r="C149" t="s">
        <v>457</v>
      </c>
      <c r="D149" t="s">
        <v>602</v>
      </c>
      <c r="E149" t="s">
        <v>1153</v>
      </c>
      <c r="F149" t="s">
        <v>3669</v>
      </c>
      <c r="G149" t="s">
        <v>6419</v>
      </c>
      <c r="H149" t="s">
        <v>10539</v>
      </c>
      <c r="I149" t="s">
        <v>11385</v>
      </c>
      <c r="J149">
        <v>11201</v>
      </c>
      <c r="K149" t="s">
        <v>11448</v>
      </c>
      <c r="M149" t="s">
        <v>14750</v>
      </c>
      <c r="N149" t="s">
        <v>14783</v>
      </c>
      <c r="O149" t="s">
        <v>14790</v>
      </c>
      <c r="P149" t="s">
        <v>14795</v>
      </c>
      <c r="Q149" t="s">
        <v>11448</v>
      </c>
      <c r="S149" t="s">
        <v>14828</v>
      </c>
      <c r="V149">
        <v>281</v>
      </c>
      <c r="W149" t="s">
        <v>14859</v>
      </c>
      <c r="X149" t="s">
        <v>14874</v>
      </c>
      <c r="Y149" t="s">
        <v>14885</v>
      </c>
      <c r="Z149" t="s">
        <v>15045</v>
      </c>
      <c r="AA149" t="s">
        <v>19331</v>
      </c>
      <c r="AB149" t="s">
        <v>20215</v>
      </c>
      <c r="AC149">
        <v>30</v>
      </c>
      <c r="AD149" t="s">
        <v>24602</v>
      </c>
      <c r="AE149" t="s">
        <v>11459</v>
      </c>
      <c r="AF149">
        <v>47</v>
      </c>
      <c r="AG149">
        <v>1</v>
      </c>
      <c r="AH149">
        <v>0</v>
      </c>
      <c r="AI149">
        <v>0</v>
      </c>
      <c r="AL149" t="s">
        <v>5011</v>
      </c>
      <c r="AM149">
        <v>0</v>
      </c>
      <c r="AS149">
        <v>93.45</v>
      </c>
      <c r="AT149" t="s">
        <v>347</v>
      </c>
      <c r="AU149" t="s">
        <v>25246</v>
      </c>
      <c r="AW149" t="s">
        <v>11447</v>
      </c>
    </row>
    <row r="150" spans="1:49">
      <c r="A150" s="1">
        <f>HYPERLINK("https://lsnyc.legalserver.org/matter/dynamic-profile/view/1908011","19-1908011")</f>
        <v>0</v>
      </c>
      <c r="B150" t="s">
        <v>94</v>
      </c>
      <c r="C150" t="s">
        <v>458</v>
      </c>
      <c r="D150" t="s">
        <v>663</v>
      </c>
      <c r="E150" t="s">
        <v>1154</v>
      </c>
      <c r="F150" t="s">
        <v>3670</v>
      </c>
      <c r="G150" t="s">
        <v>6420</v>
      </c>
      <c r="H150" t="s">
        <v>10540</v>
      </c>
      <c r="I150" t="s">
        <v>11383</v>
      </c>
      <c r="J150">
        <v>10453</v>
      </c>
      <c r="K150" t="s">
        <v>11447</v>
      </c>
      <c r="O150" t="s">
        <v>14786</v>
      </c>
      <c r="P150" t="s">
        <v>14795</v>
      </c>
      <c r="S150" t="s">
        <v>14829</v>
      </c>
      <c r="V150">
        <v>0</v>
      </c>
      <c r="W150" t="s">
        <v>14858</v>
      </c>
      <c r="Y150" t="s">
        <v>14883</v>
      </c>
      <c r="Z150" t="s">
        <v>15046</v>
      </c>
      <c r="AB150" t="s">
        <v>20216</v>
      </c>
      <c r="AC150">
        <v>0</v>
      </c>
      <c r="AF150">
        <v>0</v>
      </c>
      <c r="AG150">
        <v>2</v>
      </c>
      <c r="AH150">
        <v>2</v>
      </c>
      <c r="AI150">
        <v>121.17</v>
      </c>
      <c r="AL150" t="s">
        <v>24632</v>
      </c>
      <c r="AM150">
        <v>31200</v>
      </c>
      <c r="AS150">
        <v>3</v>
      </c>
      <c r="AT150" t="s">
        <v>519</v>
      </c>
      <c r="AU150" t="s">
        <v>94</v>
      </c>
      <c r="AW150" t="s">
        <v>11447</v>
      </c>
    </row>
    <row r="151" spans="1:49">
      <c r="A151" s="1">
        <f>HYPERLINK("https://lsnyc.legalserver.org/matter/dynamic-profile/view/1901671","19-1901671")</f>
        <v>0</v>
      </c>
      <c r="B151" t="s">
        <v>95</v>
      </c>
      <c r="C151" t="s">
        <v>459</v>
      </c>
      <c r="D151" t="s">
        <v>511</v>
      </c>
      <c r="E151" t="s">
        <v>1155</v>
      </c>
      <c r="F151" t="s">
        <v>2559</v>
      </c>
      <c r="G151" t="s">
        <v>6421</v>
      </c>
      <c r="I151" t="s">
        <v>11383</v>
      </c>
      <c r="J151">
        <v>10466</v>
      </c>
      <c r="K151" t="s">
        <v>11447</v>
      </c>
      <c r="O151" t="s">
        <v>14786</v>
      </c>
      <c r="P151" t="s">
        <v>14795</v>
      </c>
      <c r="S151" t="s">
        <v>14827</v>
      </c>
      <c r="V151">
        <v>600</v>
      </c>
      <c r="W151" t="s">
        <v>14858</v>
      </c>
      <c r="X151" t="s">
        <v>14870</v>
      </c>
      <c r="Y151" t="s">
        <v>14883</v>
      </c>
      <c r="Z151" t="s">
        <v>15047</v>
      </c>
      <c r="AB151" t="s">
        <v>20217</v>
      </c>
      <c r="AC151">
        <v>0</v>
      </c>
      <c r="AE151" t="s">
        <v>11459</v>
      </c>
      <c r="AF151">
        <v>0</v>
      </c>
      <c r="AG151">
        <v>2</v>
      </c>
      <c r="AH151">
        <v>0</v>
      </c>
      <c r="AI151">
        <v>70.95999999999999</v>
      </c>
      <c r="AL151" t="s">
        <v>5011</v>
      </c>
      <c r="AM151">
        <v>12000</v>
      </c>
      <c r="AS151">
        <v>1.2</v>
      </c>
      <c r="AT151" t="s">
        <v>362</v>
      </c>
      <c r="AU151" t="s">
        <v>25226</v>
      </c>
      <c r="AW151" t="s">
        <v>11447</v>
      </c>
    </row>
    <row r="152" spans="1:49">
      <c r="A152" s="1">
        <f>HYPERLINK("https://lsnyc.legalserver.org/matter/dynamic-profile/view/1902643","19-1902643")</f>
        <v>0</v>
      </c>
      <c r="B152" t="s">
        <v>96</v>
      </c>
      <c r="C152" t="s">
        <v>371</v>
      </c>
      <c r="D152" t="s">
        <v>511</v>
      </c>
      <c r="E152" t="s">
        <v>1156</v>
      </c>
      <c r="F152" t="s">
        <v>3671</v>
      </c>
      <c r="G152" t="s">
        <v>6422</v>
      </c>
      <c r="H152" t="s">
        <v>10529</v>
      </c>
      <c r="I152" t="s">
        <v>11383</v>
      </c>
      <c r="J152">
        <v>10456</v>
      </c>
      <c r="K152" t="s">
        <v>11446</v>
      </c>
      <c r="L152" t="s">
        <v>11478</v>
      </c>
      <c r="M152" t="s">
        <v>14744</v>
      </c>
      <c r="N152" t="s">
        <v>14778</v>
      </c>
      <c r="O152" t="s">
        <v>14786</v>
      </c>
      <c r="P152" t="s">
        <v>14795</v>
      </c>
      <c r="Q152" t="s">
        <v>11448</v>
      </c>
      <c r="S152" t="s">
        <v>14827</v>
      </c>
      <c r="V152">
        <v>1020</v>
      </c>
      <c r="W152" t="s">
        <v>14858</v>
      </c>
      <c r="X152" t="s">
        <v>14865</v>
      </c>
      <c r="Y152" t="s">
        <v>14883</v>
      </c>
      <c r="Z152" t="s">
        <v>15048</v>
      </c>
      <c r="AB152" t="s">
        <v>20218</v>
      </c>
      <c r="AC152">
        <v>6</v>
      </c>
      <c r="AD152" t="s">
        <v>24595</v>
      </c>
      <c r="AF152">
        <v>13</v>
      </c>
      <c r="AG152">
        <v>2</v>
      </c>
      <c r="AH152">
        <v>0</v>
      </c>
      <c r="AI152">
        <v>162.01</v>
      </c>
      <c r="AL152" t="s">
        <v>24632</v>
      </c>
      <c r="AM152">
        <v>27396.56</v>
      </c>
      <c r="AN152" t="s">
        <v>24677</v>
      </c>
      <c r="AR152" t="s">
        <v>24996</v>
      </c>
      <c r="AS152">
        <v>0.1</v>
      </c>
      <c r="AT152" t="s">
        <v>511</v>
      </c>
      <c r="AU152" t="s">
        <v>145</v>
      </c>
      <c r="AV152" t="s">
        <v>25335</v>
      </c>
      <c r="AW152" t="s">
        <v>11447</v>
      </c>
    </row>
    <row r="153" spans="1:49">
      <c r="A153" s="1">
        <f>HYPERLINK("https://lsnyc.legalserver.org/matter/dynamic-profile/view/1910987","19-1910987")</f>
        <v>0</v>
      </c>
      <c r="B153" t="s">
        <v>75</v>
      </c>
      <c r="C153" t="s">
        <v>460</v>
      </c>
      <c r="D153" t="s">
        <v>526</v>
      </c>
      <c r="E153" t="s">
        <v>1157</v>
      </c>
      <c r="F153" t="s">
        <v>3672</v>
      </c>
      <c r="G153" t="s">
        <v>6423</v>
      </c>
      <c r="I153" t="s">
        <v>11385</v>
      </c>
      <c r="J153">
        <v>11230</v>
      </c>
      <c r="K153" t="s">
        <v>11447</v>
      </c>
      <c r="M153" t="s">
        <v>11601</v>
      </c>
      <c r="O153" t="s">
        <v>14787</v>
      </c>
      <c r="P153" t="s">
        <v>14795</v>
      </c>
      <c r="Q153" t="s">
        <v>11448</v>
      </c>
      <c r="S153" t="s">
        <v>14827</v>
      </c>
      <c r="V153">
        <v>189</v>
      </c>
      <c r="W153" t="s">
        <v>14859</v>
      </c>
      <c r="X153" t="s">
        <v>14755</v>
      </c>
      <c r="Y153" t="s">
        <v>14885</v>
      </c>
      <c r="Z153" t="s">
        <v>15049</v>
      </c>
      <c r="AB153" t="s">
        <v>20219</v>
      </c>
      <c r="AC153">
        <v>100</v>
      </c>
      <c r="AD153" t="s">
        <v>11479</v>
      </c>
      <c r="AE153" t="s">
        <v>24614</v>
      </c>
      <c r="AF153">
        <v>5</v>
      </c>
      <c r="AG153">
        <v>1</v>
      </c>
      <c r="AH153">
        <v>0</v>
      </c>
      <c r="AI153">
        <v>0</v>
      </c>
      <c r="AL153" t="s">
        <v>5011</v>
      </c>
      <c r="AM153">
        <v>0</v>
      </c>
      <c r="AS153">
        <v>0.96</v>
      </c>
      <c r="AT153" t="s">
        <v>491</v>
      </c>
      <c r="AU153" t="s">
        <v>25244</v>
      </c>
      <c r="AW153" t="s">
        <v>11447</v>
      </c>
    </row>
    <row r="154" spans="1:49">
      <c r="A154" s="1">
        <f>HYPERLINK("https://lsnyc.legalserver.org/matter/dynamic-profile/view/1908733","19-1908733")</f>
        <v>0</v>
      </c>
      <c r="B154" t="s">
        <v>55</v>
      </c>
      <c r="C154" t="s">
        <v>410</v>
      </c>
      <c r="D154" t="s">
        <v>505</v>
      </c>
      <c r="E154" t="s">
        <v>1158</v>
      </c>
      <c r="F154" t="s">
        <v>3547</v>
      </c>
      <c r="G154" t="s">
        <v>6424</v>
      </c>
      <c r="H154" t="s">
        <v>10541</v>
      </c>
      <c r="I154" t="s">
        <v>11386</v>
      </c>
      <c r="J154">
        <v>10035</v>
      </c>
      <c r="K154" t="s">
        <v>11447</v>
      </c>
      <c r="N154" t="s">
        <v>14778</v>
      </c>
      <c r="O154" t="s">
        <v>14786</v>
      </c>
      <c r="P154" t="s">
        <v>14795</v>
      </c>
      <c r="S154" t="s">
        <v>14827</v>
      </c>
      <c r="V154">
        <v>929</v>
      </c>
      <c r="W154" t="s">
        <v>14860</v>
      </c>
      <c r="X154" t="s">
        <v>14868</v>
      </c>
      <c r="Y154" t="s">
        <v>14883</v>
      </c>
      <c r="Z154" t="s">
        <v>15050</v>
      </c>
      <c r="AB154" t="s">
        <v>20220</v>
      </c>
      <c r="AC154">
        <v>0</v>
      </c>
      <c r="AD154" t="s">
        <v>24595</v>
      </c>
      <c r="AE154" t="s">
        <v>24614</v>
      </c>
      <c r="AF154">
        <v>1</v>
      </c>
      <c r="AG154">
        <v>1</v>
      </c>
      <c r="AH154">
        <v>3</v>
      </c>
      <c r="AI154">
        <v>0</v>
      </c>
      <c r="AL154" t="s">
        <v>5011</v>
      </c>
      <c r="AM154">
        <v>0</v>
      </c>
      <c r="AS154">
        <v>1</v>
      </c>
      <c r="AT154" t="s">
        <v>410</v>
      </c>
      <c r="AU154" t="s">
        <v>25226</v>
      </c>
      <c r="AW154" t="s">
        <v>11447</v>
      </c>
    </row>
    <row r="155" spans="1:49">
      <c r="A155" s="1">
        <f>HYPERLINK("https://lsnyc.legalserver.org/matter/dynamic-profile/view/1905977","19-1905977")</f>
        <v>0</v>
      </c>
      <c r="B155" t="s">
        <v>55</v>
      </c>
      <c r="C155" t="s">
        <v>461</v>
      </c>
      <c r="D155" t="s">
        <v>505</v>
      </c>
      <c r="E155" t="s">
        <v>1159</v>
      </c>
      <c r="F155" t="s">
        <v>3673</v>
      </c>
      <c r="G155" t="s">
        <v>6425</v>
      </c>
      <c r="H155" t="s">
        <v>10542</v>
      </c>
      <c r="I155" t="s">
        <v>11386</v>
      </c>
      <c r="J155">
        <v>10035</v>
      </c>
      <c r="K155" t="s">
        <v>11447</v>
      </c>
      <c r="N155" t="s">
        <v>14778</v>
      </c>
      <c r="O155" t="s">
        <v>14786</v>
      </c>
      <c r="P155" t="s">
        <v>14795</v>
      </c>
      <c r="S155" t="s">
        <v>14827</v>
      </c>
      <c r="V155">
        <v>1475</v>
      </c>
      <c r="W155" t="s">
        <v>14860</v>
      </c>
      <c r="X155" t="s">
        <v>14870</v>
      </c>
      <c r="Y155" t="s">
        <v>14883</v>
      </c>
      <c r="Z155" t="s">
        <v>15051</v>
      </c>
      <c r="AB155" t="s">
        <v>20221</v>
      </c>
      <c r="AC155">
        <v>15</v>
      </c>
      <c r="AE155" t="s">
        <v>24610</v>
      </c>
      <c r="AF155">
        <v>14</v>
      </c>
      <c r="AG155">
        <v>2</v>
      </c>
      <c r="AH155">
        <v>2</v>
      </c>
      <c r="AI155">
        <v>8.16</v>
      </c>
      <c r="AL155" t="s">
        <v>5011</v>
      </c>
      <c r="AM155">
        <v>2100</v>
      </c>
      <c r="AS155">
        <v>1</v>
      </c>
      <c r="AT155" t="s">
        <v>461</v>
      </c>
      <c r="AU155" t="s">
        <v>25226</v>
      </c>
      <c r="AW155" t="s">
        <v>11447</v>
      </c>
    </row>
    <row r="156" spans="1:49">
      <c r="A156" s="1">
        <f>HYPERLINK("https://lsnyc.legalserver.org/matter/dynamic-profile/view/1908063","19-1908063")</f>
        <v>0</v>
      </c>
      <c r="B156" t="s">
        <v>55</v>
      </c>
      <c r="C156" t="s">
        <v>455</v>
      </c>
      <c r="D156" t="s">
        <v>505</v>
      </c>
      <c r="E156" t="s">
        <v>1160</v>
      </c>
      <c r="F156" t="s">
        <v>3674</v>
      </c>
      <c r="G156" t="s">
        <v>6426</v>
      </c>
      <c r="H156" t="s">
        <v>10527</v>
      </c>
      <c r="I156" t="s">
        <v>11386</v>
      </c>
      <c r="J156">
        <v>10003</v>
      </c>
      <c r="K156" t="s">
        <v>11447</v>
      </c>
      <c r="N156" t="s">
        <v>14778</v>
      </c>
      <c r="O156" t="s">
        <v>14786</v>
      </c>
      <c r="P156" t="s">
        <v>14795</v>
      </c>
      <c r="S156" t="s">
        <v>14827</v>
      </c>
      <c r="V156">
        <v>2100</v>
      </c>
      <c r="W156" t="s">
        <v>14860</v>
      </c>
      <c r="Y156" t="s">
        <v>14883</v>
      </c>
      <c r="Z156" t="s">
        <v>15052</v>
      </c>
      <c r="AB156" t="s">
        <v>20222</v>
      </c>
      <c r="AC156">
        <v>72</v>
      </c>
      <c r="AF156">
        <v>60</v>
      </c>
      <c r="AG156">
        <v>3</v>
      </c>
      <c r="AH156">
        <v>0</v>
      </c>
      <c r="AI156">
        <v>28.13</v>
      </c>
      <c r="AL156" t="s">
        <v>5011</v>
      </c>
      <c r="AM156">
        <v>6000</v>
      </c>
      <c r="AS156">
        <v>1</v>
      </c>
      <c r="AT156" t="s">
        <v>455</v>
      </c>
      <c r="AU156" t="s">
        <v>25227</v>
      </c>
      <c r="AW156" t="s">
        <v>11447</v>
      </c>
    </row>
    <row r="157" spans="1:49">
      <c r="A157" s="1">
        <f>HYPERLINK("https://lsnyc.legalserver.org/matter/dynamic-profile/view/1907254","19-1907254")</f>
        <v>0</v>
      </c>
      <c r="B157" t="s">
        <v>55</v>
      </c>
      <c r="C157" t="s">
        <v>366</v>
      </c>
      <c r="D157" t="s">
        <v>505</v>
      </c>
      <c r="E157" t="s">
        <v>1161</v>
      </c>
      <c r="F157" t="s">
        <v>3251</v>
      </c>
      <c r="G157" t="s">
        <v>6427</v>
      </c>
      <c r="H157">
        <v>205</v>
      </c>
      <c r="I157" t="s">
        <v>11386</v>
      </c>
      <c r="J157">
        <v>10035</v>
      </c>
      <c r="K157" t="s">
        <v>11447</v>
      </c>
      <c r="N157" t="s">
        <v>14778</v>
      </c>
      <c r="O157" t="s">
        <v>14786</v>
      </c>
      <c r="P157" t="s">
        <v>14795</v>
      </c>
      <c r="S157" t="s">
        <v>14827</v>
      </c>
      <c r="V157">
        <v>2900</v>
      </c>
      <c r="W157" t="s">
        <v>14860</v>
      </c>
      <c r="Y157" t="s">
        <v>14883</v>
      </c>
      <c r="Z157" t="s">
        <v>15053</v>
      </c>
      <c r="AB157" t="s">
        <v>20223</v>
      </c>
      <c r="AC157">
        <v>80</v>
      </c>
      <c r="AE157" t="s">
        <v>24610</v>
      </c>
      <c r="AF157">
        <v>4</v>
      </c>
      <c r="AG157">
        <v>2</v>
      </c>
      <c r="AH157">
        <v>1</v>
      </c>
      <c r="AI157">
        <v>32.55</v>
      </c>
      <c r="AL157" t="s">
        <v>5011</v>
      </c>
      <c r="AM157">
        <v>6942</v>
      </c>
      <c r="AS157">
        <v>1</v>
      </c>
      <c r="AT157" t="s">
        <v>366</v>
      </c>
      <c r="AU157" t="s">
        <v>25227</v>
      </c>
      <c r="AW157" t="s">
        <v>11447</v>
      </c>
    </row>
    <row r="158" spans="1:49">
      <c r="A158" s="1">
        <f>HYPERLINK("https://lsnyc.legalserver.org/matter/dynamic-profile/view/1908057","19-1908057")</f>
        <v>0</v>
      </c>
      <c r="B158" t="s">
        <v>55</v>
      </c>
      <c r="C158" t="s">
        <v>455</v>
      </c>
      <c r="D158" t="s">
        <v>505</v>
      </c>
      <c r="E158" t="s">
        <v>1162</v>
      </c>
      <c r="F158" t="s">
        <v>3675</v>
      </c>
      <c r="G158" t="s">
        <v>6428</v>
      </c>
      <c r="H158" t="s">
        <v>10543</v>
      </c>
      <c r="I158" t="s">
        <v>11386</v>
      </c>
      <c r="J158">
        <v>10009</v>
      </c>
      <c r="K158" t="s">
        <v>11447</v>
      </c>
      <c r="M158" t="s">
        <v>11601</v>
      </c>
      <c r="N158" t="s">
        <v>14778</v>
      </c>
      <c r="O158" t="s">
        <v>14786</v>
      </c>
      <c r="P158" t="s">
        <v>14795</v>
      </c>
      <c r="S158" t="s">
        <v>14828</v>
      </c>
      <c r="V158">
        <v>0</v>
      </c>
      <c r="W158" t="s">
        <v>14860</v>
      </c>
      <c r="Y158" t="s">
        <v>14883</v>
      </c>
      <c r="Z158" t="s">
        <v>15054</v>
      </c>
      <c r="AB158" t="s">
        <v>20224</v>
      </c>
      <c r="AC158">
        <v>0</v>
      </c>
      <c r="AD158" t="s">
        <v>24597</v>
      </c>
      <c r="AF158">
        <v>30</v>
      </c>
      <c r="AG158">
        <v>1</v>
      </c>
      <c r="AH158">
        <v>0</v>
      </c>
      <c r="AI158">
        <v>73.98</v>
      </c>
      <c r="AL158" t="s">
        <v>5011</v>
      </c>
      <c r="AM158">
        <v>9240</v>
      </c>
      <c r="AS158">
        <v>1</v>
      </c>
      <c r="AT158" t="s">
        <v>455</v>
      </c>
      <c r="AU158" t="s">
        <v>25231</v>
      </c>
      <c r="AW158" t="s">
        <v>11447</v>
      </c>
    </row>
    <row r="159" spans="1:49">
      <c r="A159" s="1">
        <f>HYPERLINK("https://lsnyc.legalserver.org/matter/dynamic-profile/view/1906896","19-1906896")</f>
        <v>0</v>
      </c>
      <c r="B159" t="s">
        <v>55</v>
      </c>
      <c r="C159" t="s">
        <v>354</v>
      </c>
      <c r="D159" t="s">
        <v>505</v>
      </c>
      <c r="E159" t="s">
        <v>1163</v>
      </c>
      <c r="F159" t="s">
        <v>3676</v>
      </c>
      <c r="G159" t="s">
        <v>6429</v>
      </c>
      <c r="H159" t="s">
        <v>10544</v>
      </c>
      <c r="I159" t="s">
        <v>11386</v>
      </c>
      <c r="J159">
        <v>10030</v>
      </c>
      <c r="K159" t="s">
        <v>11447</v>
      </c>
      <c r="N159" t="s">
        <v>14778</v>
      </c>
      <c r="O159" t="s">
        <v>14786</v>
      </c>
      <c r="P159" t="s">
        <v>14795</v>
      </c>
      <c r="S159" t="s">
        <v>14827</v>
      </c>
      <c r="V159">
        <v>2344</v>
      </c>
      <c r="W159" t="s">
        <v>14860</v>
      </c>
      <c r="Y159" t="s">
        <v>14883</v>
      </c>
      <c r="Z159" t="s">
        <v>15055</v>
      </c>
      <c r="AB159" t="s">
        <v>20225</v>
      </c>
      <c r="AC159">
        <v>177</v>
      </c>
      <c r="AF159">
        <v>17</v>
      </c>
      <c r="AG159">
        <v>1</v>
      </c>
      <c r="AH159">
        <v>0</v>
      </c>
      <c r="AI159">
        <v>76.86</v>
      </c>
      <c r="AL159" t="s">
        <v>5011</v>
      </c>
      <c r="AM159">
        <v>9600</v>
      </c>
      <c r="AS159">
        <v>0.5</v>
      </c>
      <c r="AT159" t="s">
        <v>354</v>
      </c>
      <c r="AU159" t="s">
        <v>25238</v>
      </c>
      <c r="AW159" t="s">
        <v>11447</v>
      </c>
    </row>
    <row r="160" spans="1:49">
      <c r="A160" s="1">
        <f>HYPERLINK("https://lsnyc.legalserver.org/matter/dynamic-profile/view/1909201","19-1909201")</f>
        <v>0</v>
      </c>
      <c r="B160" t="s">
        <v>55</v>
      </c>
      <c r="C160" t="s">
        <v>462</v>
      </c>
      <c r="D160" t="s">
        <v>505</v>
      </c>
      <c r="E160" t="s">
        <v>1164</v>
      </c>
      <c r="F160" t="s">
        <v>3677</v>
      </c>
      <c r="G160" t="s">
        <v>6430</v>
      </c>
      <c r="H160">
        <v>2</v>
      </c>
      <c r="I160" t="s">
        <v>11386</v>
      </c>
      <c r="J160">
        <v>10029</v>
      </c>
      <c r="K160" t="s">
        <v>11447</v>
      </c>
      <c r="N160" t="s">
        <v>14778</v>
      </c>
      <c r="O160" t="s">
        <v>14786</v>
      </c>
      <c r="P160" t="s">
        <v>14795</v>
      </c>
      <c r="S160" t="s">
        <v>14827</v>
      </c>
      <c r="T160" t="s">
        <v>14832</v>
      </c>
      <c r="V160">
        <v>1250</v>
      </c>
      <c r="W160" t="s">
        <v>14860</v>
      </c>
      <c r="X160" t="s">
        <v>14873</v>
      </c>
      <c r="Y160" t="s">
        <v>14883</v>
      </c>
      <c r="Z160" t="s">
        <v>15056</v>
      </c>
      <c r="AB160" t="s">
        <v>20226</v>
      </c>
      <c r="AC160">
        <v>8</v>
      </c>
      <c r="AE160" t="s">
        <v>11459</v>
      </c>
      <c r="AF160">
        <v>0</v>
      </c>
      <c r="AG160">
        <v>1</v>
      </c>
      <c r="AH160">
        <v>0</v>
      </c>
      <c r="AI160">
        <v>86.18000000000001</v>
      </c>
      <c r="AL160" t="s">
        <v>5011</v>
      </c>
      <c r="AM160">
        <v>10764</v>
      </c>
      <c r="AS160">
        <v>1</v>
      </c>
      <c r="AT160" t="s">
        <v>462</v>
      </c>
      <c r="AU160" t="s">
        <v>25226</v>
      </c>
      <c r="AW160" t="s">
        <v>11447</v>
      </c>
    </row>
    <row r="161" spans="1:49">
      <c r="A161" s="1">
        <f>HYPERLINK("https://lsnyc.legalserver.org/matter/dynamic-profile/view/1909660","19-1909660")</f>
        <v>0</v>
      </c>
      <c r="B161" t="s">
        <v>75</v>
      </c>
      <c r="C161" t="s">
        <v>463</v>
      </c>
      <c r="D161" t="s">
        <v>505</v>
      </c>
      <c r="E161" t="s">
        <v>1165</v>
      </c>
      <c r="F161" t="s">
        <v>2515</v>
      </c>
      <c r="G161" t="s">
        <v>6431</v>
      </c>
      <c r="H161" t="s">
        <v>10506</v>
      </c>
      <c r="I161" t="s">
        <v>11385</v>
      </c>
      <c r="J161">
        <v>11215</v>
      </c>
      <c r="K161" t="s">
        <v>11447</v>
      </c>
      <c r="O161" t="s">
        <v>14787</v>
      </c>
      <c r="P161" t="s">
        <v>14795</v>
      </c>
      <c r="S161" t="s">
        <v>14827</v>
      </c>
      <c r="V161">
        <v>892</v>
      </c>
      <c r="W161" t="s">
        <v>14859</v>
      </c>
      <c r="X161" t="s">
        <v>14867</v>
      </c>
      <c r="Y161" t="s">
        <v>14885</v>
      </c>
      <c r="Z161" t="s">
        <v>15057</v>
      </c>
      <c r="AB161" t="s">
        <v>20227</v>
      </c>
      <c r="AC161">
        <v>8</v>
      </c>
      <c r="AD161" t="s">
        <v>24595</v>
      </c>
      <c r="AE161" t="s">
        <v>24613</v>
      </c>
      <c r="AF161">
        <v>35</v>
      </c>
      <c r="AG161">
        <v>1</v>
      </c>
      <c r="AH161">
        <v>0</v>
      </c>
      <c r="AI161">
        <v>108.57</v>
      </c>
      <c r="AL161" t="s">
        <v>5011</v>
      </c>
      <c r="AM161">
        <v>13560</v>
      </c>
      <c r="AS161">
        <v>1</v>
      </c>
      <c r="AT161" t="s">
        <v>463</v>
      </c>
      <c r="AU161" t="s">
        <v>25226</v>
      </c>
      <c r="AW161" t="s">
        <v>11447</v>
      </c>
    </row>
    <row r="162" spans="1:49">
      <c r="A162" s="1">
        <f>HYPERLINK("https://lsnyc.legalserver.org/matter/dynamic-profile/view/1908354","19-1908354")</f>
        <v>0</v>
      </c>
      <c r="B162" t="s">
        <v>55</v>
      </c>
      <c r="C162" t="s">
        <v>464</v>
      </c>
      <c r="D162" t="s">
        <v>505</v>
      </c>
      <c r="E162" t="s">
        <v>1166</v>
      </c>
      <c r="F162" t="s">
        <v>2911</v>
      </c>
      <c r="G162" t="s">
        <v>6432</v>
      </c>
      <c r="H162" t="s">
        <v>10545</v>
      </c>
      <c r="I162" t="s">
        <v>11383</v>
      </c>
      <c r="J162">
        <v>10461</v>
      </c>
      <c r="K162" t="s">
        <v>11447</v>
      </c>
      <c r="N162" t="s">
        <v>14778</v>
      </c>
      <c r="O162" t="s">
        <v>14786</v>
      </c>
      <c r="P162" t="s">
        <v>14795</v>
      </c>
      <c r="S162" t="s">
        <v>14827</v>
      </c>
      <c r="V162">
        <v>1250</v>
      </c>
      <c r="W162" t="s">
        <v>14860</v>
      </c>
      <c r="Y162" t="s">
        <v>14883</v>
      </c>
      <c r="Z162" t="s">
        <v>15058</v>
      </c>
      <c r="AB162" t="s">
        <v>20228</v>
      </c>
      <c r="AC162">
        <v>159</v>
      </c>
      <c r="AF162">
        <v>2</v>
      </c>
      <c r="AG162">
        <v>2</v>
      </c>
      <c r="AH162">
        <v>0</v>
      </c>
      <c r="AI162">
        <v>116.38</v>
      </c>
      <c r="AL162" t="s">
        <v>5011</v>
      </c>
      <c r="AM162">
        <v>19680</v>
      </c>
      <c r="AS162">
        <v>0.5</v>
      </c>
      <c r="AT162" t="s">
        <v>464</v>
      </c>
      <c r="AU162" t="s">
        <v>25238</v>
      </c>
      <c r="AW162" t="s">
        <v>11447</v>
      </c>
    </row>
    <row r="163" spans="1:49">
      <c r="A163" s="1">
        <f>HYPERLINK("https://lsnyc.legalserver.org/matter/dynamic-profile/view/1907464","19-1907464")</f>
        <v>0</v>
      </c>
      <c r="B163" t="s">
        <v>66</v>
      </c>
      <c r="C163" t="s">
        <v>465</v>
      </c>
      <c r="D163" t="s">
        <v>505</v>
      </c>
      <c r="E163" t="s">
        <v>1167</v>
      </c>
      <c r="F163" t="s">
        <v>1395</v>
      </c>
      <c r="G163" t="s">
        <v>6433</v>
      </c>
      <c r="H163">
        <v>2</v>
      </c>
      <c r="I163" t="s">
        <v>11385</v>
      </c>
      <c r="J163">
        <v>11233</v>
      </c>
      <c r="K163" t="s">
        <v>11447</v>
      </c>
      <c r="O163" t="s">
        <v>14786</v>
      </c>
      <c r="P163" t="s">
        <v>14795</v>
      </c>
      <c r="S163" t="s">
        <v>14827</v>
      </c>
      <c r="V163">
        <v>2400</v>
      </c>
      <c r="W163" t="s">
        <v>14859</v>
      </c>
      <c r="X163" t="s">
        <v>14868</v>
      </c>
      <c r="Y163" t="s">
        <v>14883</v>
      </c>
      <c r="Z163" t="s">
        <v>15059</v>
      </c>
      <c r="AB163" t="s">
        <v>20229</v>
      </c>
      <c r="AC163">
        <v>2</v>
      </c>
      <c r="AD163" t="s">
        <v>24600</v>
      </c>
      <c r="AE163" t="s">
        <v>11459</v>
      </c>
      <c r="AF163">
        <v>4</v>
      </c>
      <c r="AG163">
        <v>1</v>
      </c>
      <c r="AH163">
        <v>2</v>
      </c>
      <c r="AI163">
        <v>126.58</v>
      </c>
      <c r="AL163" t="s">
        <v>5011</v>
      </c>
      <c r="AM163">
        <v>27000</v>
      </c>
      <c r="AN163" t="s">
        <v>24678</v>
      </c>
      <c r="AS163">
        <v>0.6</v>
      </c>
      <c r="AT163" t="s">
        <v>465</v>
      </c>
      <c r="AU163" t="s">
        <v>25244</v>
      </c>
      <c r="AW163" t="s">
        <v>11447</v>
      </c>
    </row>
    <row r="164" spans="1:49">
      <c r="A164" s="1">
        <f>HYPERLINK("https://lsnyc.legalserver.org/matter/dynamic-profile/view/1908529","19-1908529")</f>
        <v>0</v>
      </c>
      <c r="B164" t="s">
        <v>55</v>
      </c>
      <c r="C164" t="s">
        <v>466</v>
      </c>
      <c r="D164" t="s">
        <v>505</v>
      </c>
      <c r="E164" t="s">
        <v>1168</v>
      </c>
      <c r="F164" t="s">
        <v>3678</v>
      </c>
      <c r="G164" t="s">
        <v>6434</v>
      </c>
      <c r="H164" t="s">
        <v>10478</v>
      </c>
      <c r="I164" t="s">
        <v>11386</v>
      </c>
      <c r="J164">
        <v>10019</v>
      </c>
      <c r="K164" t="s">
        <v>11447</v>
      </c>
      <c r="M164" t="s">
        <v>14746</v>
      </c>
      <c r="N164" t="s">
        <v>14778</v>
      </c>
      <c r="O164" t="s">
        <v>14786</v>
      </c>
      <c r="P164" t="s">
        <v>14795</v>
      </c>
      <c r="Q164" t="s">
        <v>11448</v>
      </c>
      <c r="S164" t="s">
        <v>14827</v>
      </c>
      <c r="V164">
        <v>310</v>
      </c>
      <c r="W164" t="s">
        <v>14860</v>
      </c>
      <c r="X164" t="s">
        <v>14755</v>
      </c>
      <c r="Y164" t="s">
        <v>14883</v>
      </c>
      <c r="Z164" t="s">
        <v>15060</v>
      </c>
      <c r="AB164" t="s">
        <v>20230</v>
      </c>
      <c r="AC164">
        <v>86</v>
      </c>
      <c r="AD164" t="s">
        <v>11479</v>
      </c>
      <c r="AE164" t="s">
        <v>14755</v>
      </c>
      <c r="AF164">
        <v>1</v>
      </c>
      <c r="AG164">
        <v>1</v>
      </c>
      <c r="AH164">
        <v>0</v>
      </c>
      <c r="AI164">
        <v>148.12</v>
      </c>
      <c r="AL164" t="s">
        <v>5011</v>
      </c>
      <c r="AM164">
        <v>18500</v>
      </c>
      <c r="AS164">
        <v>0.84</v>
      </c>
      <c r="AT164" t="s">
        <v>466</v>
      </c>
      <c r="AU164" t="s">
        <v>25240</v>
      </c>
      <c r="AW164" t="s">
        <v>11447</v>
      </c>
    </row>
    <row r="165" spans="1:49">
      <c r="A165" s="1">
        <f>HYPERLINK("https://lsnyc.legalserver.org/matter/dynamic-profile/view/1908195","19-1908195")</f>
        <v>0</v>
      </c>
      <c r="B165" t="s">
        <v>55</v>
      </c>
      <c r="C165" t="s">
        <v>372</v>
      </c>
      <c r="D165" t="s">
        <v>505</v>
      </c>
      <c r="E165" t="s">
        <v>1169</v>
      </c>
      <c r="F165" t="s">
        <v>3579</v>
      </c>
      <c r="G165" t="s">
        <v>6435</v>
      </c>
      <c r="H165">
        <v>21</v>
      </c>
      <c r="I165" t="s">
        <v>11386</v>
      </c>
      <c r="J165">
        <v>10032</v>
      </c>
      <c r="K165" t="s">
        <v>11447</v>
      </c>
      <c r="N165" t="s">
        <v>14779</v>
      </c>
      <c r="O165" t="s">
        <v>14787</v>
      </c>
      <c r="P165" t="s">
        <v>14795</v>
      </c>
      <c r="Q165" t="s">
        <v>11446</v>
      </c>
      <c r="S165" t="s">
        <v>14827</v>
      </c>
      <c r="V165">
        <v>1381.7</v>
      </c>
      <c r="W165" t="s">
        <v>14860</v>
      </c>
      <c r="X165" t="s">
        <v>14866</v>
      </c>
      <c r="Y165" t="s">
        <v>14884</v>
      </c>
      <c r="Z165" t="s">
        <v>15061</v>
      </c>
      <c r="AB165" t="s">
        <v>20231</v>
      </c>
      <c r="AC165">
        <v>0</v>
      </c>
      <c r="AE165" t="s">
        <v>24610</v>
      </c>
      <c r="AF165">
        <v>20</v>
      </c>
      <c r="AG165">
        <v>1</v>
      </c>
      <c r="AH165">
        <v>0</v>
      </c>
      <c r="AI165">
        <v>182.77</v>
      </c>
      <c r="AL165" t="s">
        <v>24632</v>
      </c>
      <c r="AM165">
        <v>22828</v>
      </c>
      <c r="AS165">
        <v>1</v>
      </c>
      <c r="AT165" t="s">
        <v>372</v>
      </c>
      <c r="AU165" t="s">
        <v>25247</v>
      </c>
      <c r="AW165" t="s">
        <v>11447</v>
      </c>
    </row>
    <row r="166" spans="1:49">
      <c r="A166" s="1">
        <f>HYPERLINK("https://lsnyc.legalserver.org/matter/dynamic-profile/view/1911421","19-1911421")</f>
        <v>0</v>
      </c>
      <c r="B166" t="s">
        <v>75</v>
      </c>
      <c r="C166" t="s">
        <v>467</v>
      </c>
      <c r="D166" t="s">
        <v>505</v>
      </c>
      <c r="E166" t="s">
        <v>1170</v>
      </c>
      <c r="F166" t="s">
        <v>3679</v>
      </c>
      <c r="G166" t="s">
        <v>6436</v>
      </c>
      <c r="I166" t="s">
        <v>11385</v>
      </c>
      <c r="J166">
        <v>11206</v>
      </c>
      <c r="K166" t="s">
        <v>11447</v>
      </c>
      <c r="L166" t="s">
        <v>11479</v>
      </c>
      <c r="M166" t="s">
        <v>14751</v>
      </c>
      <c r="O166" t="s">
        <v>14787</v>
      </c>
      <c r="P166" t="s">
        <v>14795</v>
      </c>
      <c r="S166" t="s">
        <v>14827</v>
      </c>
      <c r="V166">
        <v>1000</v>
      </c>
      <c r="W166" t="s">
        <v>14859</v>
      </c>
      <c r="X166" t="s">
        <v>14866</v>
      </c>
      <c r="Y166" t="s">
        <v>14885</v>
      </c>
      <c r="Z166" t="s">
        <v>15062</v>
      </c>
      <c r="AB166" t="s">
        <v>20232</v>
      </c>
      <c r="AC166">
        <v>100</v>
      </c>
      <c r="AF166">
        <v>5</v>
      </c>
      <c r="AG166">
        <v>1</v>
      </c>
      <c r="AH166">
        <v>0</v>
      </c>
      <c r="AI166">
        <v>192.15</v>
      </c>
      <c r="AL166" t="s">
        <v>5011</v>
      </c>
      <c r="AM166">
        <v>24000</v>
      </c>
      <c r="AS166">
        <v>1</v>
      </c>
      <c r="AT166" t="s">
        <v>467</v>
      </c>
      <c r="AU166" t="s">
        <v>25241</v>
      </c>
      <c r="AW166" t="s">
        <v>11447</v>
      </c>
    </row>
    <row r="167" spans="1:49">
      <c r="A167" s="1">
        <f>HYPERLINK("https://lsnyc.legalserver.org/matter/dynamic-profile/view/1901889","19-1901889")</f>
        <v>0</v>
      </c>
      <c r="B167" t="s">
        <v>70</v>
      </c>
      <c r="C167" t="s">
        <v>347</v>
      </c>
      <c r="D167" t="s">
        <v>586</v>
      </c>
      <c r="E167" t="s">
        <v>1171</v>
      </c>
      <c r="F167" t="s">
        <v>3680</v>
      </c>
      <c r="G167" t="s">
        <v>6437</v>
      </c>
      <c r="H167" t="s">
        <v>10464</v>
      </c>
      <c r="I167" t="s">
        <v>11383</v>
      </c>
      <c r="J167">
        <v>10453</v>
      </c>
      <c r="K167" t="s">
        <v>11447</v>
      </c>
      <c r="N167" t="s">
        <v>14778</v>
      </c>
      <c r="O167" t="s">
        <v>14786</v>
      </c>
      <c r="P167" t="s">
        <v>14795</v>
      </c>
      <c r="Q167" t="s">
        <v>11448</v>
      </c>
      <c r="S167" t="s">
        <v>14827</v>
      </c>
      <c r="V167">
        <v>690</v>
      </c>
      <c r="W167" t="s">
        <v>14858</v>
      </c>
      <c r="Y167" t="s">
        <v>14883</v>
      </c>
      <c r="Z167" t="s">
        <v>15063</v>
      </c>
      <c r="AB167" t="s">
        <v>20233</v>
      </c>
      <c r="AC167">
        <v>48</v>
      </c>
      <c r="AF167">
        <v>40</v>
      </c>
      <c r="AG167">
        <v>1</v>
      </c>
      <c r="AH167">
        <v>0</v>
      </c>
      <c r="AI167">
        <v>84.36</v>
      </c>
      <c r="AL167" t="s">
        <v>5011</v>
      </c>
      <c r="AM167">
        <v>10536</v>
      </c>
      <c r="AN167" t="s">
        <v>24679</v>
      </c>
      <c r="AS167">
        <v>2</v>
      </c>
      <c r="AT167" t="s">
        <v>621</v>
      </c>
      <c r="AU167" t="s">
        <v>114</v>
      </c>
      <c r="AW167" t="s">
        <v>11447</v>
      </c>
    </row>
    <row r="168" spans="1:49">
      <c r="A168" s="1">
        <f>HYPERLINK("https://lsnyc.legalserver.org/matter/dynamic-profile/view/1898364","19-1898364")</f>
        <v>0</v>
      </c>
      <c r="B168" t="s">
        <v>97</v>
      </c>
      <c r="C168" t="s">
        <v>360</v>
      </c>
      <c r="D168" t="s">
        <v>473</v>
      </c>
      <c r="E168" t="s">
        <v>1172</v>
      </c>
      <c r="F168" t="s">
        <v>3681</v>
      </c>
      <c r="G168" t="s">
        <v>6438</v>
      </c>
      <c r="H168" t="s">
        <v>10451</v>
      </c>
      <c r="I168" t="s">
        <v>11383</v>
      </c>
      <c r="J168">
        <v>10458</v>
      </c>
      <c r="K168" t="s">
        <v>11446</v>
      </c>
      <c r="L168" t="s">
        <v>11480</v>
      </c>
      <c r="M168" t="s">
        <v>14744</v>
      </c>
      <c r="N168" t="s">
        <v>14778</v>
      </c>
      <c r="O168" t="s">
        <v>14786</v>
      </c>
      <c r="P168" t="s">
        <v>14795</v>
      </c>
      <c r="Q168" t="s">
        <v>11448</v>
      </c>
      <c r="S168" t="s">
        <v>14827</v>
      </c>
      <c r="T168" t="s">
        <v>14832</v>
      </c>
      <c r="V168">
        <v>2225</v>
      </c>
      <c r="W168" t="s">
        <v>14858</v>
      </c>
      <c r="Y168" t="s">
        <v>14883</v>
      </c>
      <c r="Z168" t="s">
        <v>15064</v>
      </c>
      <c r="AB168" t="s">
        <v>20234</v>
      </c>
      <c r="AC168">
        <v>31</v>
      </c>
      <c r="AD168" t="s">
        <v>24597</v>
      </c>
      <c r="AE168" t="s">
        <v>24610</v>
      </c>
      <c r="AF168">
        <v>1</v>
      </c>
      <c r="AG168">
        <v>1</v>
      </c>
      <c r="AH168">
        <v>4</v>
      </c>
      <c r="AI168">
        <v>103.41</v>
      </c>
      <c r="AL168" t="s">
        <v>5011</v>
      </c>
      <c r="AM168">
        <v>31200</v>
      </c>
      <c r="AS168">
        <v>1.1</v>
      </c>
      <c r="AT168" t="s">
        <v>336</v>
      </c>
      <c r="AU168" t="s">
        <v>114</v>
      </c>
      <c r="AV168" t="s">
        <v>25335</v>
      </c>
      <c r="AW168" t="s">
        <v>11446</v>
      </c>
    </row>
    <row r="169" spans="1:49">
      <c r="A169" s="1">
        <f>HYPERLINK("https://lsnyc.legalserver.org/matter/dynamic-profile/view/1909959","19-1909959")</f>
        <v>0</v>
      </c>
      <c r="B169" t="s">
        <v>98</v>
      </c>
      <c r="C169" t="s">
        <v>468</v>
      </c>
      <c r="D169" t="s">
        <v>571</v>
      </c>
      <c r="E169" t="s">
        <v>1173</v>
      </c>
      <c r="F169" t="s">
        <v>3682</v>
      </c>
      <c r="G169" t="s">
        <v>6439</v>
      </c>
      <c r="I169" t="s">
        <v>11385</v>
      </c>
      <c r="J169">
        <v>11212</v>
      </c>
      <c r="K169" t="s">
        <v>11448</v>
      </c>
      <c r="L169" t="s">
        <v>11459</v>
      </c>
      <c r="M169" t="s">
        <v>11601</v>
      </c>
      <c r="O169" t="s">
        <v>14786</v>
      </c>
      <c r="P169" t="s">
        <v>14795</v>
      </c>
      <c r="Q169" t="s">
        <v>11448</v>
      </c>
      <c r="S169" t="s">
        <v>14829</v>
      </c>
      <c r="T169" t="s">
        <v>14832</v>
      </c>
      <c r="V169">
        <v>1048</v>
      </c>
      <c r="W169" t="s">
        <v>14859</v>
      </c>
      <c r="X169" t="s">
        <v>14868</v>
      </c>
      <c r="Y169" t="s">
        <v>14883</v>
      </c>
      <c r="Z169" t="s">
        <v>15065</v>
      </c>
      <c r="AA169" t="s">
        <v>19332</v>
      </c>
      <c r="AB169" t="s">
        <v>20235</v>
      </c>
      <c r="AC169">
        <v>500</v>
      </c>
      <c r="AD169" t="s">
        <v>24596</v>
      </c>
      <c r="AE169" t="s">
        <v>24610</v>
      </c>
      <c r="AF169">
        <v>20</v>
      </c>
      <c r="AG169">
        <v>1</v>
      </c>
      <c r="AH169">
        <v>0</v>
      </c>
      <c r="AI169">
        <v>15.56</v>
      </c>
      <c r="AL169" t="s">
        <v>5011</v>
      </c>
      <c r="AM169">
        <v>1944</v>
      </c>
      <c r="AS169">
        <v>3</v>
      </c>
      <c r="AT169" t="s">
        <v>571</v>
      </c>
      <c r="AU169" t="s">
        <v>25237</v>
      </c>
      <c r="AV169" t="s">
        <v>11459</v>
      </c>
      <c r="AW169" t="s">
        <v>11447</v>
      </c>
    </row>
    <row r="170" spans="1:49">
      <c r="A170" s="1">
        <f>HYPERLINK("https://lsnyc.legalserver.org/matter/dynamic-profile/view/1903260","19-1903260")</f>
        <v>0</v>
      </c>
      <c r="B170" t="s">
        <v>99</v>
      </c>
      <c r="C170" t="s">
        <v>469</v>
      </c>
      <c r="D170" t="s">
        <v>515</v>
      </c>
      <c r="E170" t="s">
        <v>1174</v>
      </c>
      <c r="F170" t="s">
        <v>2635</v>
      </c>
      <c r="G170" t="s">
        <v>6440</v>
      </c>
      <c r="I170" t="s">
        <v>11405</v>
      </c>
      <c r="J170">
        <v>11416</v>
      </c>
      <c r="K170" t="s">
        <v>11447</v>
      </c>
      <c r="L170" t="s">
        <v>11474</v>
      </c>
      <c r="M170" t="s">
        <v>11601</v>
      </c>
      <c r="N170" t="s">
        <v>14778</v>
      </c>
      <c r="O170" t="s">
        <v>14786</v>
      </c>
      <c r="P170" t="s">
        <v>14795</v>
      </c>
      <c r="S170" t="s">
        <v>14827</v>
      </c>
      <c r="V170">
        <v>850</v>
      </c>
      <c r="W170" t="s">
        <v>14861</v>
      </c>
      <c r="X170" t="s">
        <v>14868</v>
      </c>
      <c r="Y170" t="s">
        <v>14892</v>
      </c>
      <c r="Z170" t="s">
        <v>15066</v>
      </c>
      <c r="AB170" t="s">
        <v>20236</v>
      </c>
      <c r="AC170">
        <v>2</v>
      </c>
      <c r="AD170" t="s">
        <v>24600</v>
      </c>
      <c r="AE170" t="s">
        <v>11459</v>
      </c>
      <c r="AF170">
        <v>11</v>
      </c>
      <c r="AG170">
        <v>1</v>
      </c>
      <c r="AH170">
        <v>0</v>
      </c>
      <c r="AI170">
        <v>127.21</v>
      </c>
      <c r="AL170" t="s">
        <v>24632</v>
      </c>
      <c r="AM170">
        <v>15888</v>
      </c>
      <c r="AS170">
        <v>0.75</v>
      </c>
      <c r="AT170" t="s">
        <v>515</v>
      </c>
      <c r="AU170" t="s">
        <v>99</v>
      </c>
      <c r="AV170" t="s">
        <v>25335</v>
      </c>
      <c r="AW170" t="s">
        <v>11447</v>
      </c>
    </row>
    <row r="171" spans="1:49">
      <c r="A171" s="1">
        <f>HYPERLINK("https://lsnyc.legalserver.org/matter/dynamic-profile/view/1912835","19-1912835")</f>
        <v>0</v>
      </c>
      <c r="B171" t="s">
        <v>66</v>
      </c>
      <c r="C171" t="s">
        <v>470</v>
      </c>
      <c r="D171" t="s">
        <v>483</v>
      </c>
      <c r="E171" t="s">
        <v>1071</v>
      </c>
      <c r="F171" t="s">
        <v>3683</v>
      </c>
      <c r="G171" t="s">
        <v>6441</v>
      </c>
      <c r="H171" t="s">
        <v>10486</v>
      </c>
      <c r="I171" t="s">
        <v>11385</v>
      </c>
      <c r="J171">
        <v>11208</v>
      </c>
      <c r="K171" t="s">
        <v>11447</v>
      </c>
      <c r="L171" t="s">
        <v>11481</v>
      </c>
      <c r="O171" t="s">
        <v>14786</v>
      </c>
      <c r="P171" t="s">
        <v>14795</v>
      </c>
      <c r="S171" t="s">
        <v>14827</v>
      </c>
      <c r="V171">
        <v>1800</v>
      </c>
      <c r="W171" t="s">
        <v>14859</v>
      </c>
      <c r="Y171" t="s">
        <v>14883</v>
      </c>
      <c r="Z171" t="s">
        <v>15067</v>
      </c>
      <c r="AB171" t="s">
        <v>20237</v>
      </c>
      <c r="AC171">
        <v>3</v>
      </c>
      <c r="AF171">
        <v>1</v>
      </c>
      <c r="AG171">
        <v>1</v>
      </c>
      <c r="AH171">
        <v>0</v>
      </c>
      <c r="AI171">
        <v>46.63</v>
      </c>
      <c r="AL171" t="s">
        <v>24632</v>
      </c>
      <c r="AM171">
        <v>5824</v>
      </c>
      <c r="AS171">
        <v>0.8</v>
      </c>
      <c r="AT171" t="s">
        <v>470</v>
      </c>
      <c r="AU171" t="s">
        <v>25229</v>
      </c>
      <c r="AW171" t="s">
        <v>11447</v>
      </c>
    </row>
    <row r="172" spans="1:49">
      <c r="A172" s="1">
        <f>HYPERLINK("https://lsnyc.legalserver.org/matter/dynamic-profile/view/1909915","19-1909915")</f>
        <v>0</v>
      </c>
      <c r="B172" t="s">
        <v>76</v>
      </c>
      <c r="C172" t="s">
        <v>468</v>
      </c>
      <c r="D172" t="s">
        <v>484</v>
      </c>
      <c r="E172" t="s">
        <v>1175</v>
      </c>
      <c r="F172" t="s">
        <v>3684</v>
      </c>
      <c r="G172" t="s">
        <v>6442</v>
      </c>
      <c r="H172">
        <v>1</v>
      </c>
      <c r="I172" t="s">
        <v>11385</v>
      </c>
      <c r="J172">
        <v>11221</v>
      </c>
      <c r="K172" t="s">
        <v>11446</v>
      </c>
      <c r="M172" t="s">
        <v>14746</v>
      </c>
      <c r="N172" t="s">
        <v>14779</v>
      </c>
      <c r="O172" t="s">
        <v>14787</v>
      </c>
      <c r="P172" t="s">
        <v>14795</v>
      </c>
      <c r="S172" t="s">
        <v>14828</v>
      </c>
      <c r="U172" t="s">
        <v>486</v>
      </c>
      <c r="V172">
        <v>0</v>
      </c>
      <c r="W172" t="s">
        <v>14859</v>
      </c>
      <c r="Y172" t="s">
        <v>14884</v>
      </c>
      <c r="Z172" t="s">
        <v>15068</v>
      </c>
      <c r="AB172" t="s">
        <v>20238</v>
      </c>
      <c r="AC172">
        <v>0</v>
      </c>
      <c r="AD172" t="s">
        <v>11479</v>
      </c>
      <c r="AE172" t="s">
        <v>11459</v>
      </c>
      <c r="AF172">
        <v>0</v>
      </c>
      <c r="AG172">
        <v>1</v>
      </c>
      <c r="AH172">
        <v>0</v>
      </c>
      <c r="AI172">
        <v>81.67</v>
      </c>
      <c r="AL172" t="s">
        <v>5011</v>
      </c>
      <c r="AM172">
        <v>10200</v>
      </c>
      <c r="AS172">
        <v>2</v>
      </c>
      <c r="AT172" t="s">
        <v>467</v>
      </c>
      <c r="AU172" t="s">
        <v>25231</v>
      </c>
      <c r="AV172" t="s">
        <v>25335</v>
      </c>
      <c r="AW172" t="s">
        <v>11447</v>
      </c>
    </row>
    <row r="173" spans="1:49">
      <c r="A173" s="1">
        <f>HYPERLINK("https://lsnyc.legalserver.org/matter/dynamic-profile/view/1900830","19-1900830")</f>
        <v>0</v>
      </c>
      <c r="B173" t="s">
        <v>90</v>
      </c>
      <c r="C173" t="s">
        <v>351</v>
      </c>
      <c r="D173" t="s">
        <v>1016</v>
      </c>
      <c r="E173" t="s">
        <v>1176</v>
      </c>
      <c r="F173" t="s">
        <v>3685</v>
      </c>
      <c r="G173" t="s">
        <v>6443</v>
      </c>
      <c r="H173" t="s">
        <v>10546</v>
      </c>
      <c r="I173" t="s">
        <v>11383</v>
      </c>
      <c r="J173">
        <v>10460</v>
      </c>
      <c r="K173" t="s">
        <v>11447</v>
      </c>
      <c r="L173" t="s">
        <v>11482</v>
      </c>
      <c r="M173" t="s">
        <v>14744</v>
      </c>
      <c r="O173" t="s">
        <v>14786</v>
      </c>
      <c r="P173" t="s">
        <v>14795</v>
      </c>
      <c r="S173" t="s">
        <v>14827</v>
      </c>
      <c r="V173">
        <v>1967</v>
      </c>
      <c r="W173" t="s">
        <v>14858</v>
      </c>
      <c r="Y173" t="s">
        <v>14883</v>
      </c>
      <c r="Z173" t="s">
        <v>15069</v>
      </c>
      <c r="AB173" t="s">
        <v>20239</v>
      </c>
      <c r="AC173">
        <v>168</v>
      </c>
      <c r="AF173">
        <v>11</v>
      </c>
      <c r="AG173">
        <v>1</v>
      </c>
      <c r="AH173">
        <v>1</v>
      </c>
      <c r="AI173">
        <v>192.19</v>
      </c>
      <c r="AL173" t="s">
        <v>5011</v>
      </c>
      <c r="AM173">
        <v>32500</v>
      </c>
      <c r="AS173">
        <v>0.6</v>
      </c>
      <c r="AT173" t="s">
        <v>1016</v>
      </c>
      <c r="AU173" t="s">
        <v>25238</v>
      </c>
      <c r="AW173" t="s">
        <v>11447</v>
      </c>
    </row>
    <row r="174" spans="1:49">
      <c r="A174" s="1">
        <f>HYPERLINK("https://lsnyc.legalserver.org/matter/dynamic-profile/view/1910025","19-1910025")</f>
        <v>0</v>
      </c>
      <c r="B174" t="s">
        <v>72</v>
      </c>
      <c r="C174" t="s">
        <v>471</v>
      </c>
      <c r="D174" t="s">
        <v>476</v>
      </c>
      <c r="E174" t="s">
        <v>1177</v>
      </c>
      <c r="F174" t="s">
        <v>3686</v>
      </c>
      <c r="G174" t="s">
        <v>6444</v>
      </c>
      <c r="I174" t="s">
        <v>11385</v>
      </c>
      <c r="J174">
        <v>11212</v>
      </c>
      <c r="K174" t="s">
        <v>11447</v>
      </c>
      <c r="L174" t="s">
        <v>11483</v>
      </c>
      <c r="M174" t="s">
        <v>14744</v>
      </c>
      <c r="N174" t="s">
        <v>14778</v>
      </c>
      <c r="O174" t="s">
        <v>14786</v>
      </c>
      <c r="P174" t="s">
        <v>14795</v>
      </c>
      <c r="Q174" t="s">
        <v>11446</v>
      </c>
      <c r="S174" t="s">
        <v>14828</v>
      </c>
      <c r="V174">
        <v>390</v>
      </c>
      <c r="W174" t="s">
        <v>14859</v>
      </c>
      <c r="X174" t="s">
        <v>14755</v>
      </c>
      <c r="Y174" t="s">
        <v>14883</v>
      </c>
      <c r="Z174" t="s">
        <v>15070</v>
      </c>
      <c r="AB174" t="s">
        <v>20240</v>
      </c>
      <c r="AC174">
        <v>60</v>
      </c>
      <c r="AD174" t="s">
        <v>24597</v>
      </c>
      <c r="AF174">
        <v>20</v>
      </c>
      <c r="AG174">
        <v>1</v>
      </c>
      <c r="AH174">
        <v>0</v>
      </c>
      <c r="AI174">
        <v>106.16</v>
      </c>
      <c r="AL174" t="s">
        <v>5011</v>
      </c>
      <c r="AM174">
        <v>13260</v>
      </c>
      <c r="AS174">
        <v>2.26</v>
      </c>
      <c r="AT174" t="s">
        <v>476</v>
      </c>
      <c r="AU174" t="s">
        <v>25247</v>
      </c>
      <c r="AW174" t="s">
        <v>11447</v>
      </c>
    </row>
    <row r="175" spans="1:49">
      <c r="A175" s="1">
        <f>HYPERLINK("https://lsnyc.legalserver.org/matter/dynamic-profile/view/1904157","19-1904157")</f>
        <v>0</v>
      </c>
      <c r="B175" t="s">
        <v>88</v>
      </c>
      <c r="C175" t="s">
        <v>338</v>
      </c>
      <c r="D175" t="s">
        <v>533</v>
      </c>
      <c r="E175" t="s">
        <v>1178</v>
      </c>
      <c r="F175" t="s">
        <v>3687</v>
      </c>
      <c r="G175" t="s">
        <v>6445</v>
      </c>
      <c r="H175">
        <v>58</v>
      </c>
      <c r="I175" t="s">
        <v>11385</v>
      </c>
      <c r="J175">
        <v>11235</v>
      </c>
      <c r="K175" t="s">
        <v>11447</v>
      </c>
      <c r="N175" t="s">
        <v>14778</v>
      </c>
      <c r="O175" t="s">
        <v>14786</v>
      </c>
      <c r="P175" t="s">
        <v>14795</v>
      </c>
      <c r="S175" t="s">
        <v>14827</v>
      </c>
      <c r="V175">
        <v>1074</v>
      </c>
      <c r="W175" t="s">
        <v>14859</v>
      </c>
      <c r="Y175" t="s">
        <v>14883</v>
      </c>
      <c r="Z175" t="s">
        <v>15071</v>
      </c>
      <c r="AB175" t="s">
        <v>20241</v>
      </c>
      <c r="AC175">
        <v>60</v>
      </c>
      <c r="AF175">
        <v>17</v>
      </c>
      <c r="AG175">
        <v>1</v>
      </c>
      <c r="AH175">
        <v>0</v>
      </c>
      <c r="AI175">
        <v>0</v>
      </c>
      <c r="AL175" t="s">
        <v>24636</v>
      </c>
      <c r="AM175">
        <v>0</v>
      </c>
      <c r="AS175">
        <v>1.65</v>
      </c>
      <c r="AT175" t="s">
        <v>533</v>
      </c>
      <c r="AU175" t="s">
        <v>25227</v>
      </c>
      <c r="AW175" t="s">
        <v>11447</v>
      </c>
    </row>
    <row r="176" spans="1:49">
      <c r="A176" s="1">
        <f>HYPERLINK("https://lsnyc.legalserver.org/matter/dynamic-profile/view/1912590","19-1912590")</f>
        <v>0</v>
      </c>
      <c r="B176" t="s">
        <v>76</v>
      </c>
      <c r="C176" t="s">
        <v>472</v>
      </c>
      <c r="D176" t="s">
        <v>533</v>
      </c>
      <c r="E176" t="s">
        <v>1131</v>
      </c>
      <c r="F176" t="s">
        <v>3688</v>
      </c>
      <c r="G176" t="s">
        <v>6446</v>
      </c>
      <c r="I176" t="s">
        <v>11385</v>
      </c>
      <c r="J176">
        <v>11201</v>
      </c>
      <c r="K176" t="s">
        <v>11447</v>
      </c>
      <c r="O176" t="s">
        <v>14786</v>
      </c>
      <c r="P176" t="s">
        <v>14795</v>
      </c>
      <c r="S176" t="s">
        <v>14827</v>
      </c>
      <c r="V176">
        <v>1600</v>
      </c>
      <c r="W176" t="s">
        <v>14859</v>
      </c>
      <c r="Y176" t="s">
        <v>14883</v>
      </c>
      <c r="Z176" t="s">
        <v>15072</v>
      </c>
      <c r="AB176" t="s">
        <v>20242</v>
      </c>
      <c r="AC176">
        <v>120</v>
      </c>
      <c r="AE176" t="s">
        <v>24611</v>
      </c>
      <c r="AF176">
        <v>23</v>
      </c>
      <c r="AG176">
        <v>1</v>
      </c>
      <c r="AH176">
        <v>0</v>
      </c>
      <c r="AI176">
        <v>19.22</v>
      </c>
      <c r="AL176" t="s">
        <v>5011</v>
      </c>
      <c r="AM176">
        <v>2400</v>
      </c>
      <c r="AS176">
        <v>1.5</v>
      </c>
      <c r="AT176" t="s">
        <v>533</v>
      </c>
      <c r="AU176" t="s">
        <v>25227</v>
      </c>
      <c r="AW176" t="s">
        <v>11447</v>
      </c>
    </row>
    <row r="177" spans="1:49">
      <c r="A177" s="1">
        <f>HYPERLINK("https://lsnyc.legalserver.org/matter/dynamic-profile/view/1912359","19-1912359")</f>
        <v>0</v>
      </c>
      <c r="B177" t="s">
        <v>76</v>
      </c>
      <c r="C177" t="s">
        <v>473</v>
      </c>
      <c r="D177" t="s">
        <v>533</v>
      </c>
      <c r="E177" t="s">
        <v>1179</v>
      </c>
      <c r="F177" t="s">
        <v>3689</v>
      </c>
      <c r="G177" t="s">
        <v>6447</v>
      </c>
      <c r="H177" t="s">
        <v>10506</v>
      </c>
      <c r="I177" t="s">
        <v>11385</v>
      </c>
      <c r="J177">
        <v>11210</v>
      </c>
      <c r="K177" t="s">
        <v>11447</v>
      </c>
      <c r="O177" t="s">
        <v>14786</v>
      </c>
      <c r="P177" t="s">
        <v>14795</v>
      </c>
      <c r="Q177" t="s">
        <v>11446</v>
      </c>
      <c r="S177" t="s">
        <v>14827</v>
      </c>
      <c r="V177">
        <v>1800</v>
      </c>
      <c r="W177" t="s">
        <v>14859</v>
      </c>
      <c r="X177" t="s">
        <v>14755</v>
      </c>
      <c r="Y177" t="s">
        <v>14883</v>
      </c>
      <c r="Z177" t="s">
        <v>15073</v>
      </c>
      <c r="AB177" t="s">
        <v>20243</v>
      </c>
      <c r="AC177">
        <v>5</v>
      </c>
      <c r="AF177">
        <v>1</v>
      </c>
      <c r="AG177">
        <v>2</v>
      </c>
      <c r="AH177">
        <v>0</v>
      </c>
      <c r="AI177">
        <v>118.27</v>
      </c>
      <c r="AL177" t="s">
        <v>5011</v>
      </c>
      <c r="AM177">
        <v>20000</v>
      </c>
      <c r="AS177">
        <v>1.4</v>
      </c>
      <c r="AT177" t="s">
        <v>533</v>
      </c>
      <c r="AU177" t="s">
        <v>25247</v>
      </c>
      <c r="AW177" t="s">
        <v>11447</v>
      </c>
    </row>
    <row r="178" spans="1:49">
      <c r="A178" s="1">
        <f>HYPERLINK("https://lsnyc.legalserver.org/matter/dynamic-profile/view/1912331","19-1912331")</f>
        <v>0</v>
      </c>
      <c r="B178" t="s">
        <v>76</v>
      </c>
      <c r="C178" t="s">
        <v>473</v>
      </c>
      <c r="D178" t="s">
        <v>533</v>
      </c>
      <c r="E178" t="s">
        <v>1180</v>
      </c>
      <c r="F178" t="s">
        <v>3690</v>
      </c>
      <c r="G178" t="s">
        <v>6448</v>
      </c>
      <c r="H178" t="s">
        <v>10547</v>
      </c>
      <c r="I178" t="s">
        <v>11385</v>
      </c>
      <c r="J178">
        <v>11226</v>
      </c>
      <c r="K178" t="s">
        <v>11447</v>
      </c>
      <c r="O178" t="s">
        <v>14786</v>
      </c>
      <c r="P178" t="s">
        <v>14795</v>
      </c>
      <c r="S178" t="s">
        <v>14827</v>
      </c>
      <c r="T178" t="s">
        <v>14832</v>
      </c>
      <c r="V178">
        <v>0</v>
      </c>
      <c r="W178" t="s">
        <v>14859</v>
      </c>
      <c r="X178" t="s">
        <v>14866</v>
      </c>
      <c r="Y178" t="s">
        <v>14883</v>
      </c>
      <c r="Z178" t="s">
        <v>15074</v>
      </c>
      <c r="AB178" t="s">
        <v>20244</v>
      </c>
      <c r="AC178">
        <v>52</v>
      </c>
      <c r="AF178">
        <v>19115</v>
      </c>
      <c r="AG178">
        <v>1</v>
      </c>
      <c r="AH178">
        <v>0</v>
      </c>
      <c r="AI178">
        <v>195.04</v>
      </c>
      <c r="AL178" t="s">
        <v>5011</v>
      </c>
      <c r="AM178">
        <v>24360</v>
      </c>
      <c r="AS178">
        <v>1.7</v>
      </c>
      <c r="AT178" t="s">
        <v>533</v>
      </c>
      <c r="AU178" t="s">
        <v>25237</v>
      </c>
      <c r="AW178" t="s">
        <v>11447</v>
      </c>
    </row>
    <row r="179" spans="1:49">
      <c r="A179" s="1">
        <f>HYPERLINK("https://lsnyc.legalserver.org/matter/dynamic-profile/view/1903960","19-1903960")</f>
        <v>0</v>
      </c>
      <c r="B179" t="s">
        <v>63</v>
      </c>
      <c r="C179" t="s">
        <v>474</v>
      </c>
      <c r="D179" t="s">
        <v>539</v>
      </c>
      <c r="E179" t="s">
        <v>1181</v>
      </c>
      <c r="F179" t="s">
        <v>3691</v>
      </c>
      <c r="G179" t="s">
        <v>6449</v>
      </c>
      <c r="H179" t="s">
        <v>10496</v>
      </c>
      <c r="I179" t="s">
        <v>11389</v>
      </c>
      <c r="J179">
        <v>11358</v>
      </c>
      <c r="K179" t="s">
        <v>11447</v>
      </c>
      <c r="L179" t="s">
        <v>11484</v>
      </c>
      <c r="M179" t="s">
        <v>14743</v>
      </c>
      <c r="N179" t="s">
        <v>14778</v>
      </c>
      <c r="O179" t="s">
        <v>14786</v>
      </c>
      <c r="P179" t="s">
        <v>14795</v>
      </c>
      <c r="Q179" t="s">
        <v>11448</v>
      </c>
      <c r="S179" t="s">
        <v>14827</v>
      </c>
      <c r="T179" t="s">
        <v>14832</v>
      </c>
      <c r="V179">
        <v>1900</v>
      </c>
      <c r="W179" t="s">
        <v>14861</v>
      </c>
      <c r="X179" t="s">
        <v>14869</v>
      </c>
      <c r="Y179" t="s">
        <v>14883</v>
      </c>
      <c r="Z179" t="s">
        <v>15075</v>
      </c>
      <c r="AB179" t="s">
        <v>20245</v>
      </c>
      <c r="AC179">
        <v>2</v>
      </c>
      <c r="AD179" t="s">
        <v>24600</v>
      </c>
      <c r="AF179">
        <v>10</v>
      </c>
      <c r="AG179">
        <v>1</v>
      </c>
      <c r="AH179">
        <v>1</v>
      </c>
      <c r="AI179">
        <v>28.39</v>
      </c>
      <c r="AL179" t="s">
        <v>5011</v>
      </c>
      <c r="AM179">
        <v>4800</v>
      </c>
      <c r="AS179">
        <v>2.71</v>
      </c>
      <c r="AT179" t="s">
        <v>539</v>
      </c>
      <c r="AU179" t="s">
        <v>25237</v>
      </c>
      <c r="AW179" t="s">
        <v>11447</v>
      </c>
    </row>
    <row r="180" spans="1:49">
      <c r="A180" s="1">
        <f>HYPERLINK("https://lsnyc.legalserver.org/matter/dynamic-profile/view/1911175","19-1911175")</f>
        <v>0</v>
      </c>
      <c r="B180" t="s">
        <v>76</v>
      </c>
      <c r="C180" t="s">
        <v>475</v>
      </c>
      <c r="D180" t="s">
        <v>506</v>
      </c>
      <c r="E180" t="s">
        <v>1182</v>
      </c>
      <c r="F180" t="s">
        <v>3692</v>
      </c>
      <c r="G180" t="s">
        <v>6450</v>
      </c>
      <c r="H180" t="s">
        <v>10548</v>
      </c>
      <c r="I180" t="s">
        <v>11385</v>
      </c>
      <c r="J180">
        <v>11225</v>
      </c>
      <c r="K180" t="s">
        <v>11446</v>
      </c>
      <c r="M180" t="s">
        <v>14746</v>
      </c>
      <c r="N180" t="s">
        <v>14779</v>
      </c>
      <c r="O180" t="s">
        <v>14787</v>
      </c>
      <c r="P180" t="s">
        <v>14795</v>
      </c>
      <c r="S180" t="s">
        <v>14827</v>
      </c>
      <c r="U180" t="s">
        <v>467</v>
      </c>
      <c r="V180">
        <v>1100</v>
      </c>
      <c r="W180" t="s">
        <v>14859</v>
      </c>
      <c r="X180" t="s">
        <v>14868</v>
      </c>
      <c r="Y180" t="s">
        <v>14883</v>
      </c>
      <c r="Z180" t="s">
        <v>15076</v>
      </c>
      <c r="AB180" t="s">
        <v>20246</v>
      </c>
      <c r="AC180">
        <v>300</v>
      </c>
      <c r="AD180" t="s">
        <v>24601</v>
      </c>
      <c r="AE180" t="s">
        <v>24610</v>
      </c>
      <c r="AF180">
        <v>19</v>
      </c>
      <c r="AG180">
        <v>1</v>
      </c>
      <c r="AH180">
        <v>0</v>
      </c>
      <c r="AI180">
        <v>102.03</v>
      </c>
      <c r="AL180" t="s">
        <v>5011</v>
      </c>
      <c r="AM180">
        <v>12744</v>
      </c>
      <c r="AS180">
        <v>1.7</v>
      </c>
      <c r="AT180" t="s">
        <v>467</v>
      </c>
      <c r="AU180" t="s">
        <v>25244</v>
      </c>
      <c r="AV180" t="s">
        <v>25335</v>
      </c>
      <c r="AW180" t="s">
        <v>11447</v>
      </c>
    </row>
    <row r="181" spans="1:49">
      <c r="A181" s="1">
        <f>HYPERLINK("https://lsnyc.legalserver.org/matter/dynamic-profile/view/1913701","19-1913701")</f>
        <v>0</v>
      </c>
      <c r="B181" t="s">
        <v>75</v>
      </c>
      <c r="C181" t="s">
        <v>476</v>
      </c>
      <c r="D181" t="s">
        <v>478</v>
      </c>
      <c r="E181" t="s">
        <v>1183</v>
      </c>
      <c r="F181" t="s">
        <v>3693</v>
      </c>
      <c r="G181" t="s">
        <v>6451</v>
      </c>
      <c r="H181" t="s">
        <v>10522</v>
      </c>
      <c r="I181" t="s">
        <v>11385</v>
      </c>
      <c r="J181">
        <v>11230</v>
      </c>
      <c r="K181" t="s">
        <v>11447</v>
      </c>
      <c r="L181" t="s">
        <v>11485</v>
      </c>
      <c r="O181" t="s">
        <v>14787</v>
      </c>
      <c r="P181" t="s">
        <v>14795</v>
      </c>
      <c r="S181" t="s">
        <v>14827</v>
      </c>
      <c r="V181">
        <v>1100</v>
      </c>
      <c r="W181" t="s">
        <v>14859</v>
      </c>
      <c r="X181" t="s">
        <v>14866</v>
      </c>
      <c r="Y181" t="s">
        <v>14885</v>
      </c>
      <c r="Z181" t="s">
        <v>15077</v>
      </c>
      <c r="AB181" t="s">
        <v>20247</v>
      </c>
      <c r="AC181">
        <v>16</v>
      </c>
      <c r="AD181" t="s">
        <v>24599</v>
      </c>
      <c r="AF181">
        <v>17</v>
      </c>
      <c r="AG181">
        <v>1</v>
      </c>
      <c r="AH181">
        <v>0</v>
      </c>
      <c r="AI181">
        <v>76.86</v>
      </c>
      <c r="AL181" t="s">
        <v>5011</v>
      </c>
      <c r="AM181">
        <v>9600</v>
      </c>
      <c r="AS181">
        <v>1</v>
      </c>
      <c r="AT181" t="s">
        <v>476</v>
      </c>
      <c r="AU181" t="s">
        <v>25237</v>
      </c>
      <c r="AW181" t="s">
        <v>11447</v>
      </c>
    </row>
    <row r="182" spans="1:49">
      <c r="A182" s="1">
        <f>HYPERLINK("https://lsnyc.legalserver.org/matter/dynamic-profile/view/1913583","19-1913583")</f>
        <v>0</v>
      </c>
      <c r="B182" t="s">
        <v>84</v>
      </c>
      <c r="C182" t="s">
        <v>477</v>
      </c>
      <c r="D182" t="s">
        <v>478</v>
      </c>
      <c r="E182" t="s">
        <v>1184</v>
      </c>
      <c r="F182" t="s">
        <v>1395</v>
      </c>
      <c r="G182" t="s">
        <v>6452</v>
      </c>
      <c r="H182" t="s">
        <v>10549</v>
      </c>
      <c r="I182" t="s">
        <v>11383</v>
      </c>
      <c r="J182">
        <v>10453</v>
      </c>
      <c r="K182" t="s">
        <v>11446</v>
      </c>
      <c r="L182" t="s">
        <v>11486</v>
      </c>
      <c r="M182" t="s">
        <v>14743</v>
      </c>
      <c r="N182" t="s">
        <v>14778</v>
      </c>
      <c r="O182" t="s">
        <v>14786</v>
      </c>
      <c r="P182" t="s">
        <v>14795</v>
      </c>
      <c r="Q182" t="s">
        <v>11448</v>
      </c>
      <c r="R182" t="s">
        <v>14797</v>
      </c>
      <c r="S182" t="s">
        <v>14827</v>
      </c>
      <c r="T182" t="s">
        <v>14832</v>
      </c>
      <c r="V182">
        <v>100</v>
      </c>
      <c r="W182" t="s">
        <v>14858</v>
      </c>
      <c r="Y182" t="s">
        <v>14883</v>
      </c>
      <c r="Z182" t="s">
        <v>15078</v>
      </c>
      <c r="AB182" t="s">
        <v>20248</v>
      </c>
      <c r="AC182">
        <v>360</v>
      </c>
      <c r="AE182" t="s">
        <v>11459</v>
      </c>
      <c r="AF182">
        <v>5</v>
      </c>
      <c r="AG182">
        <v>1</v>
      </c>
      <c r="AH182">
        <v>0</v>
      </c>
      <c r="AI182">
        <v>76.86</v>
      </c>
      <c r="AL182" t="s">
        <v>5011</v>
      </c>
      <c r="AM182">
        <v>9600</v>
      </c>
      <c r="AS182">
        <v>2</v>
      </c>
      <c r="AT182" t="s">
        <v>506</v>
      </c>
      <c r="AU182" t="s">
        <v>25227</v>
      </c>
      <c r="AV182" t="s">
        <v>25335</v>
      </c>
      <c r="AW182" t="s">
        <v>11447</v>
      </c>
    </row>
    <row r="183" spans="1:49">
      <c r="A183" s="1">
        <f>HYPERLINK("https://lsnyc.legalserver.org/matter/dynamic-profile/view/1908152","19-1908152")</f>
        <v>0</v>
      </c>
      <c r="B183" t="s">
        <v>68</v>
      </c>
      <c r="C183" t="s">
        <v>478</v>
      </c>
      <c r="D183" t="s">
        <v>478</v>
      </c>
      <c r="E183" t="s">
        <v>1063</v>
      </c>
      <c r="F183" t="s">
        <v>1636</v>
      </c>
      <c r="G183" t="s">
        <v>6453</v>
      </c>
      <c r="I183" t="s">
        <v>11406</v>
      </c>
      <c r="J183">
        <v>11412</v>
      </c>
      <c r="K183" t="s">
        <v>11447</v>
      </c>
      <c r="N183" t="s">
        <v>14778</v>
      </c>
      <c r="O183" t="s">
        <v>14786</v>
      </c>
      <c r="P183" t="s">
        <v>14795</v>
      </c>
      <c r="S183" t="s">
        <v>14827</v>
      </c>
      <c r="V183">
        <v>0</v>
      </c>
      <c r="W183" t="s">
        <v>14861</v>
      </c>
      <c r="Y183" t="s">
        <v>14883</v>
      </c>
      <c r="Z183" t="s">
        <v>15079</v>
      </c>
      <c r="AB183" t="s">
        <v>20249</v>
      </c>
      <c r="AC183">
        <v>0</v>
      </c>
      <c r="AF183">
        <v>0</v>
      </c>
      <c r="AG183">
        <v>2</v>
      </c>
      <c r="AH183">
        <v>1</v>
      </c>
      <c r="AI183">
        <v>112.52</v>
      </c>
      <c r="AL183" t="s">
        <v>5011</v>
      </c>
      <c r="AM183">
        <v>24000</v>
      </c>
      <c r="AS183">
        <v>1.1</v>
      </c>
      <c r="AT183" t="s">
        <v>478</v>
      </c>
      <c r="AU183" t="s">
        <v>25248</v>
      </c>
      <c r="AW183" t="s">
        <v>11447</v>
      </c>
    </row>
    <row r="184" spans="1:49">
      <c r="A184" s="1">
        <f>HYPERLINK("https://lsnyc.legalserver.org/matter/dynamic-profile/view/1886610","18-1886610")</f>
        <v>0</v>
      </c>
      <c r="B184" t="s">
        <v>100</v>
      </c>
      <c r="C184" t="s">
        <v>479</v>
      </c>
      <c r="D184" t="s">
        <v>478</v>
      </c>
      <c r="E184" t="s">
        <v>1185</v>
      </c>
      <c r="F184" t="s">
        <v>3694</v>
      </c>
      <c r="G184" t="s">
        <v>6454</v>
      </c>
      <c r="H184" t="s">
        <v>10550</v>
      </c>
      <c r="I184" t="s">
        <v>11383</v>
      </c>
      <c r="J184">
        <v>10453</v>
      </c>
      <c r="K184" t="s">
        <v>11447</v>
      </c>
      <c r="L184" t="s">
        <v>11487</v>
      </c>
      <c r="M184" t="s">
        <v>14743</v>
      </c>
      <c r="O184" t="s">
        <v>14786</v>
      </c>
      <c r="P184" t="s">
        <v>14795</v>
      </c>
      <c r="Q184" t="s">
        <v>11448</v>
      </c>
      <c r="S184" t="s">
        <v>14827</v>
      </c>
      <c r="V184">
        <v>960</v>
      </c>
      <c r="W184" t="s">
        <v>14858</v>
      </c>
      <c r="Y184" t="s">
        <v>14883</v>
      </c>
      <c r="Z184" t="s">
        <v>15080</v>
      </c>
      <c r="AB184" t="s">
        <v>20250</v>
      </c>
      <c r="AC184">
        <v>36</v>
      </c>
      <c r="AE184" t="s">
        <v>11459</v>
      </c>
      <c r="AF184">
        <v>16</v>
      </c>
      <c r="AG184">
        <v>1</v>
      </c>
      <c r="AH184">
        <v>0</v>
      </c>
      <c r="AI184">
        <v>158.15</v>
      </c>
      <c r="AL184" t="s">
        <v>24632</v>
      </c>
      <c r="AM184">
        <v>19200</v>
      </c>
      <c r="AN184" t="s">
        <v>24680</v>
      </c>
      <c r="AS184">
        <v>1.03</v>
      </c>
      <c r="AT184" t="s">
        <v>629</v>
      </c>
      <c r="AU184" t="s">
        <v>25236</v>
      </c>
      <c r="AW184" t="s">
        <v>11447</v>
      </c>
    </row>
    <row r="185" spans="1:49">
      <c r="A185" s="1">
        <f>HYPERLINK("https://lsnyc.legalserver.org/matter/dynamic-profile/view/1905247","19-1905247")</f>
        <v>0</v>
      </c>
      <c r="B185" t="s">
        <v>101</v>
      </c>
      <c r="C185" t="s">
        <v>480</v>
      </c>
      <c r="D185" t="s">
        <v>491</v>
      </c>
      <c r="E185" t="s">
        <v>1186</v>
      </c>
      <c r="F185" t="s">
        <v>3695</v>
      </c>
      <c r="G185" t="s">
        <v>6455</v>
      </c>
      <c r="H185">
        <v>31</v>
      </c>
      <c r="I185" t="s">
        <v>11386</v>
      </c>
      <c r="J185">
        <v>10026</v>
      </c>
      <c r="K185" t="s">
        <v>11447</v>
      </c>
      <c r="N185" t="s">
        <v>14779</v>
      </c>
      <c r="O185" t="s">
        <v>14787</v>
      </c>
      <c r="P185" t="s">
        <v>14795</v>
      </c>
      <c r="S185" t="s">
        <v>14829</v>
      </c>
      <c r="V185">
        <v>0</v>
      </c>
      <c r="W185" t="s">
        <v>14858</v>
      </c>
      <c r="Y185" t="s">
        <v>14883</v>
      </c>
      <c r="Z185" t="s">
        <v>15081</v>
      </c>
      <c r="AC185">
        <v>0</v>
      </c>
      <c r="AF185">
        <v>0</v>
      </c>
      <c r="AG185">
        <v>1</v>
      </c>
      <c r="AH185">
        <v>3</v>
      </c>
      <c r="AI185">
        <v>51.26</v>
      </c>
      <c r="AL185" t="s">
        <v>5011</v>
      </c>
      <c r="AM185">
        <v>13200</v>
      </c>
      <c r="AS185">
        <v>1.3</v>
      </c>
      <c r="AT185" t="s">
        <v>491</v>
      </c>
      <c r="AU185" t="s">
        <v>101</v>
      </c>
      <c r="AW185" t="s">
        <v>11447</v>
      </c>
    </row>
    <row r="186" spans="1:49">
      <c r="A186" s="1">
        <f>HYPERLINK("https://lsnyc.legalserver.org/matter/dynamic-profile/view/1886872","19-1886872")</f>
        <v>0</v>
      </c>
      <c r="B186" t="s">
        <v>102</v>
      </c>
      <c r="C186" t="s">
        <v>419</v>
      </c>
      <c r="D186" t="s">
        <v>592</v>
      </c>
      <c r="E186" t="s">
        <v>1187</v>
      </c>
      <c r="F186" t="s">
        <v>3696</v>
      </c>
      <c r="G186" t="s">
        <v>6456</v>
      </c>
      <c r="H186" t="s">
        <v>10497</v>
      </c>
      <c r="I186" t="s">
        <v>11383</v>
      </c>
      <c r="J186">
        <v>10453</v>
      </c>
      <c r="K186" t="s">
        <v>11447</v>
      </c>
      <c r="L186" t="s">
        <v>11488</v>
      </c>
      <c r="M186" t="s">
        <v>14744</v>
      </c>
      <c r="O186" t="s">
        <v>14786</v>
      </c>
      <c r="P186" t="s">
        <v>14795</v>
      </c>
      <c r="S186" t="s">
        <v>14827</v>
      </c>
      <c r="V186">
        <v>1177</v>
      </c>
      <c r="W186" t="s">
        <v>14858</v>
      </c>
      <c r="Y186" t="s">
        <v>14883</v>
      </c>
      <c r="Z186" t="s">
        <v>15082</v>
      </c>
      <c r="AB186" t="s">
        <v>20251</v>
      </c>
      <c r="AC186">
        <v>24</v>
      </c>
      <c r="AF186">
        <v>6</v>
      </c>
      <c r="AG186">
        <v>1</v>
      </c>
      <c r="AH186">
        <v>2</v>
      </c>
      <c r="AI186">
        <v>22.81</v>
      </c>
      <c r="AL186" t="s">
        <v>5011</v>
      </c>
      <c r="AM186">
        <v>4740</v>
      </c>
      <c r="AN186" t="s">
        <v>24681</v>
      </c>
      <c r="AS186">
        <v>1.1</v>
      </c>
      <c r="AT186" t="s">
        <v>592</v>
      </c>
      <c r="AU186" t="s">
        <v>25227</v>
      </c>
      <c r="AW186" t="s">
        <v>11447</v>
      </c>
    </row>
    <row r="187" spans="1:49">
      <c r="A187" s="1">
        <f>HYPERLINK("https://lsnyc.legalserver.org/matter/dynamic-profile/view/1886748","18-1886748")</f>
        <v>0</v>
      </c>
      <c r="B187" t="s">
        <v>102</v>
      </c>
      <c r="C187" t="s">
        <v>481</v>
      </c>
      <c r="D187" t="s">
        <v>592</v>
      </c>
      <c r="E187" t="s">
        <v>1188</v>
      </c>
      <c r="F187" t="s">
        <v>3697</v>
      </c>
      <c r="G187" t="s">
        <v>6457</v>
      </c>
      <c r="H187" t="s">
        <v>10467</v>
      </c>
      <c r="I187" t="s">
        <v>11383</v>
      </c>
      <c r="J187">
        <v>10459</v>
      </c>
      <c r="K187" t="s">
        <v>11447</v>
      </c>
      <c r="L187" t="s">
        <v>11489</v>
      </c>
      <c r="M187" t="s">
        <v>14744</v>
      </c>
      <c r="O187" t="s">
        <v>14786</v>
      </c>
      <c r="P187" t="s">
        <v>14795</v>
      </c>
      <c r="S187" t="s">
        <v>14827</v>
      </c>
      <c r="V187">
        <v>1100</v>
      </c>
      <c r="W187" t="s">
        <v>14858</v>
      </c>
      <c r="X187" t="s">
        <v>14866</v>
      </c>
      <c r="Y187" t="s">
        <v>14883</v>
      </c>
      <c r="Z187" t="s">
        <v>15083</v>
      </c>
      <c r="AB187" t="s">
        <v>20252</v>
      </c>
      <c r="AC187">
        <v>3</v>
      </c>
      <c r="AF187">
        <v>6</v>
      </c>
      <c r="AG187">
        <v>1</v>
      </c>
      <c r="AH187">
        <v>0</v>
      </c>
      <c r="AI187">
        <v>64.25</v>
      </c>
      <c r="AL187" t="s">
        <v>5011</v>
      </c>
      <c r="AM187">
        <v>7800</v>
      </c>
      <c r="AN187" t="s">
        <v>24682</v>
      </c>
      <c r="AS187">
        <v>1.1</v>
      </c>
      <c r="AT187" t="s">
        <v>592</v>
      </c>
      <c r="AU187" t="s">
        <v>25241</v>
      </c>
      <c r="AW187" t="s">
        <v>11447</v>
      </c>
    </row>
    <row r="188" spans="1:49">
      <c r="A188" s="1">
        <f>HYPERLINK("https://lsnyc.legalserver.org/matter/dynamic-profile/view/1886975","19-1886975")</f>
        <v>0</v>
      </c>
      <c r="B188" t="s">
        <v>102</v>
      </c>
      <c r="C188" t="s">
        <v>482</v>
      </c>
      <c r="D188" t="s">
        <v>592</v>
      </c>
      <c r="E188" t="s">
        <v>1189</v>
      </c>
      <c r="F188" t="s">
        <v>3698</v>
      </c>
      <c r="G188" t="s">
        <v>6458</v>
      </c>
      <c r="H188" t="s">
        <v>10467</v>
      </c>
      <c r="I188" t="s">
        <v>11383</v>
      </c>
      <c r="J188">
        <v>10452</v>
      </c>
      <c r="K188" t="s">
        <v>11447</v>
      </c>
      <c r="O188" t="s">
        <v>14786</v>
      </c>
      <c r="P188" t="s">
        <v>14795</v>
      </c>
      <c r="S188" t="s">
        <v>14827</v>
      </c>
      <c r="V188">
        <v>0</v>
      </c>
      <c r="W188" t="s">
        <v>14858</v>
      </c>
      <c r="Y188" t="s">
        <v>14883</v>
      </c>
      <c r="Z188" t="s">
        <v>14947</v>
      </c>
      <c r="AB188" t="s">
        <v>20253</v>
      </c>
      <c r="AC188">
        <v>0</v>
      </c>
      <c r="AF188">
        <v>0</v>
      </c>
      <c r="AG188">
        <v>1</v>
      </c>
      <c r="AH188">
        <v>0</v>
      </c>
      <c r="AI188">
        <v>107.74</v>
      </c>
      <c r="AL188" t="s">
        <v>24632</v>
      </c>
      <c r="AM188">
        <v>13080</v>
      </c>
      <c r="AN188" t="s">
        <v>24681</v>
      </c>
      <c r="AS188">
        <v>0.5</v>
      </c>
      <c r="AT188" t="s">
        <v>592</v>
      </c>
      <c r="AU188" t="s">
        <v>25229</v>
      </c>
      <c r="AW188" t="s">
        <v>11447</v>
      </c>
    </row>
    <row r="189" spans="1:49">
      <c r="A189" s="1">
        <f>HYPERLINK("https://lsnyc.legalserver.org/matter/dynamic-profile/view/1913345","19-1913345")</f>
        <v>0</v>
      </c>
      <c r="B189" t="s">
        <v>76</v>
      </c>
      <c r="C189" t="s">
        <v>483</v>
      </c>
      <c r="D189" t="s">
        <v>537</v>
      </c>
      <c r="E189" t="s">
        <v>1190</v>
      </c>
      <c r="F189" t="s">
        <v>3699</v>
      </c>
      <c r="G189" t="s">
        <v>6459</v>
      </c>
      <c r="H189" t="s">
        <v>10551</v>
      </c>
      <c r="I189" t="s">
        <v>11385</v>
      </c>
      <c r="J189">
        <v>11220</v>
      </c>
      <c r="K189" t="s">
        <v>11447</v>
      </c>
      <c r="N189" t="s">
        <v>14778</v>
      </c>
      <c r="O189" t="s">
        <v>14786</v>
      </c>
      <c r="P189" t="s">
        <v>14795</v>
      </c>
      <c r="S189" t="s">
        <v>14827</v>
      </c>
      <c r="V189">
        <v>1000</v>
      </c>
      <c r="W189" t="s">
        <v>14859</v>
      </c>
      <c r="Y189" t="s">
        <v>14883</v>
      </c>
      <c r="Z189" t="s">
        <v>15084</v>
      </c>
      <c r="AB189" t="s">
        <v>19344</v>
      </c>
      <c r="AC189">
        <v>7</v>
      </c>
      <c r="AF189">
        <v>35</v>
      </c>
      <c r="AG189">
        <v>2</v>
      </c>
      <c r="AH189">
        <v>0</v>
      </c>
      <c r="AI189">
        <v>62.73</v>
      </c>
      <c r="AL189" t="s">
        <v>24632</v>
      </c>
      <c r="AM189">
        <v>10608</v>
      </c>
      <c r="AS189">
        <v>0.7</v>
      </c>
      <c r="AT189" t="s">
        <v>477</v>
      </c>
      <c r="AU189" t="s">
        <v>25238</v>
      </c>
      <c r="AW189" t="s">
        <v>11447</v>
      </c>
    </row>
    <row r="190" spans="1:49">
      <c r="A190" s="1">
        <f>HYPERLINK("https://lsnyc.legalserver.org/matter/dynamic-profile/view/1913496","19-1913496")</f>
        <v>0</v>
      </c>
      <c r="B190" t="s">
        <v>76</v>
      </c>
      <c r="C190" t="s">
        <v>484</v>
      </c>
      <c r="D190" t="s">
        <v>537</v>
      </c>
      <c r="E190" t="s">
        <v>1191</v>
      </c>
      <c r="F190" t="s">
        <v>3561</v>
      </c>
      <c r="G190" t="s">
        <v>6460</v>
      </c>
      <c r="H190" t="s">
        <v>10552</v>
      </c>
      <c r="I190" t="s">
        <v>11385</v>
      </c>
      <c r="J190">
        <v>11206</v>
      </c>
      <c r="K190" t="s">
        <v>11447</v>
      </c>
      <c r="M190" t="s">
        <v>14746</v>
      </c>
      <c r="O190" t="s">
        <v>14786</v>
      </c>
      <c r="P190" t="s">
        <v>14795</v>
      </c>
      <c r="S190" t="s">
        <v>14828</v>
      </c>
      <c r="V190">
        <v>400</v>
      </c>
      <c r="W190" t="s">
        <v>14859</v>
      </c>
      <c r="X190" t="s">
        <v>14755</v>
      </c>
      <c r="Y190" t="s">
        <v>14883</v>
      </c>
      <c r="Z190" t="s">
        <v>15085</v>
      </c>
      <c r="AB190" t="s">
        <v>20254</v>
      </c>
      <c r="AC190">
        <v>20</v>
      </c>
      <c r="AD190" t="s">
        <v>24597</v>
      </c>
      <c r="AE190" t="s">
        <v>14755</v>
      </c>
      <c r="AF190">
        <v>10</v>
      </c>
      <c r="AG190">
        <v>1</v>
      </c>
      <c r="AH190">
        <v>0</v>
      </c>
      <c r="AI190">
        <v>108.57</v>
      </c>
      <c r="AL190" t="s">
        <v>5011</v>
      </c>
      <c r="AM190">
        <v>13560</v>
      </c>
      <c r="AS190">
        <v>1</v>
      </c>
      <c r="AT190" t="s">
        <v>477</v>
      </c>
      <c r="AU190" t="s">
        <v>25244</v>
      </c>
      <c r="AW190" t="s">
        <v>11447</v>
      </c>
    </row>
    <row r="191" spans="1:49">
      <c r="A191" s="1">
        <f>HYPERLINK("https://lsnyc.legalserver.org/matter/dynamic-profile/view/1906441","19-1906441")</f>
        <v>0</v>
      </c>
      <c r="B191" t="s">
        <v>58</v>
      </c>
      <c r="C191" t="s">
        <v>485</v>
      </c>
      <c r="D191" t="s">
        <v>521</v>
      </c>
      <c r="E191" t="s">
        <v>1192</v>
      </c>
      <c r="F191" t="s">
        <v>3700</v>
      </c>
      <c r="G191" t="s">
        <v>6461</v>
      </c>
      <c r="H191" t="s">
        <v>10553</v>
      </c>
      <c r="I191" t="s">
        <v>11405</v>
      </c>
      <c r="J191">
        <v>11417</v>
      </c>
      <c r="K191" t="s">
        <v>11447</v>
      </c>
      <c r="O191" t="s">
        <v>14789</v>
      </c>
      <c r="P191" t="s">
        <v>14795</v>
      </c>
      <c r="S191" t="s">
        <v>14829</v>
      </c>
      <c r="V191">
        <v>0</v>
      </c>
      <c r="W191" t="s">
        <v>14861</v>
      </c>
      <c r="Y191" t="s">
        <v>14885</v>
      </c>
      <c r="Z191" t="s">
        <v>15086</v>
      </c>
      <c r="AB191" t="s">
        <v>20255</v>
      </c>
      <c r="AC191">
        <v>0</v>
      </c>
      <c r="AF191">
        <v>0</v>
      </c>
      <c r="AG191">
        <v>1</v>
      </c>
      <c r="AH191">
        <v>0</v>
      </c>
      <c r="AI191">
        <v>59.28</v>
      </c>
      <c r="AL191" t="s">
        <v>5011</v>
      </c>
      <c r="AM191">
        <v>7404</v>
      </c>
      <c r="AS191">
        <v>1.75</v>
      </c>
      <c r="AT191" t="s">
        <v>488</v>
      </c>
      <c r="AU191" t="s">
        <v>58</v>
      </c>
      <c r="AW191" t="s">
        <v>11447</v>
      </c>
    </row>
    <row r="192" spans="1:49">
      <c r="A192" s="1">
        <f>HYPERLINK("https://lsnyc.legalserver.org/matter/dynamic-profile/view/1911462","19-1911462")</f>
        <v>0</v>
      </c>
      <c r="B192" t="s">
        <v>55</v>
      </c>
      <c r="C192" t="s">
        <v>486</v>
      </c>
      <c r="D192" t="s">
        <v>509</v>
      </c>
      <c r="E192" t="s">
        <v>1193</v>
      </c>
      <c r="F192" t="s">
        <v>3701</v>
      </c>
      <c r="G192" t="s">
        <v>6462</v>
      </c>
      <c r="I192" t="s">
        <v>11386</v>
      </c>
      <c r="J192">
        <v>10029</v>
      </c>
      <c r="K192" t="s">
        <v>11447</v>
      </c>
      <c r="O192" t="s">
        <v>14786</v>
      </c>
      <c r="P192" t="s">
        <v>14795</v>
      </c>
      <c r="S192" t="s">
        <v>14828</v>
      </c>
      <c r="V192">
        <v>148</v>
      </c>
      <c r="W192" t="s">
        <v>14860</v>
      </c>
      <c r="Y192" t="s">
        <v>14890</v>
      </c>
      <c r="Z192" t="s">
        <v>15087</v>
      </c>
      <c r="AB192" t="s">
        <v>20256</v>
      </c>
      <c r="AC192">
        <v>42</v>
      </c>
      <c r="AF192">
        <v>3</v>
      </c>
      <c r="AG192">
        <v>1</v>
      </c>
      <c r="AH192">
        <v>0</v>
      </c>
      <c r="AI192">
        <v>40.03</v>
      </c>
      <c r="AL192" t="s">
        <v>24633</v>
      </c>
      <c r="AM192">
        <v>5000</v>
      </c>
      <c r="AS192">
        <v>1.1</v>
      </c>
      <c r="AT192" t="s">
        <v>521</v>
      </c>
      <c r="AU192" t="s">
        <v>25227</v>
      </c>
      <c r="AW192" t="s">
        <v>11447</v>
      </c>
    </row>
    <row r="193" spans="1:49">
      <c r="A193" s="1">
        <f>HYPERLINK("https://lsnyc.legalserver.org/matter/dynamic-profile/view/1901812","19-1901812")</f>
        <v>0</v>
      </c>
      <c r="B193" t="s">
        <v>72</v>
      </c>
      <c r="C193" t="s">
        <v>487</v>
      </c>
      <c r="D193" t="s">
        <v>495</v>
      </c>
      <c r="E193" t="s">
        <v>1194</v>
      </c>
      <c r="F193" t="s">
        <v>2906</v>
      </c>
      <c r="G193" t="s">
        <v>6463</v>
      </c>
      <c r="H193" t="s">
        <v>10554</v>
      </c>
      <c r="I193" t="s">
        <v>11385</v>
      </c>
      <c r="J193">
        <v>11224</v>
      </c>
      <c r="K193" t="s">
        <v>11447</v>
      </c>
      <c r="N193" t="s">
        <v>14782</v>
      </c>
      <c r="O193" t="s">
        <v>14786</v>
      </c>
      <c r="P193" t="s">
        <v>14795</v>
      </c>
      <c r="S193" t="s">
        <v>14827</v>
      </c>
      <c r="V193">
        <v>2300</v>
      </c>
      <c r="W193" t="s">
        <v>14859</v>
      </c>
      <c r="Y193" t="s">
        <v>14883</v>
      </c>
      <c r="Z193" t="s">
        <v>15088</v>
      </c>
      <c r="AB193" t="s">
        <v>20257</v>
      </c>
      <c r="AC193">
        <v>3</v>
      </c>
      <c r="AF193">
        <v>300</v>
      </c>
      <c r="AG193">
        <v>5</v>
      </c>
      <c r="AH193">
        <v>3</v>
      </c>
      <c r="AI193">
        <v>35.64</v>
      </c>
      <c r="AL193" t="s">
        <v>5011</v>
      </c>
      <c r="AM193">
        <v>15480</v>
      </c>
      <c r="AS193">
        <v>4</v>
      </c>
      <c r="AT193" t="s">
        <v>533</v>
      </c>
      <c r="AU193" t="s">
        <v>25238</v>
      </c>
      <c r="AW193" t="s">
        <v>11447</v>
      </c>
    </row>
    <row r="194" spans="1:49">
      <c r="A194" s="1">
        <f>HYPERLINK("https://lsnyc.legalserver.org/matter/dynamic-profile/view/1894667","19-1894667")</f>
        <v>0</v>
      </c>
      <c r="B194" t="s">
        <v>72</v>
      </c>
      <c r="C194" t="s">
        <v>339</v>
      </c>
      <c r="D194" t="s">
        <v>654</v>
      </c>
      <c r="E194" t="s">
        <v>1114</v>
      </c>
      <c r="F194" t="s">
        <v>3702</v>
      </c>
      <c r="G194" t="s">
        <v>6464</v>
      </c>
      <c r="H194" t="s">
        <v>10448</v>
      </c>
      <c r="I194" t="s">
        <v>11385</v>
      </c>
      <c r="J194">
        <v>11224</v>
      </c>
      <c r="K194" t="s">
        <v>11447</v>
      </c>
      <c r="L194" t="s">
        <v>11490</v>
      </c>
      <c r="M194" t="s">
        <v>14743</v>
      </c>
      <c r="N194" t="s">
        <v>14781</v>
      </c>
      <c r="O194" t="s">
        <v>14788</v>
      </c>
      <c r="P194" t="s">
        <v>14795</v>
      </c>
      <c r="S194" t="s">
        <v>14827</v>
      </c>
      <c r="V194">
        <v>700</v>
      </c>
      <c r="W194" t="s">
        <v>14859</v>
      </c>
      <c r="Y194" t="s">
        <v>14888</v>
      </c>
      <c r="Z194" t="s">
        <v>15089</v>
      </c>
      <c r="AB194" t="s">
        <v>20258</v>
      </c>
      <c r="AC194">
        <v>4</v>
      </c>
      <c r="AD194" t="s">
        <v>11479</v>
      </c>
      <c r="AE194" t="s">
        <v>11459</v>
      </c>
      <c r="AF194">
        <v>19</v>
      </c>
      <c r="AG194">
        <v>1</v>
      </c>
      <c r="AH194">
        <v>0</v>
      </c>
      <c r="AI194">
        <v>135.47</v>
      </c>
      <c r="AL194" t="s">
        <v>5011</v>
      </c>
      <c r="AM194">
        <v>16920</v>
      </c>
      <c r="AS194">
        <v>15.4</v>
      </c>
      <c r="AT194" t="s">
        <v>559</v>
      </c>
      <c r="AU194" t="s">
        <v>25231</v>
      </c>
      <c r="AW194" t="s">
        <v>11447</v>
      </c>
    </row>
    <row r="195" spans="1:49">
      <c r="A195" s="1">
        <f>HYPERLINK("https://lsnyc.legalserver.org/matter/dynamic-profile/view/1909574","19-1909574")</f>
        <v>0</v>
      </c>
      <c r="B195" t="s">
        <v>103</v>
      </c>
      <c r="C195" t="s">
        <v>488</v>
      </c>
      <c r="E195" t="s">
        <v>1195</v>
      </c>
      <c r="F195" t="s">
        <v>3703</v>
      </c>
      <c r="G195" t="s">
        <v>6465</v>
      </c>
      <c r="H195" t="s">
        <v>10506</v>
      </c>
      <c r="I195" t="s">
        <v>11385</v>
      </c>
      <c r="J195">
        <v>11218</v>
      </c>
      <c r="K195" t="s">
        <v>11446</v>
      </c>
      <c r="L195" t="s">
        <v>11491</v>
      </c>
      <c r="M195" t="s">
        <v>14743</v>
      </c>
      <c r="N195" t="s">
        <v>14779</v>
      </c>
      <c r="P195" t="s">
        <v>14795</v>
      </c>
      <c r="S195" t="s">
        <v>14827</v>
      </c>
      <c r="U195" t="s">
        <v>488</v>
      </c>
      <c r="V195">
        <v>0</v>
      </c>
      <c r="W195" t="s">
        <v>14859</v>
      </c>
      <c r="Z195" t="s">
        <v>15090</v>
      </c>
      <c r="AC195">
        <v>0</v>
      </c>
      <c r="AF195">
        <v>0</v>
      </c>
      <c r="AG195">
        <v>5</v>
      </c>
      <c r="AH195">
        <v>0</v>
      </c>
      <c r="AI195">
        <v>145.84</v>
      </c>
      <c r="AL195" t="s">
        <v>24637</v>
      </c>
      <c r="AM195">
        <v>44000</v>
      </c>
      <c r="AS195">
        <v>10.75</v>
      </c>
      <c r="AT195" t="s">
        <v>509</v>
      </c>
      <c r="AU195" t="s">
        <v>103</v>
      </c>
      <c r="AW195" t="s">
        <v>11447</v>
      </c>
    </row>
    <row r="196" spans="1:49">
      <c r="A196" s="1">
        <f>HYPERLINK("https://lsnyc.legalserver.org/matter/dynamic-profile/view/1912487","19-1912487")</f>
        <v>0</v>
      </c>
      <c r="B196" t="s">
        <v>104</v>
      </c>
      <c r="C196" t="s">
        <v>489</v>
      </c>
      <c r="E196" t="s">
        <v>1177</v>
      </c>
      <c r="F196" t="s">
        <v>3695</v>
      </c>
      <c r="G196" t="s">
        <v>6466</v>
      </c>
      <c r="H196" t="s">
        <v>10555</v>
      </c>
      <c r="I196" t="s">
        <v>11386</v>
      </c>
      <c r="J196">
        <v>10037</v>
      </c>
      <c r="K196" t="s">
        <v>11446</v>
      </c>
      <c r="M196" t="s">
        <v>11601</v>
      </c>
      <c r="N196" t="s">
        <v>14782</v>
      </c>
      <c r="P196" t="s">
        <v>14795</v>
      </c>
      <c r="Q196" t="s">
        <v>11446</v>
      </c>
      <c r="S196" t="s">
        <v>14827</v>
      </c>
      <c r="U196" t="s">
        <v>472</v>
      </c>
      <c r="V196">
        <v>2044</v>
      </c>
      <c r="W196" t="s">
        <v>14860</v>
      </c>
      <c r="X196" t="s">
        <v>14876</v>
      </c>
      <c r="Z196" t="s">
        <v>15091</v>
      </c>
      <c r="AB196" t="s">
        <v>20259</v>
      </c>
      <c r="AC196">
        <v>170</v>
      </c>
      <c r="AD196" t="s">
        <v>24595</v>
      </c>
      <c r="AE196" t="s">
        <v>11459</v>
      </c>
      <c r="AF196">
        <v>1</v>
      </c>
      <c r="AG196">
        <v>1</v>
      </c>
      <c r="AH196">
        <v>1</v>
      </c>
      <c r="AI196">
        <v>184.51</v>
      </c>
      <c r="AL196" t="s">
        <v>5011</v>
      </c>
      <c r="AM196">
        <v>31200</v>
      </c>
      <c r="AS196">
        <v>1</v>
      </c>
      <c r="AT196" t="s">
        <v>489</v>
      </c>
      <c r="AU196" t="s">
        <v>25226</v>
      </c>
      <c r="AV196" t="s">
        <v>25335</v>
      </c>
      <c r="AW196" t="s">
        <v>11447</v>
      </c>
    </row>
    <row r="197" spans="1:49">
      <c r="A197" s="1">
        <f>HYPERLINK("https://lsnyc.legalserver.org/matter/dynamic-profile/view/1913989","19-1913989")</f>
        <v>0</v>
      </c>
      <c r="B197" t="s">
        <v>105</v>
      </c>
      <c r="C197" t="s">
        <v>490</v>
      </c>
      <c r="E197" t="s">
        <v>1196</v>
      </c>
      <c r="F197" t="s">
        <v>3704</v>
      </c>
      <c r="G197" t="s">
        <v>6467</v>
      </c>
      <c r="H197" t="s">
        <v>10471</v>
      </c>
      <c r="I197" t="s">
        <v>11386</v>
      </c>
      <c r="J197">
        <v>10034</v>
      </c>
      <c r="K197" t="s">
        <v>11446</v>
      </c>
      <c r="L197" t="s">
        <v>11492</v>
      </c>
      <c r="M197" t="s">
        <v>14744</v>
      </c>
      <c r="N197" t="s">
        <v>14781</v>
      </c>
      <c r="P197" t="s">
        <v>14795</v>
      </c>
      <c r="Q197" t="s">
        <v>11448</v>
      </c>
      <c r="R197" t="s">
        <v>14797</v>
      </c>
      <c r="S197" t="s">
        <v>14827</v>
      </c>
      <c r="T197" t="s">
        <v>14835</v>
      </c>
      <c r="U197" t="s">
        <v>509</v>
      </c>
      <c r="V197">
        <v>1284</v>
      </c>
      <c r="W197" t="s">
        <v>14860</v>
      </c>
      <c r="X197" t="s">
        <v>14868</v>
      </c>
      <c r="Z197" t="s">
        <v>15092</v>
      </c>
      <c r="AB197" t="s">
        <v>20260</v>
      </c>
      <c r="AC197">
        <v>40</v>
      </c>
      <c r="AD197" t="s">
        <v>24603</v>
      </c>
      <c r="AE197" t="s">
        <v>11459</v>
      </c>
      <c r="AF197">
        <v>5</v>
      </c>
      <c r="AG197">
        <v>1</v>
      </c>
      <c r="AH197">
        <v>2</v>
      </c>
      <c r="AI197">
        <v>80.26000000000001</v>
      </c>
      <c r="AL197" t="s">
        <v>24632</v>
      </c>
      <c r="AM197">
        <v>17120</v>
      </c>
      <c r="AS197">
        <v>0.75</v>
      </c>
      <c r="AT197" t="s">
        <v>490</v>
      </c>
      <c r="AU197" t="s">
        <v>25249</v>
      </c>
      <c r="AV197" t="s">
        <v>25335</v>
      </c>
      <c r="AW197" t="s">
        <v>11447</v>
      </c>
    </row>
    <row r="198" spans="1:49">
      <c r="A198" s="1">
        <f>HYPERLINK("https://lsnyc.legalserver.org/matter/dynamic-profile/view/1912818","19-1912818")</f>
        <v>0</v>
      </c>
      <c r="B198" t="s">
        <v>63</v>
      </c>
      <c r="C198" t="s">
        <v>470</v>
      </c>
      <c r="E198" t="s">
        <v>1197</v>
      </c>
      <c r="F198" t="s">
        <v>3705</v>
      </c>
      <c r="G198" t="s">
        <v>6468</v>
      </c>
      <c r="I198" t="s">
        <v>11407</v>
      </c>
      <c r="J198">
        <v>11415</v>
      </c>
      <c r="K198" t="s">
        <v>11447</v>
      </c>
      <c r="M198" t="s">
        <v>11601</v>
      </c>
      <c r="P198" t="s">
        <v>14795</v>
      </c>
      <c r="S198" t="s">
        <v>14827</v>
      </c>
      <c r="V198">
        <v>1450</v>
      </c>
      <c r="W198" t="s">
        <v>14861</v>
      </c>
      <c r="Z198" t="s">
        <v>15093</v>
      </c>
      <c r="AB198" t="s">
        <v>20261</v>
      </c>
      <c r="AC198">
        <v>0</v>
      </c>
      <c r="AD198" t="s">
        <v>11479</v>
      </c>
      <c r="AE198" t="s">
        <v>11459</v>
      </c>
      <c r="AF198">
        <v>7</v>
      </c>
      <c r="AG198">
        <v>1</v>
      </c>
      <c r="AH198">
        <v>0</v>
      </c>
      <c r="AI198">
        <v>0</v>
      </c>
      <c r="AL198" t="s">
        <v>5011</v>
      </c>
      <c r="AM198">
        <v>0</v>
      </c>
      <c r="AS198">
        <v>1.2</v>
      </c>
      <c r="AT198" t="s">
        <v>603</v>
      </c>
      <c r="AU198" t="s">
        <v>25231</v>
      </c>
      <c r="AW198" t="s">
        <v>11447</v>
      </c>
    </row>
    <row r="199" spans="1:49">
      <c r="A199" s="1">
        <f>HYPERLINK("https://lsnyc.legalserver.org/matter/dynamic-profile/view/1914601","19-1914601")</f>
        <v>0</v>
      </c>
      <c r="B199" t="s">
        <v>63</v>
      </c>
      <c r="C199" t="s">
        <v>491</v>
      </c>
      <c r="E199" t="s">
        <v>1198</v>
      </c>
      <c r="F199" t="s">
        <v>3706</v>
      </c>
      <c r="G199" t="s">
        <v>6469</v>
      </c>
      <c r="H199" t="s">
        <v>10556</v>
      </c>
      <c r="I199" t="s">
        <v>11389</v>
      </c>
      <c r="J199">
        <v>11354</v>
      </c>
      <c r="K199" t="s">
        <v>11447</v>
      </c>
      <c r="P199" t="s">
        <v>14795</v>
      </c>
      <c r="S199" t="s">
        <v>14827</v>
      </c>
      <c r="V199">
        <v>1750</v>
      </c>
      <c r="W199" t="s">
        <v>14861</v>
      </c>
      <c r="X199" t="s">
        <v>14755</v>
      </c>
      <c r="Z199" t="s">
        <v>15094</v>
      </c>
      <c r="AB199" t="s">
        <v>20262</v>
      </c>
      <c r="AC199">
        <v>54</v>
      </c>
      <c r="AF199">
        <v>1</v>
      </c>
      <c r="AG199">
        <v>1</v>
      </c>
      <c r="AH199">
        <v>0</v>
      </c>
      <c r="AI199">
        <v>0</v>
      </c>
      <c r="AL199" t="s">
        <v>5011</v>
      </c>
      <c r="AM199">
        <v>0</v>
      </c>
      <c r="AS199">
        <v>0.5</v>
      </c>
      <c r="AT199" t="s">
        <v>491</v>
      </c>
      <c r="AU199" t="s">
        <v>25238</v>
      </c>
      <c r="AW199" t="s">
        <v>11447</v>
      </c>
    </row>
    <row r="200" spans="1:49">
      <c r="A200" s="1">
        <f>HYPERLINK("https://lsnyc.legalserver.org/matter/dynamic-profile/view/1896721","19-1896721")</f>
        <v>0</v>
      </c>
      <c r="B200" t="s">
        <v>106</v>
      </c>
      <c r="C200" t="s">
        <v>492</v>
      </c>
      <c r="E200" t="s">
        <v>1199</v>
      </c>
      <c r="F200" t="s">
        <v>3707</v>
      </c>
      <c r="G200" t="s">
        <v>6470</v>
      </c>
      <c r="H200">
        <v>5</v>
      </c>
      <c r="I200" t="s">
        <v>11385</v>
      </c>
      <c r="J200">
        <v>11237</v>
      </c>
      <c r="K200" t="s">
        <v>11447</v>
      </c>
      <c r="M200" t="s">
        <v>14744</v>
      </c>
      <c r="N200" t="s">
        <v>14778</v>
      </c>
      <c r="P200" t="s">
        <v>14795</v>
      </c>
      <c r="Q200" t="s">
        <v>11448</v>
      </c>
      <c r="S200" t="s">
        <v>14827</v>
      </c>
      <c r="T200" t="s">
        <v>14833</v>
      </c>
      <c r="V200">
        <v>3500</v>
      </c>
      <c r="W200" t="s">
        <v>14859</v>
      </c>
      <c r="X200" t="s">
        <v>14864</v>
      </c>
      <c r="Z200" t="s">
        <v>15095</v>
      </c>
      <c r="AC200">
        <v>5</v>
      </c>
      <c r="AD200" t="s">
        <v>24600</v>
      </c>
      <c r="AF200">
        <v>1</v>
      </c>
      <c r="AG200">
        <v>4</v>
      </c>
      <c r="AH200">
        <v>0</v>
      </c>
      <c r="AI200">
        <v>0</v>
      </c>
      <c r="AL200" t="s">
        <v>5011</v>
      </c>
      <c r="AM200">
        <v>0</v>
      </c>
      <c r="AS200">
        <v>1</v>
      </c>
      <c r="AT200" t="s">
        <v>492</v>
      </c>
      <c r="AU200" t="s">
        <v>106</v>
      </c>
      <c r="AW200" t="s">
        <v>11447</v>
      </c>
    </row>
    <row r="201" spans="1:49">
      <c r="A201" s="1">
        <f>HYPERLINK("https://lsnyc.legalserver.org/matter/dynamic-profile/view/1904583","19-1904583")</f>
        <v>0</v>
      </c>
      <c r="B201" t="s">
        <v>75</v>
      </c>
      <c r="C201" t="s">
        <v>493</v>
      </c>
      <c r="E201" t="s">
        <v>1200</v>
      </c>
      <c r="F201" t="s">
        <v>3708</v>
      </c>
      <c r="G201" t="s">
        <v>6471</v>
      </c>
      <c r="H201">
        <v>1</v>
      </c>
      <c r="I201" t="s">
        <v>11385</v>
      </c>
      <c r="J201">
        <v>11225</v>
      </c>
      <c r="K201" t="s">
        <v>11447</v>
      </c>
      <c r="M201" t="s">
        <v>11601</v>
      </c>
      <c r="P201" t="s">
        <v>14795</v>
      </c>
      <c r="Q201" t="s">
        <v>11448</v>
      </c>
      <c r="S201" t="s">
        <v>14827</v>
      </c>
      <c r="V201">
        <v>812</v>
      </c>
      <c r="W201" t="s">
        <v>14859</v>
      </c>
      <c r="X201" t="s">
        <v>14868</v>
      </c>
      <c r="Z201" t="s">
        <v>15096</v>
      </c>
      <c r="AB201" t="s">
        <v>20263</v>
      </c>
      <c r="AC201">
        <v>6</v>
      </c>
      <c r="AD201" t="s">
        <v>24595</v>
      </c>
      <c r="AE201" t="s">
        <v>11459</v>
      </c>
      <c r="AF201">
        <v>21</v>
      </c>
      <c r="AG201">
        <v>1</v>
      </c>
      <c r="AH201">
        <v>0</v>
      </c>
      <c r="AI201">
        <v>0</v>
      </c>
      <c r="AL201" t="s">
        <v>5011</v>
      </c>
      <c r="AM201">
        <v>0</v>
      </c>
      <c r="AS201">
        <v>1.4</v>
      </c>
      <c r="AT201" t="s">
        <v>593</v>
      </c>
      <c r="AU201" t="s">
        <v>25244</v>
      </c>
      <c r="AW201" t="s">
        <v>11447</v>
      </c>
    </row>
    <row r="202" spans="1:49">
      <c r="A202" s="1">
        <f>HYPERLINK("https://lsnyc.legalserver.org/matter/dynamic-profile/view/0828845","17-0828845")</f>
        <v>0</v>
      </c>
      <c r="B202" t="s">
        <v>107</v>
      </c>
      <c r="C202" t="s">
        <v>494</v>
      </c>
      <c r="E202" t="s">
        <v>1201</v>
      </c>
      <c r="F202" t="s">
        <v>3709</v>
      </c>
      <c r="G202" t="s">
        <v>6472</v>
      </c>
      <c r="H202" t="s">
        <v>10557</v>
      </c>
      <c r="I202" t="s">
        <v>11385</v>
      </c>
      <c r="J202">
        <v>11212</v>
      </c>
      <c r="K202" t="s">
        <v>11446</v>
      </c>
      <c r="M202" t="s">
        <v>14752</v>
      </c>
      <c r="N202" t="s">
        <v>14783</v>
      </c>
      <c r="P202" t="s">
        <v>14795</v>
      </c>
      <c r="S202" t="s">
        <v>14827</v>
      </c>
      <c r="V202">
        <v>160</v>
      </c>
      <c r="W202" t="s">
        <v>14859</v>
      </c>
      <c r="Z202" t="s">
        <v>15097</v>
      </c>
      <c r="AB202" t="s">
        <v>20264</v>
      </c>
      <c r="AC202">
        <v>232</v>
      </c>
      <c r="AD202" t="s">
        <v>24602</v>
      </c>
      <c r="AF202">
        <v>3</v>
      </c>
      <c r="AG202">
        <v>1</v>
      </c>
      <c r="AH202">
        <v>0</v>
      </c>
      <c r="AI202">
        <v>0</v>
      </c>
      <c r="AL202" t="s">
        <v>5011</v>
      </c>
      <c r="AM202">
        <v>0</v>
      </c>
      <c r="AS202">
        <v>7</v>
      </c>
      <c r="AT202" t="s">
        <v>628</v>
      </c>
      <c r="AU202" t="s">
        <v>25250</v>
      </c>
      <c r="AW202" t="s">
        <v>11447</v>
      </c>
    </row>
    <row r="203" spans="1:49">
      <c r="A203" s="1">
        <f>HYPERLINK("https://lsnyc.legalserver.org/matter/dynamic-profile/view/1915365","19-1915365")</f>
        <v>0</v>
      </c>
      <c r="B203" t="s">
        <v>66</v>
      </c>
      <c r="C203" t="s">
        <v>495</v>
      </c>
      <c r="E203" t="s">
        <v>1202</v>
      </c>
      <c r="F203" t="s">
        <v>3710</v>
      </c>
      <c r="G203" t="s">
        <v>6473</v>
      </c>
      <c r="H203">
        <v>511</v>
      </c>
      <c r="I203" t="s">
        <v>11385</v>
      </c>
      <c r="J203">
        <v>11212</v>
      </c>
      <c r="K203" t="s">
        <v>11448</v>
      </c>
      <c r="L203" t="s">
        <v>11493</v>
      </c>
      <c r="P203" t="s">
        <v>14795</v>
      </c>
      <c r="Q203" t="s">
        <v>11448</v>
      </c>
      <c r="S203" t="s">
        <v>14827</v>
      </c>
      <c r="T203" t="s">
        <v>14832</v>
      </c>
      <c r="V203">
        <v>1200</v>
      </c>
      <c r="W203" t="s">
        <v>14859</v>
      </c>
      <c r="X203" t="s">
        <v>14866</v>
      </c>
      <c r="Z203" t="s">
        <v>15098</v>
      </c>
      <c r="AA203" t="s">
        <v>19333</v>
      </c>
      <c r="AB203" t="s">
        <v>20265</v>
      </c>
      <c r="AC203">
        <v>110</v>
      </c>
      <c r="AD203" t="s">
        <v>24596</v>
      </c>
      <c r="AE203" t="s">
        <v>24614</v>
      </c>
      <c r="AF203">
        <v>22</v>
      </c>
      <c r="AG203">
        <v>1</v>
      </c>
      <c r="AH203">
        <v>0</v>
      </c>
      <c r="AI203">
        <v>0</v>
      </c>
      <c r="AL203" t="s">
        <v>5011</v>
      </c>
      <c r="AM203">
        <v>0</v>
      </c>
      <c r="AS203">
        <v>1</v>
      </c>
      <c r="AT203" t="s">
        <v>495</v>
      </c>
      <c r="AU203" t="s">
        <v>25241</v>
      </c>
      <c r="AV203" t="s">
        <v>11459</v>
      </c>
      <c r="AW203" t="s">
        <v>11447</v>
      </c>
    </row>
    <row r="204" spans="1:49">
      <c r="A204" s="1">
        <f>HYPERLINK("https://lsnyc.legalserver.org/matter/dynamic-profile/view/1905646","19-1905646")</f>
        <v>0</v>
      </c>
      <c r="B204" t="s">
        <v>108</v>
      </c>
      <c r="C204" t="s">
        <v>496</v>
      </c>
      <c r="E204" t="s">
        <v>1025</v>
      </c>
      <c r="F204" t="s">
        <v>2111</v>
      </c>
      <c r="G204" t="s">
        <v>6474</v>
      </c>
      <c r="H204" t="s">
        <v>10501</v>
      </c>
      <c r="I204" t="s">
        <v>11385</v>
      </c>
      <c r="J204">
        <v>11210</v>
      </c>
      <c r="K204" t="s">
        <v>11447</v>
      </c>
      <c r="M204" t="s">
        <v>11601</v>
      </c>
      <c r="N204" t="s">
        <v>14778</v>
      </c>
      <c r="P204" t="s">
        <v>14795</v>
      </c>
      <c r="Q204" t="s">
        <v>11446</v>
      </c>
      <c r="S204" t="s">
        <v>14827</v>
      </c>
      <c r="V204">
        <v>0</v>
      </c>
      <c r="W204" t="s">
        <v>14859</v>
      </c>
      <c r="X204" t="s">
        <v>14873</v>
      </c>
      <c r="Z204" t="s">
        <v>15099</v>
      </c>
      <c r="AB204" t="s">
        <v>20266</v>
      </c>
      <c r="AC204">
        <v>36</v>
      </c>
      <c r="AD204" t="s">
        <v>11479</v>
      </c>
      <c r="AE204" t="s">
        <v>11459</v>
      </c>
      <c r="AF204">
        <v>4</v>
      </c>
      <c r="AG204">
        <v>1</v>
      </c>
      <c r="AH204">
        <v>0</v>
      </c>
      <c r="AI204">
        <v>0</v>
      </c>
      <c r="AL204" t="s">
        <v>24632</v>
      </c>
      <c r="AM204">
        <v>0</v>
      </c>
      <c r="AS204">
        <v>10.2</v>
      </c>
      <c r="AT204" t="s">
        <v>491</v>
      </c>
      <c r="AU204" t="s">
        <v>25236</v>
      </c>
      <c r="AW204" t="s">
        <v>11447</v>
      </c>
    </row>
    <row r="205" spans="1:49">
      <c r="A205" s="1">
        <f>HYPERLINK("https://lsnyc.legalserver.org/matter/dynamic-profile/view/1908605","19-1908605")</f>
        <v>0</v>
      </c>
      <c r="B205" t="s">
        <v>75</v>
      </c>
      <c r="C205" t="s">
        <v>497</v>
      </c>
      <c r="E205" t="s">
        <v>1203</v>
      </c>
      <c r="F205" t="s">
        <v>3711</v>
      </c>
      <c r="G205" t="s">
        <v>6475</v>
      </c>
      <c r="H205" t="s">
        <v>10558</v>
      </c>
      <c r="I205" t="s">
        <v>11385</v>
      </c>
      <c r="J205">
        <v>11210</v>
      </c>
      <c r="K205" t="s">
        <v>11447</v>
      </c>
      <c r="P205" t="s">
        <v>14795</v>
      </c>
      <c r="S205" t="s">
        <v>14827</v>
      </c>
      <c r="V205">
        <v>1096</v>
      </c>
      <c r="W205" t="s">
        <v>14859</v>
      </c>
      <c r="Z205" t="s">
        <v>15100</v>
      </c>
      <c r="AB205" t="s">
        <v>20267</v>
      </c>
      <c r="AC205">
        <v>59</v>
      </c>
      <c r="AF205">
        <v>5</v>
      </c>
      <c r="AG205">
        <v>1</v>
      </c>
      <c r="AH205">
        <v>0</v>
      </c>
      <c r="AI205">
        <v>0</v>
      </c>
      <c r="AL205" t="s">
        <v>5011</v>
      </c>
      <c r="AM205">
        <v>0</v>
      </c>
      <c r="AS205">
        <v>0.5</v>
      </c>
      <c r="AT205" t="s">
        <v>497</v>
      </c>
      <c r="AU205" t="s">
        <v>25238</v>
      </c>
      <c r="AW205" t="s">
        <v>11447</v>
      </c>
    </row>
    <row r="206" spans="1:49">
      <c r="A206" s="1">
        <f>HYPERLINK("https://lsnyc.legalserver.org/matter/dynamic-profile/view/1902493","19-1902493")</f>
        <v>0</v>
      </c>
      <c r="B206" t="s">
        <v>75</v>
      </c>
      <c r="C206" t="s">
        <v>498</v>
      </c>
      <c r="E206" t="s">
        <v>1204</v>
      </c>
      <c r="F206" t="s">
        <v>1272</v>
      </c>
      <c r="G206" t="s">
        <v>6476</v>
      </c>
      <c r="H206">
        <v>305</v>
      </c>
      <c r="I206" t="s">
        <v>11385</v>
      </c>
      <c r="J206">
        <v>11206</v>
      </c>
      <c r="K206" t="s">
        <v>11447</v>
      </c>
      <c r="L206" t="s">
        <v>11494</v>
      </c>
      <c r="M206" t="s">
        <v>14743</v>
      </c>
      <c r="P206" t="s">
        <v>14795</v>
      </c>
      <c r="S206" t="s">
        <v>14827</v>
      </c>
      <c r="V206">
        <v>2100</v>
      </c>
      <c r="W206" t="s">
        <v>14859</v>
      </c>
      <c r="X206" t="s">
        <v>14755</v>
      </c>
      <c r="Z206" t="s">
        <v>15101</v>
      </c>
      <c r="AB206" t="s">
        <v>20268</v>
      </c>
      <c r="AC206">
        <v>50</v>
      </c>
      <c r="AD206" t="s">
        <v>11479</v>
      </c>
      <c r="AF206">
        <v>5</v>
      </c>
      <c r="AG206">
        <v>1</v>
      </c>
      <c r="AH206">
        <v>0</v>
      </c>
      <c r="AI206">
        <v>0</v>
      </c>
      <c r="AL206" t="s">
        <v>5011</v>
      </c>
      <c r="AM206">
        <v>0</v>
      </c>
      <c r="AS206">
        <v>2.14</v>
      </c>
      <c r="AT206" t="s">
        <v>580</v>
      </c>
      <c r="AU206" t="s">
        <v>25229</v>
      </c>
      <c r="AW206" t="s">
        <v>11447</v>
      </c>
    </row>
    <row r="207" spans="1:49">
      <c r="A207" s="1">
        <f>HYPERLINK("https://lsnyc.legalserver.org/matter/dynamic-profile/view/1894674","19-1894674")</f>
        <v>0</v>
      </c>
      <c r="B207" t="s">
        <v>109</v>
      </c>
      <c r="C207" t="s">
        <v>339</v>
      </c>
      <c r="E207" t="s">
        <v>1205</v>
      </c>
      <c r="F207" t="s">
        <v>3712</v>
      </c>
      <c r="G207" t="s">
        <v>6477</v>
      </c>
      <c r="H207" t="s">
        <v>10465</v>
      </c>
      <c r="I207" t="s">
        <v>11385</v>
      </c>
      <c r="J207">
        <v>11206</v>
      </c>
      <c r="K207" t="s">
        <v>11447</v>
      </c>
      <c r="M207" t="s">
        <v>11601</v>
      </c>
      <c r="N207" t="s">
        <v>14778</v>
      </c>
      <c r="P207" t="s">
        <v>14795</v>
      </c>
      <c r="Q207" t="s">
        <v>11448</v>
      </c>
      <c r="S207" t="s">
        <v>14827</v>
      </c>
      <c r="V207">
        <v>0</v>
      </c>
      <c r="W207" t="s">
        <v>14859</v>
      </c>
      <c r="X207" t="s">
        <v>14868</v>
      </c>
      <c r="Z207" t="s">
        <v>15102</v>
      </c>
      <c r="AB207" t="s">
        <v>20269</v>
      </c>
      <c r="AC207">
        <v>0</v>
      </c>
      <c r="AD207" t="s">
        <v>11479</v>
      </c>
      <c r="AE207" t="s">
        <v>11459</v>
      </c>
      <c r="AF207">
        <v>1</v>
      </c>
      <c r="AG207">
        <v>1</v>
      </c>
      <c r="AH207">
        <v>0</v>
      </c>
      <c r="AI207">
        <v>0</v>
      </c>
      <c r="AL207" t="s">
        <v>5011</v>
      </c>
      <c r="AM207">
        <v>0</v>
      </c>
      <c r="AS207">
        <v>2.2</v>
      </c>
      <c r="AT207" t="s">
        <v>500</v>
      </c>
      <c r="AU207" t="s">
        <v>25240</v>
      </c>
      <c r="AW207" t="s">
        <v>11447</v>
      </c>
    </row>
    <row r="208" spans="1:49">
      <c r="A208" s="1">
        <f>HYPERLINK("https://lsnyc.legalserver.org/matter/dynamic-profile/view/1889946","19-1889946")</f>
        <v>0</v>
      </c>
      <c r="B208" t="s">
        <v>110</v>
      </c>
      <c r="C208" t="s">
        <v>499</v>
      </c>
      <c r="E208" t="s">
        <v>1206</v>
      </c>
      <c r="F208" t="s">
        <v>3713</v>
      </c>
      <c r="G208" t="s">
        <v>6478</v>
      </c>
      <c r="H208">
        <v>1114</v>
      </c>
      <c r="I208" t="s">
        <v>11408</v>
      </c>
      <c r="J208">
        <v>11101</v>
      </c>
      <c r="K208" t="s">
        <v>11447</v>
      </c>
      <c r="L208" t="s">
        <v>11495</v>
      </c>
      <c r="M208" t="s">
        <v>14744</v>
      </c>
      <c r="P208" t="s">
        <v>14795</v>
      </c>
      <c r="Q208" t="s">
        <v>11448</v>
      </c>
      <c r="S208" t="s">
        <v>14827</v>
      </c>
      <c r="V208">
        <v>2200</v>
      </c>
      <c r="W208" t="s">
        <v>14861</v>
      </c>
      <c r="X208" t="s">
        <v>14755</v>
      </c>
      <c r="Z208" t="s">
        <v>15103</v>
      </c>
      <c r="AB208" t="s">
        <v>20270</v>
      </c>
      <c r="AC208">
        <v>260</v>
      </c>
      <c r="AD208" t="s">
        <v>24595</v>
      </c>
      <c r="AE208" t="s">
        <v>11459</v>
      </c>
      <c r="AF208">
        <v>3</v>
      </c>
      <c r="AG208">
        <v>1</v>
      </c>
      <c r="AH208">
        <v>0</v>
      </c>
      <c r="AI208">
        <v>0</v>
      </c>
      <c r="AL208" t="s">
        <v>5011</v>
      </c>
      <c r="AM208">
        <v>0</v>
      </c>
      <c r="AS208">
        <v>0.7</v>
      </c>
      <c r="AT208" t="s">
        <v>676</v>
      </c>
      <c r="AU208" t="s">
        <v>25244</v>
      </c>
      <c r="AW208" t="s">
        <v>11447</v>
      </c>
    </row>
    <row r="209" spans="1:49">
      <c r="A209" s="1">
        <f>HYPERLINK("https://lsnyc.legalserver.org/matter/dynamic-profile/view/1907101","19-1907101")</f>
        <v>0</v>
      </c>
      <c r="B209" t="s">
        <v>67</v>
      </c>
      <c r="C209" t="s">
        <v>480</v>
      </c>
      <c r="E209" t="s">
        <v>1025</v>
      </c>
      <c r="F209" t="s">
        <v>3714</v>
      </c>
      <c r="G209" t="s">
        <v>6479</v>
      </c>
      <c r="H209" t="s">
        <v>10559</v>
      </c>
      <c r="I209" t="s">
        <v>11383</v>
      </c>
      <c r="J209">
        <v>10474</v>
      </c>
      <c r="K209" t="s">
        <v>11446</v>
      </c>
      <c r="L209" t="s">
        <v>11496</v>
      </c>
      <c r="M209" t="s">
        <v>14746</v>
      </c>
      <c r="N209" t="s">
        <v>14781</v>
      </c>
      <c r="P209" t="s">
        <v>14795</v>
      </c>
      <c r="Q209" t="s">
        <v>11446</v>
      </c>
      <c r="S209" t="s">
        <v>14827</v>
      </c>
      <c r="V209">
        <v>1475</v>
      </c>
      <c r="W209" t="s">
        <v>14858</v>
      </c>
      <c r="X209" t="s">
        <v>14864</v>
      </c>
      <c r="Z209" t="s">
        <v>15104</v>
      </c>
      <c r="AB209" t="s">
        <v>20271</v>
      </c>
      <c r="AC209">
        <v>45</v>
      </c>
      <c r="AD209" t="s">
        <v>24595</v>
      </c>
      <c r="AE209" t="s">
        <v>24616</v>
      </c>
      <c r="AF209">
        <v>9</v>
      </c>
      <c r="AG209">
        <v>2</v>
      </c>
      <c r="AH209">
        <v>3</v>
      </c>
      <c r="AI209">
        <v>0</v>
      </c>
      <c r="AL209" t="s">
        <v>24632</v>
      </c>
      <c r="AM209">
        <v>0</v>
      </c>
      <c r="AS209">
        <v>0</v>
      </c>
      <c r="AU209" t="s">
        <v>237</v>
      </c>
      <c r="AV209" t="s">
        <v>25335</v>
      </c>
      <c r="AW209" t="s">
        <v>11447</v>
      </c>
    </row>
    <row r="210" spans="1:49">
      <c r="A210" s="1">
        <f>HYPERLINK("https://lsnyc.legalserver.org/matter/dynamic-profile/view/1905881","19-1905881")</f>
        <v>0</v>
      </c>
      <c r="B210" t="s">
        <v>111</v>
      </c>
      <c r="C210" t="s">
        <v>500</v>
      </c>
      <c r="E210" t="s">
        <v>1207</v>
      </c>
      <c r="F210" t="s">
        <v>2587</v>
      </c>
      <c r="G210" t="s">
        <v>6480</v>
      </c>
      <c r="H210">
        <v>227</v>
      </c>
      <c r="I210" t="s">
        <v>11383</v>
      </c>
      <c r="J210">
        <v>10462</v>
      </c>
      <c r="K210" t="s">
        <v>11448</v>
      </c>
      <c r="P210" t="s">
        <v>14795</v>
      </c>
      <c r="S210" t="s">
        <v>14827</v>
      </c>
      <c r="V210">
        <v>0</v>
      </c>
      <c r="W210" t="s">
        <v>14858</v>
      </c>
      <c r="AC210">
        <v>0</v>
      </c>
      <c r="AF210">
        <v>0</v>
      </c>
      <c r="AG210">
        <v>1</v>
      </c>
      <c r="AH210">
        <v>0</v>
      </c>
      <c r="AI210">
        <v>0</v>
      </c>
      <c r="AM210">
        <v>0</v>
      </c>
      <c r="AS210">
        <v>12.05</v>
      </c>
      <c r="AT210" t="s">
        <v>484</v>
      </c>
      <c r="AU210" t="s">
        <v>25242</v>
      </c>
      <c r="AV210" t="s">
        <v>11459</v>
      </c>
      <c r="AW210" t="s">
        <v>11447</v>
      </c>
    </row>
    <row r="211" spans="1:49">
      <c r="A211" s="1">
        <f>HYPERLINK("https://lsnyc.legalserver.org/matter/dynamic-profile/view/1913723","19-1913723")</f>
        <v>0</v>
      </c>
      <c r="B211" t="s">
        <v>112</v>
      </c>
      <c r="C211" t="s">
        <v>476</v>
      </c>
      <c r="E211" t="s">
        <v>1181</v>
      </c>
      <c r="F211" t="s">
        <v>3682</v>
      </c>
      <c r="G211" t="s">
        <v>6481</v>
      </c>
      <c r="H211">
        <v>518</v>
      </c>
      <c r="I211" t="s">
        <v>11383</v>
      </c>
      <c r="J211">
        <v>10460</v>
      </c>
      <c r="K211" t="s">
        <v>11447</v>
      </c>
      <c r="L211" t="s">
        <v>11497</v>
      </c>
      <c r="M211" t="s">
        <v>14743</v>
      </c>
      <c r="N211" t="s">
        <v>14781</v>
      </c>
      <c r="P211" t="s">
        <v>14795</v>
      </c>
      <c r="S211" t="s">
        <v>14827</v>
      </c>
      <c r="V211">
        <v>1560</v>
      </c>
      <c r="W211" t="s">
        <v>14858</v>
      </c>
      <c r="X211" t="s">
        <v>14863</v>
      </c>
      <c r="Z211" t="s">
        <v>15105</v>
      </c>
      <c r="AB211" t="s">
        <v>20272</v>
      </c>
      <c r="AC211">
        <v>0</v>
      </c>
      <c r="AF211">
        <v>2</v>
      </c>
      <c r="AG211">
        <v>2</v>
      </c>
      <c r="AH211">
        <v>0</v>
      </c>
      <c r="AI211">
        <v>0</v>
      </c>
      <c r="AL211" t="s">
        <v>5011</v>
      </c>
      <c r="AM211">
        <v>0</v>
      </c>
      <c r="AS211">
        <v>6.7</v>
      </c>
      <c r="AT211" t="s">
        <v>592</v>
      </c>
      <c r="AU211" t="s">
        <v>25251</v>
      </c>
      <c r="AW211" t="s">
        <v>11447</v>
      </c>
    </row>
    <row r="212" spans="1:49">
      <c r="A212" s="1">
        <f>HYPERLINK("https://lsnyc.legalserver.org/matter/dynamic-profile/view/1888748","19-1888748")</f>
        <v>0</v>
      </c>
      <c r="B212" t="s">
        <v>113</v>
      </c>
      <c r="C212" t="s">
        <v>501</v>
      </c>
      <c r="E212" t="s">
        <v>1208</v>
      </c>
      <c r="F212" t="s">
        <v>1911</v>
      </c>
      <c r="G212" t="s">
        <v>6482</v>
      </c>
      <c r="H212">
        <v>54</v>
      </c>
      <c r="I212" t="s">
        <v>11383</v>
      </c>
      <c r="J212">
        <v>10459</v>
      </c>
      <c r="K212" t="s">
        <v>11447</v>
      </c>
      <c r="L212" t="s">
        <v>11498</v>
      </c>
      <c r="M212" t="s">
        <v>14744</v>
      </c>
      <c r="N212" t="s">
        <v>14778</v>
      </c>
      <c r="P212" t="s">
        <v>14795</v>
      </c>
      <c r="Q212" t="s">
        <v>11448</v>
      </c>
      <c r="S212" t="s">
        <v>14827</v>
      </c>
      <c r="V212">
        <v>700</v>
      </c>
      <c r="W212" t="s">
        <v>14858</v>
      </c>
      <c r="Z212" t="s">
        <v>15106</v>
      </c>
      <c r="AC212">
        <v>20</v>
      </c>
      <c r="AD212" t="s">
        <v>24599</v>
      </c>
      <c r="AE212" t="s">
        <v>11459</v>
      </c>
      <c r="AF212">
        <v>2</v>
      </c>
      <c r="AG212">
        <v>1</v>
      </c>
      <c r="AH212">
        <v>0</v>
      </c>
      <c r="AI212">
        <v>0</v>
      </c>
      <c r="AL212" t="s">
        <v>5011</v>
      </c>
      <c r="AM212">
        <v>0</v>
      </c>
      <c r="AN212" t="s">
        <v>24683</v>
      </c>
      <c r="AS212">
        <v>0.7</v>
      </c>
      <c r="AT212" t="s">
        <v>25127</v>
      </c>
      <c r="AU212" t="s">
        <v>25236</v>
      </c>
      <c r="AW212" t="s">
        <v>11447</v>
      </c>
    </row>
    <row r="213" spans="1:49">
      <c r="A213" s="1">
        <f>HYPERLINK("https://lsnyc.legalserver.org/matter/dynamic-profile/view/1899628","19-1899628")</f>
        <v>0</v>
      </c>
      <c r="B213" t="s">
        <v>113</v>
      </c>
      <c r="C213" t="s">
        <v>369</v>
      </c>
      <c r="E213" t="s">
        <v>1209</v>
      </c>
      <c r="F213" t="s">
        <v>3577</v>
      </c>
      <c r="G213" t="s">
        <v>6483</v>
      </c>
      <c r="H213" t="s">
        <v>10560</v>
      </c>
      <c r="I213" t="s">
        <v>11383</v>
      </c>
      <c r="J213">
        <v>10456</v>
      </c>
      <c r="K213" t="s">
        <v>11448</v>
      </c>
      <c r="N213" t="s">
        <v>14778</v>
      </c>
      <c r="P213" t="s">
        <v>14795</v>
      </c>
      <c r="Q213" t="s">
        <v>11448</v>
      </c>
      <c r="S213" t="s">
        <v>14827</v>
      </c>
      <c r="V213">
        <v>695</v>
      </c>
      <c r="W213" t="s">
        <v>14858</v>
      </c>
      <c r="X213" t="s">
        <v>14864</v>
      </c>
      <c r="Z213" t="s">
        <v>15107</v>
      </c>
      <c r="AB213" t="s">
        <v>20273</v>
      </c>
      <c r="AC213">
        <v>44</v>
      </c>
      <c r="AD213" t="s">
        <v>11479</v>
      </c>
      <c r="AE213" t="s">
        <v>11459</v>
      </c>
      <c r="AF213">
        <v>37</v>
      </c>
      <c r="AG213">
        <v>1</v>
      </c>
      <c r="AH213">
        <v>0</v>
      </c>
      <c r="AI213">
        <v>0</v>
      </c>
      <c r="AL213" t="s">
        <v>24632</v>
      </c>
      <c r="AM213">
        <v>0</v>
      </c>
      <c r="AN213" t="s">
        <v>24684</v>
      </c>
      <c r="AS213">
        <v>0</v>
      </c>
      <c r="AU213" t="s">
        <v>25242</v>
      </c>
      <c r="AV213" t="s">
        <v>11459</v>
      </c>
      <c r="AW213" t="s">
        <v>11447</v>
      </c>
    </row>
    <row r="214" spans="1:49">
      <c r="A214" s="1">
        <f>HYPERLINK("https://lsnyc.legalserver.org/matter/dynamic-profile/view/1897254","19-1897254")</f>
        <v>0</v>
      </c>
      <c r="B214" t="s">
        <v>114</v>
      </c>
      <c r="C214" t="s">
        <v>502</v>
      </c>
      <c r="E214" t="s">
        <v>1210</v>
      </c>
      <c r="F214" t="s">
        <v>1635</v>
      </c>
      <c r="G214" t="s">
        <v>6484</v>
      </c>
      <c r="H214" t="s">
        <v>10489</v>
      </c>
      <c r="I214" t="s">
        <v>11383</v>
      </c>
      <c r="J214">
        <v>10454</v>
      </c>
      <c r="K214" t="s">
        <v>11446</v>
      </c>
      <c r="L214" t="s">
        <v>11499</v>
      </c>
      <c r="N214" t="s">
        <v>14778</v>
      </c>
      <c r="P214" t="s">
        <v>14795</v>
      </c>
      <c r="S214" t="s">
        <v>14827</v>
      </c>
      <c r="V214">
        <v>236</v>
      </c>
      <c r="W214" t="s">
        <v>14858</v>
      </c>
      <c r="X214" t="s">
        <v>14863</v>
      </c>
      <c r="Z214" t="s">
        <v>15049</v>
      </c>
      <c r="AB214" t="s">
        <v>20274</v>
      </c>
      <c r="AC214">
        <v>0</v>
      </c>
      <c r="AD214" t="s">
        <v>24597</v>
      </c>
      <c r="AF214">
        <v>6</v>
      </c>
      <c r="AG214">
        <v>1</v>
      </c>
      <c r="AH214">
        <v>0</v>
      </c>
      <c r="AI214">
        <v>0</v>
      </c>
      <c r="AL214" t="s">
        <v>5011</v>
      </c>
      <c r="AM214">
        <v>0</v>
      </c>
      <c r="AN214" t="s">
        <v>24685</v>
      </c>
      <c r="AS214">
        <v>0.7</v>
      </c>
      <c r="AT214" t="s">
        <v>680</v>
      </c>
      <c r="AU214" t="s">
        <v>25239</v>
      </c>
      <c r="AW214" t="s">
        <v>11448</v>
      </c>
    </row>
    <row r="215" spans="1:49">
      <c r="A215" s="1">
        <f>HYPERLINK("https://lsnyc.legalserver.org/matter/dynamic-profile/view/1902943","19-1902943")</f>
        <v>0</v>
      </c>
      <c r="B215" t="s">
        <v>82</v>
      </c>
      <c r="C215" t="s">
        <v>343</v>
      </c>
      <c r="E215" t="s">
        <v>1211</v>
      </c>
      <c r="F215" t="s">
        <v>2330</v>
      </c>
      <c r="G215" t="s">
        <v>6485</v>
      </c>
      <c r="H215" t="s">
        <v>10561</v>
      </c>
      <c r="I215" t="s">
        <v>11383</v>
      </c>
      <c r="J215">
        <v>10453</v>
      </c>
      <c r="K215" t="s">
        <v>11446</v>
      </c>
      <c r="L215" t="s">
        <v>11500</v>
      </c>
      <c r="M215" t="s">
        <v>14743</v>
      </c>
      <c r="N215" t="s">
        <v>14778</v>
      </c>
      <c r="P215" t="s">
        <v>14795</v>
      </c>
      <c r="Q215" t="s">
        <v>11448</v>
      </c>
      <c r="S215" t="s">
        <v>14827</v>
      </c>
      <c r="V215">
        <v>1701</v>
      </c>
      <c r="W215" t="s">
        <v>14858</v>
      </c>
      <c r="X215" t="s">
        <v>14865</v>
      </c>
      <c r="Z215" t="s">
        <v>15108</v>
      </c>
      <c r="AA215" t="s">
        <v>19334</v>
      </c>
      <c r="AB215" t="s">
        <v>20275</v>
      </c>
      <c r="AC215">
        <v>33</v>
      </c>
      <c r="AD215" t="s">
        <v>11479</v>
      </c>
      <c r="AE215" t="s">
        <v>11459</v>
      </c>
      <c r="AF215">
        <v>16</v>
      </c>
      <c r="AG215">
        <v>2</v>
      </c>
      <c r="AH215">
        <v>0</v>
      </c>
      <c r="AI215">
        <v>0</v>
      </c>
      <c r="AL215" t="s">
        <v>24632</v>
      </c>
      <c r="AM215">
        <v>0</v>
      </c>
      <c r="AN215" t="s">
        <v>24686</v>
      </c>
      <c r="AS215">
        <v>0.2</v>
      </c>
      <c r="AT215" t="s">
        <v>343</v>
      </c>
      <c r="AU215" t="s">
        <v>25252</v>
      </c>
      <c r="AV215" t="s">
        <v>25334</v>
      </c>
      <c r="AW215" t="s">
        <v>11447</v>
      </c>
    </row>
    <row r="216" spans="1:49">
      <c r="A216" s="1">
        <f>HYPERLINK("https://lsnyc.legalserver.org/matter/dynamic-profile/view/1886879","19-1886879")</f>
        <v>0</v>
      </c>
      <c r="B216" t="s">
        <v>102</v>
      </c>
      <c r="C216" t="s">
        <v>419</v>
      </c>
      <c r="E216" t="s">
        <v>1212</v>
      </c>
      <c r="F216" t="s">
        <v>3715</v>
      </c>
      <c r="G216" t="s">
        <v>6486</v>
      </c>
      <c r="H216">
        <v>414</v>
      </c>
      <c r="I216" t="s">
        <v>11383</v>
      </c>
      <c r="J216">
        <v>10453</v>
      </c>
      <c r="K216" t="s">
        <v>11447</v>
      </c>
      <c r="L216" t="s">
        <v>11501</v>
      </c>
      <c r="M216" t="s">
        <v>14744</v>
      </c>
      <c r="P216" t="s">
        <v>14795</v>
      </c>
      <c r="S216" t="s">
        <v>14827</v>
      </c>
      <c r="V216">
        <v>860</v>
      </c>
      <c r="W216" t="s">
        <v>14858</v>
      </c>
      <c r="Z216" t="s">
        <v>15109</v>
      </c>
      <c r="AB216" t="s">
        <v>20276</v>
      </c>
      <c r="AC216">
        <v>135</v>
      </c>
      <c r="AF216">
        <v>25</v>
      </c>
      <c r="AG216">
        <v>1</v>
      </c>
      <c r="AH216">
        <v>0</v>
      </c>
      <c r="AI216">
        <v>0</v>
      </c>
      <c r="AL216" t="s">
        <v>5011</v>
      </c>
      <c r="AM216">
        <v>0</v>
      </c>
      <c r="AN216" t="s">
        <v>24681</v>
      </c>
      <c r="AS216">
        <v>1</v>
      </c>
      <c r="AT216" t="s">
        <v>419</v>
      </c>
      <c r="AU216" t="s">
        <v>25227</v>
      </c>
      <c r="AW216" t="s">
        <v>11447</v>
      </c>
    </row>
    <row r="217" spans="1:49">
      <c r="A217" s="1">
        <f>HYPERLINK("https://lsnyc.legalserver.org/matter/dynamic-profile/view/1901597","19-1901597")</f>
        <v>0</v>
      </c>
      <c r="B217" t="s">
        <v>115</v>
      </c>
      <c r="C217" t="s">
        <v>459</v>
      </c>
      <c r="E217" t="s">
        <v>1213</v>
      </c>
      <c r="F217" t="s">
        <v>3716</v>
      </c>
      <c r="G217" t="s">
        <v>6487</v>
      </c>
      <c r="H217" t="s">
        <v>10467</v>
      </c>
      <c r="I217" t="s">
        <v>11383</v>
      </c>
      <c r="J217">
        <v>10453</v>
      </c>
      <c r="K217" t="s">
        <v>11447</v>
      </c>
      <c r="N217" t="s">
        <v>14778</v>
      </c>
      <c r="P217" t="s">
        <v>14795</v>
      </c>
      <c r="S217" t="s">
        <v>14827</v>
      </c>
      <c r="V217">
        <v>0</v>
      </c>
      <c r="W217" t="s">
        <v>14858</v>
      </c>
      <c r="Z217" t="s">
        <v>15110</v>
      </c>
      <c r="AC217">
        <v>76</v>
      </c>
      <c r="AF217">
        <v>0</v>
      </c>
      <c r="AG217">
        <v>2</v>
      </c>
      <c r="AH217">
        <v>0</v>
      </c>
      <c r="AI217">
        <v>0</v>
      </c>
      <c r="AL217" t="s">
        <v>5011</v>
      </c>
      <c r="AM217">
        <v>0</v>
      </c>
      <c r="AN217" t="s">
        <v>24687</v>
      </c>
      <c r="AS217">
        <v>0</v>
      </c>
      <c r="AU217" t="s">
        <v>114</v>
      </c>
      <c r="AW217" t="s">
        <v>11447</v>
      </c>
    </row>
    <row r="218" spans="1:49">
      <c r="A218" s="1">
        <f>HYPERLINK("https://lsnyc.legalserver.org/matter/dynamic-profile/view/1897947","19-1897947")</f>
        <v>0</v>
      </c>
      <c r="B218" t="s">
        <v>116</v>
      </c>
      <c r="C218" t="s">
        <v>503</v>
      </c>
      <c r="E218" t="s">
        <v>1214</v>
      </c>
      <c r="F218" t="s">
        <v>3717</v>
      </c>
      <c r="G218" t="s">
        <v>6488</v>
      </c>
      <c r="H218" t="s">
        <v>10462</v>
      </c>
      <c r="I218" t="s">
        <v>11383</v>
      </c>
      <c r="J218">
        <v>10452</v>
      </c>
      <c r="K218" t="s">
        <v>11448</v>
      </c>
      <c r="M218" t="s">
        <v>14747</v>
      </c>
      <c r="N218" t="s">
        <v>14778</v>
      </c>
      <c r="P218" t="s">
        <v>14795</v>
      </c>
      <c r="Q218" t="s">
        <v>11448</v>
      </c>
      <c r="S218" t="s">
        <v>14827</v>
      </c>
      <c r="V218">
        <v>0</v>
      </c>
      <c r="W218" t="s">
        <v>14858</v>
      </c>
      <c r="X218" t="s">
        <v>14864</v>
      </c>
      <c r="Z218" t="s">
        <v>15111</v>
      </c>
      <c r="AC218">
        <v>92</v>
      </c>
      <c r="AD218" t="s">
        <v>24595</v>
      </c>
      <c r="AE218" t="s">
        <v>24610</v>
      </c>
      <c r="AF218">
        <v>9</v>
      </c>
      <c r="AG218">
        <v>2</v>
      </c>
      <c r="AH218">
        <v>0</v>
      </c>
      <c r="AI218">
        <v>0</v>
      </c>
      <c r="AL218" t="s">
        <v>5011</v>
      </c>
      <c r="AM218">
        <v>0</v>
      </c>
      <c r="AN218" t="s">
        <v>24688</v>
      </c>
      <c r="AS218">
        <v>0</v>
      </c>
      <c r="AU218" t="s">
        <v>25242</v>
      </c>
      <c r="AV218" t="s">
        <v>25335</v>
      </c>
      <c r="AW218" t="s">
        <v>11446</v>
      </c>
    </row>
    <row r="219" spans="1:49">
      <c r="A219" s="1">
        <f>HYPERLINK("https://lsnyc.legalserver.org/matter/dynamic-profile/view/1904557","19-1904557")</f>
        <v>0</v>
      </c>
      <c r="B219" t="s">
        <v>117</v>
      </c>
      <c r="C219" t="s">
        <v>493</v>
      </c>
      <c r="E219" t="s">
        <v>1215</v>
      </c>
      <c r="F219" t="s">
        <v>3718</v>
      </c>
      <c r="G219" t="s">
        <v>6489</v>
      </c>
      <c r="H219" t="s">
        <v>10562</v>
      </c>
      <c r="I219" t="s">
        <v>11384</v>
      </c>
      <c r="J219">
        <v>10301</v>
      </c>
      <c r="K219" t="s">
        <v>11447</v>
      </c>
      <c r="M219" t="s">
        <v>11601</v>
      </c>
      <c r="N219" t="s">
        <v>14778</v>
      </c>
      <c r="P219" t="s">
        <v>14795</v>
      </c>
      <c r="Q219" t="s">
        <v>11446</v>
      </c>
      <c r="S219" t="s">
        <v>14827</v>
      </c>
      <c r="V219">
        <v>900</v>
      </c>
      <c r="W219" t="s">
        <v>14862</v>
      </c>
      <c r="Z219" t="s">
        <v>15112</v>
      </c>
      <c r="AB219" t="s">
        <v>20277</v>
      </c>
      <c r="AC219">
        <v>6</v>
      </c>
      <c r="AD219" t="s">
        <v>11479</v>
      </c>
      <c r="AE219" t="s">
        <v>11459</v>
      </c>
      <c r="AF219">
        <v>7</v>
      </c>
      <c r="AG219">
        <v>1</v>
      </c>
      <c r="AH219">
        <v>0</v>
      </c>
      <c r="AI219">
        <v>0</v>
      </c>
      <c r="AL219" t="s">
        <v>5011</v>
      </c>
      <c r="AM219">
        <v>0</v>
      </c>
      <c r="AS219">
        <v>1.05</v>
      </c>
      <c r="AT219" t="s">
        <v>375</v>
      </c>
      <c r="AU219" t="s">
        <v>25236</v>
      </c>
      <c r="AW219" t="s">
        <v>11447</v>
      </c>
    </row>
    <row r="220" spans="1:49">
      <c r="A220" s="1">
        <f>HYPERLINK("https://lsnyc.legalserver.org/matter/dynamic-profile/view/1909845","19-1909845")</f>
        <v>0</v>
      </c>
      <c r="B220" t="s">
        <v>118</v>
      </c>
      <c r="C220" t="s">
        <v>504</v>
      </c>
      <c r="E220" t="s">
        <v>1035</v>
      </c>
      <c r="F220" t="s">
        <v>3719</v>
      </c>
      <c r="G220" t="s">
        <v>6490</v>
      </c>
      <c r="I220" t="s">
        <v>11386</v>
      </c>
      <c r="J220">
        <v>10002</v>
      </c>
      <c r="K220" t="s">
        <v>11447</v>
      </c>
      <c r="M220" t="s">
        <v>11601</v>
      </c>
      <c r="P220" t="s">
        <v>14795</v>
      </c>
      <c r="Q220" t="s">
        <v>11448</v>
      </c>
      <c r="S220" t="s">
        <v>14827</v>
      </c>
      <c r="V220">
        <v>3500</v>
      </c>
      <c r="W220" t="s">
        <v>14860</v>
      </c>
      <c r="X220" t="s">
        <v>14873</v>
      </c>
      <c r="Z220" t="s">
        <v>15113</v>
      </c>
      <c r="AC220">
        <v>30</v>
      </c>
      <c r="AD220" t="s">
        <v>11479</v>
      </c>
      <c r="AE220" t="s">
        <v>11459</v>
      </c>
      <c r="AF220">
        <v>3</v>
      </c>
      <c r="AG220">
        <v>1</v>
      </c>
      <c r="AH220">
        <v>0</v>
      </c>
      <c r="AI220">
        <v>0</v>
      </c>
      <c r="AL220" t="s">
        <v>5011</v>
      </c>
      <c r="AM220">
        <v>0</v>
      </c>
      <c r="AS220">
        <v>2</v>
      </c>
      <c r="AT220" t="s">
        <v>467</v>
      </c>
      <c r="AU220" t="s">
        <v>25236</v>
      </c>
      <c r="AW220" t="s">
        <v>11447</v>
      </c>
    </row>
    <row r="221" spans="1:49">
      <c r="A221" s="1">
        <f>HYPERLINK("https://lsnyc.legalserver.org/matter/dynamic-profile/view/1911679","19-1911679")</f>
        <v>0</v>
      </c>
      <c r="B221" t="s">
        <v>92</v>
      </c>
      <c r="C221" t="s">
        <v>505</v>
      </c>
      <c r="E221" t="s">
        <v>1216</v>
      </c>
      <c r="F221" t="s">
        <v>3720</v>
      </c>
      <c r="G221" t="s">
        <v>6491</v>
      </c>
      <c r="H221" t="s">
        <v>10563</v>
      </c>
      <c r="I221" t="s">
        <v>11383</v>
      </c>
      <c r="J221">
        <v>10457</v>
      </c>
      <c r="K221" t="s">
        <v>11447</v>
      </c>
      <c r="L221" t="s">
        <v>11502</v>
      </c>
      <c r="M221" t="s">
        <v>14744</v>
      </c>
      <c r="P221" t="s">
        <v>14795</v>
      </c>
      <c r="S221" t="s">
        <v>14827</v>
      </c>
      <c r="V221">
        <v>1800</v>
      </c>
      <c r="W221" t="s">
        <v>14858</v>
      </c>
      <c r="Z221" t="s">
        <v>15114</v>
      </c>
      <c r="AB221" t="s">
        <v>20278</v>
      </c>
      <c r="AC221">
        <v>28</v>
      </c>
      <c r="AF221">
        <v>0</v>
      </c>
      <c r="AG221">
        <v>3</v>
      </c>
      <c r="AH221">
        <v>2</v>
      </c>
      <c r="AI221">
        <v>8.029999999999999</v>
      </c>
      <c r="AL221" t="s">
        <v>5011</v>
      </c>
      <c r="AM221">
        <v>2424</v>
      </c>
      <c r="AS221">
        <v>0.5</v>
      </c>
      <c r="AT221" t="s">
        <v>505</v>
      </c>
      <c r="AU221" t="s">
        <v>25238</v>
      </c>
      <c r="AW221" t="s">
        <v>11447</v>
      </c>
    </row>
    <row r="222" spans="1:49">
      <c r="A222" s="1">
        <f>HYPERLINK("https://lsnyc.legalserver.org/matter/dynamic-profile/view/1914421","19-1914421")</f>
        <v>0</v>
      </c>
      <c r="B222" t="s">
        <v>119</v>
      </c>
      <c r="C222" t="s">
        <v>506</v>
      </c>
      <c r="E222" t="s">
        <v>1217</v>
      </c>
      <c r="F222" t="s">
        <v>3721</v>
      </c>
      <c r="G222" t="s">
        <v>6492</v>
      </c>
      <c r="H222" t="s">
        <v>10564</v>
      </c>
      <c r="I222" t="s">
        <v>11383</v>
      </c>
      <c r="J222">
        <v>10453</v>
      </c>
      <c r="K222" t="s">
        <v>11446</v>
      </c>
      <c r="L222" t="s">
        <v>11503</v>
      </c>
      <c r="M222" t="s">
        <v>14753</v>
      </c>
      <c r="N222" t="s">
        <v>14782</v>
      </c>
      <c r="P222" t="s">
        <v>14795</v>
      </c>
      <c r="Q222" t="s">
        <v>11448</v>
      </c>
      <c r="S222" t="s">
        <v>14830</v>
      </c>
      <c r="V222">
        <v>0</v>
      </c>
      <c r="W222" t="s">
        <v>14858</v>
      </c>
      <c r="X222" t="s">
        <v>14873</v>
      </c>
      <c r="Z222" t="s">
        <v>15115</v>
      </c>
      <c r="AB222" t="s">
        <v>20279</v>
      </c>
      <c r="AC222">
        <v>15</v>
      </c>
      <c r="AE222" t="s">
        <v>24610</v>
      </c>
      <c r="AF222">
        <v>10</v>
      </c>
      <c r="AG222">
        <v>1</v>
      </c>
      <c r="AH222">
        <v>0</v>
      </c>
      <c r="AI222">
        <v>8.74</v>
      </c>
      <c r="AL222" t="s">
        <v>5011</v>
      </c>
      <c r="AM222">
        <v>1092</v>
      </c>
      <c r="AS222">
        <v>2.1</v>
      </c>
      <c r="AT222" t="s">
        <v>495</v>
      </c>
      <c r="AU222" t="s">
        <v>25253</v>
      </c>
      <c r="AV222" t="s">
        <v>25335</v>
      </c>
      <c r="AW222" t="s">
        <v>11447</v>
      </c>
    </row>
    <row r="223" spans="1:49">
      <c r="A223" s="1">
        <f>HYPERLINK("https://lsnyc.legalserver.org/matter/dynamic-profile/view/0793963","15-0793963")</f>
        <v>0</v>
      </c>
      <c r="B223" t="s">
        <v>102</v>
      </c>
      <c r="C223" t="s">
        <v>507</v>
      </c>
      <c r="E223" t="s">
        <v>1218</v>
      </c>
      <c r="F223" t="s">
        <v>3722</v>
      </c>
      <c r="G223" t="s">
        <v>6456</v>
      </c>
      <c r="H223" t="s">
        <v>10565</v>
      </c>
      <c r="I223" t="s">
        <v>11383</v>
      </c>
      <c r="J223">
        <v>10453</v>
      </c>
      <c r="K223" t="s">
        <v>11448</v>
      </c>
      <c r="L223" t="s">
        <v>11504</v>
      </c>
      <c r="M223" t="s">
        <v>14746</v>
      </c>
      <c r="N223" t="s">
        <v>14781</v>
      </c>
      <c r="P223" t="s">
        <v>14795</v>
      </c>
      <c r="Q223" t="s">
        <v>11446</v>
      </c>
      <c r="S223" t="s">
        <v>14827</v>
      </c>
      <c r="V223">
        <v>1362.85</v>
      </c>
      <c r="W223" t="s">
        <v>14858</v>
      </c>
      <c r="X223" t="s">
        <v>14864</v>
      </c>
      <c r="Z223" t="s">
        <v>15116</v>
      </c>
      <c r="AC223">
        <v>0</v>
      </c>
      <c r="AD223" t="s">
        <v>24595</v>
      </c>
      <c r="AE223" t="s">
        <v>24610</v>
      </c>
      <c r="AF223">
        <v>15</v>
      </c>
      <c r="AG223">
        <v>1</v>
      </c>
      <c r="AH223">
        <v>0</v>
      </c>
      <c r="AI223">
        <v>13.92</v>
      </c>
      <c r="AL223" t="s">
        <v>5011</v>
      </c>
      <c r="AM223">
        <v>1638</v>
      </c>
      <c r="AN223" t="s">
        <v>24689</v>
      </c>
      <c r="AS223">
        <v>0.4</v>
      </c>
      <c r="AT223" t="s">
        <v>378</v>
      </c>
      <c r="AU223" t="s">
        <v>186</v>
      </c>
      <c r="AW223" t="s">
        <v>11447</v>
      </c>
    </row>
    <row r="224" spans="1:49">
      <c r="A224" s="1">
        <f>HYPERLINK("https://lsnyc.legalserver.org/matter/dynamic-profile/view/1910483","19-1910483")</f>
        <v>0</v>
      </c>
      <c r="B224" t="s">
        <v>75</v>
      </c>
      <c r="C224" t="s">
        <v>508</v>
      </c>
      <c r="E224" t="s">
        <v>1219</v>
      </c>
      <c r="F224" t="s">
        <v>3723</v>
      </c>
      <c r="G224" t="s">
        <v>6493</v>
      </c>
      <c r="H224" t="s">
        <v>10493</v>
      </c>
      <c r="I224" t="s">
        <v>11385</v>
      </c>
      <c r="J224">
        <v>11225</v>
      </c>
      <c r="K224" t="s">
        <v>11447</v>
      </c>
      <c r="L224" t="s">
        <v>11505</v>
      </c>
      <c r="M224" t="s">
        <v>14744</v>
      </c>
      <c r="N224" t="s">
        <v>14778</v>
      </c>
      <c r="P224" t="s">
        <v>14795</v>
      </c>
      <c r="Q224" t="s">
        <v>11446</v>
      </c>
      <c r="S224" t="s">
        <v>14827</v>
      </c>
      <c r="V224">
        <v>1403.28</v>
      </c>
      <c r="W224" t="s">
        <v>14859</v>
      </c>
      <c r="X224" t="s">
        <v>14871</v>
      </c>
      <c r="Z224" t="s">
        <v>15117</v>
      </c>
      <c r="AB224" t="s">
        <v>20280</v>
      </c>
      <c r="AC224">
        <v>6</v>
      </c>
      <c r="AD224" t="s">
        <v>24595</v>
      </c>
      <c r="AF224">
        <v>10</v>
      </c>
      <c r="AG224">
        <v>1</v>
      </c>
      <c r="AH224">
        <v>1</v>
      </c>
      <c r="AI224">
        <v>14.19</v>
      </c>
      <c r="AL224" t="s">
        <v>5011</v>
      </c>
      <c r="AM224">
        <v>2400</v>
      </c>
      <c r="AS224">
        <v>0.5</v>
      </c>
      <c r="AT224" t="s">
        <v>508</v>
      </c>
      <c r="AU224" t="s">
        <v>25247</v>
      </c>
      <c r="AW224" t="s">
        <v>11447</v>
      </c>
    </row>
    <row r="225" spans="1:49">
      <c r="A225" s="1">
        <f>HYPERLINK("https://lsnyc.legalserver.org/matter/dynamic-profile/view/1915280","19-1915280")</f>
        <v>0</v>
      </c>
      <c r="B225" t="s">
        <v>63</v>
      </c>
      <c r="C225" t="s">
        <v>509</v>
      </c>
      <c r="E225" t="s">
        <v>1220</v>
      </c>
      <c r="F225" t="s">
        <v>3724</v>
      </c>
      <c r="G225" t="s">
        <v>6494</v>
      </c>
      <c r="H225" t="s">
        <v>10566</v>
      </c>
      <c r="I225" t="s">
        <v>11391</v>
      </c>
      <c r="J225">
        <v>11691</v>
      </c>
      <c r="K225" t="s">
        <v>11447</v>
      </c>
      <c r="P225" t="s">
        <v>14795</v>
      </c>
      <c r="S225" t="s">
        <v>14827</v>
      </c>
      <c r="V225">
        <v>0</v>
      </c>
      <c r="W225" t="s">
        <v>14861</v>
      </c>
      <c r="Z225" t="s">
        <v>15118</v>
      </c>
      <c r="AB225" t="s">
        <v>20281</v>
      </c>
      <c r="AC225">
        <v>0</v>
      </c>
      <c r="AF225">
        <v>0</v>
      </c>
      <c r="AG225">
        <v>1</v>
      </c>
      <c r="AH225">
        <v>0</v>
      </c>
      <c r="AI225">
        <v>14.57</v>
      </c>
      <c r="AL225" t="s">
        <v>5011</v>
      </c>
      <c r="AM225">
        <v>1820</v>
      </c>
      <c r="AS225">
        <v>0.7</v>
      </c>
      <c r="AT225" t="s">
        <v>509</v>
      </c>
      <c r="AU225" t="s">
        <v>25253</v>
      </c>
      <c r="AW225" t="s">
        <v>11447</v>
      </c>
    </row>
    <row r="226" spans="1:49">
      <c r="A226" s="1">
        <f>HYPERLINK("https://lsnyc.legalserver.org/matter/dynamic-profile/view/1911456","19-1911456")</f>
        <v>0</v>
      </c>
      <c r="B226" t="s">
        <v>120</v>
      </c>
      <c r="C226" t="s">
        <v>486</v>
      </c>
      <c r="E226" t="s">
        <v>1221</v>
      </c>
      <c r="F226" t="s">
        <v>3583</v>
      </c>
      <c r="G226" t="s">
        <v>6495</v>
      </c>
      <c r="H226" t="s">
        <v>10567</v>
      </c>
      <c r="I226" t="s">
        <v>11385</v>
      </c>
      <c r="J226">
        <v>11233</v>
      </c>
      <c r="K226" t="s">
        <v>11447</v>
      </c>
      <c r="L226" t="s">
        <v>11456</v>
      </c>
      <c r="M226" t="s">
        <v>11601</v>
      </c>
      <c r="P226" t="s">
        <v>14795</v>
      </c>
      <c r="Q226" t="s">
        <v>11448</v>
      </c>
      <c r="S226" t="s">
        <v>14827</v>
      </c>
      <c r="V226">
        <v>2400.5</v>
      </c>
      <c r="W226" t="s">
        <v>14859</v>
      </c>
      <c r="X226" t="s">
        <v>14866</v>
      </c>
      <c r="Z226" t="s">
        <v>15119</v>
      </c>
      <c r="AB226" t="s">
        <v>20282</v>
      </c>
      <c r="AC226">
        <v>3</v>
      </c>
      <c r="AD226" t="s">
        <v>24600</v>
      </c>
      <c r="AF226">
        <v>2</v>
      </c>
      <c r="AG226">
        <v>1</v>
      </c>
      <c r="AH226">
        <v>2</v>
      </c>
      <c r="AI226">
        <v>14.57</v>
      </c>
      <c r="AL226" t="s">
        <v>24632</v>
      </c>
      <c r="AM226">
        <v>3108</v>
      </c>
      <c r="AS226">
        <v>0.5</v>
      </c>
      <c r="AT226" t="s">
        <v>486</v>
      </c>
      <c r="AU226" t="s">
        <v>25247</v>
      </c>
      <c r="AW226" t="s">
        <v>11447</v>
      </c>
    </row>
    <row r="227" spans="1:49">
      <c r="A227" s="1">
        <f>HYPERLINK("https://lsnyc.legalserver.org/matter/dynamic-profile/view/1898318","19-1898318")</f>
        <v>0</v>
      </c>
      <c r="B227" t="s">
        <v>114</v>
      </c>
      <c r="C227" t="s">
        <v>510</v>
      </c>
      <c r="E227" t="s">
        <v>1222</v>
      </c>
      <c r="F227" t="s">
        <v>3725</v>
      </c>
      <c r="G227" t="s">
        <v>6496</v>
      </c>
      <c r="H227" t="s">
        <v>10568</v>
      </c>
      <c r="I227" t="s">
        <v>11383</v>
      </c>
      <c r="J227">
        <v>10451</v>
      </c>
      <c r="K227" t="s">
        <v>11446</v>
      </c>
      <c r="L227" t="s">
        <v>11506</v>
      </c>
      <c r="M227" t="s">
        <v>14744</v>
      </c>
      <c r="N227" t="s">
        <v>14781</v>
      </c>
      <c r="P227" t="s">
        <v>14795</v>
      </c>
      <c r="S227" t="s">
        <v>14827</v>
      </c>
      <c r="V227">
        <v>1235.83</v>
      </c>
      <c r="W227" t="s">
        <v>14858</v>
      </c>
      <c r="X227" t="s">
        <v>14863</v>
      </c>
      <c r="Z227" t="s">
        <v>15120</v>
      </c>
      <c r="AA227" t="s">
        <v>19335</v>
      </c>
      <c r="AB227" t="s">
        <v>20283</v>
      </c>
      <c r="AC227">
        <v>0</v>
      </c>
      <c r="AD227" t="s">
        <v>11479</v>
      </c>
      <c r="AE227" t="s">
        <v>24610</v>
      </c>
      <c r="AF227">
        <v>3</v>
      </c>
      <c r="AG227">
        <v>1</v>
      </c>
      <c r="AH227">
        <v>1</v>
      </c>
      <c r="AI227">
        <v>16.3</v>
      </c>
      <c r="AL227" t="s">
        <v>5011</v>
      </c>
      <c r="AM227">
        <v>2756</v>
      </c>
      <c r="AS227">
        <v>0.5</v>
      </c>
      <c r="AT227" t="s">
        <v>533</v>
      </c>
      <c r="AU227" t="s">
        <v>25251</v>
      </c>
      <c r="AV227" t="s">
        <v>25334</v>
      </c>
      <c r="AW227" t="s">
        <v>11447</v>
      </c>
    </row>
    <row r="228" spans="1:49">
      <c r="A228" s="1">
        <f>HYPERLINK("https://lsnyc.legalserver.org/matter/dynamic-profile/view/1911244","19-1911244")</f>
        <v>0</v>
      </c>
      <c r="B228" t="s">
        <v>66</v>
      </c>
      <c r="C228" t="s">
        <v>511</v>
      </c>
      <c r="E228" t="s">
        <v>1223</v>
      </c>
      <c r="F228" t="s">
        <v>3726</v>
      </c>
      <c r="G228" t="s">
        <v>6497</v>
      </c>
      <c r="H228" t="s">
        <v>10465</v>
      </c>
      <c r="I228" t="s">
        <v>11385</v>
      </c>
      <c r="J228">
        <v>11207</v>
      </c>
      <c r="K228" t="s">
        <v>11448</v>
      </c>
      <c r="L228" t="s">
        <v>11465</v>
      </c>
      <c r="M228" t="s">
        <v>11601</v>
      </c>
      <c r="P228" t="s">
        <v>14795</v>
      </c>
      <c r="Q228" t="s">
        <v>11448</v>
      </c>
      <c r="S228" t="s">
        <v>14827</v>
      </c>
      <c r="T228" t="s">
        <v>14832</v>
      </c>
      <c r="V228">
        <v>1303</v>
      </c>
      <c r="W228" t="s">
        <v>14859</v>
      </c>
      <c r="X228" t="s">
        <v>14870</v>
      </c>
      <c r="Z228" t="s">
        <v>15121</v>
      </c>
      <c r="AA228" t="s">
        <v>19336</v>
      </c>
      <c r="AB228" t="s">
        <v>20284</v>
      </c>
      <c r="AC228">
        <v>3</v>
      </c>
      <c r="AD228" t="s">
        <v>24600</v>
      </c>
      <c r="AE228" t="s">
        <v>24610</v>
      </c>
      <c r="AF228">
        <v>3</v>
      </c>
      <c r="AG228">
        <v>1</v>
      </c>
      <c r="AH228">
        <v>0</v>
      </c>
      <c r="AI228">
        <v>17.29</v>
      </c>
      <c r="AL228" t="s">
        <v>5011</v>
      </c>
      <c r="AM228">
        <v>2160</v>
      </c>
      <c r="AS228">
        <v>1</v>
      </c>
      <c r="AT228" t="s">
        <v>511</v>
      </c>
      <c r="AU228" t="s">
        <v>25226</v>
      </c>
      <c r="AV228" t="s">
        <v>11459</v>
      </c>
      <c r="AW228" t="s">
        <v>11447</v>
      </c>
    </row>
    <row r="229" spans="1:49">
      <c r="A229" s="1">
        <f>HYPERLINK("https://lsnyc.legalserver.org/matter/dynamic-profile/view/1899035","19-1899035")</f>
        <v>0</v>
      </c>
      <c r="B229" t="s">
        <v>121</v>
      </c>
      <c r="C229" t="s">
        <v>512</v>
      </c>
      <c r="E229" t="s">
        <v>1224</v>
      </c>
      <c r="F229" t="s">
        <v>3727</v>
      </c>
      <c r="G229" t="s">
        <v>6498</v>
      </c>
      <c r="H229" t="s">
        <v>10569</v>
      </c>
      <c r="I229" t="s">
        <v>11386</v>
      </c>
      <c r="J229">
        <v>10035</v>
      </c>
      <c r="K229" t="s">
        <v>11447</v>
      </c>
      <c r="P229" t="s">
        <v>14795</v>
      </c>
      <c r="S229" t="s">
        <v>14828</v>
      </c>
      <c r="V229">
        <v>215</v>
      </c>
      <c r="W229" t="s">
        <v>14860</v>
      </c>
      <c r="Z229" t="s">
        <v>15122</v>
      </c>
      <c r="AB229" t="s">
        <v>20285</v>
      </c>
      <c r="AC229">
        <v>0</v>
      </c>
      <c r="AD229" t="s">
        <v>24602</v>
      </c>
      <c r="AE229" t="s">
        <v>11459</v>
      </c>
      <c r="AF229">
        <v>62</v>
      </c>
      <c r="AG229">
        <v>1</v>
      </c>
      <c r="AH229">
        <v>0</v>
      </c>
      <c r="AI229">
        <v>17.29</v>
      </c>
      <c r="AL229" t="s">
        <v>5011</v>
      </c>
      <c r="AM229">
        <v>2160</v>
      </c>
      <c r="AS229">
        <v>1</v>
      </c>
      <c r="AT229" t="s">
        <v>512</v>
      </c>
      <c r="AU229" t="s">
        <v>25233</v>
      </c>
      <c r="AW229" t="s">
        <v>11447</v>
      </c>
    </row>
    <row r="230" spans="1:49">
      <c r="A230" s="1">
        <f>HYPERLINK("https://lsnyc.legalserver.org/matter/dynamic-profile/view/1889377","19-1889377")</f>
        <v>0</v>
      </c>
      <c r="B230" t="s">
        <v>122</v>
      </c>
      <c r="C230" t="s">
        <v>513</v>
      </c>
      <c r="E230" t="s">
        <v>1225</v>
      </c>
      <c r="F230" t="s">
        <v>3581</v>
      </c>
      <c r="G230" t="s">
        <v>6499</v>
      </c>
      <c r="I230" t="s">
        <v>11389</v>
      </c>
      <c r="J230">
        <v>11355</v>
      </c>
      <c r="K230" t="s">
        <v>11447</v>
      </c>
      <c r="P230" t="s">
        <v>14795</v>
      </c>
      <c r="S230" t="s">
        <v>14827</v>
      </c>
      <c r="V230">
        <v>1900</v>
      </c>
      <c r="W230" t="s">
        <v>14861</v>
      </c>
      <c r="Z230" t="s">
        <v>15123</v>
      </c>
      <c r="AB230" t="s">
        <v>20286</v>
      </c>
      <c r="AC230">
        <v>2</v>
      </c>
      <c r="AF230">
        <v>11</v>
      </c>
      <c r="AG230">
        <v>2</v>
      </c>
      <c r="AH230">
        <v>0</v>
      </c>
      <c r="AI230">
        <v>17.39</v>
      </c>
      <c r="AL230" t="s">
        <v>24633</v>
      </c>
      <c r="AM230">
        <v>2940</v>
      </c>
      <c r="AS230">
        <v>2.7</v>
      </c>
      <c r="AT230" t="s">
        <v>547</v>
      </c>
      <c r="AU230" t="s">
        <v>25227</v>
      </c>
      <c r="AW230" t="s">
        <v>11447</v>
      </c>
    </row>
    <row r="231" spans="1:49">
      <c r="A231" s="1">
        <f>HYPERLINK("https://lsnyc.legalserver.org/matter/dynamic-profile/view/1904581","19-1904581")</f>
        <v>0</v>
      </c>
      <c r="B231" t="s">
        <v>123</v>
      </c>
      <c r="C231" t="s">
        <v>493</v>
      </c>
      <c r="E231" t="s">
        <v>1140</v>
      </c>
      <c r="F231" t="s">
        <v>3728</v>
      </c>
      <c r="G231" t="s">
        <v>6500</v>
      </c>
      <c r="H231" t="s">
        <v>10568</v>
      </c>
      <c r="I231" t="s">
        <v>11385</v>
      </c>
      <c r="J231">
        <v>11226</v>
      </c>
      <c r="K231" t="s">
        <v>11447</v>
      </c>
      <c r="P231" t="s">
        <v>14795</v>
      </c>
      <c r="S231" t="s">
        <v>14827</v>
      </c>
      <c r="V231">
        <v>1024.31</v>
      </c>
      <c r="W231" t="s">
        <v>14859</v>
      </c>
      <c r="X231" t="s">
        <v>14866</v>
      </c>
      <c r="Z231" t="s">
        <v>15124</v>
      </c>
      <c r="AB231" t="s">
        <v>20287</v>
      </c>
      <c r="AC231">
        <v>20</v>
      </c>
      <c r="AD231" t="s">
        <v>24599</v>
      </c>
      <c r="AE231" t="s">
        <v>11459</v>
      </c>
      <c r="AF231">
        <v>23</v>
      </c>
      <c r="AG231">
        <v>2</v>
      </c>
      <c r="AH231">
        <v>0</v>
      </c>
      <c r="AI231">
        <v>19.16</v>
      </c>
      <c r="AL231" t="s">
        <v>5011</v>
      </c>
      <c r="AM231">
        <v>3240</v>
      </c>
      <c r="AS231">
        <v>3.6</v>
      </c>
      <c r="AT231" t="s">
        <v>540</v>
      </c>
      <c r="AU231" t="s">
        <v>25226</v>
      </c>
      <c r="AW231" t="s">
        <v>11447</v>
      </c>
    </row>
    <row r="232" spans="1:49">
      <c r="A232" s="1">
        <f>HYPERLINK("https://lsnyc.legalserver.org/matter/dynamic-profile/view/1848038","17-1848038")</f>
        <v>0</v>
      </c>
      <c r="B232" t="s">
        <v>124</v>
      </c>
      <c r="C232" t="s">
        <v>514</v>
      </c>
      <c r="E232" t="s">
        <v>1226</v>
      </c>
      <c r="F232" t="s">
        <v>3729</v>
      </c>
      <c r="G232" t="s">
        <v>6501</v>
      </c>
      <c r="H232" t="s">
        <v>10570</v>
      </c>
      <c r="I232" t="s">
        <v>11409</v>
      </c>
      <c r="J232">
        <v>11377</v>
      </c>
      <c r="K232" t="s">
        <v>11447</v>
      </c>
      <c r="L232" t="s">
        <v>11507</v>
      </c>
      <c r="M232" t="s">
        <v>14744</v>
      </c>
      <c r="N232" t="s">
        <v>14780</v>
      </c>
      <c r="P232" t="s">
        <v>14795</v>
      </c>
      <c r="Q232" t="s">
        <v>11448</v>
      </c>
      <c r="S232" t="s">
        <v>14827</v>
      </c>
      <c r="V232">
        <v>1377.72</v>
      </c>
      <c r="W232" t="s">
        <v>14861</v>
      </c>
      <c r="X232" t="s">
        <v>14871</v>
      </c>
      <c r="Z232" t="s">
        <v>15125</v>
      </c>
      <c r="AB232" t="s">
        <v>20288</v>
      </c>
      <c r="AC232">
        <v>0</v>
      </c>
      <c r="AF232">
        <v>10</v>
      </c>
      <c r="AG232">
        <v>1</v>
      </c>
      <c r="AH232">
        <v>0</v>
      </c>
      <c r="AI232">
        <v>19.2</v>
      </c>
      <c r="AL232" t="s">
        <v>24632</v>
      </c>
      <c r="AM232">
        <v>2316</v>
      </c>
      <c r="AS232">
        <v>1.1</v>
      </c>
      <c r="AT232" t="s">
        <v>25126</v>
      </c>
      <c r="AU232" t="s">
        <v>25254</v>
      </c>
      <c r="AW232" t="s">
        <v>11447</v>
      </c>
    </row>
    <row r="233" spans="1:49">
      <c r="A233" s="1">
        <f>HYPERLINK("https://lsnyc.legalserver.org/matter/dynamic-profile/view/1886742","18-1886742")</f>
        <v>0</v>
      </c>
      <c r="B233" t="s">
        <v>125</v>
      </c>
      <c r="C233" t="s">
        <v>481</v>
      </c>
      <c r="E233" t="s">
        <v>1227</v>
      </c>
      <c r="F233" t="s">
        <v>3730</v>
      </c>
      <c r="G233" t="s">
        <v>6502</v>
      </c>
      <c r="H233">
        <v>7</v>
      </c>
      <c r="I233" t="s">
        <v>11383</v>
      </c>
      <c r="J233">
        <v>10457</v>
      </c>
      <c r="K233" t="s">
        <v>11446</v>
      </c>
      <c r="L233" t="s">
        <v>11508</v>
      </c>
      <c r="M233" t="s">
        <v>14744</v>
      </c>
      <c r="N233" t="s">
        <v>14781</v>
      </c>
      <c r="P233" t="s">
        <v>14795</v>
      </c>
      <c r="S233" t="s">
        <v>14827</v>
      </c>
      <c r="T233" t="s">
        <v>14832</v>
      </c>
      <c r="V233">
        <v>0</v>
      </c>
      <c r="W233" t="s">
        <v>14858</v>
      </c>
      <c r="X233" t="s">
        <v>14865</v>
      </c>
      <c r="Z233" t="s">
        <v>15126</v>
      </c>
      <c r="AC233">
        <v>0</v>
      </c>
      <c r="AF233">
        <v>5</v>
      </c>
      <c r="AG233">
        <v>1</v>
      </c>
      <c r="AH233">
        <v>0</v>
      </c>
      <c r="AI233">
        <v>19.6</v>
      </c>
      <c r="AL233" t="s">
        <v>24638</v>
      </c>
      <c r="AM233">
        <v>2379</v>
      </c>
      <c r="AN233" t="s">
        <v>24690</v>
      </c>
      <c r="AS233">
        <v>5.05</v>
      </c>
      <c r="AT233" t="s">
        <v>748</v>
      </c>
      <c r="AU233" t="s">
        <v>94</v>
      </c>
      <c r="AW233" t="s">
        <v>11446</v>
      </c>
    </row>
    <row r="234" spans="1:49">
      <c r="A234" s="1">
        <f>HYPERLINK("https://lsnyc.legalserver.org/matter/dynamic-profile/view/1913266","19-1913266")</f>
        <v>0</v>
      </c>
      <c r="B234" t="s">
        <v>126</v>
      </c>
      <c r="C234" t="s">
        <v>515</v>
      </c>
      <c r="E234" t="s">
        <v>1228</v>
      </c>
      <c r="F234" t="s">
        <v>3547</v>
      </c>
      <c r="G234" t="s">
        <v>6503</v>
      </c>
      <c r="H234" t="s">
        <v>10571</v>
      </c>
      <c r="I234" t="s">
        <v>11383</v>
      </c>
      <c r="J234">
        <v>10453</v>
      </c>
      <c r="K234" t="s">
        <v>11447</v>
      </c>
      <c r="L234" t="s">
        <v>11509</v>
      </c>
      <c r="M234" t="s">
        <v>14743</v>
      </c>
      <c r="P234" t="s">
        <v>14795</v>
      </c>
      <c r="S234" t="s">
        <v>14827</v>
      </c>
      <c r="V234">
        <v>1800</v>
      </c>
      <c r="W234" t="s">
        <v>14858</v>
      </c>
      <c r="Z234" t="s">
        <v>15127</v>
      </c>
      <c r="AB234" t="s">
        <v>20289</v>
      </c>
      <c r="AC234">
        <v>3</v>
      </c>
      <c r="AE234" t="s">
        <v>24616</v>
      </c>
      <c r="AF234">
        <v>2</v>
      </c>
      <c r="AG234">
        <v>1</v>
      </c>
      <c r="AH234">
        <v>4</v>
      </c>
      <c r="AI234">
        <v>19.89</v>
      </c>
      <c r="AL234" t="s">
        <v>5011</v>
      </c>
      <c r="AM234">
        <v>6000</v>
      </c>
      <c r="AS234">
        <v>2.2</v>
      </c>
      <c r="AT234" t="s">
        <v>533</v>
      </c>
      <c r="AU234" t="s">
        <v>25227</v>
      </c>
      <c r="AW234" t="s">
        <v>11447</v>
      </c>
    </row>
    <row r="235" spans="1:49">
      <c r="A235" s="1">
        <f>HYPERLINK("https://lsnyc.legalserver.org/matter/dynamic-profile/view/1914582","19-1914582")</f>
        <v>0</v>
      </c>
      <c r="B235" t="s">
        <v>78</v>
      </c>
      <c r="C235" t="s">
        <v>491</v>
      </c>
      <c r="E235" t="s">
        <v>1229</v>
      </c>
      <c r="F235" t="s">
        <v>3731</v>
      </c>
      <c r="G235" t="s">
        <v>6504</v>
      </c>
      <c r="H235" t="s">
        <v>10572</v>
      </c>
      <c r="I235" t="s">
        <v>11383</v>
      </c>
      <c r="J235">
        <v>10453</v>
      </c>
      <c r="K235" t="s">
        <v>11447</v>
      </c>
      <c r="L235" t="s">
        <v>11510</v>
      </c>
      <c r="M235" t="s">
        <v>14743</v>
      </c>
      <c r="N235" t="s">
        <v>14778</v>
      </c>
      <c r="P235" t="s">
        <v>14795</v>
      </c>
      <c r="R235" t="s">
        <v>14797</v>
      </c>
      <c r="S235" t="s">
        <v>14827</v>
      </c>
      <c r="V235">
        <v>970</v>
      </c>
      <c r="W235" t="s">
        <v>14858</v>
      </c>
      <c r="X235" t="s">
        <v>14755</v>
      </c>
      <c r="Z235" t="s">
        <v>15128</v>
      </c>
      <c r="AB235" t="s">
        <v>20290</v>
      </c>
      <c r="AC235">
        <v>40</v>
      </c>
      <c r="AD235" t="s">
        <v>11479</v>
      </c>
      <c r="AE235" t="s">
        <v>24610</v>
      </c>
      <c r="AF235">
        <v>17</v>
      </c>
      <c r="AG235">
        <v>1</v>
      </c>
      <c r="AH235">
        <v>1</v>
      </c>
      <c r="AI235">
        <v>22.71</v>
      </c>
      <c r="AL235" t="s">
        <v>5011</v>
      </c>
      <c r="AM235">
        <v>3840</v>
      </c>
      <c r="AS235">
        <v>1.5</v>
      </c>
      <c r="AT235" t="s">
        <v>521</v>
      </c>
      <c r="AU235" t="s">
        <v>25244</v>
      </c>
      <c r="AW235" t="s">
        <v>11447</v>
      </c>
    </row>
    <row r="236" spans="1:49">
      <c r="A236" s="1">
        <f>HYPERLINK("https://lsnyc.legalserver.org/matter/dynamic-profile/view/1915186","19-1915186")</f>
        <v>0</v>
      </c>
      <c r="B236" t="s">
        <v>75</v>
      </c>
      <c r="C236" t="s">
        <v>516</v>
      </c>
      <c r="E236" t="s">
        <v>1230</v>
      </c>
      <c r="F236" t="s">
        <v>3727</v>
      </c>
      <c r="G236" t="s">
        <v>6505</v>
      </c>
      <c r="H236" t="s">
        <v>10569</v>
      </c>
      <c r="I236" t="s">
        <v>11385</v>
      </c>
      <c r="J236">
        <v>11203</v>
      </c>
      <c r="K236" t="s">
        <v>11447</v>
      </c>
      <c r="P236" t="s">
        <v>14795</v>
      </c>
      <c r="S236" t="s">
        <v>14827</v>
      </c>
      <c r="V236">
        <v>778.63</v>
      </c>
      <c r="W236" t="s">
        <v>14859</v>
      </c>
      <c r="Z236" t="s">
        <v>15129</v>
      </c>
      <c r="AB236" t="s">
        <v>20291</v>
      </c>
      <c r="AC236">
        <v>18</v>
      </c>
      <c r="AD236" t="s">
        <v>24599</v>
      </c>
      <c r="AF236">
        <v>41</v>
      </c>
      <c r="AG236">
        <v>2</v>
      </c>
      <c r="AH236">
        <v>0</v>
      </c>
      <c r="AI236">
        <v>25.86</v>
      </c>
      <c r="AL236" t="s">
        <v>5011</v>
      </c>
      <c r="AM236">
        <v>4373.1</v>
      </c>
      <c r="AS236">
        <v>0.6</v>
      </c>
      <c r="AT236" t="s">
        <v>516</v>
      </c>
      <c r="AU236" t="s">
        <v>25247</v>
      </c>
      <c r="AW236" t="s">
        <v>11447</v>
      </c>
    </row>
    <row r="237" spans="1:49">
      <c r="A237" s="1">
        <f>HYPERLINK("https://lsnyc.legalserver.org/matter/dynamic-profile/view/1904288","19-1904288")</f>
        <v>0</v>
      </c>
      <c r="B237" t="s">
        <v>75</v>
      </c>
      <c r="C237" t="s">
        <v>332</v>
      </c>
      <c r="E237" t="s">
        <v>1231</v>
      </c>
      <c r="F237" t="s">
        <v>3732</v>
      </c>
      <c r="G237" t="s">
        <v>6506</v>
      </c>
      <c r="H237" t="s">
        <v>10524</v>
      </c>
      <c r="I237" t="s">
        <v>11385</v>
      </c>
      <c r="J237">
        <v>11206</v>
      </c>
      <c r="K237" t="s">
        <v>11447</v>
      </c>
      <c r="L237" t="s">
        <v>11511</v>
      </c>
      <c r="M237" t="s">
        <v>14743</v>
      </c>
      <c r="P237" t="s">
        <v>14795</v>
      </c>
      <c r="S237" t="s">
        <v>14827</v>
      </c>
      <c r="V237">
        <v>1017</v>
      </c>
      <c r="W237" t="s">
        <v>14859</v>
      </c>
      <c r="X237" t="s">
        <v>14872</v>
      </c>
      <c r="Z237" t="s">
        <v>15130</v>
      </c>
      <c r="AB237" t="s">
        <v>20292</v>
      </c>
      <c r="AC237">
        <v>16</v>
      </c>
      <c r="AD237" t="s">
        <v>24599</v>
      </c>
      <c r="AE237" t="s">
        <v>11459</v>
      </c>
      <c r="AF237">
        <v>3</v>
      </c>
      <c r="AG237">
        <v>1</v>
      </c>
      <c r="AH237">
        <v>1</v>
      </c>
      <c r="AI237">
        <v>26.61</v>
      </c>
      <c r="AL237" t="s">
        <v>5011</v>
      </c>
      <c r="AM237">
        <v>4500</v>
      </c>
      <c r="AS237">
        <v>0.9</v>
      </c>
      <c r="AT237" t="s">
        <v>520</v>
      </c>
      <c r="AU237" t="s">
        <v>25244</v>
      </c>
      <c r="AW237" t="s">
        <v>11447</v>
      </c>
    </row>
    <row r="238" spans="1:49">
      <c r="A238" s="1">
        <f>HYPERLINK("https://lsnyc.legalserver.org/matter/dynamic-profile/view/1886421","18-1886421")</f>
        <v>0</v>
      </c>
      <c r="B238" t="s">
        <v>74</v>
      </c>
      <c r="C238" t="s">
        <v>451</v>
      </c>
      <c r="E238" t="s">
        <v>1232</v>
      </c>
      <c r="F238" t="s">
        <v>3733</v>
      </c>
      <c r="G238" t="s">
        <v>6507</v>
      </c>
      <c r="H238">
        <v>402</v>
      </c>
      <c r="I238" t="s">
        <v>11410</v>
      </c>
      <c r="J238">
        <v>11692</v>
      </c>
      <c r="K238" t="s">
        <v>11447</v>
      </c>
      <c r="P238" t="s">
        <v>14795</v>
      </c>
      <c r="S238" t="s">
        <v>14829</v>
      </c>
      <c r="V238">
        <v>0</v>
      </c>
      <c r="W238" t="s">
        <v>14861</v>
      </c>
      <c r="Z238" t="s">
        <v>15131</v>
      </c>
      <c r="AB238" t="s">
        <v>20293</v>
      </c>
      <c r="AC238">
        <v>0</v>
      </c>
      <c r="AF238">
        <v>0</v>
      </c>
      <c r="AG238">
        <v>2</v>
      </c>
      <c r="AH238">
        <v>1</v>
      </c>
      <c r="AI238">
        <v>27.03</v>
      </c>
      <c r="AL238" t="s">
        <v>5011</v>
      </c>
      <c r="AM238">
        <v>5616</v>
      </c>
      <c r="AS238">
        <v>3</v>
      </c>
      <c r="AT238" t="s">
        <v>542</v>
      </c>
      <c r="AU238" t="s">
        <v>25255</v>
      </c>
      <c r="AW238" t="s">
        <v>11447</v>
      </c>
    </row>
    <row r="239" spans="1:49">
      <c r="A239" s="1">
        <f>HYPERLINK("https://lsnyc.legalserver.org/matter/dynamic-profile/view/1902539","19-1902539")</f>
        <v>0</v>
      </c>
      <c r="B239" t="s">
        <v>127</v>
      </c>
      <c r="C239" t="s">
        <v>517</v>
      </c>
      <c r="E239" t="s">
        <v>1233</v>
      </c>
      <c r="F239" t="s">
        <v>3734</v>
      </c>
      <c r="G239" t="s">
        <v>6508</v>
      </c>
      <c r="H239" t="s">
        <v>10573</v>
      </c>
      <c r="I239" t="s">
        <v>11385</v>
      </c>
      <c r="J239">
        <v>11210</v>
      </c>
      <c r="K239" t="s">
        <v>11447</v>
      </c>
      <c r="L239" t="s">
        <v>11512</v>
      </c>
      <c r="M239" t="s">
        <v>14743</v>
      </c>
      <c r="P239" t="s">
        <v>14795</v>
      </c>
      <c r="Q239" t="s">
        <v>11448</v>
      </c>
      <c r="S239" t="s">
        <v>14827</v>
      </c>
      <c r="V239">
        <v>1350</v>
      </c>
      <c r="W239" t="s">
        <v>14859</v>
      </c>
      <c r="X239" t="s">
        <v>14755</v>
      </c>
      <c r="Z239" t="s">
        <v>15132</v>
      </c>
      <c r="AB239" t="s">
        <v>20294</v>
      </c>
      <c r="AC239">
        <v>70</v>
      </c>
      <c r="AD239" t="s">
        <v>11479</v>
      </c>
      <c r="AE239" t="s">
        <v>11459</v>
      </c>
      <c r="AF239">
        <v>5</v>
      </c>
      <c r="AG239">
        <v>1</v>
      </c>
      <c r="AH239">
        <v>0</v>
      </c>
      <c r="AI239">
        <v>27.29</v>
      </c>
      <c r="AL239" t="s">
        <v>5011</v>
      </c>
      <c r="AM239">
        <v>3408</v>
      </c>
      <c r="AS239">
        <v>8.5</v>
      </c>
      <c r="AT239" t="s">
        <v>603</v>
      </c>
      <c r="AU239" t="s">
        <v>25244</v>
      </c>
      <c r="AW239" t="s">
        <v>11447</v>
      </c>
    </row>
    <row r="240" spans="1:49">
      <c r="A240" s="1">
        <f>HYPERLINK("https://lsnyc.legalserver.org/matter/dynamic-profile/view/1912440","19-1912440")</f>
        <v>0</v>
      </c>
      <c r="B240" t="s">
        <v>55</v>
      </c>
      <c r="C240" t="s">
        <v>489</v>
      </c>
      <c r="E240" t="s">
        <v>1234</v>
      </c>
      <c r="F240" t="s">
        <v>3735</v>
      </c>
      <c r="G240" t="s">
        <v>6509</v>
      </c>
      <c r="H240" t="s">
        <v>10574</v>
      </c>
      <c r="I240" t="s">
        <v>11386</v>
      </c>
      <c r="J240">
        <v>10027</v>
      </c>
      <c r="K240" t="s">
        <v>11447</v>
      </c>
      <c r="M240" t="s">
        <v>14746</v>
      </c>
      <c r="P240" t="s">
        <v>14795</v>
      </c>
      <c r="S240" t="s">
        <v>14828</v>
      </c>
      <c r="V240">
        <v>380</v>
      </c>
      <c r="W240" t="s">
        <v>14860</v>
      </c>
      <c r="X240" t="s">
        <v>14872</v>
      </c>
      <c r="Z240" t="s">
        <v>15133</v>
      </c>
      <c r="AB240" t="s">
        <v>20295</v>
      </c>
      <c r="AC240">
        <v>24</v>
      </c>
      <c r="AD240" t="s">
        <v>24597</v>
      </c>
      <c r="AE240" t="s">
        <v>14755</v>
      </c>
      <c r="AF240">
        <v>2</v>
      </c>
      <c r="AG240">
        <v>1</v>
      </c>
      <c r="AH240">
        <v>1</v>
      </c>
      <c r="AI240">
        <v>29.57</v>
      </c>
      <c r="AL240" t="s">
        <v>5011</v>
      </c>
      <c r="AM240">
        <v>5000</v>
      </c>
      <c r="AS240">
        <v>0.6</v>
      </c>
      <c r="AT240" t="s">
        <v>489</v>
      </c>
      <c r="AU240" t="s">
        <v>25244</v>
      </c>
      <c r="AW240" t="s">
        <v>11447</v>
      </c>
    </row>
    <row r="241" spans="1:49">
      <c r="A241" s="1">
        <f>HYPERLINK("https://lsnyc.legalserver.org/matter/dynamic-profile/view/1906381","19-1906381")</f>
        <v>0</v>
      </c>
      <c r="B241" t="s">
        <v>75</v>
      </c>
      <c r="C241" t="s">
        <v>485</v>
      </c>
      <c r="E241" t="s">
        <v>1235</v>
      </c>
      <c r="F241" t="s">
        <v>3736</v>
      </c>
      <c r="G241" t="s">
        <v>6510</v>
      </c>
      <c r="H241">
        <v>605</v>
      </c>
      <c r="I241" t="s">
        <v>11385</v>
      </c>
      <c r="J241">
        <v>11206</v>
      </c>
      <c r="K241" t="s">
        <v>11447</v>
      </c>
      <c r="P241" t="s">
        <v>14795</v>
      </c>
      <c r="S241" t="s">
        <v>14827</v>
      </c>
      <c r="V241">
        <v>1007</v>
      </c>
      <c r="W241" t="s">
        <v>14859</v>
      </c>
      <c r="X241" t="s">
        <v>14870</v>
      </c>
      <c r="Z241" t="s">
        <v>15134</v>
      </c>
      <c r="AB241" t="s">
        <v>20296</v>
      </c>
      <c r="AC241">
        <v>40</v>
      </c>
      <c r="AF241">
        <v>10</v>
      </c>
      <c r="AG241">
        <v>2</v>
      </c>
      <c r="AH241">
        <v>2</v>
      </c>
      <c r="AI241">
        <v>30.21</v>
      </c>
      <c r="AL241" t="s">
        <v>24632</v>
      </c>
      <c r="AM241">
        <v>7780</v>
      </c>
      <c r="AS241">
        <v>1.1</v>
      </c>
      <c r="AT241" t="s">
        <v>620</v>
      </c>
      <c r="AU241" t="s">
        <v>25238</v>
      </c>
      <c r="AW241" t="s">
        <v>11447</v>
      </c>
    </row>
    <row r="242" spans="1:49">
      <c r="A242" s="1">
        <f>HYPERLINK("https://lsnyc.legalserver.org/matter/dynamic-profile/view/1898692","19-1898692")</f>
        <v>0</v>
      </c>
      <c r="B242" t="s">
        <v>112</v>
      </c>
      <c r="C242" t="s">
        <v>518</v>
      </c>
      <c r="E242" t="s">
        <v>1236</v>
      </c>
      <c r="F242" t="s">
        <v>3649</v>
      </c>
      <c r="G242" t="s">
        <v>6511</v>
      </c>
      <c r="H242">
        <v>3</v>
      </c>
      <c r="I242" t="s">
        <v>11383</v>
      </c>
      <c r="J242">
        <v>10467</v>
      </c>
      <c r="K242" t="s">
        <v>11447</v>
      </c>
      <c r="P242" t="s">
        <v>14795</v>
      </c>
      <c r="S242" t="s">
        <v>14829</v>
      </c>
      <c r="V242">
        <v>0</v>
      </c>
      <c r="W242" t="s">
        <v>14858</v>
      </c>
      <c r="Z242" t="s">
        <v>15135</v>
      </c>
      <c r="AB242" t="s">
        <v>20297</v>
      </c>
      <c r="AC242">
        <v>0</v>
      </c>
      <c r="AF242">
        <v>0</v>
      </c>
      <c r="AG242">
        <v>1</v>
      </c>
      <c r="AH242">
        <v>3</v>
      </c>
      <c r="AI242">
        <v>32.62</v>
      </c>
      <c r="AL242" t="s">
        <v>5011</v>
      </c>
      <c r="AM242">
        <v>8400</v>
      </c>
      <c r="AS242">
        <v>1.5</v>
      </c>
      <c r="AT242" t="s">
        <v>331</v>
      </c>
      <c r="AU242" t="s">
        <v>25237</v>
      </c>
      <c r="AW242" t="s">
        <v>11447</v>
      </c>
    </row>
    <row r="243" spans="1:49">
      <c r="A243" s="1">
        <f>HYPERLINK("https://lsnyc.legalserver.org/matter/dynamic-profile/view/1913328","19-1913328")</f>
        <v>0</v>
      </c>
      <c r="B243" t="s">
        <v>75</v>
      </c>
      <c r="C243" t="s">
        <v>483</v>
      </c>
      <c r="E243" t="s">
        <v>1206</v>
      </c>
      <c r="F243" t="s">
        <v>3737</v>
      </c>
      <c r="G243" t="s">
        <v>6512</v>
      </c>
      <c r="H243" t="s">
        <v>10575</v>
      </c>
      <c r="I243" t="s">
        <v>11385</v>
      </c>
      <c r="J243">
        <v>11226</v>
      </c>
      <c r="K243" t="s">
        <v>11447</v>
      </c>
      <c r="P243" t="s">
        <v>14795</v>
      </c>
      <c r="S243" t="s">
        <v>14827</v>
      </c>
      <c r="V243">
        <v>1850</v>
      </c>
      <c r="W243" t="s">
        <v>14859</v>
      </c>
      <c r="X243" t="s">
        <v>14868</v>
      </c>
      <c r="Z243" t="s">
        <v>15136</v>
      </c>
      <c r="AB243" t="s">
        <v>20298</v>
      </c>
      <c r="AC243">
        <v>12</v>
      </c>
      <c r="AE243" t="s">
        <v>24610</v>
      </c>
      <c r="AF243">
        <v>36</v>
      </c>
      <c r="AG243">
        <v>1</v>
      </c>
      <c r="AH243">
        <v>0</v>
      </c>
      <c r="AI243">
        <v>33.92</v>
      </c>
      <c r="AL243" t="s">
        <v>5011</v>
      </c>
      <c r="AM243">
        <v>4236</v>
      </c>
      <c r="AS243">
        <v>1</v>
      </c>
      <c r="AT243" t="s">
        <v>483</v>
      </c>
      <c r="AU243" t="s">
        <v>25226</v>
      </c>
      <c r="AW243" t="s">
        <v>11447</v>
      </c>
    </row>
    <row r="244" spans="1:49">
      <c r="A244" s="1">
        <f>HYPERLINK("https://lsnyc.legalserver.org/matter/dynamic-profile/view/1907916","19-1907916")</f>
        <v>0</v>
      </c>
      <c r="B244" t="s">
        <v>63</v>
      </c>
      <c r="C244" t="s">
        <v>458</v>
      </c>
      <c r="E244" t="s">
        <v>1237</v>
      </c>
      <c r="F244" t="s">
        <v>2850</v>
      </c>
      <c r="G244" t="s">
        <v>6513</v>
      </c>
      <c r="H244">
        <v>3</v>
      </c>
      <c r="I244" t="s">
        <v>11405</v>
      </c>
      <c r="J244">
        <v>11416</v>
      </c>
      <c r="K244" t="s">
        <v>11447</v>
      </c>
      <c r="M244" t="s">
        <v>11601</v>
      </c>
      <c r="N244" t="s">
        <v>14779</v>
      </c>
      <c r="P244" t="s">
        <v>14795</v>
      </c>
      <c r="Q244" t="s">
        <v>11448</v>
      </c>
      <c r="S244" t="s">
        <v>14827</v>
      </c>
      <c r="V244">
        <v>591</v>
      </c>
      <c r="W244" t="s">
        <v>14861</v>
      </c>
      <c r="X244" t="s">
        <v>14866</v>
      </c>
      <c r="Z244" t="s">
        <v>15137</v>
      </c>
      <c r="AB244" t="s">
        <v>20299</v>
      </c>
      <c r="AC244">
        <v>2</v>
      </c>
      <c r="AD244" t="s">
        <v>24600</v>
      </c>
      <c r="AE244" t="s">
        <v>24610</v>
      </c>
      <c r="AF244">
        <v>3</v>
      </c>
      <c r="AG244">
        <v>1</v>
      </c>
      <c r="AH244">
        <v>4</v>
      </c>
      <c r="AI244">
        <v>35.84</v>
      </c>
      <c r="AL244" t="s">
        <v>5011</v>
      </c>
      <c r="AM244">
        <v>10812</v>
      </c>
      <c r="AS244">
        <v>1.58</v>
      </c>
      <c r="AT244" t="s">
        <v>662</v>
      </c>
      <c r="AU244" t="s">
        <v>25231</v>
      </c>
      <c r="AW244" t="s">
        <v>11447</v>
      </c>
    </row>
    <row r="245" spans="1:49">
      <c r="A245" s="1">
        <f>HYPERLINK("https://lsnyc.legalserver.org/matter/dynamic-profile/view/1904187","19-1904187")</f>
        <v>0</v>
      </c>
      <c r="B245" t="s">
        <v>128</v>
      </c>
      <c r="C245" t="s">
        <v>338</v>
      </c>
      <c r="E245" t="s">
        <v>1238</v>
      </c>
      <c r="F245" t="s">
        <v>3738</v>
      </c>
      <c r="G245" t="s">
        <v>6514</v>
      </c>
      <c r="H245" t="s">
        <v>10508</v>
      </c>
      <c r="I245" t="s">
        <v>11383</v>
      </c>
      <c r="J245">
        <v>10460</v>
      </c>
      <c r="K245" t="s">
        <v>11447</v>
      </c>
      <c r="M245" t="s">
        <v>11601</v>
      </c>
      <c r="P245" t="s">
        <v>14795</v>
      </c>
      <c r="S245" t="s">
        <v>14827</v>
      </c>
      <c r="V245">
        <v>1487</v>
      </c>
      <c r="W245" t="s">
        <v>14858</v>
      </c>
      <c r="Z245" t="s">
        <v>15138</v>
      </c>
      <c r="AB245" t="s">
        <v>20300</v>
      </c>
      <c r="AC245">
        <v>0</v>
      </c>
      <c r="AD245" t="s">
        <v>11479</v>
      </c>
      <c r="AE245" t="s">
        <v>24611</v>
      </c>
      <c r="AF245">
        <v>0</v>
      </c>
      <c r="AG245">
        <v>1</v>
      </c>
      <c r="AH245">
        <v>0</v>
      </c>
      <c r="AI245">
        <v>36.12</v>
      </c>
      <c r="AL245" t="s">
        <v>5011</v>
      </c>
      <c r="AM245">
        <v>4512</v>
      </c>
      <c r="AS245">
        <v>1.2</v>
      </c>
      <c r="AT245" t="s">
        <v>332</v>
      </c>
      <c r="AU245" t="s">
        <v>25231</v>
      </c>
      <c r="AW245" t="s">
        <v>11447</v>
      </c>
    </row>
    <row r="246" spans="1:49">
      <c r="A246" s="1">
        <f>HYPERLINK("https://lsnyc.legalserver.org/matter/dynamic-profile/view/1909769","19-1909769")</f>
        <v>0</v>
      </c>
      <c r="B246" t="s">
        <v>64</v>
      </c>
      <c r="C246" t="s">
        <v>519</v>
      </c>
      <c r="E246" t="s">
        <v>1239</v>
      </c>
      <c r="F246" t="s">
        <v>1194</v>
      </c>
      <c r="G246" t="s">
        <v>6515</v>
      </c>
      <c r="H246">
        <v>314</v>
      </c>
      <c r="I246" t="s">
        <v>11386</v>
      </c>
      <c r="J246">
        <v>10035</v>
      </c>
      <c r="K246" t="s">
        <v>11447</v>
      </c>
      <c r="P246" t="s">
        <v>14795</v>
      </c>
      <c r="S246" t="s">
        <v>14829</v>
      </c>
      <c r="V246">
        <v>0</v>
      </c>
      <c r="W246" t="s">
        <v>14860</v>
      </c>
      <c r="Z246" t="s">
        <v>15139</v>
      </c>
      <c r="AB246" t="s">
        <v>20301</v>
      </c>
      <c r="AC246">
        <v>0</v>
      </c>
      <c r="AF246">
        <v>0</v>
      </c>
      <c r="AG246">
        <v>1</v>
      </c>
      <c r="AH246">
        <v>0</v>
      </c>
      <c r="AI246">
        <v>37.57</v>
      </c>
      <c r="AM246">
        <v>4692</v>
      </c>
      <c r="AS246">
        <v>13.2</v>
      </c>
      <c r="AT246" t="s">
        <v>486</v>
      </c>
      <c r="AU246" t="s">
        <v>118</v>
      </c>
      <c r="AW246" t="s">
        <v>11447</v>
      </c>
    </row>
    <row r="247" spans="1:49">
      <c r="A247" s="1">
        <f>HYPERLINK("https://lsnyc.legalserver.org/matter/dynamic-profile/view/1905432","19-1905432")</f>
        <v>0</v>
      </c>
      <c r="B247" t="s">
        <v>99</v>
      </c>
      <c r="C247" t="s">
        <v>520</v>
      </c>
      <c r="E247" t="s">
        <v>1240</v>
      </c>
      <c r="F247" t="s">
        <v>3739</v>
      </c>
      <c r="G247" t="s">
        <v>6516</v>
      </c>
      <c r="H247" t="s">
        <v>10481</v>
      </c>
      <c r="I247" t="s">
        <v>11390</v>
      </c>
      <c r="J247">
        <v>11368</v>
      </c>
      <c r="K247" t="s">
        <v>11446</v>
      </c>
      <c r="L247" t="s">
        <v>11513</v>
      </c>
      <c r="M247" t="s">
        <v>14744</v>
      </c>
      <c r="N247" t="s">
        <v>14779</v>
      </c>
      <c r="P247" t="s">
        <v>14795</v>
      </c>
      <c r="S247" t="s">
        <v>14827</v>
      </c>
      <c r="V247">
        <v>839.9299999999999</v>
      </c>
      <c r="W247" t="s">
        <v>14861</v>
      </c>
      <c r="X247" t="s">
        <v>14871</v>
      </c>
      <c r="Z247" t="s">
        <v>15140</v>
      </c>
      <c r="AA247">
        <v>88281319859</v>
      </c>
      <c r="AB247" t="s">
        <v>20302</v>
      </c>
      <c r="AC247">
        <v>15</v>
      </c>
      <c r="AF247">
        <v>30</v>
      </c>
      <c r="AG247">
        <v>1</v>
      </c>
      <c r="AH247">
        <v>0</v>
      </c>
      <c r="AI247">
        <v>38.14</v>
      </c>
      <c r="AL247" t="s">
        <v>5011</v>
      </c>
      <c r="AM247">
        <v>4764</v>
      </c>
      <c r="AS247">
        <v>6.95</v>
      </c>
      <c r="AT247" t="s">
        <v>509</v>
      </c>
      <c r="AU247" t="s">
        <v>99</v>
      </c>
      <c r="AW247" t="s">
        <v>11447</v>
      </c>
    </row>
    <row r="248" spans="1:49">
      <c r="A248" s="1">
        <f>HYPERLINK("https://lsnyc.legalserver.org/matter/dynamic-profile/view/1915054","19-1915054")</f>
        <v>0</v>
      </c>
      <c r="B248" t="s">
        <v>129</v>
      </c>
      <c r="C248" t="s">
        <v>521</v>
      </c>
      <c r="E248" t="s">
        <v>1241</v>
      </c>
      <c r="F248" t="s">
        <v>3740</v>
      </c>
      <c r="G248" t="s">
        <v>6517</v>
      </c>
      <c r="H248" t="s">
        <v>10576</v>
      </c>
      <c r="I248" t="s">
        <v>11385</v>
      </c>
      <c r="J248">
        <v>11213</v>
      </c>
      <c r="K248" t="s">
        <v>11447</v>
      </c>
      <c r="M248" t="s">
        <v>14746</v>
      </c>
      <c r="N248" t="s">
        <v>14782</v>
      </c>
      <c r="P248" t="s">
        <v>14795</v>
      </c>
      <c r="S248" t="s">
        <v>14828</v>
      </c>
      <c r="V248">
        <v>215</v>
      </c>
      <c r="W248" t="s">
        <v>14859</v>
      </c>
      <c r="X248" t="s">
        <v>14867</v>
      </c>
      <c r="Z248" t="s">
        <v>15141</v>
      </c>
      <c r="AB248" t="s">
        <v>20303</v>
      </c>
      <c r="AC248">
        <v>0</v>
      </c>
      <c r="AF248">
        <v>35</v>
      </c>
      <c r="AG248">
        <v>1</v>
      </c>
      <c r="AH248">
        <v>0</v>
      </c>
      <c r="AI248">
        <v>39.13</v>
      </c>
      <c r="AL248" t="s">
        <v>5011</v>
      </c>
      <c r="AM248">
        <v>4887.96</v>
      </c>
      <c r="AS248">
        <v>0.1</v>
      </c>
      <c r="AT248" t="s">
        <v>521</v>
      </c>
      <c r="AU248" t="s">
        <v>129</v>
      </c>
      <c r="AW248" t="s">
        <v>11447</v>
      </c>
    </row>
    <row r="249" spans="1:49">
      <c r="A249" s="1">
        <f>HYPERLINK("https://lsnyc.legalserver.org/matter/dynamic-profile/view/1908130","19-1908130")</f>
        <v>0</v>
      </c>
      <c r="B249" t="s">
        <v>92</v>
      </c>
      <c r="C249" t="s">
        <v>372</v>
      </c>
      <c r="E249" t="s">
        <v>1242</v>
      </c>
      <c r="F249" t="s">
        <v>3727</v>
      </c>
      <c r="G249" t="s">
        <v>6452</v>
      </c>
      <c r="H249" t="s">
        <v>10577</v>
      </c>
      <c r="I249" t="s">
        <v>11383</v>
      </c>
      <c r="J249">
        <v>10453</v>
      </c>
      <c r="K249" t="s">
        <v>11446</v>
      </c>
      <c r="L249" t="s">
        <v>11514</v>
      </c>
      <c r="M249" t="s">
        <v>14744</v>
      </c>
      <c r="P249" t="s">
        <v>14795</v>
      </c>
      <c r="R249" t="s">
        <v>14797</v>
      </c>
      <c r="S249" t="s">
        <v>14827</v>
      </c>
      <c r="V249">
        <v>1540</v>
      </c>
      <c r="W249" t="s">
        <v>14858</v>
      </c>
      <c r="Z249" t="s">
        <v>15142</v>
      </c>
      <c r="AB249" t="s">
        <v>20304</v>
      </c>
      <c r="AC249">
        <v>0</v>
      </c>
      <c r="AD249" t="s">
        <v>24595</v>
      </c>
      <c r="AE249" t="s">
        <v>24616</v>
      </c>
      <c r="AF249">
        <v>5</v>
      </c>
      <c r="AG249">
        <v>2</v>
      </c>
      <c r="AH249">
        <v>3</v>
      </c>
      <c r="AI249">
        <v>39.89</v>
      </c>
      <c r="AL249" t="s">
        <v>5011</v>
      </c>
      <c r="AM249">
        <v>12036</v>
      </c>
      <c r="AS249">
        <v>1</v>
      </c>
      <c r="AT249" t="s">
        <v>372</v>
      </c>
      <c r="AU249" t="s">
        <v>25231</v>
      </c>
      <c r="AV249" t="s">
        <v>25335</v>
      </c>
      <c r="AW249" t="s">
        <v>11447</v>
      </c>
    </row>
    <row r="250" spans="1:49">
      <c r="A250" s="1">
        <f>HYPERLINK("https://lsnyc.legalserver.org/matter/dynamic-profile/view/1899671","19-1899671")</f>
        <v>0</v>
      </c>
      <c r="B250" t="s">
        <v>130</v>
      </c>
      <c r="C250" t="s">
        <v>369</v>
      </c>
      <c r="E250" t="s">
        <v>1243</v>
      </c>
      <c r="F250" t="s">
        <v>3552</v>
      </c>
      <c r="G250" t="s">
        <v>6518</v>
      </c>
      <c r="H250">
        <v>9</v>
      </c>
      <c r="I250" t="s">
        <v>11383</v>
      </c>
      <c r="J250">
        <v>10458</v>
      </c>
      <c r="K250" t="s">
        <v>11446</v>
      </c>
      <c r="M250" t="s">
        <v>14744</v>
      </c>
      <c r="N250" t="s">
        <v>14778</v>
      </c>
      <c r="P250" t="s">
        <v>14795</v>
      </c>
      <c r="S250" t="s">
        <v>14827</v>
      </c>
      <c r="V250">
        <v>0</v>
      </c>
      <c r="W250" t="s">
        <v>14858</v>
      </c>
      <c r="Z250" t="s">
        <v>15143</v>
      </c>
      <c r="AB250" t="s">
        <v>20305</v>
      </c>
      <c r="AC250">
        <v>0</v>
      </c>
      <c r="AF250">
        <v>0</v>
      </c>
      <c r="AG250">
        <v>1</v>
      </c>
      <c r="AH250">
        <v>3</v>
      </c>
      <c r="AI250">
        <v>40.39</v>
      </c>
      <c r="AL250" t="s">
        <v>5011</v>
      </c>
      <c r="AM250">
        <v>10400</v>
      </c>
      <c r="AN250" t="s">
        <v>24691</v>
      </c>
      <c r="AS250">
        <v>1</v>
      </c>
      <c r="AT250" t="s">
        <v>545</v>
      </c>
      <c r="AU250" t="s">
        <v>145</v>
      </c>
      <c r="AV250" t="s">
        <v>25335</v>
      </c>
      <c r="AW250" t="s">
        <v>11447</v>
      </c>
    </row>
    <row r="251" spans="1:49">
      <c r="A251" s="1">
        <f>HYPERLINK("https://lsnyc.legalserver.org/matter/dynamic-profile/view/1898518","19-1898518")</f>
        <v>0</v>
      </c>
      <c r="B251" t="s">
        <v>113</v>
      </c>
      <c r="C251" t="s">
        <v>411</v>
      </c>
      <c r="E251" t="s">
        <v>1244</v>
      </c>
      <c r="F251" t="s">
        <v>1801</v>
      </c>
      <c r="G251" t="s">
        <v>6519</v>
      </c>
      <c r="H251">
        <v>1</v>
      </c>
      <c r="I251" t="s">
        <v>11383</v>
      </c>
      <c r="J251">
        <v>10452</v>
      </c>
      <c r="K251" t="s">
        <v>11447</v>
      </c>
      <c r="L251" t="s">
        <v>11515</v>
      </c>
      <c r="P251" t="s">
        <v>14795</v>
      </c>
      <c r="S251" t="s">
        <v>14827</v>
      </c>
      <c r="V251">
        <v>1189</v>
      </c>
      <c r="W251" t="s">
        <v>14858</v>
      </c>
      <c r="X251" t="s">
        <v>14755</v>
      </c>
      <c r="Z251" t="s">
        <v>15144</v>
      </c>
      <c r="AC251">
        <v>30</v>
      </c>
      <c r="AD251" t="s">
        <v>11479</v>
      </c>
      <c r="AE251" t="s">
        <v>11459</v>
      </c>
      <c r="AF251">
        <v>8</v>
      </c>
      <c r="AG251">
        <v>1</v>
      </c>
      <c r="AH251">
        <v>2</v>
      </c>
      <c r="AI251">
        <v>41.63</v>
      </c>
      <c r="AL251" t="s">
        <v>24632</v>
      </c>
      <c r="AM251">
        <v>8880</v>
      </c>
      <c r="AS251">
        <v>1</v>
      </c>
      <c r="AT251" t="s">
        <v>411</v>
      </c>
      <c r="AU251" t="s">
        <v>25233</v>
      </c>
      <c r="AW251" t="s">
        <v>11447</v>
      </c>
    </row>
    <row r="252" spans="1:49">
      <c r="A252" s="1">
        <f>HYPERLINK("https://lsnyc.legalserver.org/matter/dynamic-profile/view/1903666","19-1903666")</f>
        <v>0</v>
      </c>
      <c r="B252" t="s">
        <v>75</v>
      </c>
      <c r="C252" t="s">
        <v>522</v>
      </c>
      <c r="E252" t="s">
        <v>1030</v>
      </c>
      <c r="F252" t="s">
        <v>3621</v>
      </c>
      <c r="G252" t="s">
        <v>6520</v>
      </c>
      <c r="H252" t="s">
        <v>10578</v>
      </c>
      <c r="I252" t="s">
        <v>11385</v>
      </c>
      <c r="J252">
        <v>11203</v>
      </c>
      <c r="K252" t="s">
        <v>11447</v>
      </c>
      <c r="P252" t="s">
        <v>14795</v>
      </c>
      <c r="S252" t="s">
        <v>14827</v>
      </c>
      <c r="V252">
        <v>820</v>
      </c>
      <c r="W252" t="s">
        <v>14859</v>
      </c>
      <c r="X252" t="s">
        <v>14867</v>
      </c>
      <c r="Z252" t="s">
        <v>15145</v>
      </c>
      <c r="AB252" t="s">
        <v>20306</v>
      </c>
      <c r="AC252">
        <v>109</v>
      </c>
      <c r="AD252" t="s">
        <v>24595</v>
      </c>
      <c r="AE252" t="s">
        <v>24613</v>
      </c>
      <c r="AF252">
        <v>41</v>
      </c>
      <c r="AG252">
        <v>2</v>
      </c>
      <c r="AH252">
        <v>2</v>
      </c>
      <c r="AI252">
        <v>42.55</v>
      </c>
      <c r="AL252" t="s">
        <v>5011</v>
      </c>
      <c r="AM252">
        <v>10956</v>
      </c>
      <c r="AS252">
        <v>0.6</v>
      </c>
      <c r="AT252" t="s">
        <v>522</v>
      </c>
      <c r="AU252" t="s">
        <v>25225</v>
      </c>
      <c r="AW252" t="s">
        <v>11447</v>
      </c>
    </row>
    <row r="253" spans="1:49">
      <c r="A253" s="1">
        <f>HYPERLINK("https://lsnyc.legalserver.org/matter/dynamic-profile/view/1908196","19-1908196")</f>
        <v>0</v>
      </c>
      <c r="B253" t="s">
        <v>92</v>
      </c>
      <c r="C253" t="s">
        <v>372</v>
      </c>
      <c r="E253" t="s">
        <v>1117</v>
      </c>
      <c r="F253" t="s">
        <v>3741</v>
      </c>
      <c r="G253" t="s">
        <v>6521</v>
      </c>
      <c r="H253" t="s">
        <v>10579</v>
      </c>
      <c r="I253" t="s">
        <v>11383</v>
      </c>
      <c r="J253">
        <v>10457</v>
      </c>
      <c r="K253" t="s">
        <v>11446</v>
      </c>
      <c r="N253" t="s">
        <v>14778</v>
      </c>
      <c r="P253" t="s">
        <v>14795</v>
      </c>
      <c r="R253" t="s">
        <v>14797</v>
      </c>
      <c r="S253" t="s">
        <v>14827</v>
      </c>
      <c r="V253">
        <v>291</v>
      </c>
      <c r="W253" t="s">
        <v>14858</v>
      </c>
      <c r="X253" t="s">
        <v>14868</v>
      </c>
      <c r="Z253" t="s">
        <v>15146</v>
      </c>
      <c r="AB253" t="s">
        <v>20307</v>
      </c>
      <c r="AC253">
        <v>22</v>
      </c>
      <c r="AE253" t="s">
        <v>24610</v>
      </c>
      <c r="AF253">
        <v>12</v>
      </c>
      <c r="AG253">
        <v>2</v>
      </c>
      <c r="AH253">
        <v>1</v>
      </c>
      <c r="AI253">
        <v>42.66</v>
      </c>
      <c r="AL253" t="s">
        <v>5011</v>
      </c>
      <c r="AM253">
        <v>9100</v>
      </c>
      <c r="AS253">
        <v>2.55</v>
      </c>
      <c r="AT253" t="s">
        <v>601</v>
      </c>
      <c r="AU253" t="s">
        <v>25226</v>
      </c>
      <c r="AV253" t="s">
        <v>25335</v>
      </c>
      <c r="AW253" t="s">
        <v>11447</v>
      </c>
    </row>
    <row r="254" spans="1:49">
      <c r="A254" s="1">
        <f>HYPERLINK("https://lsnyc.legalserver.org/matter/dynamic-profile/view/1911179","19-1911179")</f>
        <v>0</v>
      </c>
      <c r="B254" t="s">
        <v>119</v>
      </c>
      <c r="C254" t="s">
        <v>475</v>
      </c>
      <c r="E254" t="s">
        <v>1245</v>
      </c>
      <c r="F254" t="s">
        <v>3742</v>
      </c>
      <c r="G254" t="s">
        <v>6522</v>
      </c>
      <c r="H254" t="s">
        <v>10573</v>
      </c>
      <c r="I254" t="s">
        <v>11383</v>
      </c>
      <c r="J254">
        <v>10462</v>
      </c>
      <c r="K254" t="s">
        <v>11447</v>
      </c>
      <c r="P254" t="s">
        <v>14795</v>
      </c>
      <c r="S254" t="s">
        <v>14827</v>
      </c>
      <c r="V254">
        <v>906</v>
      </c>
      <c r="W254" t="s">
        <v>14858</v>
      </c>
      <c r="X254" t="s">
        <v>14868</v>
      </c>
      <c r="Z254" t="s">
        <v>15147</v>
      </c>
      <c r="AB254" t="s">
        <v>20308</v>
      </c>
      <c r="AC254">
        <v>39</v>
      </c>
      <c r="AD254" t="s">
        <v>24599</v>
      </c>
      <c r="AE254" t="s">
        <v>11459</v>
      </c>
      <c r="AF254">
        <v>39</v>
      </c>
      <c r="AG254">
        <v>1</v>
      </c>
      <c r="AH254">
        <v>2</v>
      </c>
      <c r="AI254">
        <v>43.88</v>
      </c>
      <c r="AL254" t="s">
        <v>5011</v>
      </c>
      <c r="AM254">
        <v>9360</v>
      </c>
      <c r="AS254">
        <v>1.2</v>
      </c>
      <c r="AT254" t="s">
        <v>516</v>
      </c>
      <c r="AU254" t="s">
        <v>25226</v>
      </c>
      <c r="AW254" t="s">
        <v>11447</v>
      </c>
    </row>
    <row r="255" spans="1:49">
      <c r="A255" s="1">
        <f>HYPERLINK("https://lsnyc.legalserver.org/matter/dynamic-profile/view/1885862","18-1885862")</f>
        <v>0</v>
      </c>
      <c r="B255" t="s">
        <v>92</v>
      </c>
      <c r="C255" t="s">
        <v>523</v>
      </c>
      <c r="E255" t="s">
        <v>1246</v>
      </c>
      <c r="F255" t="s">
        <v>3743</v>
      </c>
      <c r="G255" t="s">
        <v>6523</v>
      </c>
      <c r="H255">
        <v>2</v>
      </c>
      <c r="I255" t="s">
        <v>11383</v>
      </c>
      <c r="J255">
        <v>10459</v>
      </c>
      <c r="K255" t="s">
        <v>11447</v>
      </c>
      <c r="M255" t="s">
        <v>14747</v>
      </c>
      <c r="N255" t="s">
        <v>14778</v>
      </c>
      <c r="P255" t="s">
        <v>14795</v>
      </c>
      <c r="Q255" t="s">
        <v>11448</v>
      </c>
      <c r="S255" t="s">
        <v>14827</v>
      </c>
      <c r="V255">
        <v>1956</v>
      </c>
      <c r="W255" t="s">
        <v>14858</v>
      </c>
      <c r="X255" t="s">
        <v>14866</v>
      </c>
      <c r="Z255" t="s">
        <v>15148</v>
      </c>
      <c r="AB255" t="s">
        <v>20309</v>
      </c>
      <c r="AC255">
        <v>3</v>
      </c>
      <c r="AD255" t="s">
        <v>24595</v>
      </c>
      <c r="AE255" t="s">
        <v>24615</v>
      </c>
      <c r="AF255">
        <v>0</v>
      </c>
      <c r="AG255">
        <v>2</v>
      </c>
      <c r="AH255">
        <v>3</v>
      </c>
      <c r="AI255">
        <v>44.87</v>
      </c>
      <c r="AL255" t="s">
        <v>5011</v>
      </c>
      <c r="AM255">
        <v>13200</v>
      </c>
      <c r="AN255" t="s">
        <v>24692</v>
      </c>
      <c r="AS255">
        <v>0.66</v>
      </c>
      <c r="AT255" t="s">
        <v>523</v>
      </c>
      <c r="AU255" t="s">
        <v>25240</v>
      </c>
      <c r="AW255" t="s">
        <v>11448</v>
      </c>
    </row>
    <row r="256" spans="1:49">
      <c r="A256" s="1">
        <f>HYPERLINK("https://lsnyc.legalserver.org/matter/dynamic-profile/view/1908572","19-1908572")</f>
        <v>0</v>
      </c>
      <c r="B256" t="s">
        <v>131</v>
      </c>
      <c r="C256" t="s">
        <v>466</v>
      </c>
      <c r="E256" t="s">
        <v>1247</v>
      </c>
      <c r="F256" t="s">
        <v>3744</v>
      </c>
      <c r="G256" t="s">
        <v>6524</v>
      </c>
      <c r="H256" t="s">
        <v>10580</v>
      </c>
      <c r="I256" t="s">
        <v>11385</v>
      </c>
      <c r="J256">
        <v>11218</v>
      </c>
      <c r="K256" t="s">
        <v>11447</v>
      </c>
      <c r="P256" t="s">
        <v>14795</v>
      </c>
      <c r="S256" t="s">
        <v>14827</v>
      </c>
      <c r="V256">
        <v>0</v>
      </c>
      <c r="W256" t="s">
        <v>14859</v>
      </c>
      <c r="Z256" t="s">
        <v>15149</v>
      </c>
      <c r="AB256" t="s">
        <v>20310</v>
      </c>
      <c r="AC256">
        <v>0</v>
      </c>
      <c r="AF256">
        <v>0</v>
      </c>
      <c r="AG256">
        <v>2</v>
      </c>
      <c r="AH256">
        <v>0</v>
      </c>
      <c r="AI256">
        <v>45.35</v>
      </c>
      <c r="AL256" t="s">
        <v>5011</v>
      </c>
      <c r="AM256">
        <v>7668</v>
      </c>
      <c r="AS256">
        <v>1.4</v>
      </c>
      <c r="AT256" t="s">
        <v>467</v>
      </c>
      <c r="AU256" t="s">
        <v>25229</v>
      </c>
      <c r="AW256" t="s">
        <v>11447</v>
      </c>
    </row>
    <row r="257" spans="1:49">
      <c r="A257" s="1">
        <f>HYPERLINK("https://lsnyc.legalserver.org/matter/dynamic-profile/view/1907819","19-1907819")</f>
        <v>0</v>
      </c>
      <c r="B257" t="s">
        <v>92</v>
      </c>
      <c r="C257" t="s">
        <v>524</v>
      </c>
      <c r="E257" t="s">
        <v>1248</v>
      </c>
      <c r="F257" t="s">
        <v>3745</v>
      </c>
      <c r="G257" t="s">
        <v>6525</v>
      </c>
      <c r="H257" t="s">
        <v>10581</v>
      </c>
      <c r="I257" t="s">
        <v>11383</v>
      </c>
      <c r="J257">
        <v>10453</v>
      </c>
      <c r="K257" t="s">
        <v>11447</v>
      </c>
      <c r="M257" t="s">
        <v>11601</v>
      </c>
      <c r="P257" t="s">
        <v>14795</v>
      </c>
      <c r="S257" t="s">
        <v>14827</v>
      </c>
      <c r="V257">
        <v>1542.96</v>
      </c>
      <c r="W257" t="s">
        <v>14858</v>
      </c>
      <c r="X257" t="s">
        <v>14876</v>
      </c>
      <c r="Z257" t="s">
        <v>15150</v>
      </c>
      <c r="AB257" t="s">
        <v>20311</v>
      </c>
      <c r="AC257">
        <v>48</v>
      </c>
      <c r="AD257" t="s">
        <v>11479</v>
      </c>
      <c r="AF257">
        <v>20</v>
      </c>
      <c r="AG257">
        <v>1</v>
      </c>
      <c r="AH257">
        <v>0</v>
      </c>
      <c r="AI257">
        <v>46.02</v>
      </c>
      <c r="AL257" t="s">
        <v>5011</v>
      </c>
      <c r="AM257">
        <v>5748</v>
      </c>
      <c r="AS257">
        <v>0.9</v>
      </c>
      <c r="AT257" t="s">
        <v>466</v>
      </c>
      <c r="AU257" t="s">
        <v>25244</v>
      </c>
      <c r="AW257" t="s">
        <v>11447</v>
      </c>
    </row>
    <row r="258" spans="1:49">
      <c r="A258" s="1">
        <f>HYPERLINK("https://lsnyc.legalserver.org/matter/dynamic-profile/view/1858900","18-1858900")</f>
        <v>0</v>
      </c>
      <c r="B258" t="s">
        <v>132</v>
      </c>
      <c r="C258" t="s">
        <v>525</v>
      </c>
      <c r="E258" t="s">
        <v>1249</v>
      </c>
      <c r="F258" t="s">
        <v>3746</v>
      </c>
      <c r="G258" t="s">
        <v>6526</v>
      </c>
      <c r="H258" t="s">
        <v>10460</v>
      </c>
      <c r="I258" t="s">
        <v>11383</v>
      </c>
      <c r="J258">
        <v>10459</v>
      </c>
      <c r="K258" t="s">
        <v>11448</v>
      </c>
      <c r="L258" t="s">
        <v>11516</v>
      </c>
      <c r="M258" t="s">
        <v>14744</v>
      </c>
      <c r="N258" t="s">
        <v>14781</v>
      </c>
      <c r="P258" t="s">
        <v>14795</v>
      </c>
      <c r="Q258" t="s">
        <v>11448</v>
      </c>
      <c r="S258" t="s">
        <v>14827</v>
      </c>
      <c r="V258">
        <v>747</v>
      </c>
      <c r="W258" t="s">
        <v>14858</v>
      </c>
      <c r="Z258" t="s">
        <v>15151</v>
      </c>
      <c r="AC258">
        <v>0</v>
      </c>
      <c r="AD258" t="s">
        <v>24602</v>
      </c>
      <c r="AF258">
        <v>0</v>
      </c>
      <c r="AG258">
        <v>4</v>
      </c>
      <c r="AH258">
        <v>0</v>
      </c>
      <c r="AI258">
        <v>46.93</v>
      </c>
      <c r="AL258" t="s">
        <v>5011</v>
      </c>
      <c r="AM258">
        <v>11544</v>
      </c>
      <c r="AN258" t="s">
        <v>24693</v>
      </c>
      <c r="AS258">
        <v>3.25</v>
      </c>
      <c r="AT258" t="s">
        <v>696</v>
      </c>
      <c r="AU258" t="s">
        <v>25256</v>
      </c>
      <c r="AW258" t="s">
        <v>11447</v>
      </c>
    </row>
    <row r="259" spans="1:49">
      <c r="A259" s="1">
        <f>HYPERLINK("https://lsnyc.legalserver.org/matter/dynamic-profile/view/1901887","19-1901887")</f>
        <v>0</v>
      </c>
      <c r="B259" t="s">
        <v>130</v>
      </c>
      <c r="C259" t="s">
        <v>347</v>
      </c>
      <c r="E259" t="s">
        <v>1250</v>
      </c>
      <c r="F259" t="s">
        <v>3747</v>
      </c>
      <c r="G259" t="s">
        <v>6527</v>
      </c>
      <c r="H259" t="s">
        <v>10582</v>
      </c>
      <c r="I259" t="s">
        <v>11383</v>
      </c>
      <c r="J259">
        <v>10453</v>
      </c>
      <c r="K259" t="s">
        <v>11446</v>
      </c>
      <c r="L259" t="s">
        <v>11517</v>
      </c>
      <c r="M259" t="s">
        <v>14744</v>
      </c>
      <c r="N259" t="s">
        <v>14778</v>
      </c>
      <c r="P259" t="s">
        <v>14795</v>
      </c>
      <c r="Q259" t="s">
        <v>11448</v>
      </c>
      <c r="S259" t="s">
        <v>14827</v>
      </c>
      <c r="V259">
        <v>1391</v>
      </c>
      <c r="W259" t="s">
        <v>14858</v>
      </c>
      <c r="Z259" t="s">
        <v>15152</v>
      </c>
      <c r="AB259" t="s">
        <v>20312</v>
      </c>
      <c r="AC259">
        <v>0</v>
      </c>
      <c r="AE259" t="s">
        <v>24613</v>
      </c>
      <c r="AF259">
        <v>35</v>
      </c>
      <c r="AG259">
        <v>2</v>
      </c>
      <c r="AH259">
        <v>0</v>
      </c>
      <c r="AI259">
        <v>46.94</v>
      </c>
      <c r="AL259" t="s">
        <v>24632</v>
      </c>
      <c r="AM259">
        <v>7938</v>
      </c>
      <c r="AN259" t="s">
        <v>24671</v>
      </c>
      <c r="AS259">
        <v>0.75</v>
      </c>
      <c r="AT259" t="s">
        <v>545</v>
      </c>
      <c r="AU259" t="s">
        <v>145</v>
      </c>
      <c r="AV259" t="s">
        <v>25335</v>
      </c>
      <c r="AW259" t="s">
        <v>11447</v>
      </c>
    </row>
    <row r="260" spans="1:49">
      <c r="A260" s="1">
        <f>HYPERLINK("https://lsnyc.legalserver.org/matter/dynamic-profile/view/1911624","19-1911624")</f>
        <v>0</v>
      </c>
      <c r="B260" t="s">
        <v>55</v>
      </c>
      <c r="C260" t="s">
        <v>526</v>
      </c>
      <c r="E260" t="s">
        <v>1166</v>
      </c>
      <c r="F260" t="s">
        <v>3748</v>
      </c>
      <c r="G260" t="s">
        <v>6528</v>
      </c>
      <c r="H260" t="s">
        <v>10569</v>
      </c>
      <c r="I260" t="s">
        <v>11383</v>
      </c>
      <c r="J260">
        <v>10455</v>
      </c>
      <c r="K260" t="s">
        <v>11447</v>
      </c>
      <c r="P260" t="s">
        <v>14795</v>
      </c>
      <c r="Q260" t="s">
        <v>11446</v>
      </c>
      <c r="S260" t="s">
        <v>14827</v>
      </c>
      <c r="V260">
        <v>1450</v>
      </c>
      <c r="W260" t="s">
        <v>14860</v>
      </c>
      <c r="X260" t="s">
        <v>14872</v>
      </c>
      <c r="Z260" t="s">
        <v>15153</v>
      </c>
      <c r="AB260" t="s">
        <v>20313</v>
      </c>
      <c r="AC260">
        <v>8</v>
      </c>
      <c r="AF260">
        <v>5</v>
      </c>
      <c r="AG260">
        <v>3</v>
      </c>
      <c r="AH260">
        <v>0</v>
      </c>
      <c r="AI260">
        <v>47.17</v>
      </c>
      <c r="AL260" t="s">
        <v>24632</v>
      </c>
      <c r="AM260">
        <v>10062.03</v>
      </c>
      <c r="AS260">
        <v>0.84</v>
      </c>
      <c r="AT260" t="s">
        <v>526</v>
      </c>
      <c r="AU260" t="s">
        <v>25247</v>
      </c>
      <c r="AW260" t="s">
        <v>11447</v>
      </c>
    </row>
    <row r="261" spans="1:49">
      <c r="A261" s="1">
        <f>HYPERLINK("https://lsnyc.legalserver.org/matter/dynamic-profile/view/1902727","19-1902727")</f>
        <v>0</v>
      </c>
      <c r="B261" t="s">
        <v>75</v>
      </c>
      <c r="C261" t="s">
        <v>527</v>
      </c>
      <c r="E261" t="s">
        <v>1251</v>
      </c>
      <c r="F261" t="s">
        <v>3749</v>
      </c>
      <c r="G261" t="s">
        <v>6529</v>
      </c>
      <c r="H261" t="s">
        <v>10481</v>
      </c>
      <c r="I261" t="s">
        <v>11385</v>
      </c>
      <c r="J261">
        <v>11226</v>
      </c>
      <c r="K261" t="s">
        <v>11447</v>
      </c>
      <c r="L261" t="s">
        <v>11518</v>
      </c>
      <c r="P261" t="s">
        <v>14795</v>
      </c>
      <c r="S261" t="s">
        <v>14827</v>
      </c>
      <c r="V261">
        <v>1500</v>
      </c>
      <c r="W261" t="s">
        <v>14859</v>
      </c>
      <c r="X261" t="s">
        <v>14870</v>
      </c>
      <c r="Z261" t="s">
        <v>15154</v>
      </c>
      <c r="AB261" t="s">
        <v>20314</v>
      </c>
      <c r="AC261">
        <v>8</v>
      </c>
      <c r="AD261" t="s">
        <v>24595</v>
      </c>
      <c r="AE261" t="s">
        <v>11459</v>
      </c>
      <c r="AF261">
        <v>20</v>
      </c>
      <c r="AG261">
        <v>2</v>
      </c>
      <c r="AH261">
        <v>2</v>
      </c>
      <c r="AI261">
        <v>47.21</v>
      </c>
      <c r="AL261" t="s">
        <v>5011</v>
      </c>
      <c r="AM261">
        <v>12156</v>
      </c>
      <c r="AS261">
        <v>2.4</v>
      </c>
      <c r="AT261" t="s">
        <v>604</v>
      </c>
      <c r="AU261" t="s">
        <v>25226</v>
      </c>
      <c r="AW261" t="s">
        <v>11447</v>
      </c>
    </row>
    <row r="262" spans="1:49">
      <c r="A262" s="1">
        <f>HYPERLINK("https://lsnyc.legalserver.org/matter/dynamic-profile/view/1898959","19-1898959")</f>
        <v>0</v>
      </c>
      <c r="B262" t="s">
        <v>80</v>
      </c>
      <c r="C262" t="s">
        <v>512</v>
      </c>
      <c r="E262" t="s">
        <v>1252</v>
      </c>
      <c r="F262" t="s">
        <v>3750</v>
      </c>
      <c r="G262" t="s">
        <v>6530</v>
      </c>
      <c r="H262" t="s">
        <v>10583</v>
      </c>
      <c r="I262" t="s">
        <v>11383</v>
      </c>
      <c r="J262">
        <v>10469</v>
      </c>
      <c r="K262" t="s">
        <v>11447</v>
      </c>
      <c r="L262" t="s">
        <v>11519</v>
      </c>
      <c r="M262" t="s">
        <v>14743</v>
      </c>
      <c r="N262" t="s">
        <v>14781</v>
      </c>
      <c r="P262" t="s">
        <v>14795</v>
      </c>
      <c r="Q262" t="s">
        <v>11448</v>
      </c>
      <c r="S262" t="s">
        <v>14827</v>
      </c>
      <c r="V262">
        <v>3500</v>
      </c>
      <c r="W262" t="s">
        <v>14858</v>
      </c>
      <c r="X262" t="s">
        <v>14863</v>
      </c>
      <c r="Z262" t="s">
        <v>15155</v>
      </c>
      <c r="AC262">
        <v>1</v>
      </c>
      <c r="AD262" t="s">
        <v>24600</v>
      </c>
      <c r="AF262">
        <v>3</v>
      </c>
      <c r="AG262">
        <v>1</v>
      </c>
      <c r="AH262">
        <v>4</v>
      </c>
      <c r="AI262">
        <v>47.81</v>
      </c>
      <c r="AL262" t="s">
        <v>5011</v>
      </c>
      <c r="AM262">
        <v>14424</v>
      </c>
      <c r="AN262" t="s">
        <v>24694</v>
      </c>
      <c r="AS262">
        <v>0</v>
      </c>
      <c r="AU262" t="s">
        <v>25251</v>
      </c>
      <c r="AW262" t="s">
        <v>11447</v>
      </c>
    </row>
    <row r="263" spans="1:49">
      <c r="A263" s="1">
        <f>HYPERLINK("https://lsnyc.legalserver.org/matter/dynamic-profile/view/1915029","19-1915029")</f>
        <v>0</v>
      </c>
      <c r="B263" t="s">
        <v>65</v>
      </c>
      <c r="C263" t="s">
        <v>521</v>
      </c>
      <c r="E263" t="s">
        <v>1253</v>
      </c>
      <c r="F263" t="s">
        <v>3751</v>
      </c>
      <c r="G263" t="s">
        <v>6531</v>
      </c>
      <c r="H263">
        <v>3</v>
      </c>
      <c r="I263" t="s">
        <v>11385</v>
      </c>
      <c r="J263">
        <v>11213</v>
      </c>
      <c r="K263" t="s">
        <v>11447</v>
      </c>
      <c r="P263" t="s">
        <v>14795</v>
      </c>
      <c r="S263" t="s">
        <v>14827</v>
      </c>
      <c r="V263">
        <v>0</v>
      </c>
      <c r="W263" t="s">
        <v>14859</v>
      </c>
      <c r="Z263" t="s">
        <v>15156</v>
      </c>
      <c r="AB263" t="s">
        <v>20315</v>
      </c>
      <c r="AC263">
        <v>0</v>
      </c>
      <c r="AF263">
        <v>0</v>
      </c>
      <c r="AG263">
        <v>1</v>
      </c>
      <c r="AH263">
        <v>0</v>
      </c>
      <c r="AI263">
        <v>48.04</v>
      </c>
      <c r="AL263" t="s">
        <v>5011</v>
      </c>
      <c r="AM263">
        <v>6000</v>
      </c>
      <c r="AS263">
        <v>0.67</v>
      </c>
      <c r="AT263" t="s">
        <v>521</v>
      </c>
      <c r="AU263" t="s">
        <v>25253</v>
      </c>
      <c r="AW263" t="s">
        <v>11447</v>
      </c>
    </row>
    <row r="264" spans="1:49">
      <c r="A264" s="1">
        <f>HYPERLINK("https://lsnyc.legalserver.org/matter/dynamic-profile/view/1910179","19-1910179")</f>
        <v>0</v>
      </c>
      <c r="B264" t="s">
        <v>63</v>
      </c>
      <c r="C264" t="s">
        <v>528</v>
      </c>
      <c r="E264" t="s">
        <v>1254</v>
      </c>
      <c r="F264" t="s">
        <v>3752</v>
      </c>
      <c r="G264" t="s">
        <v>6532</v>
      </c>
      <c r="I264" t="s">
        <v>11391</v>
      </c>
      <c r="J264">
        <v>11691</v>
      </c>
      <c r="K264" t="s">
        <v>11447</v>
      </c>
      <c r="L264" t="s">
        <v>11520</v>
      </c>
      <c r="M264" t="s">
        <v>14744</v>
      </c>
      <c r="P264" t="s">
        <v>14795</v>
      </c>
      <c r="S264" t="s">
        <v>14827</v>
      </c>
      <c r="V264">
        <v>700</v>
      </c>
      <c r="W264" t="s">
        <v>14861</v>
      </c>
      <c r="Z264" t="s">
        <v>15157</v>
      </c>
      <c r="AB264" t="s">
        <v>20316</v>
      </c>
      <c r="AC264">
        <v>3</v>
      </c>
      <c r="AF264">
        <v>19</v>
      </c>
      <c r="AG264">
        <v>1</v>
      </c>
      <c r="AH264">
        <v>1</v>
      </c>
      <c r="AI264">
        <v>49.67</v>
      </c>
      <c r="AL264" t="s">
        <v>5011</v>
      </c>
      <c r="AM264">
        <v>8400</v>
      </c>
      <c r="AS264">
        <v>0.6</v>
      </c>
      <c r="AT264" t="s">
        <v>508</v>
      </c>
      <c r="AU264" t="s">
        <v>25238</v>
      </c>
      <c r="AW264" t="s">
        <v>11447</v>
      </c>
    </row>
    <row r="265" spans="1:49">
      <c r="A265" s="1">
        <f>HYPERLINK("https://lsnyc.legalserver.org/matter/dynamic-profile/view/1899480","19-1899480")</f>
        <v>0</v>
      </c>
      <c r="B265" t="s">
        <v>133</v>
      </c>
      <c r="C265" t="s">
        <v>329</v>
      </c>
      <c r="E265" t="s">
        <v>1255</v>
      </c>
      <c r="F265" t="s">
        <v>3753</v>
      </c>
      <c r="G265" t="s">
        <v>6533</v>
      </c>
      <c r="H265" t="s">
        <v>10584</v>
      </c>
      <c r="I265" t="s">
        <v>11385</v>
      </c>
      <c r="J265">
        <v>11210</v>
      </c>
      <c r="K265" t="s">
        <v>11446</v>
      </c>
      <c r="L265" t="s">
        <v>11521</v>
      </c>
      <c r="N265" t="s">
        <v>14782</v>
      </c>
      <c r="P265" t="s">
        <v>14795</v>
      </c>
      <c r="S265" t="s">
        <v>14829</v>
      </c>
      <c r="V265">
        <v>1065.36</v>
      </c>
      <c r="W265" t="s">
        <v>14859</v>
      </c>
      <c r="X265" t="s">
        <v>14868</v>
      </c>
      <c r="Z265" t="s">
        <v>15158</v>
      </c>
      <c r="AB265" t="s">
        <v>20317</v>
      </c>
      <c r="AC265">
        <v>6</v>
      </c>
      <c r="AE265" t="s">
        <v>11459</v>
      </c>
      <c r="AF265">
        <v>36</v>
      </c>
      <c r="AG265">
        <v>2</v>
      </c>
      <c r="AH265">
        <v>0</v>
      </c>
      <c r="AI265">
        <v>50.38</v>
      </c>
      <c r="AL265" t="s">
        <v>5011</v>
      </c>
      <c r="AM265">
        <v>8520</v>
      </c>
      <c r="AS265">
        <v>0.3</v>
      </c>
      <c r="AT265" t="s">
        <v>329</v>
      </c>
      <c r="AU265" t="s">
        <v>25235</v>
      </c>
      <c r="AW265" t="s">
        <v>11447</v>
      </c>
    </row>
    <row r="266" spans="1:49">
      <c r="A266" s="1">
        <f>HYPERLINK("https://lsnyc.legalserver.org/matter/dynamic-profile/view/1908338","19-1908338")</f>
        <v>0</v>
      </c>
      <c r="B266" t="s">
        <v>134</v>
      </c>
      <c r="C266" t="s">
        <v>375</v>
      </c>
      <c r="E266" t="s">
        <v>1256</v>
      </c>
      <c r="F266" t="s">
        <v>3754</v>
      </c>
      <c r="G266" t="s">
        <v>6534</v>
      </c>
      <c r="H266" t="s">
        <v>10585</v>
      </c>
      <c r="I266" t="s">
        <v>11383</v>
      </c>
      <c r="J266">
        <v>10462</v>
      </c>
      <c r="K266" t="s">
        <v>11447</v>
      </c>
      <c r="P266" t="s">
        <v>14795</v>
      </c>
      <c r="S266" t="s">
        <v>14828</v>
      </c>
      <c r="V266">
        <v>0</v>
      </c>
      <c r="W266" t="s">
        <v>14858</v>
      </c>
      <c r="Z266" t="s">
        <v>15159</v>
      </c>
      <c r="AB266" t="s">
        <v>20318</v>
      </c>
      <c r="AC266">
        <v>0</v>
      </c>
      <c r="AF266">
        <v>0</v>
      </c>
      <c r="AG266">
        <v>2</v>
      </c>
      <c r="AH266">
        <v>0</v>
      </c>
      <c r="AI266">
        <v>51.16</v>
      </c>
      <c r="AL266" t="s">
        <v>5011</v>
      </c>
      <c r="AM266">
        <v>8652</v>
      </c>
      <c r="AS266">
        <v>0.75</v>
      </c>
      <c r="AT266" t="s">
        <v>464</v>
      </c>
      <c r="AU266" t="s">
        <v>259</v>
      </c>
      <c r="AW266" t="s">
        <v>11447</v>
      </c>
    </row>
    <row r="267" spans="1:49">
      <c r="A267" s="1">
        <f>HYPERLINK("https://lsnyc.legalserver.org/matter/dynamic-profile/view/1907133","19-1907133")</f>
        <v>0</v>
      </c>
      <c r="B267" t="s">
        <v>63</v>
      </c>
      <c r="C267" t="s">
        <v>379</v>
      </c>
      <c r="E267" t="s">
        <v>1257</v>
      </c>
      <c r="F267" t="s">
        <v>3755</v>
      </c>
      <c r="G267" t="s">
        <v>6535</v>
      </c>
      <c r="H267" t="s">
        <v>10586</v>
      </c>
      <c r="I267" t="s">
        <v>11391</v>
      </c>
      <c r="J267">
        <v>11691</v>
      </c>
      <c r="K267" t="s">
        <v>11447</v>
      </c>
      <c r="P267" t="s">
        <v>14795</v>
      </c>
      <c r="S267" t="s">
        <v>14827</v>
      </c>
      <c r="V267">
        <v>2000</v>
      </c>
      <c r="W267" t="s">
        <v>14861</v>
      </c>
      <c r="Z267" t="s">
        <v>15160</v>
      </c>
      <c r="AB267" t="s">
        <v>20319</v>
      </c>
      <c r="AC267">
        <v>3</v>
      </c>
      <c r="AF267">
        <v>1</v>
      </c>
      <c r="AG267">
        <v>5</v>
      </c>
      <c r="AH267">
        <v>2</v>
      </c>
      <c r="AI267">
        <v>53.59</v>
      </c>
      <c r="AL267" t="s">
        <v>5011</v>
      </c>
      <c r="AM267">
        <v>20904</v>
      </c>
      <c r="AS267">
        <v>1.25</v>
      </c>
      <c r="AT267" t="s">
        <v>528</v>
      </c>
      <c r="AU267" t="s">
        <v>25238</v>
      </c>
      <c r="AW267" t="s">
        <v>11447</v>
      </c>
    </row>
    <row r="268" spans="1:49">
      <c r="A268" s="1">
        <f>HYPERLINK("https://lsnyc.legalserver.org/matter/dynamic-profile/view/1897779","19-1897779")</f>
        <v>0</v>
      </c>
      <c r="B268" t="s">
        <v>135</v>
      </c>
      <c r="C268" t="s">
        <v>529</v>
      </c>
      <c r="E268" t="s">
        <v>1025</v>
      </c>
      <c r="F268" t="s">
        <v>3756</v>
      </c>
      <c r="G268" t="s">
        <v>6536</v>
      </c>
      <c r="H268" t="s">
        <v>10587</v>
      </c>
      <c r="I268" t="s">
        <v>11385</v>
      </c>
      <c r="J268">
        <v>11226</v>
      </c>
      <c r="K268" t="s">
        <v>11447</v>
      </c>
      <c r="P268" t="s">
        <v>14795</v>
      </c>
      <c r="S268" t="s">
        <v>14827</v>
      </c>
      <c r="V268">
        <v>1087.36</v>
      </c>
      <c r="W268" t="s">
        <v>14859</v>
      </c>
      <c r="X268" t="s">
        <v>14755</v>
      </c>
      <c r="Z268" t="s">
        <v>15161</v>
      </c>
      <c r="AB268" t="s">
        <v>20320</v>
      </c>
      <c r="AC268">
        <v>48</v>
      </c>
      <c r="AD268" t="s">
        <v>24595</v>
      </c>
      <c r="AE268" t="s">
        <v>24615</v>
      </c>
      <c r="AF268">
        <v>21</v>
      </c>
      <c r="AG268">
        <v>1</v>
      </c>
      <c r="AH268">
        <v>1</v>
      </c>
      <c r="AI268">
        <v>54.71</v>
      </c>
      <c r="AL268" t="s">
        <v>5011</v>
      </c>
      <c r="AM268">
        <v>9252</v>
      </c>
      <c r="AS268">
        <v>3</v>
      </c>
      <c r="AT268" t="s">
        <v>370</v>
      </c>
      <c r="AU268" t="s">
        <v>25233</v>
      </c>
      <c r="AW268" t="s">
        <v>11447</v>
      </c>
    </row>
    <row r="269" spans="1:49">
      <c r="A269" s="1">
        <f>HYPERLINK("https://lsnyc.legalserver.org/matter/dynamic-profile/view/1913666","19-1913666")</f>
        <v>0</v>
      </c>
      <c r="B269" t="s">
        <v>55</v>
      </c>
      <c r="C269" t="s">
        <v>476</v>
      </c>
      <c r="E269" t="s">
        <v>1258</v>
      </c>
      <c r="F269" t="s">
        <v>3757</v>
      </c>
      <c r="G269" t="s">
        <v>6537</v>
      </c>
      <c r="H269" t="s">
        <v>10588</v>
      </c>
      <c r="I269" t="s">
        <v>11386</v>
      </c>
      <c r="J269">
        <v>10002</v>
      </c>
      <c r="K269" t="s">
        <v>11447</v>
      </c>
      <c r="P269" t="s">
        <v>14795</v>
      </c>
      <c r="S269" t="s">
        <v>14828</v>
      </c>
      <c r="V269">
        <v>0</v>
      </c>
      <c r="W269" t="s">
        <v>14860</v>
      </c>
      <c r="Z269" t="s">
        <v>15162</v>
      </c>
      <c r="AB269" t="s">
        <v>20321</v>
      </c>
      <c r="AC269">
        <v>0</v>
      </c>
      <c r="AF269">
        <v>0</v>
      </c>
      <c r="AG269">
        <v>1</v>
      </c>
      <c r="AH269">
        <v>2</v>
      </c>
      <c r="AI269">
        <v>54.8</v>
      </c>
      <c r="AL269" t="s">
        <v>24632</v>
      </c>
      <c r="AM269">
        <v>11688</v>
      </c>
      <c r="AS269">
        <v>1</v>
      </c>
      <c r="AT269" t="s">
        <v>476</v>
      </c>
      <c r="AU269" t="s">
        <v>25257</v>
      </c>
      <c r="AW269" t="s">
        <v>11447</v>
      </c>
    </row>
    <row r="270" spans="1:49">
      <c r="A270" s="1">
        <f>HYPERLINK("https://lsnyc.legalserver.org/matter/dynamic-profile/view/1910485","19-1910485")</f>
        <v>0</v>
      </c>
      <c r="B270" t="s">
        <v>63</v>
      </c>
      <c r="C270" t="s">
        <v>508</v>
      </c>
      <c r="E270" t="s">
        <v>1259</v>
      </c>
      <c r="F270" t="s">
        <v>3623</v>
      </c>
      <c r="G270" t="s">
        <v>6538</v>
      </c>
      <c r="H270" t="s">
        <v>10491</v>
      </c>
      <c r="I270" t="s">
        <v>11389</v>
      </c>
      <c r="J270">
        <v>11354</v>
      </c>
      <c r="K270" t="s">
        <v>11447</v>
      </c>
      <c r="P270" t="s">
        <v>14795</v>
      </c>
      <c r="Q270" t="s">
        <v>11446</v>
      </c>
      <c r="S270" t="s">
        <v>14827</v>
      </c>
      <c r="V270">
        <v>890</v>
      </c>
      <c r="W270" t="s">
        <v>14861</v>
      </c>
      <c r="X270" t="s">
        <v>14755</v>
      </c>
      <c r="Z270" t="s">
        <v>15163</v>
      </c>
      <c r="AB270" t="s">
        <v>20322</v>
      </c>
      <c r="AC270">
        <v>70</v>
      </c>
      <c r="AF270">
        <v>20</v>
      </c>
      <c r="AG270">
        <v>1</v>
      </c>
      <c r="AH270">
        <v>0</v>
      </c>
      <c r="AI270">
        <v>55.72</v>
      </c>
      <c r="AL270" t="s">
        <v>5011</v>
      </c>
      <c r="AM270">
        <v>6960</v>
      </c>
      <c r="AS270">
        <v>1.6</v>
      </c>
      <c r="AT270" t="s">
        <v>472</v>
      </c>
      <c r="AU270" t="s">
        <v>25237</v>
      </c>
      <c r="AW270" t="s">
        <v>11447</v>
      </c>
    </row>
    <row r="271" spans="1:49">
      <c r="A271" s="1">
        <f>HYPERLINK("https://lsnyc.legalserver.org/matter/dynamic-profile/view/1901041","19-1901041")</f>
        <v>0</v>
      </c>
      <c r="B271" t="s">
        <v>136</v>
      </c>
      <c r="C271" t="s">
        <v>530</v>
      </c>
      <c r="E271" t="s">
        <v>1260</v>
      </c>
      <c r="F271" t="s">
        <v>1272</v>
      </c>
      <c r="G271" t="s">
        <v>6539</v>
      </c>
      <c r="H271" t="s">
        <v>10460</v>
      </c>
      <c r="I271" t="s">
        <v>11385</v>
      </c>
      <c r="J271">
        <v>11226</v>
      </c>
      <c r="K271" t="s">
        <v>11447</v>
      </c>
      <c r="P271" t="s">
        <v>14795</v>
      </c>
      <c r="S271" t="s">
        <v>14829</v>
      </c>
      <c r="V271">
        <v>1457</v>
      </c>
      <c r="W271" t="s">
        <v>14859</v>
      </c>
      <c r="Z271" t="s">
        <v>15164</v>
      </c>
      <c r="AB271" t="s">
        <v>20323</v>
      </c>
      <c r="AC271">
        <v>60</v>
      </c>
      <c r="AF271">
        <v>14</v>
      </c>
      <c r="AG271">
        <v>1</v>
      </c>
      <c r="AH271">
        <v>1</v>
      </c>
      <c r="AI271">
        <v>56.77</v>
      </c>
      <c r="AL271" t="s">
        <v>5011</v>
      </c>
      <c r="AM271">
        <v>9600</v>
      </c>
      <c r="AS271">
        <v>1.1</v>
      </c>
      <c r="AT271" t="s">
        <v>517</v>
      </c>
      <c r="AU271" t="s">
        <v>25237</v>
      </c>
      <c r="AW271" t="s">
        <v>11447</v>
      </c>
    </row>
    <row r="272" spans="1:49">
      <c r="A272" s="1">
        <f>HYPERLINK("https://lsnyc.legalserver.org/matter/dynamic-profile/view/1914496","19-1914496")</f>
        <v>0</v>
      </c>
      <c r="B272" t="s">
        <v>137</v>
      </c>
      <c r="C272" t="s">
        <v>478</v>
      </c>
      <c r="E272" t="s">
        <v>1261</v>
      </c>
      <c r="F272" t="s">
        <v>3758</v>
      </c>
      <c r="G272" t="s">
        <v>6540</v>
      </c>
      <c r="H272" t="s">
        <v>10589</v>
      </c>
      <c r="I272" t="s">
        <v>11386</v>
      </c>
      <c r="J272">
        <v>10034</v>
      </c>
      <c r="K272" t="s">
        <v>11447</v>
      </c>
      <c r="L272" t="s">
        <v>11522</v>
      </c>
      <c r="M272" t="s">
        <v>14743</v>
      </c>
      <c r="P272" t="s">
        <v>14795</v>
      </c>
      <c r="S272" t="s">
        <v>14827</v>
      </c>
      <c r="V272">
        <v>1204</v>
      </c>
      <c r="W272" t="s">
        <v>14860</v>
      </c>
      <c r="Z272" t="s">
        <v>15165</v>
      </c>
      <c r="AB272" t="s">
        <v>20324</v>
      </c>
      <c r="AC272">
        <v>0</v>
      </c>
      <c r="AE272" t="s">
        <v>11459</v>
      </c>
      <c r="AF272">
        <v>5</v>
      </c>
      <c r="AG272">
        <v>2</v>
      </c>
      <c r="AH272">
        <v>1</v>
      </c>
      <c r="AI272">
        <v>56.99</v>
      </c>
      <c r="AL272" t="s">
        <v>5011</v>
      </c>
      <c r="AM272">
        <v>12156</v>
      </c>
      <c r="AS272">
        <v>1</v>
      </c>
      <c r="AT272" t="s">
        <v>478</v>
      </c>
      <c r="AU272" t="s">
        <v>25231</v>
      </c>
      <c r="AW272" t="s">
        <v>11447</v>
      </c>
    </row>
    <row r="273" spans="1:49">
      <c r="A273" s="1">
        <f>HYPERLINK("https://lsnyc.legalserver.org/matter/dynamic-profile/view/1903959","19-1903959")</f>
        <v>0</v>
      </c>
      <c r="B273" t="s">
        <v>75</v>
      </c>
      <c r="C273" t="s">
        <v>474</v>
      </c>
      <c r="E273" t="s">
        <v>1069</v>
      </c>
      <c r="F273" t="s">
        <v>1254</v>
      </c>
      <c r="G273" t="s">
        <v>6541</v>
      </c>
      <c r="H273" t="s">
        <v>10562</v>
      </c>
      <c r="I273" t="s">
        <v>11385</v>
      </c>
      <c r="J273">
        <v>11220</v>
      </c>
      <c r="K273" t="s">
        <v>11447</v>
      </c>
      <c r="L273" t="s">
        <v>11523</v>
      </c>
      <c r="M273" t="s">
        <v>14744</v>
      </c>
      <c r="P273" t="s">
        <v>14795</v>
      </c>
      <c r="S273" t="s">
        <v>14827</v>
      </c>
      <c r="V273">
        <v>1710</v>
      </c>
      <c r="W273" t="s">
        <v>14859</v>
      </c>
      <c r="X273" t="s">
        <v>14866</v>
      </c>
      <c r="Z273" t="s">
        <v>15166</v>
      </c>
      <c r="AB273" t="s">
        <v>20325</v>
      </c>
      <c r="AC273">
        <v>6</v>
      </c>
      <c r="AD273" t="s">
        <v>24595</v>
      </c>
      <c r="AE273" t="s">
        <v>11459</v>
      </c>
      <c r="AF273">
        <v>6</v>
      </c>
      <c r="AG273">
        <v>2</v>
      </c>
      <c r="AH273">
        <v>0</v>
      </c>
      <c r="AI273">
        <v>61.01</v>
      </c>
      <c r="AL273" t="s">
        <v>5011</v>
      </c>
      <c r="AM273">
        <v>10316.4</v>
      </c>
      <c r="AS273">
        <v>1.6</v>
      </c>
      <c r="AT273" t="s">
        <v>480</v>
      </c>
      <c r="AU273" t="s">
        <v>25225</v>
      </c>
      <c r="AW273" t="s">
        <v>11447</v>
      </c>
    </row>
    <row r="274" spans="1:49">
      <c r="A274" s="1">
        <f>HYPERLINK("https://lsnyc.legalserver.org/matter/dynamic-profile/view/0831187","17-0831187")</f>
        <v>0</v>
      </c>
      <c r="B274" t="s">
        <v>138</v>
      </c>
      <c r="C274" t="s">
        <v>531</v>
      </c>
      <c r="E274" t="s">
        <v>1126</v>
      </c>
      <c r="F274" t="s">
        <v>3516</v>
      </c>
      <c r="G274" t="s">
        <v>6542</v>
      </c>
      <c r="H274">
        <v>18</v>
      </c>
      <c r="I274" t="s">
        <v>11387</v>
      </c>
      <c r="J274">
        <v>11435</v>
      </c>
      <c r="K274" t="s">
        <v>11447</v>
      </c>
      <c r="P274" t="s">
        <v>14795</v>
      </c>
      <c r="Q274" t="s">
        <v>11446</v>
      </c>
      <c r="S274" t="s">
        <v>14827</v>
      </c>
      <c r="V274">
        <v>555.92</v>
      </c>
      <c r="W274" t="s">
        <v>14861</v>
      </c>
      <c r="Z274" t="s">
        <v>15167</v>
      </c>
      <c r="AB274" t="s">
        <v>20326</v>
      </c>
      <c r="AC274">
        <v>24</v>
      </c>
      <c r="AD274" t="s">
        <v>24599</v>
      </c>
      <c r="AE274" t="s">
        <v>11459</v>
      </c>
      <c r="AF274">
        <v>47</v>
      </c>
      <c r="AG274">
        <v>2</v>
      </c>
      <c r="AH274">
        <v>0</v>
      </c>
      <c r="AI274">
        <v>61.18</v>
      </c>
      <c r="AL274" t="s">
        <v>24632</v>
      </c>
      <c r="AM274">
        <v>9936</v>
      </c>
      <c r="AS274">
        <v>1</v>
      </c>
      <c r="AT274" t="s">
        <v>531</v>
      </c>
      <c r="AU274" t="s">
        <v>25236</v>
      </c>
      <c r="AW274" t="s">
        <v>11447</v>
      </c>
    </row>
    <row r="275" spans="1:49">
      <c r="A275" s="1">
        <f>HYPERLINK("https://lsnyc.legalserver.org/matter/dynamic-profile/view/1856080","18-1856080")</f>
        <v>0</v>
      </c>
      <c r="B275" t="s">
        <v>85</v>
      </c>
      <c r="C275" t="s">
        <v>532</v>
      </c>
      <c r="E275" t="s">
        <v>1247</v>
      </c>
      <c r="F275" t="s">
        <v>3683</v>
      </c>
      <c r="G275" t="s">
        <v>6543</v>
      </c>
      <c r="H275" t="s">
        <v>10476</v>
      </c>
      <c r="I275" t="s">
        <v>11404</v>
      </c>
      <c r="J275">
        <v>11106</v>
      </c>
      <c r="K275" t="s">
        <v>11447</v>
      </c>
      <c r="P275" t="s">
        <v>14795</v>
      </c>
      <c r="S275" t="s">
        <v>14827</v>
      </c>
      <c r="V275">
        <v>700</v>
      </c>
      <c r="W275" t="s">
        <v>14861</v>
      </c>
      <c r="X275" t="s">
        <v>14866</v>
      </c>
      <c r="Z275" t="s">
        <v>15168</v>
      </c>
      <c r="AB275" t="s">
        <v>20327</v>
      </c>
      <c r="AC275">
        <v>20</v>
      </c>
      <c r="AD275" t="s">
        <v>11479</v>
      </c>
      <c r="AE275" t="s">
        <v>24613</v>
      </c>
      <c r="AF275">
        <v>40</v>
      </c>
      <c r="AG275">
        <v>1</v>
      </c>
      <c r="AH275">
        <v>1</v>
      </c>
      <c r="AI275">
        <v>61.33</v>
      </c>
      <c r="AL275" t="s">
        <v>24632</v>
      </c>
      <c r="AM275">
        <v>9960</v>
      </c>
      <c r="AS275">
        <v>1</v>
      </c>
      <c r="AT275" t="s">
        <v>532</v>
      </c>
      <c r="AU275" t="s">
        <v>25233</v>
      </c>
      <c r="AW275" t="s">
        <v>11447</v>
      </c>
    </row>
    <row r="276" spans="1:49">
      <c r="A276" s="1">
        <f>HYPERLINK("https://lsnyc.legalserver.org/matter/dynamic-profile/view/1913883","19-1913883")</f>
        <v>0</v>
      </c>
      <c r="B276" t="s">
        <v>139</v>
      </c>
      <c r="C276" t="s">
        <v>533</v>
      </c>
      <c r="E276" t="s">
        <v>1065</v>
      </c>
      <c r="F276" t="s">
        <v>3759</v>
      </c>
      <c r="G276" t="s">
        <v>6544</v>
      </c>
      <c r="H276" t="s">
        <v>10476</v>
      </c>
      <c r="I276" t="s">
        <v>11385</v>
      </c>
      <c r="J276">
        <v>11218</v>
      </c>
      <c r="K276" t="s">
        <v>11447</v>
      </c>
      <c r="P276" t="s">
        <v>14795</v>
      </c>
      <c r="S276" t="s">
        <v>14827</v>
      </c>
      <c r="V276">
        <v>0</v>
      </c>
      <c r="W276" t="s">
        <v>14859</v>
      </c>
      <c r="Z276" t="s">
        <v>15169</v>
      </c>
      <c r="AB276" t="s">
        <v>20328</v>
      </c>
      <c r="AC276">
        <v>0</v>
      </c>
      <c r="AF276">
        <v>0</v>
      </c>
      <c r="AG276">
        <v>1</v>
      </c>
      <c r="AH276">
        <v>0</v>
      </c>
      <c r="AI276">
        <v>62.45</v>
      </c>
      <c r="AL276" t="s">
        <v>24636</v>
      </c>
      <c r="AM276">
        <v>7800</v>
      </c>
      <c r="AS276">
        <v>1</v>
      </c>
      <c r="AT276" t="s">
        <v>533</v>
      </c>
      <c r="AU276" t="s">
        <v>25231</v>
      </c>
      <c r="AW276" t="s">
        <v>11447</v>
      </c>
    </row>
    <row r="277" spans="1:49">
      <c r="A277" s="1">
        <f>HYPERLINK("https://lsnyc.legalserver.org/matter/dynamic-profile/view/1908233","19-1908233")</f>
        <v>0</v>
      </c>
      <c r="B277" t="s">
        <v>126</v>
      </c>
      <c r="C277" t="s">
        <v>375</v>
      </c>
      <c r="E277" t="s">
        <v>1262</v>
      </c>
      <c r="F277" t="s">
        <v>3760</v>
      </c>
      <c r="G277" t="s">
        <v>6545</v>
      </c>
      <c r="H277" t="s">
        <v>10590</v>
      </c>
      <c r="I277" t="s">
        <v>11383</v>
      </c>
      <c r="J277">
        <v>10460</v>
      </c>
      <c r="K277" t="s">
        <v>11447</v>
      </c>
      <c r="P277" t="s">
        <v>14795</v>
      </c>
      <c r="S277" t="s">
        <v>14827</v>
      </c>
      <c r="V277">
        <v>0</v>
      </c>
      <c r="W277" t="s">
        <v>14858</v>
      </c>
      <c r="Z277" t="s">
        <v>15170</v>
      </c>
      <c r="AB277" t="s">
        <v>20329</v>
      </c>
      <c r="AC277">
        <v>0</v>
      </c>
      <c r="AF277">
        <v>0</v>
      </c>
      <c r="AG277">
        <v>2</v>
      </c>
      <c r="AH277">
        <v>0</v>
      </c>
      <c r="AI277">
        <v>62.68</v>
      </c>
      <c r="AL277" t="s">
        <v>24632</v>
      </c>
      <c r="AM277">
        <v>10600</v>
      </c>
      <c r="AS277">
        <v>0.4</v>
      </c>
      <c r="AT277" t="s">
        <v>375</v>
      </c>
      <c r="AU277" t="s">
        <v>25229</v>
      </c>
      <c r="AW277" t="s">
        <v>11447</v>
      </c>
    </row>
    <row r="278" spans="1:49">
      <c r="A278" s="1">
        <f>HYPERLINK("https://lsnyc.legalserver.org/matter/dynamic-profile/view/1902456","19-1902456")</f>
        <v>0</v>
      </c>
      <c r="B278" t="s">
        <v>75</v>
      </c>
      <c r="C278" t="s">
        <v>498</v>
      </c>
      <c r="E278" t="s">
        <v>1263</v>
      </c>
      <c r="F278" t="s">
        <v>3761</v>
      </c>
      <c r="G278" t="s">
        <v>6546</v>
      </c>
      <c r="H278" t="s">
        <v>10476</v>
      </c>
      <c r="I278" t="s">
        <v>11385</v>
      </c>
      <c r="J278">
        <v>11215</v>
      </c>
      <c r="K278" t="s">
        <v>11447</v>
      </c>
      <c r="L278" t="s">
        <v>11524</v>
      </c>
      <c r="M278" t="s">
        <v>14743</v>
      </c>
      <c r="P278" t="s">
        <v>14795</v>
      </c>
      <c r="S278" t="s">
        <v>14827</v>
      </c>
      <c r="V278">
        <v>186</v>
      </c>
      <c r="W278" t="s">
        <v>14859</v>
      </c>
      <c r="Z278" t="s">
        <v>15171</v>
      </c>
      <c r="AB278" t="s">
        <v>20330</v>
      </c>
      <c r="AC278">
        <v>49</v>
      </c>
      <c r="AF278">
        <v>7</v>
      </c>
      <c r="AG278">
        <v>1</v>
      </c>
      <c r="AH278">
        <v>0</v>
      </c>
      <c r="AI278">
        <v>63.6</v>
      </c>
      <c r="AL278" t="s">
        <v>5011</v>
      </c>
      <c r="AM278">
        <v>7944</v>
      </c>
      <c r="AS278">
        <v>0.6</v>
      </c>
      <c r="AT278" t="s">
        <v>498</v>
      </c>
      <c r="AU278" t="s">
        <v>25225</v>
      </c>
      <c r="AW278" t="s">
        <v>11447</v>
      </c>
    </row>
    <row r="279" spans="1:49">
      <c r="A279" s="1">
        <f>HYPERLINK("https://lsnyc.legalserver.org/matter/dynamic-profile/view/1910097","19-1910097")</f>
        <v>0</v>
      </c>
      <c r="B279" t="s">
        <v>63</v>
      </c>
      <c r="C279" t="s">
        <v>471</v>
      </c>
      <c r="E279" t="s">
        <v>1264</v>
      </c>
      <c r="F279" t="s">
        <v>3762</v>
      </c>
      <c r="G279" t="s">
        <v>6547</v>
      </c>
      <c r="I279" t="s">
        <v>11389</v>
      </c>
      <c r="J279">
        <v>11358</v>
      </c>
      <c r="K279" t="s">
        <v>11447</v>
      </c>
      <c r="L279" t="s">
        <v>11525</v>
      </c>
      <c r="M279" t="s">
        <v>14743</v>
      </c>
      <c r="P279" t="s">
        <v>14795</v>
      </c>
      <c r="S279" t="s">
        <v>14827</v>
      </c>
      <c r="V279">
        <v>2100</v>
      </c>
      <c r="W279" t="s">
        <v>14861</v>
      </c>
      <c r="Z279" t="s">
        <v>15172</v>
      </c>
      <c r="AB279" t="s">
        <v>20331</v>
      </c>
      <c r="AC279">
        <v>1</v>
      </c>
      <c r="AF279">
        <v>12</v>
      </c>
      <c r="AG279">
        <v>4</v>
      </c>
      <c r="AH279">
        <v>1</v>
      </c>
      <c r="AI279">
        <v>63.64</v>
      </c>
      <c r="AL279" t="s">
        <v>5011</v>
      </c>
      <c r="AM279">
        <v>19200</v>
      </c>
      <c r="AS279">
        <v>2.1</v>
      </c>
      <c r="AT279" t="s">
        <v>602</v>
      </c>
      <c r="AU279" t="s">
        <v>25227</v>
      </c>
      <c r="AW279" t="s">
        <v>11447</v>
      </c>
    </row>
    <row r="280" spans="1:49">
      <c r="A280" s="1">
        <f>HYPERLINK("https://lsnyc.legalserver.org/matter/dynamic-profile/view/1891197","19-1891197")</f>
        <v>0</v>
      </c>
      <c r="B280" t="s">
        <v>115</v>
      </c>
      <c r="C280" t="s">
        <v>534</v>
      </c>
      <c r="E280" t="s">
        <v>1265</v>
      </c>
      <c r="F280" t="s">
        <v>3763</v>
      </c>
      <c r="G280" t="s">
        <v>6548</v>
      </c>
      <c r="I280" t="s">
        <v>11383</v>
      </c>
      <c r="J280">
        <v>10458</v>
      </c>
      <c r="K280" t="s">
        <v>11446</v>
      </c>
      <c r="L280" t="s">
        <v>11526</v>
      </c>
      <c r="M280" t="s">
        <v>14744</v>
      </c>
      <c r="N280" t="s">
        <v>14778</v>
      </c>
      <c r="P280" t="s">
        <v>14795</v>
      </c>
      <c r="Q280" t="s">
        <v>11448</v>
      </c>
      <c r="S280" t="s">
        <v>14827</v>
      </c>
      <c r="V280">
        <v>1057.57</v>
      </c>
      <c r="W280" t="s">
        <v>14858</v>
      </c>
      <c r="X280" t="s">
        <v>14755</v>
      </c>
      <c r="Z280" t="s">
        <v>15173</v>
      </c>
      <c r="AB280" t="s">
        <v>20332</v>
      </c>
      <c r="AC280">
        <v>24</v>
      </c>
      <c r="AF280">
        <v>21</v>
      </c>
      <c r="AG280">
        <v>1</v>
      </c>
      <c r="AH280">
        <v>0</v>
      </c>
      <c r="AI280">
        <v>64.28</v>
      </c>
      <c r="AL280" t="s">
        <v>5011</v>
      </c>
      <c r="AM280">
        <v>8028</v>
      </c>
      <c r="AN280" t="s">
        <v>24695</v>
      </c>
      <c r="AS280">
        <v>0</v>
      </c>
      <c r="AU280" t="s">
        <v>114</v>
      </c>
      <c r="AW280" t="s">
        <v>11446</v>
      </c>
    </row>
    <row r="281" spans="1:49">
      <c r="A281" s="1">
        <f>HYPERLINK("https://lsnyc.legalserver.org/matter/dynamic-profile/view/0813163","16-0813163")</f>
        <v>0</v>
      </c>
      <c r="B281" t="s">
        <v>138</v>
      </c>
      <c r="C281" t="s">
        <v>535</v>
      </c>
      <c r="E281" t="s">
        <v>1266</v>
      </c>
      <c r="F281" t="s">
        <v>3764</v>
      </c>
      <c r="G281" t="s">
        <v>6549</v>
      </c>
      <c r="H281" t="s">
        <v>10559</v>
      </c>
      <c r="I281" t="s">
        <v>11408</v>
      </c>
      <c r="J281">
        <v>11101</v>
      </c>
      <c r="K281" t="s">
        <v>11447</v>
      </c>
      <c r="M281" t="s">
        <v>11601</v>
      </c>
      <c r="N281" t="s">
        <v>14782</v>
      </c>
      <c r="P281" t="s">
        <v>14795</v>
      </c>
      <c r="S281" t="s">
        <v>14827</v>
      </c>
      <c r="V281">
        <v>660</v>
      </c>
      <c r="W281" t="s">
        <v>14861</v>
      </c>
      <c r="X281" t="s">
        <v>14866</v>
      </c>
      <c r="Z281" t="s">
        <v>15174</v>
      </c>
      <c r="AB281" t="s">
        <v>20333</v>
      </c>
      <c r="AC281">
        <v>0</v>
      </c>
      <c r="AE281" t="s">
        <v>11459</v>
      </c>
      <c r="AF281">
        <v>16</v>
      </c>
      <c r="AG281">
        <v>1</v>
      </c>
      <c r="AH281">
        <v>1</v>
      </c>
      <c r="AI281">
        <v>64.92</v>
      </c>
      <c r="AL281" t="s">
        <v>5011</v>
      </c>
      <c r="AM281">
        <v>10400</v>
      </c>
      <c r="AS281">
        <v>0.7</v>
      </c>
      <c r="AT281" t="s">
        <v>535</v>
      </c>
      <c r="AU281" t="s">
        <v>25258</v>
      </c>
      <c r="AW281" t="s">
        <v>11447</v>
      </c>
    </row>
    <row r="282" spans="1:49">
      <c r="A282" s="1">
        <f>HYPERLINK("https://lsnyc.legalserver.org/matter/dynamic-profile/view/1889293","19-1889293")</f>
        <v>0</v>
      </c>
      <c r="B282" t="s">
        <v>140</v>
      </c>
      <c r="C282" t="s">
        <v>513</v>
      </c>
      <c r="E282" t="s">
        <v>1267</v>
      </c>
      <c r="F282" t="s">
        <v>3765</v>
      </c>
      <c r="G282" t="s">
        <v>6550</v>
      </c>
      <c r="H282" t="s">
        <v>10591</v>
      </c>
      <c r="I282" t="s">
        <v>11383</v>
      </c>
      <c r="J282">
        <v>10453</v>
      </c>
      <c r="K282" t="s">
        <v>11447</v>
      </c>
      <c r="P282" t="s">
        <v>14795</v>
      </c>
      <c r="S282" t="s">
        <v>14827</v>
      </c>
      <c r="V282">
        <v>800</v>
      </c>
      <c r="W282" t="s">
        <v>14858</v>
      </c>
      <c r="X282" t="s">
        <v>14755</v>
      </c>
      <c r="Z282" t="s">
        <v>15175</v>
      </c>
      <c r="AB282" t="s">
        <v>20334</v>
      </c>
      <c r="AC282">
        <v>400</v>
      </c>
      <c r="AD282" t="s">
        <v>24596</v>
      </c>
      <c r="AF282">
        <v>27</v>
      </c>
      <c r="AG282">
        <v>2</v>
      </c>
      <c r="AH282">
        <v>0</v>
      </c>
      <c r="AI282">
        <v>65.43000000000001</v>
      </c>
      <c r="AL282" t="s">
        <v>5011</v>
      </c>
      <c r="AM282">
        <v>11064</v>
      </c>
      <c r="AS282">
        <v>1</v>
      </c>
      <c r="AT282" t="s">
        <v>513</v>
      </c>
      <c r="AU282" t="s">
        <v>25233</v>
      </c>
      <c r="AW282" t="s">
        <v>11447</v>
      </c>
    </row>
    <row r="283" spans="1:49">
      <c r="A283" s="1">
        <f>HYPERLINK("https://lsnyc.legalserver.org/matter/dynamic-profile/view/1870273","18-1870273")</f>
        <v>0</v>
      </c>
      <c r="B283" t="s">
        <v>141</v>
      </c>
      <c r="C283" t="s">
        <v>536</v>
      </c>
      <c r="E283" t="s">
        <v>1268</v>
      </c>
      <c r="F283" t="s">
        <v>1415</v>
      </c>
      <c r="G283" t="s">
        <v>6551</v>
      </c>
      <c r="I283" t="s">
        <v>11385</v>
      </c>
      <c r="J283">
        <v>11215</v>
      </c>
      <c r="K283" t="s">
        <v>11447</v>
      </c>
      <c r="M283" t="s">
        <v>14746</v>
      </c>
      <c r="N283" t="s">
        <v>14781</v>
      </c>
      <c r="P283" t="s">
        <v>14795</v>
      </c>
      <c r="Q283" t="s">
        <v>11448</v>
      </c>
      <c r="S283" t="s">
        <v>14827</v>
      </c>
      <c r="V283">
        <v>1050</v>
      </c>
      <c r="W283" t="s">
        <v>14859</v>
      </c>
      <c r="X283" t="s">
        <v>14868</v>
      </c>
      <c r="Z283" t="s">
        <v>15176</v>
      </c>
      <c r="AB283" t="s">
        <v>20335</v>
      </c>
      <c r="AC283">
        <v>6</v>
      </c>
      <c r="AD283" t="s">
        <v>24595</v>
      </c>
      <c r="AF283">
        <v>20</v>
      </c>
      <c r="AG283">
        <v>3</v>
      </c>
      <c r="AH283">
        <v>0</v>
      </c>
      <c r="AI283">
        <v>65.83</v>
      </c>
      <c r="AL283" t="s">
        <v>24632</v>
      </c>
      <c r="AM283">
        <v>13680</v>
      </c>
      <c r="AS283">
        <v>78.7</v>
      </c>
      <c r="AT283" t="s">
        <v>496</v>
      </c>
      <c r="AU283" t="s">
        <v>263</v>
      </c>
      <c r="AW283" t="s">
        <v>11447</v>
      </c>
    </row>
    <row r="284" spans="1:49">
      <c r="A284" s="1">
        <f>HYPERLINK("https://lsnyc.legalserver.org/matter/dynamic-profile/view/1904017","19-1904017")</f>
        <v>0</v>
      </c>
      <c r="B284" t="s">
        <v>61</v>
      </c>
      <c r="C284" t="s">
        <v>474</v>
      </c>
      <c r="E284" t="s">
        <v>1269</v>
      </c>
      <c r="F284" t="s">
        <v>3766</v>
      </c>
      <c r="G284" t="s">
        <v>6552</v>
      </c>
      <c r="H284" t="s">
        <v>10450</v>
      </c>
      <c r="I284" t="s">
        <v>11385</v>
      </c>
      <c r="J284">
        <v>11216</v>
      </c>
      <c r="K284" t="s">
        <v>11446</v>
      </c>
      <c r="L284" t="s">
        <v>11527</v>
      </c>
      <c r="M284" t="s">
        <v>14748</v>
      </c>
      <c r="N284" t="s">
        <v>14780</v>
      </c>
      <c r="P284" t="s">
        <v>14795</v>
      </c>
      <c r="Q284" t="s">
        <v>11448</v>
      </c>
      <c r="S284" t="s">
        <v>14829</v>
      </c>
      <c r="V284">
        <v>900</v>
      </c>
      <c r="W284" t="s">
        <v>14859</v>
      </c>
      <c r="X284" t="s">
        <v>14868</v>
      </c>
      <c r="Z284" t="s">
        <v>15177</v>
      </c>
      <c r="AB284" t="s">
        <v>20336</v>
      </c>
      <c r="AC284">
        <v>0</v>
      </c>
      <c r="AD284" t="s">
        <v>24595</v>
      </c>
      <c r="AF284">
        <v>34</v>
      </c>
      <c r="AG284">
        <v>1</v>
      </c>
      <c r="AH284">
        <v>0</v>
      </c>
      <c r="AI284">
        <v>67.25</v>
      </c>
      <c r="AL284" t="s">
        <v>5011</v>
      </c>
      <c r="AM284">
        <v>8400</v>
      </c>
      <c r="AS284">
        <v>6.5</v>
      </c>
      <c r="AT284" t="s">
        <v>533</v>
      </c>
      <c r="AU284" t="s">
        <v>25235</v>
      </c>
      <c r="AV284" t="s">
        <v>25335</v>
      </c>
      <c r="AW284" t="s">
        <v>11447</v>
      </c>
    </row>
    <row r="285" spans="1:49">
      <c r="A285" s="1">
        <f>HYPERLINK("https://lsnyc.legalserver.org/matter/dynamic-profile/view/1898443","19-1898443")</f>
        <v>0</v>
      </c>
      <c r="B285" t="s">
        <v>142</v>
      </c>
      <c r="C285" t="s">
        <v>360</v>
      </c>
      <c r="E285" t="s">
        <v>1248</v>
      </c>
      <c r="F285" t="s">
        <v>3767</v>
      </c>
      <c r="G285" t="s">
        <v>6553</v>
      </c>
      <c r="H285" t="s">
        <v>10592</v>
      </c>
      <c r="I285" t="s">
        <v>11383</v>
      </c>
      <c r="J285">
        <v>10467</v>
      </c>
      <c r="K285" t="s">
        <v>11447</v>
      </c>
      <c r="L285" t="s">
        <v>11528</v>
      </c>
      <c r="M285" t="s">
        <v>14744</v>
      </c>
      <c r="P285" t="s">
        <v>14795</v>
      </c>
      <c r="S285" t="s">
        <v>14827</v>
      </c>
      <c r="V285">
        <v>1275</v>
      </c>
      <c r="W285" t="s">
        <v>14858</v>
      </c>
      <c r="X285" t="s">
        <v>14873</v>
      </c>
      <c r="Z285" t="s">
        <v>15178</v>
      </c>
      <c r="AB285" t="s">
        <v>20337</v>
      </c>
      <c r="AC285">
        <v>27</v>
      </c>
      <c r="AF285">
        <v>8</v>
      </c>
      <c r="AG285">
        <v>1</v>
      </c>
      <c r="AH285">
        <v>0</v>
      </c>
      <c r="AI285">
        <v>67.25</v>
      </c>
      <c r="AL285" t="s">
        <v>5011</v>
      </c>
      <c r="AM285">
        <v>8400</v>
      </c>
      <c r="AS285">
        <v>4</v>
      </c>
      <c r="AT285" t="s">
        <v>631</v>
      </c>
      <c r="AU285" t="s">
        <v>25238</v>
      </c>
      <c r="AW285" t="s">
        <v>11447</v>
      </c>
    </row>
    <row r="286" spans="1:49">
      <c r="A286" s="1">
        <f>HYPERLINK("https://lsnyc.legalserver.org/matter/dynamic-profile/view/1914879","19-1914879")</f>
        <v>0</v>
      </c>
      <c r="B286" t="s">
        <v>73</v>
      </c>
      <c r="C286" t="s">
        <v>537</v>
      </c>
      <c r="E286" t="s">
        <v>1189</v>
      </c>
      <c r="F286" t="s">
        <v>3741</v>
      </c>
      <c r="G286" t="s">
        <v>6554</v>
      </c>
      <c r="H286" t="s">
        <v>10593</v>
      </c>
      <c r="I286" t="s">
        <v>11383</v>
      </c>
      <c r="J286">
        <v>10460</v>
      </c>
      <c r="K286" t="s">
        <v>11447</v>
      </c>
      <c r="L286" t="s">
        <v>11529</v>
      </c>
      <c r="M286" t="s">
        <v>14744</v>
      </c>
      <c r="P286" t="s">
        <v>14795</v>
      </c>
      <c r="S286" t="s">
        <v>14827</v>
      </c>
      <c r="V286">
        <v>1268</v>
      </c>
      <c r="W286" t="s">
        <v>14858</v>
      </c>
      <c r="X286" t="s">
        <v>14863</v>
      </c>
      <c r="Z286" t="s">
        <v>15179</v>
      </c>
      <c r="AB286" t="s">
        <v>20338</v>
      </c>
      <c r="AC286">
        <v>84</v>
      </c>
      <c r="AD286" t="s">
        <v>11479</v>
      </c>
      <c r="AE286" t="s">
        <v>24616</v>
      </c>
      <c r="AF286">
        <v>1</v>
      </c>
      <c r="AG286">
        <v>1</v>
      </c>
      <c r="AH286">
        <v>0</v>
      </c>
      <c r="AI286">
        <v>67.25</v>
      </c>
      <c r="AL286" t="s">
        <v>5011</v>
      </c>
      <c r="AM286">
        <v>8400</v>
      </c>
      <c r="AS286">
        <v>1.05</v>
      </c>
      <c r="AT286" t="s">
        <v>509</v>
      </c>
      <c r="AU286" t="s">
        <v>25244</v>
      </c>
      <c r="AW286" t="s">
        <v>11447</v>
      </c>
    </row>
    <row r="287" spans="1:49">
      <c r="A287" s="1">
        <f>HYPERLINK("https://lsnyc.legalserver.org/matter/dynamic-profile/view/1896005","19-1896005")</f>
        <v>0</v>
      </c>
      <c r="B287" t="s">
        <v>143</v>
      </c>
      <c r="C287" t="s">
        <v>415</v>
      </c>
      <c r="E287" t="s">
        <v>1270</v>
      </c>
      <c r="F287" t="s">
        <v>3768</v>
      </c>
      <c r="G287" t="s">
        <v>6555</v>
      </c>
      <c r="H287" t="s">
        <v>10581</v>
      </c>
      <c r="I287" t="s">
        <v>11383</v>
      </c>
      <c r="J287">
        <v>10451</v>
      </c>
      <c r="K287" t="s">
        <v>11446</v>
      </c>
      <c r="L287" t="s">
        <v>11530</v>
      </c>
      <c r="M287" t="s">
        <v>14743</v>
      </c>
      <c r="N287" t="s">
        <v>14778</v>
      </c>
      <c r="P287" t="s">
        <v>14795</v>
      </c>
      <c r="S287" t="s">
        <v>14827</v>
      </c>
      <c r="V287">
        <v>1146.72</v>
      </c>
      <c r="W287" t="s">
        <v>14858</v>
      </c>
      <c r="X287" t="s">
        <v>14863</v>
      </c>
      <c r="Z287" t="s">
        <v>15180</v>
      </c>
      <c r="AB287" t="s">
        <v>20339</v>
      </c>
      <c r="AC287">
        <v>0</v>
      </c>
      <c r="AD287" t="s">
        <v>24595</v>
      </c>
      <c r="AE287" t="s">
        <v>24613</v>
      </c>
      <c r="AF287">
        <v>-1</v>
      </c>
      <c r="AG287">
        <v>1</v>
      </c>
      <c r="AH287">
        <v>0</v>
      </c>
      <c r="AI287">
        <v>68.41</v>
      </c>
      <c r="AL287" t="s">
        <v>24632</v>
      </c>
      <c r="AM287">
        <v>8544</v>
      </c>
      <c r="AN287" t="s">
        <v>24696</v>
      </c>
      <c r="AS287">
        <v>0.7</v>
      </c>
      <c r="AT287" t="s">
        <v>362</v>
      </c>
      <c r="AU287" t="s">
        <v>25239</v>
      </c>
      <c r="AV287" t="s">
        <v>25335</v>
      </c>
      <c r="AW287" t="s">
        <v>11446</v>
      </c>
    </row>
    <row r="288" spans="1:49">
      <c r="A288" s="1">
        <f>HYPERLINK("https://lsnyc.legalserver.org/matter/dynamic-profile/view/1901902","19-1901902")</f>
        <v>0</v>
      </c>
      <c r="B288" t="s">
        <v>88</v>
      </c>
      <c r="C288" t="s">
        <v>347</v>
      </c>
      <c r="E288" t="s">
        <v>1025</v>
      </c>
      <c r="F288" t="s">
        <v>3769</v>
      </c>
      <c r="G288" t="s">
        <v>6556</v>
      </c>
      <c r="H288" t="s">
        <v>10594</v>
      </c>
      <c r="I288" t="s">
        <v>11385</v>
      </c>
      <c r="J288">
        <v>11218</v>
      </c>
      <c r="K288" t="s">
        <v>11446</v>
      </c>
      <c r="N288" t="s">
        <v>14782</v>
      </c>
      <c r="P288" t="s">
        <v>14795</v>
      </c>
      <c r="S288" t="s">
        <v>14827</v>
      </c>
      <c r="T288" t="s">
        <v>14836</v>
      </c>
      <c r="V288">
        <v>345</v>
      </c>
      <c r="W288" t="s">
        <v>14859</v>
      </c>
      <c r="Z288" t="s">
        <v>15181</v>
      </c>
      <c r="AB288" t="s">
        <v>20340</v>
      </c>
      <c r="AC288">
        <v>4</v>
      </c>
      <c r="AE288" t="s">
        <v>24610</v>
      </c>
      <c r="AF288">
        <v>10</v>
      </c>
      <c r="AG288">
        <v>1</v>
      </c>
      <c r="AH288">
        <v>0</v>
      </c>
      <c r="AI288">
        <v>69.08</v>
      </c>
      <c r="AL288" t="s">
        <v>24632</v>
      </c>
      <c r="AM288">
        <v>8628</v>
      </c>
      <c r="AS288">
        <v>1.25</v>
      </c>
      <c r="AT288" t="s">
        <v>338</v>
      </c>
      <c r="AU288" t="s">
        <v>25227</v>
      </c>
      <c r="AV288" t="s">
        <v>25335</v>
      </c>
      <c r="AW288" t="s">
        <v>11447</v>
      </c>
    </row>
    <row r="289" spans="1:49">
      <c r="A289" s="1">
        <f>HYPERLINK("https://lsnyc.legalserver.org/matter/dynamic-profile/view/1902137","19-1902137")</f>
        <v>0</v>
      </c>
      <c r="B289" t="s">
        <v>140</v>
      </c>
      <c r="C289" t="s">
        <v>538</v>
      </c>
      <c r="E289" t="s">
        <v>1271</v>
      </c>
      <c r="F289" t="s">
        <v>3770</v>
      </c>
      <c r="G289" t="s">
        <v>6557</v>
      </c>
      <c r="H289" t="s">
        <v>10547</v>
      </c>
      <c r="I289" t="s">
        <v>11383</v>
      </c>
      <c r="J289">
        <v>10452</v>
      </c>
      <c r="K289" t="s">
        <v>11447</v>
      </c>
      <c r="P289" t="s">
        <v>14795</v>
      </c>
      <c r="S289" t="s">
        <v>14827</v>
      </c>
      <c r="V289">
        <v>10024</v>
      </c>
      <c r="W289" t="s">
        <v>14858</v>
      </c>
      <c r="X289" t="s">
        <v>14868</v>
      </c>
      <c r="Z289" t="s">
        <v>15182</v>
      </c>
      <c r="AB289" t="s">
        <v>20341</v>
      </c>
      <c r="AC289">
        <v>200</v>
      </c>
      <c r="AE289" t="s">
        <v>14755</v>
      </c>
      <c r="AF289">
        <v>6</v>
      </c>
      <c r="AG289">
        <v>1</v>
      </c>
      <c r="AH289">
        <v>0</v>
      </c>
      <c r="AI289">
        <v>69.18000000000001</v>
      </c>
      <c r="AL289" t="s">
        <v>5011</v>
      </c>
      <c r="AM289">
        <v>8640</v>
      </c>
      <c r="AS289">
        <v>1.4</v>
      </c>
      <c r="AT289" t="s">
        <v>580</v>
      </c>
      <c r="AU289" t="s">
        <v>25226</v>
      </c>
      <c r="AW289" t="s">
        <v>11447</v>
      </c>
    </row>
    <row r="290" spans="1:49">
      <c r="A290" s="1">
        <f>HYPERLINK("https://lsnyc.legalserver.org/matter/dynamic-profile/view/1912348","19-1912348")</f>
        <v>0</v>
      </c>
      <c r="B290" t="s">
        <v>55</v>
      </c>
      <c r="C290" t="s">
        <v>473</v>
      </c>
      <c r="E290" t="s">
        <v>1272</v>
      </c>
      <c r="F290" t="s">
        <v>3771</v>
      </c>
      <c r="G290" t="s">
        <v>6558</v>
      </c>
      <c r="H290">
        <v>6</v>
      </c>
      <c r="I290" t="s">
        <v>11386</v>
      </c>
      <c r="J290">
        <v>10035</v>
      </c>
      <c r="K290" t="s">
        <v>11447</v>
      </c>
      <c r="M290" t="s">
        <v>11601</v>
      </c>
      <c r="P290" t="s">
        <v>14795</v>
      </c>
      <c r="S290" t="s">
        <v>14827</v>
      </c>
      <c r="V290">
        <v>945</v>
      </c>
      <c r="W290" t="s">
        <v>14860</v>
      </c>
      <c r="Z290" t="s">
        <v>15183</v>
      </c>
      <c r="AB290" t="s">
        <v>20342</v>
      </c>
      <c r="AC290">
        <v>0</v>
      </c>
      <c r="AD290" t="s">
        <v>24595</v>
      </c>
      <c r="AE290" t="s">
        <v>24610</v>
      </c>
      <c r="AF290">
        <v>20</v>
      </c>
      <c r="AG290">
        <v>1</v>
      </c>
      <c r="AH290">
        <v>0</v>
      </c>
      <c r="AI290">
        <v>69.18000000000001</v>
      </c>
      <c r="AL290" t="s">
        <v>5011</v>
      </c>
      <c r="AM290">
        <v>8640</v>
      </c>
      <c r="AS290">
        <v>1</v>
      </c>
      <c r="AT290" t="s">
        <v>473</v>
      </c>
      <c r="AU290" t="s">
        <v>25231</v>
      </c>
      <c r="AW290" t="s">
        <v>11447</v>
      </c>
    </row>
    <row r="291" spans="1:49">
      <c r="A291" s="1">
        <f>HYPERLINK("https://lsnyc.legalserver.org/matter/dynamic-profile/view/1913209","19-1913209")</f>
        <v>0</v>
      </c>
      <c r="B291" t="s">
        <v>63</v>
      </c>
      <c r="C291" t="s">
        <v>515</v>
      </c>
      <c r="E291" t="s">
        <v>1273</v>
      </c>
      <c r="F291" t="s">
        <v>3709</v>
      </c>
      <c r="G291" t="s">
        <v>6559</v>
      </c>
      <c r="H291" t="s">
        <v>10575</v>
      </c>
      <c r="I291" t="s">
        <v>11391</v>
      </c>
      <c r="J291">
        <v>11691</v>
      </c>
      <c r="K291" t="s">
        <v>11447</v>
      </c>
      <c r="M291" t="s">
        <v>11601</v>
      </c>
      <c r="P291" t="s">
        <v>14795</v>
      </c>
      <c r="S291" t="s">
        <v>14827</v>
      </c>
      <c r="V291">
        <v>113</v>
      </c>
      <c r="W291" t="s">
        <v>14861</v>
      </c>
      <c r="Z291" t="s">
        <v>15184</v>
      </c>
      <c r="AB291" t="s">
        <v>20343</v>
      </c>
      <c r="AC291">
        <v>0</v>
      </c>
      <c r="AD291" t="s">
        <v>24596</v>
      </c>
      <c r="AE291" t="s">
        <v>24610</v>
      </c>
      <c r="AF291">
        <v>5</v>
      </c>
      <c r="AG291">
        <v>2</v>
      </c>
      <c r="AH291">
        <v>2</v>
      </c>
      <c r="AI291">
        <v>69.90000000000001</v>
      </c>
      <c r="AL291" t="s">
        <v>5011</v>
      </c>
      <c r="AM291">
        <v>18000</v>
      </c>
      <c r="AS291">
        <v>1</v>
      </c>
      <c r="AT291" t="s">
        <v>515</v>
      </c>
      <c r="AU291" t="s">
        <v>25231</v>
      </c>
      <c r="AW291" t="s">
        <v>11447</v>
      </c>
    </row>
    <row r="292" spans="1:49">
      <c r="A292" s="1">
        <f>HYPERLINK("https://lsnyc.legalserver.org/matter/dynamic-profile/view/1914221","19-1914221")</f>
        <v>0</v>
      </c>
      <c r="B292" t="s">
        <v>92</v>
      </c>
      <c r="C292" t="s">
        <v>539</v>
      </c>
      <c r="E292" t="s">
        <v>1274</v>
      </c>
      <c r="F292" t="s">
        <v>3772</v>
      </c>
      <c r="G292" t="s">
        <v>6560</v>
      </c>
      <c r="H292" t="s">
        <v>10460</v>
      </c>
      <c r="I292" t="s">
        <v>11383</v>
      </c>
      <c r="J292">
        <v>10460</v>
      </c>
      <c r="K292" t="s">
        <v>11447</v>
      </c>
      <c r="P292" t="s">
        <v>14795</v>
      </c>
      <c r="S292" t="s">
        <v>14827</v>
      </c>
      <c r="V292">
        <v>1500</v>
      </c>
      <c r="W292" t="s">
        <v>14858</v>
      </c>
      <c r="X292" t="s">
        <v>14872</v>
      </c>
      <c r="Z292" t="s">
        <v>15185</v>
      </c>
      <c r="AB292" t="s">
        <v>20344</v>
      </c>
      <c r="AC292">
        <v>49</v>
      </c>
      <c r="AE292" t="s">
        <v>24610</v>
      </c>
      <c r="AF292">
        <v>14</v>
      </c>
      <c r="AG292">
        <v>1</v>
      </c>
      <c r="AH292">
        <v>0</v>
      </c>
      <c r="AI292">
        <v>70.42</v>
      </c>
      <c r="AL292" t="s">
        <v>24632</v>
      </c>
      <c r="AM292">
        <v>8796</v>
      </c>
      <c r="AS292">
        <v>2.14</v>
      </c>
      <c r="AT292" t="s">
        <v>592</v>
      </c>
      <c r="AU292" t="s">
        <v>25253</v>
      </c>
      <c r="AW292" t="s">
        <v>11447</v>
      </c>
    </row>
    <row r="293" spans="1:49">
      <c r="A293" s="1">
        <f>HYPERLINK("https://lsnyc.legalserver.org/matter/dynamic-profile/view/1901470","19-1901470")</f>
        <v>0</v>
      </c>
      <c r="B293" t="s">
        <v>95</v>
      </c>
      <c r="C293" t="s">
        <v>330</v>
      </c>
      <c r="E293" t="s">
        <v>1084</v>
      </c>
      <c r="F293" t="s">
        <v>3773</v>
      </c>
      <c r="G293" t="s">
        <v>6561</v>
      </c>
      <c r="H293">
        <v>2</v>
      </c>
      <c r="I293" t="s">
        <v>11383</v>
      </c>
      <c r="J293">
        <v>10452</v>
      </c>
      <c r="K293" t="s">
        <v>11447</v>
      </c>
      <c r="P293" t="s">
        <v>14795</v>
      </c>
      <c r="S293" t="s">
        <v>14827</v>
      </c>
      <c r="V293">
        <v>1750</v>
      </c>
      <c r="W293" t="s">
        <v>14858</v>
      </c>
      <c r="Z293" t="s">
        <v>15186</v>
      </c>
      <c r="AB293" t="s">
        <v>20345</v>
      </c>
      <c r="AC293">
        <v>3</v>
      </c>
      <c r="AE293" t="s">
        <v>24610</v>
      </c>
      <c r="AF293">
        <v>0</v>
      </c>
      <c r="AG293">
        <v>1</v>
      </c>
      <c r="AH293">
        <v>0</v>
      </c>
      <c r="AI293">
        <v>70.62</v>
      </c>
      <c r="AL293" t="s">
        <v>5011</v>
      </c>
      <c r="AM293">
        <v>8820</v>
      </c>
      <c r="AS293">
        <v>1.3</v>
      </c>
      <c r="AT293" t="s">
        <v>345</v>
      </c>
      <c r="AU293" t="s">
        <v>25227</v>
      </c>
      <c r="AW293" t="s">
        <v>11447</v>
      </c>
    </row>
    <row r="294" spans="1:49">
      <c r="A294" s="1">
        <f>HYPERLINK("https://lsnyc.legalserver.org/matter/dynamic-profile/view/1894796","19-1894796")</f>
        <v>0</v>
      </c>
      <c r="B294" t="s">
        <v>125</v>
      </c>
      <c r="C294" t="s">
        <v>376</v>
      </c>
      <c r="E294" t="s">
        <v>1101</v>
      </c>
      <c r="F294" t="s">
        <v>3774</v>
      </c>
      <c r="G294" t="s">
        <v>6562</v>
      </c>
      <c r="H294">
        <v>4</v>
      </c>
      <c r="I294" t="s">
        <v>11383</v>
      </c>
      <c r="J294">
        <v>10471</v>
      </c>
      <c r="K294" t="s">
        <v>11447</v>
      </c>
      <c r="P294" t="s">
        <v>14795</v>
      </c>
      <c r="S294" t="s">
        <v>14830</v>
      </c>
      <c r="V294">
        <v>0</v>
      </c>
      <c r="W294" t="s">
        <v>14858</v>
      </c>
      <c r="Z294" t="s">
        <v>15187</v>
      </c>
      <c r="AB294" t="s">
        <v>20346</v>
      </c>
      <c r="AC294">
        <v>0</v>
      </c>
      <c r="AF294">
        <v>0</v>
      </c>
      <c r="AG294">
        <v>1</v>
      </c>
      <c r="AH294">
        <v>0</v>
      </c>
      <c r="AI294">
        <v>71.09999999999999</v>
      </c>
      <c r="AL294" t="s">
        <v>5011</v>
      </c>
      <c r="AM294">
        <v>8880</v>
      </c>
      <c r="AS294">
        <v>3.1</v>
      </c>
      <c r="AT294" t="s">
        <v>416</v>
      </c>
      <c r="AU294" t="s">
        <v>25232</v>
      </c>
      <c r="AW294" t="s">
        <v>11447</v>
      </c>
    </row>
    <row r="295" spans="1:49">
      <c r="A295" s="1">
        <f>HYPERLINK("https://lsnyc.legalserver.org/matter/dynamic-profile/view/1910299","19-1910299")</f>
        <v>0</v>
      </c>
      <c r="B295" t="s">
        <v>63</v>
      </c>
      <c r="C295" t="s">
        <v>540</v>
      </c>
      <c r="E295" t="s">
        <v>1215</v>
      </c>
      <c r="F295" t="s">
        <v>3775</v>
      </c>
      <c r="G295" t="s">
        <v>6563</v>
      </c>
      <c r="I295" t="s">
        <v>11410</v>
      </c>
      <c r="J295">
        <v>11692</v>
      </c>
      <c r="K295" t="s">
        <v>11447</v>
      </c>
      <c r="L295" t="s">
        <v>11531</v>
      </c>
      <c r="M295" t="s">
        <v>14744</v>
      </c>
      <c r="P295" t="s">
        <v>14795</v>
      </c>
      <c r="Q295" t="s">
        <v>11448</v>
      </c>
      <c r="S295" t="s">
        <v>14827</v>
      </c>
      <c r="V295">
        <v>2197</v>
      </c>
      <c r="W295" t="s">
        <v>14859</v>
      </c>
      <c r="Z295" t="s">
        <v>15188</v>
      </c>
      <c r="AB295" t="s">
        <v>20347</v>
      </c>
      <c r="AC295">
        <v>220</v>
      </c>
      <c r="AD295" t="s">
        <v>11479</v>
      </c>
      <c r="AE295" t="s">
        <v>24610</v>
      </c>
      <c r="AF295">
        <v>1</v>
      </c>
      <c r="AG295">
        <v>2</v>
      </c>
      <c r="AH295">
        <v>2</v>
      </c>
      <c r="AI295">
        <v>72.05</v>
      </c>
      <c r="AL295" t="s">
        <v>5011</v>
      </c>
      <c r="AM295">
        <v>18552</v>
      </c>
      <c r="AS295">
        <v>1.75</v>
      </c>
      <c r="AT295" t="s">
        <v>540</v>
      </c>
      <c r="AU295" t="s">
        <v>25236</v>
      </c>
      <c r="AW295" t="s">
        <v>11447</v>
      </c>
    </row>
    <row r="296" spans="1:49">
      <c r="A296" s="1">
        <f>HYPERLINK("https://lsnyc.legalserver.org/matter/dynamic-profile/view/1915363","19-1915363")</f>
        <v>0</v>
      </c>
      <c r="B296" t="s">
        <v>63</v>
      </c>
      <c r="C296" t="s">
        <v>495</v>
      </c>
      <c r="E296" t="s">
        <v>1275</v>
      </c>
      <c r="F296" t="s">
        <v>3776</v>
      </c>
      <c r="G296" t="s">
        <v>6564</v>
      </c>
      <c r="H296" t="s">
        <v>10595</v>
      </c>
      <c r="I296" t="s">
        <v>11391</v>
      </c>
      <c r="J296">
        <v>11691</v>
      </c>
      <c r="K296" t="s">
        <v>11447</v>
      </c>
      <c r="P296" t="s">
        <v>14795</v>
      </c>
      <c r="S296" t="s">
        <v>14827</v>
      </c>
      <c r="V296">
        <v>137</v>
      </c>
      <c r="W296" t="s">
        <v>14861</v>
      </c>
      <c r="X296" t="s">
        <v>14864</v>
      </c>
      <c r="Z296" t="s">
        <v>15189</v>
      </c>
      <c r="AB296" t="s">
        <v>20348</v>
      </c>
      <c r="AC296">
        <v>0</v>
      </c>
      <c r="AE296" t="s">
        <v>24610</v>
      </c>
      <c r="AF296">
        <v>41</v>
      </c>
      <c r="AG296">
        <v>1</v>
      </c>
      <c r="AH296">
        <v>0</v>
      </c>
      <c r="AI296">
        <v>72.06</v>
      </c>
      <c r="AL296" t="s">
        <v>24632</v>
      </c>
      <c r="AM296">
        <v>9000</v>
      </c>
      <c r="AS296">
        <v>0.7</v>
      </c>
      <c r="AT296" t="s">
        <v>495</v>
      </c>
      <c r="AU296" t="s">
        <v>25253</v>
      </c>
      <c r="AW296" t="s">
        <v>11447</v>
      </c>
    </row>
    <row r="297" spans="1:49">
      <c r="A297" s="1">
        <f>HYPERLINK("https://lsnyc.legalserver.org/matter/dynamic-profile/view/1908634","19-1908634")</f>
        <v>0</v>
      </c>
      <c r="B297" t="s">
        <v>131</v>
      </c>
      <c r="C297" t="s">
        <v>497</v>
      </c>
      <c r="E297" t="s">
        <v>1276</v>
      </c>
      <c r="F297" t="s">
        <v>3777</v>
      </c>
      <c r="G297" t="s">
        <v>6565</v>
      </c>
      <c r="H297" t="s">
        <v>10450</v>
      </c>
      <c r="I297" t="s">
        <v>11385</v>
      </c>
      <c r="J297">
        <v>11216</v>
      </c>
      <c r="K297" t="s">
        <v>11447</v>
      </c>
      <c r="P297" t="s">
        <v>14795</v>
      </c>
      <c r="S297" t="s">
        <v>14827</v>
      </c>
      <c r="V297">
        <v>1400</v>
      </c>
      <c r="W297" t="s">
        <v>14859</v>
      </c>
      <c r="X297" t="s">
        <v>14868</v>
      </c>
      <c r="Z297" t="s">
        <v>15190</v>
      </c>
      <c r="AB297" t="s">
        <v>20349</v>
      </c>
      <c r="AC297">
        <v>48</v>
      </c>
      <c r="AE297" t="s">
        <v>24610</v>
      </c>
      <c r="AF297">
        <v>10</v>
      </c>
      <c r="AG297">
        <v>1</v>
      </c>
      <c r="AH297">
        <v>0</v>
      </c>
      <c r="AI297">
        <v>72.06</v>
      </c>
      <c r="AL297" t="s">
        <v>5011</v>
      </c>
      <c r="AM297">
        <v>9000</v>
      </c>
      <c r="AS297">
        <v>1</v>
      </c>
      <c r="AT297" t="s">
        <v>497</v>
      </c>
      <c r="AU297" t="s">
        <v>25226</v>
      </c>
      <c r="AW297" t="s">
        <v>11447</v>
      </c>
    </row>
    <row r="298" spans="1:49">
      <c r="A298" s="1">
        <f>HYPERLINK("https://lsnyc.legalserver.org/matter/dynamic-profile/view/1892277","19-1892277")</f>
        <v>0</v>
      </c>
      <c r="B298" t="s">
        <v>134</v>
      </c>
      <c r="C298" t="s">
        <v>541</v>
      </c>
      <c r="E298" t="s">
        <v>1241</v>
      </c>
      <c r="F298" t="s">
        <v>3778</v>
      </c>
      <c r="G298" t="s">
        <v>6566</v>
      </c>
      <c r="H298">
        <v>104</v>
      </c>
      <c r="I298" t="s">
        <v>11383</v>
      </c>
      <c r="J298">
        <v>10463</v>
      </c>
      <c r="K298" t="s">
        <v>11448</v>
      </c>
      <c r="L298" t="s">
        <v>11532</v>
      </c>
      <c r="M298" t="s">
        <v>14744</v>
      </c>
      <c r="P298" t="s">
        <v>14795</v>
      </c>
      <c r="Q298" t="s">
        <v>11448</v>
      </c>
      <c r="S298" t="s">
        <v>14827</v>
      </c>
      <c r="V298">
        <v>241</v>
      </c>
      <c r="W298" t="s">
        <v>14858</v>
      </c>
      <c r="X298" t="s">
        <v>14755</v>
      </c>
      <c r="Z298" t="s">
        <v>15191</v>
      </c>
      <c r="AB298" t="s">
        <v>20350</v>
      </c>
      <c r="AC298">
        <v>80</v>
      </c>
      <c r="AD298" t="s">
        <v>11479</v>
      </c>
      <c r="AE298" t="s">
        <v>11459</v>
      </c>
      <c r="AF298">
        <v>1</v>
      </c>
      <c r="AG298">
        <v>1</v>
      </c>
      <c r="AH298">
        <v>0</v>
      </c>
      <c r="AI298">
        <v>72.06</v>
      </c>
      <c r="AL298" t="s">
        <v>5011</v>
      </c>
      <c r="AM298">
        <v>9000</v>
      </c>
      <c r="AS298">
        <v>17.45</v>
      </c>
      <c r="AT298" t="s">
        <v>602</v>
      </c>
      <c r="AU298" t="s">
        <v>25244</v>
      </c>
      <c r="AW298" t="s">
        <v>11448</v>
      </c>
    </row>
    <row r="299" spans="1:49">
      <c r="A299" s="1">
        <f>HYPERLINK("https://lsnyc.legalserver.org/matter/dynamic-profile/view/1888563","19-1888563")</f>
        <v>0</v>
      </c>
      <c r="B299" t="s">
        <v>113</v>
      </c>
      <c r="C299" t="s">
        <v>542</v>
      </c>
      <c r="E299" t="s">
        <v>1277</v>
      </c>
      <c r="F299" t="s">
        <v>3716</v>
      </c>
      <c r="G299" t="s">
        <v>6567</v>
      </c>
      <c r="H299" t="s">
        <v>10568</v>
      </c>
      <c r="I299" t="s">
        <v>11383</v>
      </c>
      <c r="J299">
        <v>10453</v>
      </c>
      <c r="K299" t="s">
        <v>11447</v>
      </c>
      <c r="L299" t="s">
        <v>11533</v>
      </c>
      <c r="M299" t="s">
        <v>14744</v>
      </c>
      <c r="P299" t="s">
        <v>14795</v>
      </c>
      <c r="Q299" t="s">
        <v>11448</v>
      </c>
      <c r="S299" t="s">
        <v>14827</v>
      </c>
      <c r="V299">
        <v>1432.16</v>
      </c>
      <c r="W299" t="s">
        <v>14858</v>
      </c>
      <c r="X299" t="s">
        <v>14755</v>
      </c>
      <c r="Z299" t="s">
        <v>15192</v>
      </c>
      <c r="AB299" t="s">
        <v>20351</v>
      </c>
      <c r="AC299">
        <v>0</v>
      </c>
      <c r="AD299" t="s">
        <v>11479</v>
      </c>
      <c r="AE299" t="s">
        <v>24610</v>
      </c>
      <c r="AF299">
        <v>8</v>
      </c>
      <c r="AG299">
        <v>1</v>
      </c>
      <c r="AH299">
        <v>5</v>
      </c>
      <c r="AI299">
        <v>72.16</v>
      </c>
      <c r="AL299" t="s">
        <v>5011</v>
      </c>
      <c r="AM299">
        <v>24960</v>
      </c>
      <c r="AN299" t="s">
        <v>24697</v>
      </c>
      <c r="AS299">
        <v>0.58</v>
      </c>
      <c r="AT299" t="s">
        <v>542</v>
      </c>
      <c r="AU299" t="s">
        <v>25240</v>
      </c>
      <c r="AW299" t="s">
        <v>11448</v>
      </c>
    </row>
    <row r="300" spans="1:49">
      <c r="A300" s="1">
        <f>HYPERLINK("https://lsnyc.legalserver.org/matter/dynamic-profile/view/1915168","19-1915168")</f>
        <v>0</v>
      </c>
      <c r="B300" t="s">
        <v>144</v>
      </c>
      <c r="C300" t="s">
        <v>516</v>
      </c>
      <c r="E300" t="s">
        <v>1278</v>
      </c>
      <c r="F300" t="s">
        <v>3623</v>
      </c>
      <c r="G300" t="s">
        <v>6568</v>
      </c>
      <c r="H300" t="s">
        <v>10596</v>
      </c>
      <c r="I300" t="s">
        <v>11383</v>
      </c>
      <c r="J300">
        <v>10453</v>
      </c>
      <c r="K300" t="s">
        <v>11447</v>
      </c>
      <c r="P300" t="s">
        <v>14795</v>
      </c>
      <c r="S300" t="s">
        <v>14827</v>
      </c>
      <c r="V300">
        <v>515.72</v>
      </c>
      <c r="W300" t="s">
        <v>14858</v>
      </c>
      <c r="Z300" t="s">
        <v>15193</v>
      </c>
      <c r="AB300" t="s">
        <v>20352</v>
      </c>
      <c r="AC300">
        <v>45</v>
      </c>
      <c r="AE300" t="s">
        <v>24613</v>
      </c>
      <c r="AF300">
        <v>40</v>
      </c>
      <c r="AG300">
        <v>1</v>
      </c>
      <c r="AH300">
        <v>0</v>
      </c>
      <c r="AI300">
        <v>72.34999999999999</v>
      </c>
      <c r="AL300" t="s">
        <v>5011</v>
      </c>
      <c r="AM300">
        <v>9036</v>
      </c>
      <c r="AS300">
        <v>1</v>
      </c>
      <c r="AT300" t="s">
        <v>516</v>
      </c>
      <c r="AU300" t="s">
        <v>25237</v>
      </c>
      <c r="AW300" t="s">
        <v>11447</v>
      </c>
    </row>
    <row r="301" spans="1:49">
      <c r="A301" s="1">
        <f>HYPERLINK("https://lsnyc.legalserver.org/matter/dynamic-profile/view/1912603","19-1912603")</f>
        <v>0</v>
      </c>
      <c r="B301" t="s">
        <v>75</v>
      </c>
      <c r="C301" t="s">
        <v>472</v>
      </c>
      <c r="E301" t="s">
        <v>1279</v>
      </c>
      <c r="F301" t="s">
        <v>3779</v>
      </c>
      <c r="G301" t="s">
        <v>6569</v>
      </c>
      <c r="H301">
        <v>544</v>
      </c>
      <c r="I301" t="s">
        <v>11385</v>
      </c>
      <c r="J301">
        <v>11203</v>
      </c>
      <c r="K301" t="s">
        <v>11447</v>
      </c>
      <c r="P301" t="s">
        <v>14795</v>
      </c>
      <c r="S301" t="s">
        <v>14827</v>
      </c>
      <c r="V301">
        <v>1496</v>
      </c>
      <c r="W301" t="s">
        <v>14859</v>
      </c>
      <c r="X301" t="s">
        <v>14868</v>
      </c>
      <c r="Z301" t="s">
        <v>15194</v>
      </c>
      <c r="AB301" t="s">
        <v>20353</v>
      </c>
      <c r="AC301">
        <v>117</v>
      </c>
      <c r="AD301" t="s">
        <v>24595</v>
      </c>
      <c r="AE301" t="s">
        <v>24610</v>
      </c>
      <c r="AF301">
        <v>3</v>
      </c>
      <c r="AG301">
        <v>1</v>
      </c>
      <c r="AH301">
        <v>0</v>
      </c>
      <c r="AI301">
        <v>73.02</v>
      </c>
      <c r="AL301" t="s">
        <v>5011</v>
      </c>
      <c r="AM301">
        <v>9120</v>
      </c>
      <c r="AS301">
        <v>1.6</v>
      </c>
      <c r="AT301" t="s">
        <v>484</v>
      </c>
      <c r="AU301" t="s">
        <v>25226</v>
      </c>
      <c r="AW301" t="s">
        <v>11447</v>
      </c>
    </row>
    <row r="302" spans="1:49">
      <c r="A302" s="1">
        <f>HYPERLINK("https://lsnyc.legalserver.org/matter/dynamic-profile/view/1907963","19-1907963")</f>
        <v>0</v>
      </c>
      <c r="B302" t="s">
        <v>92</v>
      </c>
      <c r="C302" t="s">
        <v>458</v>
      </c>
      <c r="E302" t="s">
        <v>1280</v>
      </c>
      <c r="F302" t="s">
        <v>3780</v>
      </c>
      <c r="G302" t="s">
        <v>6570</v>
      </c>
      <c r="H302" t="s">
        <v>10597</v>
      </c>
      <c r="I302" t="s">
        <v>11383</v>
      </c>
      <c r="J302">
        <v>10457</v>
      </c>
      <c r="K302" t="s">
        <v>11447</v>
      </c>
      <c r="M302" t="s">
        <v>14754</v>
      </c>
      <c r="N302" t="s">
        <v>14778</v>
      </c>
      <c r="P302" t="s">
        <v>14795</v>
      </c>
      <c r="Q302" t="s">
        <v>11448</v>
      </c>
      <c r="S302" t="s">
        <v>14828</v>
      </c>
      <c r="V302">
        <v>1796</v>
      </c>
      <c r="W302" t="s">
        <v>14858</v>
      </c>
      <c r="X302" t="s">
        <v>14873</v>
      </c>
      <c r="Z302" t="s">
        <v>15195</v>
      </c>
      <c r="AB302" t="s">
        <v>20354</v>
      </c>
      <c r="AC302">
        <v>220</v>
      </c>
      <c r="AD302" t="s">
        <v>24596</v>
      </c>
      <c r="AF302">
        <v>7</v>
      </c>
      <c r="AG302">
        <v>1</v>
      </c>
      <c r="AH302">
        <v>2</v>
      </c>
      <c r="AI302">
        <v>73.14</v>
      </c>
      <c r="AL302" t="s">
        <v>5011</v>
      </c>
      <c r="AM302">
        <v>15600</v>
      </c>
      <c r="AS302">
        <v>0.5</v>
      </c>
      <c r="AT302" t="s">
        <v>458</v>
      </c>
      <c r="AU302" t="s">
        <v>25236</v>
      </c>
      <c r="AW302" t="s">
        <v>11447</v>
      </c>
    </row>
    <row r="303" spans="1:49">
      <c r="A303" s="1">
        <f>HYPERLINK("https://lsnyc.legalserver.org/matter/dynamic-profile/view/1908301","19-1908301")</f>
        <v>0</v>
      </c>
      <c r="B303" t="s">
        <v>63</v>
      </c>
      <c r="C303" t="s">
        <v>375</v>
      </c>
      <c r="E303" t="s">
        <v>1281</v>
      </c>
      <c r="F303" t="s">
        <v>3781</v>
      </c>
      <c r="G303" t="s">
        <v>6571</v>
      </c>
      <c r="H303" t="s">
        <v>10598</v>
      </c>
      <c r="I303" t="s">
        <v>11410</v>
      </c>
      <c r="J303">
        <v>11692</v>
      </c>
      <c r="K303" t="s">
        <v>11447</v>
      </c>
      <c r="P303" t="s">
        <v>14795</v>
      </c>
      <c r="S303" t="s">
        <v>14827</v>
      </c>
      <c r="V303">
        <v>1352</v>
      </c>
      <c r="W303" t="s">
        <v>14861</v>
      </c>
      <c r="X303" t="s">
        <v>14868</v>
      </c>
      <c r="Z303" t="s">
        <v>15196</v>
      </c>
      <c r="AB303" t="s">
        <v>20355</v>
      </c>
      <c r="AC303">
        <v>40</v>
      </c>
      <c r="AD303" t="s">
        <v>11479</v>
      </c>
      <c r="AE303" t="s">
        <v>24610</v>
      </c>
      <c r="AF303">
        <v>12</v>
      </c>
      <c r="AG303">
        <v>1</v>
      </c>
      <c r="AH303">
        <v>0</v>
      </c>
      <c r="AI303">
        <v>73.20999999999999</v>
      </c>
      <c r="AL303" t="s">
        <v>5011</v>
      </c>
      <c r="AM303">
        <v>9144</v>
      </c>
      <c r="AS303">
        <v>1</v>
      </c>
      <c r="AT303" t="s">
        <v>375</v>
      </c>
      <c r="AU303" t="s">
        <v>25226</v>
      </c>
      <c r="AW303" t="s">
        <v>11447</v>
      </c>
    </row>
    <row r="304" spans="1:49">
      <c r="A304" s="1">
        <f>HYPERLINK("https://lsnyc.legalserver.org/matter/dynamic-profile/view/1915144","19-1915144")</f>
        <v>0</v>
      </c>
      <c r="B304" t="s">
        <v>65</v>
      </c>
      <c r="C304" t="s">
        <v>516</v>
      </c>
      <c r="E304" t="s">
        <v>1282</v>
      </c>
      <c r="F304" t="s">
        <v>3782</v>
      </c>
      <c r="G304" t="s">
        <v>6572</v>
      </c>
      <c r="H304" t="s">
        <v>10500</v>
      </c>
      <c r="I304" t="s">
        <v>11385</v>
      </c>
      <c r="J304">
        <v>11237</v>
      </c>
      <c r="K304" t="s">
        <v>11447</v>
      </c>
      <c r="P304" t="s">
        <v>14795</v>
      </c>
      <c r="S304" t="s">
        <v>14831</v>
      </c>
      <c r="V304">
        <v>0</v>
      </c>
      <c r="W304" t="s">
        <v>14859</v>
      </c>
      <c r="Z304" t="s">
        <v>15197</v>
      </c>
      <c r="AB304" t="s">
        <v>20356</v>
      </c>
      <c r="AC304">
        <v>0</v>
      </c>
      <c r="AF304">
        <v>0</v>
      </c>
      <c r="AG304">
        <v>1</v>
      </c>
      <c r="AH304">
        <v>0</v>
      </c>
      <c r="AI304">
        <v>73.98</v>
      </c>
      <c r="AL304" t="s">
        <v>24632</v>
      </c>
      <c r="AM304">
        <v>9240</v>
      </c>
      <c r="AS304">
        <v>0.8</v>
      </c>
      <c r="AT304" t="s">
        <v>516</v>
      </c>
      <c r="AU304" t="s">
        <v>25249</v>
      </c>
      <c r="AW304" t="s">
        <v>11447</v>
      </c>
    </row>
    <row r="305" spans="1:49">
      <c r="A305" s="1">
        <f>HYPERLINK("https://lsnyc.legalserver.org/matter/dynamic-profile/view/1915142","19-1915142")</f>
        <v>0</v>
      </c>
      <c r="B305" t="s">
        <v>63</v>
      </c>
      <c r="C305" t="s">
        <v>516</v>
      </c>
      <c r="E305" t="s">
        <v>1283</v>
      </c>
      <c r="F305" t="s">
        <v>3783</v>
      </c>
      <c r="G305" t="s">
        <v>6573</v>
      </c>
      <c r="H305" t="s">
        <v>10599</v>
      </c>
      <c r="I305" t="s">
        <v>11391</v>
      </c>
      <c r="J305">
        <v>11691</v>
      </c>
      <c r="K305" t="s">
        <v>11447</v>
      </c>
      <c r="P305" t="s">
        <v>14795</v>
      </c>
      <c r="S305" t="s">
        <v>14828</v>
      </c>
      <c r="V305">
        <v>248</v>
      </c>
      <c r="W305" t="s">
        <v>14861</v>
      </c>
      <c r="X305" t="s">
        <v>14863</v>
      </c>
      <c r="Z305" t="s">
        <v>15198</v>
      </c>
      <c r="AB305" t="s">
        <v>20357</v>
      </c>
      <c r="AC305">
        <v>0</v>
      </c>
      <c r="AD305" t="s">
        <v>24597</v>
      </c>
      <c r="AE305" t="s">
        <v>24610</v>
      </c>
      <c r="AF305">
        <v>15</v>
      </c>
      <c r="AG305">
        <v>1</v>
      </c>
      <c r="AH305">
        <v>0</v>
      </c>
      <c r="AI305">
        <v>74.08</v>
      </c>
      <c r="AL305" t="s">
        <v>5011</v>
      </c>
      <c r="AM305">
        <v>9252</v>
      </c>
      <c r="AS305">
        <v>1</v>
      </c>
      <c r="AT305" t="s">
        <v>516</v>
      </c>
      <c r="AU305" t="s">
        <v>25226</v>
      </c>
      <c r="AW305" t="s">
        <v>11447</v>
      </c>
    </row>
    <row r="306" spans="1:49">
      <c r="A306" s="1">
        <f>HYPERLINK("https://lsnyc.legalserver.org/matter/dynamic-profile/view/1913207","19-1913207")</f>
        <v>0</v>
      </c>
      <c r="B306" t="s">
        <v>76</v>
      </c>
      <c r="C306" t="s">
        <v>515</v>
      </c>
      <c r="E306" t="s">
        <v>1056</v>
      </c>
      <c r="F306" t="s">
        <v>3784</v>
      </c>
      <c r="G306" t="s">
        <v>6574</v>
      </c>
      <c r="I306" t="s">
        <v>11385</v>
      </c>
      <c r="J306">
        <v>11226</v>
      </c>
      <c r="K306" t="s">
        <v>11447</v>
      </c>
      <c r="P306" t="s">
        <v>14795</v>
      </c>
      <c r="S306" t="s">
        <v>14827</v>
      </c>
      <c r="V306">
        <v>1035</v>
      </c>
      <c r="W306" t="s">
        <v>14859</v>
      </c>
      <c r="Z306" t="s">
        <v>15199</v>
      </c>
      <c r="AB306" t="s">
        <v>20358</v>
      </c>
      <c r="AC306">
        <v>50</v>
      </c>
      <c r="AF306">
        <v>0</v>
      </c>
      <c r="AG306">
        <v>1</v>
      </c>
      <c r="AH306">
        <v>0</v>
      </c>
      <c r="AI306">
        <v>74.08</v>
      </c>
      <c r="AL306" t="s">
        <v>5011</v>
      </c>
      <c r="AM306">
        <v>9252</v>
      </c>
      <c r="AS306">
        <v>1.38</v>
      </c>
      <c r="AT306" t="s">
        <v>491</v>
      </c>
      <c r="AU306" t="s">
        <v>25227</v>
      </c>
      <c r="AW306" t="s">
        <v>11447</v>
      </c>
    </row>
    <row r="307" spans="1:49">
      <c r="A307" s="1">
        <f>HYPERLINK("https://lsnyc.legalserver.org/matter/dynamic-profile/view/1899695","19-1899695")</f>
        <v>0</v>
      </c>
      <c r="B307" t="s">
        <v>145</v>
      </c>
      <c r="C307" t="s">
        <v>543</v>
      </c>
      <c r="E307" t="s">
        <v>1284</v>
      </c>
      <c r="F307" t="s">
        <v>3785</v>
      </c>
      <c r="G307" t="s">
        <v>6575</v>
      </c>
      <c r="H307" t="s">
        <v>10482</v>
      </c>
      <c r="I307" t="s">
        <v>11383</v>
      </c>
      <c r="J307">
        <v>10462</v>
      </c>
      <c r="K307" t="s">
        <v>11447</v>
      </c>
      <c r="P307" t="s">
        <v>14795</v>
      </c>
      <c r="S307" t="s">
        <v>14827</v>
      </c>
      <c r="V307">
        <v>1208.7</v>
      </c>
      <c r="W307" t="s">
        <v>14858</v>
      </c>
      <c r="X307" t="s">
        <v>14867</v>
      </c>
      <c r="Z307" t="s">
        <v>15200</v>
      </c>
      <c r="AB307" t="s">
        <v>20359</v>
      </c>
      <c r="AC307">
        <v>130</v>
      </c>
      <c r="AE307" t="s">
        <v>24610</v>
      </c>
      <c r="AF307">
        <v>3</v>
      </c>
      <c r="AG307">
        <v>1</v>
      </c>
      <c r="AH307">
        <v>0</v>
      </c>
      <c r="AI307">
        <v>74.08</v>
      </c>
      <c r="AL307" t="s">
        <v>5011</v>
      </c>
      <c r="AM307">
        <v>9252</v>
      </c>
      <c r="AS307">
        <v>1</v>
      </c>
      <c r="AT307" t="s">
        <v>543</v>
      </c>
      <c r="AU307" t="s">
        <v>25226</v>
      </c>
      <c r="AW307" t="s">
        <v>11447</v>
      </c>
    </row>
    <row r="308" spans="1:49">
      <c r="A308" s="1">
        <f>HYPERLINK("https://lsnyc.legalserver.org/matter/dynamic-profile/view/1913689","19-1913689")</f>
        <v>0</v>
      </c>
      <c r="B308" t="s">
        <v>77</v>
      </c>
      <c r="C308" t="s">
        <v>476</v>
      </c>
      <c r="E308" t="s">
        <v>1089</v>
      </c>
      <c r="F308" t="s">
        <v>3786</v>
      </c>
      <c r="G308" t="s">
        <v>6576</v>
      </c>
      <c r="H308" t="s">
        <v>10460</v>
      </c>
      <c r="I308" t="s">
        <v>11385</v>
      </c>
      <c r="J308">
        <v>11208</v>
      </c>
      <c r="K308" t="s">
        <v>11447</v>
      </c>
      <c r="L308" t="s">
        <v>11534</v>
      </c>
      <c r="M308" t="s">
        <v>14744</v>
      </c>
      <c r="P308" t="s">
        <v>14795</v>
      </c>
      <c r="S308" t="s">
        <v>14827</v>
      </c>
      <c r="V308">
        <v>867</v>
      </c>
      <c r="W308" t="s">
        <v>14859</v>
      </c>
      <c r="Z308" t="s">
        <v>15201</v>
      </c>
      <c r="AB308" t="s">
        <v>20360</v>
      </c>
      <c r="AC308">
        <v>13</v>
      </c>
      <c r="AE308" t="s">
        <v>24611</v>
      </c>
      <c r="AF308">
        <v>7</v>
      </c>
      <c r="AG308">
        <v>1</v>
      </c>
      <c r="AH308">
        <v>0</v>
      </c>
      <c r="AI308">
        <v>74.56</v>
      </c>
      <c r="AL308" t="s">
        <v>5011</v>
      </c>
      <c r="AM308">
        <v>9312</v>
      </c>
      <c r="AS308">
        <v>3.25</v>
      </c>
      <c r="AT308" t="s">
        <v>495</v>
      </c>
      <c r="AU308" t="s">
        <v>25227</v>
      </c>
      <c r="AW308" t="s">
        <v>11447</v>
      </c>
    </row>
    <row r="309" spans="1:49">
      <c r="A309" s="1">
        <f>HYPERLINK("https://lsnyc.legalserver.org/matter/dynamic-profile/view/1902183","19-1902183")</f>
        <v>0</v>
      </c>
      <c r="B309" t="s">
        <v>140</v>
      </c>
      <c r="C309" t="s">
        <v>538</v>
      </c>
      <c r="E309" t="s">
        <v>1285</v>
      </c>
      <c r="F309" t="s">
        <v>3787</v>
      </c>
      <c r="G309" t="s">
        <v>6577</v>
      </c>
      <c r="H309">
        <v>404</v>
      </c>
      <c r="I309" t="s">
        <v>11383</v>
      </c>
      <c r="J309">
        <v>10457</v>
      </c>
      <c r="K309" t="s">
        <v>11447</v>
      </c>
      <c r="M309" t="s">
        <v>14744</v>
      </c>
      <c r="N309" t="s">
        <v>14782</v>
      </c>
      <c r="P309" t="s">
        <v>14795</v>
      </c>
      <c r="S309" t="s">
        <v>14827</v>
      </c>
      <c r="V309">
        <v>1275</v>
      </c>
      <c r="W309" t="s">
        <v>14858</v>
      </c>
      <c r="Z309" t="s">
        <v>15202</v>
      </c>
      <c r="AB309" t="s">
        <v>20361</v>
      </c>
      <c r="AC309">
        <v>0</v>
      </c>
      <c r="AD309" t="s">
        <v>24596</v>
      </c>
      <c r="AE309" t="s">
        <v>24614</v>
      </c>
      <c r="AF309">
        <v>8</v>
      </c>
      <c r="AG309">
        <v>1</v>
      </c>
      <c r="AH309">
        <v>0</v>
      </c>
      <c r="AI309">
        <v>74.56</v>
      </c>
      <c r="AL309" t="s">
        <v>5011</v>
      </c>
      <c r="AM309">
        <v>9312</v>
      </c>
      <c r="AS309">
        <v>1</v>
      </c>
      <c r="AT309" t="s">
        <v>538</v>
      </c>
      <c r="AU309" t="s">
        <v>25231</v>
      </c>
      <c r="AW309" t="s">
        <v>11447</v>
      </c>
    </row>
    <row r="310" spans="1:49">
      <c r="A310" s="1">
        <f>HYPERLINK("https://lsnyc.legalserver.org/matter/dynamic-profile/view/1877470","18-1877470")</f>
        <v>0</v>
      </c>
      <c r="B310" t="s">
        <v>125</v>
      </c>
      <c r="C310" t="s">
        <v>442</v>
      </c>
      <c r="E310" t="s">
        <v>1286</v>
      </c>
      <c r="F310" t="s">
        <v>3788</v>
      </c>
      <c r="G310" t="s">
        <v>6578</v>
      </c>
      <c r="H310" t="s">
        <v>10582</v>
      </c>
      <c r="I310" t="s">
        <v>11383</v>
      </c>
      <c r="J310">
        <v>10456</v>
      </c>
      <c r="K310" t="s">
        <v>11448</v>
      </c>
      <c r="M310" t="s">
        <v>14745</v>
      </c>
      <c r="N310" t="s">
        <v>14780</v>
      </c>
      <c r="P310" t="s">
        <v>14795</v>
      </c>
      <c r="Q310" t="s">
        <v>11448</v>
      </c>
      <c r="S310" t="s">
        <v>14830</v>
      </c>
      <c r="V310">
        <v>252</v>
      </c>
      <c r="W310" t="s">
        <v>14858</v>
      </c>
      <c r="X310" t="s">
        <v>14868</v>
      </c>
      <c r="Z310" t="s">
        <v>15203</v>
      </c>
      <c r="AB310" t="s">
        <v>20362</v>
      </c>
      <c r="AC310">
        <v>43</v>
      </c>
      <c r="AD310" t="s">
        <v>24603</v>
      </c>
      <c r="AE310" t="s">
        <v>14755</v>
      </c>
      <c r="AF310">
        <v>7</v>
      </c>
      <c r="AG310">
        <v>1</v>
      </c>
      <c r="AH310">
        <v>0</v>
      </c>
      <c r="AI310">
        <v>75.22</v>
      </c>
      <c r="AL310" t="s">
        <v>5011</v>
      </c>
      <c r="AM310">
        <v>9132</v>
      </c>
      <c r="AN310" t="s">
        <v>24698</v>
      </c>
      <c r="AS310">
        <v>5.2</v>
      </c>
      <c r="AT310" t="s">
        <v>378</v>
      </c>
      <c r="AU310" t="s">
        <v>237</v>
      </c>
      <c r="AW310" t="s">
        <v>11448</v>
      </c>
    </row>
    <row r="311" spans="1:49">
      <c r="A311" s="1">
        <f>HYPERLINK("https://lsnyc.legalserver.org/matter/dynamic-profile/view/1887175","19-1887175")</f>
        <v>0</v>
      </c>
      <c r="B311" t="s">
        <v>116</v>
      </c>
      <c r="C311" t="s">
        <v>544</v>
      </c>
      <c r="E311" t="s">
        <v>1287</v>
      </c>
      <c r="F311" t="s">
        <v>3561</v>
      </c>
      <c r="G311" t="s">
        <v>6579</v>
      </c>
      <c r="H311" t="s">
        <v>10468</v>
      </c>
      <c r="I311" t="s">
        <v>11383</v>
      </c>
      <c r="J311">
        <v>10453</v>
      </c>
      <c r="K311" t="s">
        <v>11447</v>
      </c>
      <c r="P311" t="s">
        <v>14795</v>
      </c>
      <c r="S311" t="s">
        <v>14827</v>
      </c>
      <c r="V311">
        <v>168</v>
      </c>
      <c r="W311" t="s">
        <v>14858</v>
      </c>
      <c r="X311" t="s">
        <v>14867</v>
      </c>
      <c r="Z311" t="s">
        <v>15204</v>
      </c>
      <c r="AB311" t="s">
        <v>20363</v>
      </c>
      <c r="AC311">
        <v>0</v>
      </c>
      <c r="AD311" t="s">
        <v>24596</v>
      </c>
      <c r="AF311">
        <v>40</v>
      </c>
      <c r="AG311">
        <v>1</v>
      </c>
      <c r="AH311">
        <v>0</v>
      </c>
      <c r="AI311">
        <v>75.22</v>
      </c>
      <c r="AL311" t="s">
        <v>24632</v>
      </c>
      <c r="AM311">
        <v>9132</v>
      </c>
      <c r="AN311" t="s">
        <v>24699</v>
      </c>
      <c r="AS311">
        <v>0.5</v>
      </c>
      <c r="AT311" t="s">
        <v>544</v>
      </c>
      <c r="AU311" t="s">
        <v>25229</v>
      </c>
      <c r="AW311" t="s">
        <v>11447</v>
      </c>
    </row>
    <row r="312" spans="1:49">
      <c r="A312" s="1">
        <f>HYPERLINK("https://lsnyc.legalserver.org/matter/dynamic-profile/view/1902523","19-1902523")</f>
        <v>0</v>
      </c>
      <c r="B312" t="s">
        <v>75</v>
      </c>
      <c r="C312" t="s">
        <v>517</v>
      </c>
      <c r="E312" t="s">
        <v>1288</v>
      </c>
      <c r="F312" t="s">
        <v>3789</v>
      </c>
      <c r="G312" t="s">
        <v>6580</v>
      </c>
      <c r="H312" t="s">
        <v>10509</v>
      </c>
      <c r="I312" t="s">
        <v>11385</v>
      </c>
      <c r="J312">
        <v>11217</v>
      </c>
      <c r="K312" t="s">
        <v>11447</v>
      </c>
      <c r="M312" t="s">
        <v>11601</v>
      </c>
      <c r="P312" t="s">
        <v>14795</v>
      </c>
      <c r="S312" t="s">
        <v>14827</v>
      </c>
      <c r="V312">
        <v>3400</v>
      </c>
      <c r="W312" t="s">
        <v>14859</v>
      </c>
      <c r="Z312" t="s">
        <v>15205</v>
      </c>
      <c r="AB312" t="s">
        <v>20364</v>
      </c>
      <c r="AC312">
        <v>0</v>
      </c>
      <c r="AD312" t="s">
        <v>24596</v>
      </c>
      <c r="AE312" t="s">
        <v>14755</v>
      </c>
      <c r="AF312">
        <v>16</v>
      </c>
      <c r="AG312">
        <v>1</v>
      </c>
      <c r="AH312">
        <v>0</v>
      </c>
      <c r="AI312">
        <v>76</v>
      </c>
      <c r="AL312" t="s">
        <v>5011</v>
      </c>
      <c r="AM312">
        <v>9492</v>
      </c>
      <c r="AS312">
        <v>1</v>
      </c>
      <c r="AT312" t="s">
        <v>517</v>
      </c>
      <c r="AU312" t="s">
        <v>25231</v>
      </c>
      <c r="AW312" t="s">
        <v>11447</v>
      </c>
    </row>
    <row r="313" spans="1:49">
      <c r="A313" s="1">
        <f>HYPERLINK("https://lsnyc.legalserver.org/matter/dynamic-profile/view/1903778","19-1903778")</f>
        <v>0</v>
      </c>
      <c r="B313" t="s">
        <v>75</v>
      </c>
      <c r="C313" t="s">
        <v>545</v>
      </c>
      <c r="E313" t="s">
        <v>1289</v>
      </c>
      <c r="F313" t="s">
        <v>3790</v>
      </c>
      <c r="G313" t="s">
        <v>6581</v>
      </c>
      <c r="H313" t="s">
        <v>10551</v>
      </c>
      <c r="I313" t="s">
        <v>11385</v>
      </c>
      <c r="J313">
        <v>11206</v>
      </c>
      <c r="K313" t="s">
        <v>11447</v>
      </c>
      <c r="P313" t="s">
        <v>14795</v>
      </c>
      <c r="S313" t="s">
        <v>14827</v>
      </c>
      <c r="V313">
        <v>1010</v>
      </c>
      <c r="W313" t="s">
        <v>14859</v>
      </c>
      <c r="Z313" t="s">
        <v>15206</v>
      </c>
      <c r="AB313" t="s">
        <v>20365</v>
      </c>
      <c r="AC313">
        <v>4</v>
      </c>
      <c r="AD313" t="s">
        <v>11479</v>
      </c>
      <c r="AE313" t="s">
        <v>11459</v>
      </c>
      <c r="AF313">
        <v>37</v>
      </c>
      <c r="AG313">
        <v>1</v>
      </c>
      <c r="AH313">
        <v>0</v>
      </c>
      <c r="AI313">
        <v>76</v>
      </c>
      <c r="AL313" t="s">
        <v>24632</v>
      </c>
      <c r="AM313">
        <v>9492</v>
      </c>
      <c r="AS313">
        <v>0.9</v>
      </c>
      <c r="AT313" t="s">
        <v>555</v>
      </c>
      <c r="AU313" t="s">
        <v>25236</v>
      </c>
      <c r="AW313" t="s">
        <v>11447</v>
      </c>
    </row>
    <row r="314" spans="1:49">
      <c r="A314" s="1">
        <f>HYPERLINK("https://lsnyc.legalserver.org/matter/dynamic-profile/view/1915412","19-1915412")</f>
        <v>0</v>
      </c>
      <c r="B314" t="s">
        <v>131</v>
      </c>
      <c r="C314" t="s">
        <v>495</v>
      </c>
      <c r="E314" t="s">
        <v>1290</v>
      </c>
      <c r="F314" t="s">
        <v>3791</v>
      </c>
      <c r="G314" t="s">
        <v>6582</v>
      </c>
      <c r="H314" t="s">
        <v>10600</v>
      </c>
      <c r="I314" t="s">
        <v>11385</v>
      </c>
      <c r="J314">
        <v>11219</v>
      </c>
      <c r="K314" t="s">
        <v>11447</v>
      </c>
      <c r="P314" t="s">
        <v>14795</v>
      </c>
      <c r="S314" t="s">
        <v>14827</v>
      </c>
      <c r="V314">
        <v>1108.75</v>
      </c>
      <c r="W314" t="s">
        <v>14859</v>
      </c>
      <c r="X314" t="s">
        <v>14868</v>
      </c>
      <c r="Z314" t="s">
        <v>15207</v>
      </c>
      <c r="AB314" t="s">
        <v>20366</v>
      </c>
      <c r="AC314">
        <v>21</v>
      </c>
      <c r="AD314" t="s">
        <v>24599</v>
      </c>
      <c r="AE314" t="s">
        <v>11459</v>
      </c>
      <c r="AF314">
        <v>6</v>
      </c>
      <c r="AG314">
        <v>1</v>
      </c>
      <c r="AH314">
        <v>0</v>
      </c>
      <c r="AI314">
        <v>76.67</v>
      </c>
      <c r="AL314" t="s">
        <v>24639</v>
      </c>
      <c r="AM314">
        <v>9576</v>
      </c>
      <c r="AS314">
        <v>1</v>
      </c>
      <c r="AT314" t="s">
        <v>495</v>
      </c>
      <c r="AU314" t="s">
        <v>25226</v>
      </c>
      <c r="AW314" t="s">
        <v>11447</v>
      </c>
    </row>
    <row r="315" spans="1:49">
      <c r="A315" s="1">
        <f>HYPERLINK("https://lsnyc.legalserver.org/matter/dynamic-profile/view/1904142","19-1904142")</f>
        <v>0</v>
      </c>
      <c r="B315" t="s">
        <v>75</v>
      </c>
      <c r="C315" t="s">
        <v>338</v>
      </c>
      <c r="E315" t="s">
        <v>1034</v>
      </c>
      <c r="F315" t="s">
        <v>3792</v>
      </c>
      <c r="G315" t="s">
        <v>6583</v>
      </c>
      <c r="H315" t="s">
        <v>10462</v>
      </c>
      <c r="I315" t="s">
        <v>11385</v>
      </c>
      <c r="J315">
        <v>11230</v>
      </c>
      <c r="K315" t="s">
        <v>11447</v>
      </c>
      <c r="L315" t="s">
        <v>11535</v>
      </c>
      <c r="M315" t="s">
        <v>14744</v>
      </c>
      <c r="P315" t="s">
        <v>14795</v>
      </c>
      <c r="S315" t="s">
        <v>14827</v>
      </c>
      <c r="V315">
        <v>538</v>
      </c>
      <c r="W315" t="s">
        <v>14859</v>
      </c>
      <c r="X315" t="s">
        <v>14863</v>
      </c>
      <c r="Z315" t="s">
        <v>15208</v>
      </c>
      <c r="AB315" t="s">
        <v>20367</v>
      </c>
      <c r="AC315">
        <v>200</v>
      </c>
      <c r="AD315" t="s">
        <v>24595</v>
      </c>
      <c r="AE315" t="s">
        <v>11459</v>
      </c>
      <c r="AF315">
        <v>30</v>
      </c>
      <c r="AG315">
        <v>1</v>
      </c>
      <c r="AH315">
        <v>0</v>
      </c>
      <c r="AI315">
        <v>76.86</v>
      </c>
      <c r="AL315" t="s">
        <v>5011</v>
      </c>
      <c r="AM315">
        <v>9600</v>
      </c>
      <c r="AS315">
        <v>0.95</v>
      </c>
      <c r="AT315" t="s">
        <v>456</v>
      </c>
      <c r="AU315" t="s">
        <v>25244</v>
      </c>
      <c r="AW315" t="s">
        <v>11447</v>
      </c>
    </row>
    <row r="316" spans="1:49">
      <c r="A316" s="1">
        <f>HYPERLINK("https://lsnyc.legalserver.org/matter/dynamic-profile/view/1914437","19-1914437")</f>
        <v>0</v>
      </c>
      <c r="B316" t="s">
        <v>78</v>
      </c>
      <c r="C316" t="s">
        <v>506</v>
      </c>
      <c r="E316" t="s">
        <v>1291</v>
      </c>
      <c r="F316" t="s">
        <v>3793</v>
      </c>
      <c r="G316" t="s">
        <v>6584</v>
      </c>
      <c r="H316" t="s">
        <v>10559</v>
      </c>
      <c r="I316" t="s">
        <v>11383</v>
      </c>
      <c r="J316">
        <v>10460</v>
      </c>
      <c r="K316" t="s">
        <v>11447</v>
      </c>
      <c r="P316" t="s">
        <v>14795</v>
      </c>
      <c r="S316" t="s">
        <v>14827</v>
      </c>
      <c r="V316">
        <v>197</v>
      </c>
      <c r="W316" t="s">
        <v>14858</v>
      </c>
      <c r="Z316" t="s">
        <v>15209</v>
      </c>
      <c r="AB316" t="s">
        <v>20368</v>
      </c>
      <c r="AC316">
        <v>20</v>
      </c>
      <c r="AE316" t="s">
        <v>24610</v>
      </c>
      <c r="AF316">
        <v>1</v>
      </c>
      <c r="AG316">
        <v>1</v>
      </c>
      <c r="AH316">
        <v>0</v>
      </c>
      <c r="AI316">
        <v>76.86</v>
      </c>
      <c r="AL316" t="s">
        <v>5011</v>
      </c>
      <c r="AM316">
        <v>9600</v>
      </c>
      <c r="AS316">
        <v>1</v>
      </c>
      <c r="AT316" t="s">
        <v>506</v>
      </c>
      <c r="AU316" t="s">
        <v>25227</v>
      </c>
      <c r="AW316" t="s">
        <v>11447</v>
      </c>
    </row>
    <row r="317" spans="1:49">
      <c r="A317" s="1">
        <f>HYPERLINK("https://lsnyc.legalserver.org/matter/dynamic-profile/view/1913673","19-1913673")</f>
        <v>0</v>
      </c>
      <c r="B317" t="s">
        <v>84</v>
      </c>
      <c r="C317" t="s">
        <v>476</v>
      </c>
      <c r="E317" t="s">
        <v>1054</v>
      </c>
      <c r="F317" t="s">
        <v>3794</v>
      </c>
      <c r="G317" t="s">
        <v>6585</v>
      </c>
      <c r="H317" t="s">
        <v>10601</v>
      </c>
      <c r="I317" t="s">
        <v>11383</v>
      </c>
      <c r="J317">
        <v>10452</v>
      </c>
      <c r="K317" t="s">
        <v>11447</v>
      </c>
      <c r="P317" t="s">
        <v>14795</v>
      </c>
      <c r="S317" t="s">
        <v>14831</v>
      </c>
      <c r="V317">
        <v>0</v>
      </c>
      <c r="W317" t="s">
        <v>14858</v>
      </c>
      <c r="Z317" t="s">
        <v>15210</v>
      </c>
      <c r="AB317" t="s">
        <v>20369</v>
      </c>
      <c r="AC317">
        <v>0</v>
      </c>
      <c r="AF317">
        <v>0</v>
      </c>
      <c r="AG317">
        <v>1</v>
      </c>
      <c r="AH317">
        <v>0</v>
      </c>
      <c r="AI317">
        <v>76.86</v>
      </c>
      <c r="AL317" t="s">
        <v>5011</v>
      </c>
      <c r="AM317">
        <v>9600</v>
      </c>
      <c r="AS317">
        <v>0.75</v>
      </c>
      <c r="AT317" t="s">
        <v>476</v>
      </c>
      <c r="AU317" t="s">
        <v>25249</v>
      </c>
      <c r="AW317" t="s">
        <v>11447</v>
      </c>
    </row>
    <row r="318" spans="1:49">
      <c r="A318" s="1">
        <f>HYPERLINK("https://lsnyc.legalserver.org/matter/dynamic-profile/view/1856799","18-1856799")</f>
        <v>0</v>
      </c>
      <c r="B318" t="s">
        <v>85</v>
      </c>
      <c r="C318" t="s">
        <v>546</v>
      </c>
      <c r="E318" t="s">
        <v>1244</v>
      </c>
      <c r="F318" t="s">
        <v>3569</v>
      </c>
      <c r="G318" t="s">
        <v>6586</v>
      </c>
      <c r="H318" t="s">
        <v>10496</v>
      </c>
      <c r="I318" t="s">
        <v>11392</v>
      </c>
      <c r="J318">
        <v>11372</v>
      </c>
      <c r="K318" t="s">
        <v>11447</v>
      </c>
      <c r="M318" t="s">
        <v>11601</v>
      </c>
      <c r="P318" t="s">
        <v>14795</v>
      </c>
      <c r="Q318" t="s">
        <v>11446</v>
      </c>
      <c r="S318" t="s">
        <v>14830</v>
      </c>
      <c r="V318">
        <v>2000</v>
      </c>
      <c r="W318" t="s">
        <v>14861</v>
      </c>
      <c r="X318" t="s">
        <v>14866</v>
      </c>
      <c r="Z318" t="s">
        <v>15211</v>
      </c>
      <c r="AC318">
        <v>4</v>
      </c>
      <c r="AE318" t="s">
        <v>24615</v>
      </c>
      <c r="AF318">
        <v>0</v>
      </c>
      <c r="AG318">
        <v>1</v>
      </c>
      <c r="AH318">
        <v>1</v>
      </c>
      <c r="AI318">
        <v>77.56</v>
      </c>
      <c r="AL318" t="s">
        <v>5011</v>
      </c>
      <c r="AM318">
        <v>12596</v>
      </c>
      <c r="AS318">
        <v>1</v>
      </c>
      <c r="AT318" t="s">
        <v>546</v>
      </c>
      <c r="AU318" t="s">
        <v>25236</v>
      </c>
      <c r="AW318" t="s">
        <v>11447</v>
      </c>
    </row>
    <row r="319" spans="1:49">
      <c r="A319" s="1">
        <f>HYPERLINK("https://lsnyc.legalserver.org/matter/dynamic-profile/view/1906283","19-1906283")</f>
        <v>0</v>
      </c>
      <c r="B319" t="s">
        <v>63</v>
      </c>
      <c r="C319" t="s">
        <v>355</v>
      </c>
      <c r="E319" t="s">
        <v>1241</v>
      </c>
      <c r="F319" t="s">
        <v>3795</v>
      </c>
      <c r="G319" t="s">
        <v>6587</v>
      </c>
      <c r="H319" t="s">
        <v>10575</v>
      </c>
      <c r="I319" t="s">
        <v>11389</v>
      </c>
      <c r="J319">
        <v>11354</v>
      </c>
      <c r="K319" t="s">
        <v>11447</v>
      </c>
      <c r="M319" t="s">
        <v>11601</v>
      </c>
      <c r="N319" t="s">
        <v>14778</v>
      </c>
      <c r="P319" t="s">
        <v>14795</v>
      </c>
      <c r="Q319" t="s">
        <v>11448</v>
      </c>
      <c r="S319" t="s">
        <v>14827</v>
      </c>
      <c r="V319">
        <v>1060</v>
      </c>
      <c r="W319" t="s">
        <v>14861</v>
      </c>
      <c r="X319" t="s">
        <v>14873</v>
      </c>
      <c r="Z319" t="s">
        <v>15212</v>
      </c>
      <c r="AB319" t="s">
        <v>20370</v>
      </c>
      <c r="AC319">
        <v>82</v>
      </c>
      <c r="AD319" t="s">
        <v>24595</v>
      </c>
      <c r="AE319" t="s">
        <v>14755</v>
      </c>
      <c r="AF319">
        <v>48</v>
      </c>
      <c r="AG319">
        <v>1</v>
      </c>
      <c r="AH319">
        <v>0</v>
      </c>
      <c r="AI319">
        <v>77.63</v>
      </c>
      <c r="AL319" t="s">
        <v>5011</v>
      </c>
      <c r="AM319">
        <v>9696</v>
      </c>
      <c r="AS319">
        <v>1.16</v>
      </c>
      <c r="AT319" t="s">
        <v>488</v>
      </c>
      <c r="AU319" t="s">
        <v>25236</v>
      </c>
      <c r="AW319" t="s">
        <v>11447</v>
      </c>
    </row>
    <row r="320" spans="1:49">
      <c r="A320" s="1">
        <f>HYPERLINK("https://lsnyc.legalserver.org/matter/dynamic-profile/view/1892878","19-1892878")</f>
        <v>0</v>
      </c>
      <c r="B320" t="s">
        <v>61</v>
      </c>
      <c r="C320" t="s">
        <v>547</v>
      </c>
      <c r="E320" t="s">
        <v>1292</v>
      </c>
      <c r="F320" t="s">
        <v>3796</v>
      </c>
      <c r="G320" t="s">
        <v>6588</v>
      </c>
      <c r="H320" t="s">
        <v>10600</v>
      </c>
      <c r="I320" t="s">
        <v>11385</v>
      </c>
      <c r="J320">
        <v>11213</v>
      </c>
      <c r="K320" t="s">
        <v>11446</v>
      </c>
      <c r="L320" t="s">
        <v>11536</v>
      </c>
      <c r="M320" t="s">
        <v>14748</v>
      </c>
      <c r="N320" t="s">
        <v>14780</v>
      </c>
      <c r="P320" t="s">
        <v>14795</v>
      </c>
      <c r="Q320" t="s">
        <v>11448</v>
      </c>
      <c r="S320" t="s">
        <v>14829</v>
      </c>
      <c r="V320">
        <v>1198.97</v>
      </c>
      <c r="W320" t="s">
        <v>14859</v>
      </c>
      <c r="X320" t="s">
        <v>14868</v>
      </c>
      <c r="Z320" t="s">
        <v>15213</v>
      </c>
      <c r="AB320" t="s">
        <v>20371</v>
      </c>
      <c r="AC320">
        <v>47</v>
      </c>
      <c r="AE320" t="s">
        <v>11459</v>
      </c>
      <c r="AF320">
        <v>9</v>
      </c>
      <c r="AG320">
        <v>1</v>
      </c>
      <c r="AH320">
        <v>0</v>
      </c>
      <c r="AI320">
        <v>80.13</v>
      </c>
      <c r="AL320" t="s">
        <v>5011</v>
      </c>
      <c r="AM320">
        <v>10008</v>
      </c>
      <c r="AS320">
        <v>8.85</v>
      </c>
      <c r="AT320" t="s">
        <v>537</v>
      </c>
      <c r="AU320" t="s">
        <v>25235</v>
      </c>
      <c r="AW320" t="s">
        <v>11446</v>
      </c>
    </row>
    <row r="321" spans="1:49">
      <c r="A321" s="1">
        <f>HYPERLINK("https://lsnyc.legalserver.org/matter/dynamic-profile/view/1914469","19-1914469")</f>
        <v>0</v>
      </c>
      <c r="B321" t="s">
        <v>55</v>
      </c>
      <c r="C321" t="s">
        <v>506</v>
      </c>
      <c r="E321" t="s">
        <v>1293</v>
      </c>
      <c r="F321" t="s">
        <v>3797</v>
      </c>
      <c r="G321" t="s">
        <v>6589</v>
      </c>
      <c r="H321">
        <v>201</v>
      </c>
      <c r="I321" t="s">
        <v>11386</v>
      </c>
      <c r="J321">
        <v>10002</v>
      </c>
      <c r="K321" t="s">
        <v>11447</v>
      </c>
      <c r="P321" t="s">
        <v>14795</v>
      </c>
      <c r="S321" t="s">
        <v>14827</v>
      </c>
      <c r="V321">
        <v>800</v>
      </c>
      <c r="W321" t="s">
        <v>14860</v>
      </c>
      <c r="Z321" t="s">
        <v>15214</v>
      </c>
      <c r="AB321" t="s">
        <v>20372</v>
      </c>
      <c r="AC321">
        <v>30</v>
      </c>
      <c r="AF321">
        <v>7</v>
      </c>
      <c r="AG321">
        <v>1</v>
      </c>
      <c r="AH321">
        <v>0</v>
      </c>
      <c r="AI321">
        <v>80.77</v>
      </c>
      <c r="AL321" t="s">
        <v>5011</v>
      </c>
      <c r="AM321">
        <v>10088</v>
      </c>
      <c r="AS321">
        <v>1</v>
      </c>
      <c r="AT321" t="s">
        <v>506</v>
      </c>
      <c r="AU321" t="s">
        <v>25227</v>
      </c>
      <c r="AW321" t="s">
        <v>11447</v>
      </c>
    </row>
    <row r="322" spans="1:49">
      <c r="A322" s="1">
        <f>HYPERLINK("https://lsnyc.legalserver.org/matter/dynamic-profile/view/1883234","18-1883234")</f>
        <v>0</v>
      </c>
      <c r="B322" t="s">
        <v>85</v>
      </c>
      <c r="C322" t="s">
        <v>548</v>
      </c>
      <c r="E322" t="s">
        <v>1294</v>
      </c>
      <c r="F322" t="s">
        <v>3798</v>
      </c>
      <c r="G322" t="s">
        <v>6590</v>
      </c>
      <c r="H322" t="s">
        <v>10510</v>
      </c>
      <c r="I322" t="s">
        <v>11411</v>
      </c>
      <c r="J322">
        <v>11418</v>
      </c>
      <c r="K322" t="s">
        <v>11447</v>
      </c>
      <c r="M322" t="s">
        <v>11601</v>
      </c>
      <c r="P322" t="s">
        <v>14795</v>
      </c>
      <c r="S322" t="s">
        <v>14827</v>
      </c>
      <c r="V322">
        <v>1360</v>
      </c>
      <c r="W322" t="s">
        <v>14861</v>
      </c>
      <c r="Z322" t="s">
        <v>15215</v>
      </c>
      <c r="AB322" t="s">
        <v>20373</v>
      </c>
      <c r="AC322">
        <v>0</v>
      </c>
      <c r="AE322" t="s">
        <v>24613</v>
      </c>
      <c r="AF322">
        <v>9</v>
      </c>
      <c r="AG322">
        <v>1</v>
      </c>
      <c r="AH322">
        <v>0</v>
      </c>
      <c r="AI322">
        <v>81.05</v>
      </c>
      <c r="AL322" t="s">
        <v>24636</v>
      </c>
      <c r="AM322">
        <v>9840</v>
      </c>
      <c r="AS322">
        <v>1.2</v>
      </c>
      <c r="AT322" t="s">
        <v>352</v>
      </c>
      <c r="AU322" t="s">
        <v>25231</v>
      </c>
      <c r="AW322" t="s">
        <v>11447</v>
      </c>
    </row>
    <row r="323" spans="1:49">
      <c r="A323" s="1">
        <f>HYPERLINK("https://lsnyc.legalserver.org/matter/dynamic-profile/view/1887575","19-1887575")</f>
        <v>0</v>
      </c>
      <c r="B323" t="s">
        <v>116</v>
      </c>
      <c r="C323" t="s">
        <v>414</v>
      </c>
      <c r="E323" t="s">
        <v>1295</v>
      </c>
      <c r="F323" t="s">
        <v>3799</v>
      </c>
      <c r="G323" t="s">
        <v>6591</v>
      </c>
      <c r="H323">
        <v>1</v>
      </c>
      <c r="I323" t="s">
        <v>11383</v>
      </c>
      <c r="J323">
        <v>10459</v>
      </c>
      <c r="K323" t="s">
        <v>11447</v>
      </c>
      <c r="L323" t="s">
        <v>11537</v>
      </c>
      <c r="P323" t="s">
        <v>14795</v>
      </c>
      <c r="S323" t="s">
        <v>14827</v>
      </c>
      <c r="V323">
        <v>750</v>
      </c>
      <c r="W323" t="s">
        <v>14858</v>
      </c>
      <c r="X323" t="s">
        <v>14866</v>
      </c>
      <c r="Z323" t="s">
        <v>15216</v>
      </c>
      <c r="AB323" t="s">
        <v>20374</v>
      </c>
      <c r="AC323">
        <v>3</v>
      </c>
      <c r="AF323">
        <v>2</v>
      </c>
      <c r="AG323">
        <v>1</v>
      </c>
      <c r="AH323">
        <v>0</v>
      </c>
      <c r="AI323">
        <v>81.05</v>
      </c>
      <c r="AL323" t="s">
        <v>5011</v>
      </c>
      <c r="AM323">
        <v>9840</v>
      </c>
      <c r="AN323" t="s">
        <v>24699</v>
      </c>
      <c r="AS323">
        <v>1</v>
      </c>
      <c r="AT323" t="s">
        <v>414</v>
      </c>
      <c r="AU323" t="s">
        <v>25241</v>
      </c>
      <c r="AW323" t="s">
        <v>11447</v>
      </c>
    </row>
    <row r="324" spans="1:49">
      <c r="A324" s="1">
        <f>HYPERLINK("https://lsnyc.legalserver.org/matter/dynamic-profile/view/1904341","19-1904341")</f>
        <v>0</v>
      </c>
      <c r="B324" t="s">
        <v>108</v>
      </c>
      <c r="C324" t="s">
        <v>332</v>
      </c>
      <c r="E324" t="s">
        <v>1296</v>
      </c>
      <c r="F324" t="s">
        <v>3800</v>
      </c>
      <c r="G324" t="s">
        <v>6592</v>
      </c>
      <c r="H324" t="s">
        <v>10523</v>
      </c>
      <c r="I324" t="s">
        <v>11385</v>
      </c>
      <c r="J324">
        <v>11203</v>
      </c>
      <c r="K324" t="s">
        <v>11447</v>
      </c>
      <c r="N324" t="s">
        <v>14778</v>
      </c>
      <c r="P324" t="s">
        <v>14795</v>
      </c>
      <c r="Q324" t="s">
        <v>11446</v>
      </c>
      <c r="S324" t="s">
        <v>14827</v>
      </c>
      <c r="V324">
        <v>1049</v>
      </c>
      <c r="W324" t="s">
        <v>14859</v>
      </c>
      <c r="Z324" t="s">
        <v>15217</v>
      </c>
      <c r="AB324" t="s">
        <v>20375</v>
      </c>
      <c r="AC324">
        <v>100</v>
      </c>
      <c r="AD324" t="s">
        <v>24595</v>
      </c>
      <c r="AF324">
        <v>15</v>
      </c>
      <c r="AG324">
        <v>4</v>
      </c>
      <c r="AH324">
        <v>0</v>
      </c>
      <c r="AI324">
        <v>81.69</v>
      </c>
      <c r="AL324" t="s">
        <v>5011</v>
      </c>
      <c r="AM324">
        <v>21036</v>
      </c>
      <c r="AS324">
        <v>2.1</v>
      </c>
      <c r="AT324" t="s">
        <v>461</v>
      </c>
      <c r="AU324" t="s">
        <v>25237</v>
      </c>
      <c r="AW324" t="s">
        <v>11447</v>
      </c>
    </row>
    <row r="325" spans="1:49">
      <c r="A325" s="1">
        <f>HYPERLINK("https://lsnyc.legalserver.org/matter/dynamic-profile/view/1898974","19-1898974")</f>
        <v>0</v>
      </c>
      <c r="B325" t="s">
        <v>121</v>
      </c>
      <c r="C325" t="s">
        <v>512</v>
      </c>
      <c r="E325" t="s">
        <v>1297</v>
      </c>
      <c r="F325" t="s">
        <v>3623</v>
      </c>
      <c r="G325" t="s">
        <v>6593</v>
      </c>
      <c r="H325" t="s">
        <v>10602</v>
      </c>
      <c r="I325" t="s">
        <v>11386</v>
      </c>
      <c r="J325">
        <v>10002</v>
      </c>
      <c r="K325" t="s">
        <v>11447</v>
      </c>
      <c r="N325" t="s">
        <v>14778</v>
      </c>
      <c r="P325" t="s">
        <v>14795</v>
      </c>
      <c r="S325" t="s">
        <v>14828</v>
      </c>
      <c r="V325">
        <v>255.6</v>
      </c>
      <c r="W325" t="s">
        <v>14860</v>
      </c>
      <c r="Z325" t="s">
        <v>15218</v>
      </c>
      <c r="AB325" t="s">
        <v>20376</v>
      </c>
      <c r="AC325">
        <v>0</v>
      </c>
      <c r="AD325" t="s">
        <v>24597</v>
      </c>
      <c r="AF325">
        <v>11</v>
      </c>
      <c r="AG325">
        <v>1</v>
      </c>
      <c r="AH325">
        <v>0</v>
      </c>
      <c r="AI325">
        <v>81.86</v>
      </c>
      <c r="AL325" t="s">
        <v>5011</v>
      </c>
      <c r="AM325">
        <v>10224</v>
      </c>
      <c r="AS325">
        <v>0.4</v>
      </c>
      <c r="AT325" t="s">
        <v>512</v>
      </c>
      <c r="AU325" t="s">
        <v>25229</v>
      </c>
      <c r="AW325" t="s">
        <v>11447</v>
      </c>
    </row>
    <row r="326" spans="1:49">
      <c r="A326" s="1">
        <f>HYPERLINK("https://lsnyc.legalserver.org/matter/dynamic-profile/view/1899567","19-1899567")</f>
        <v>0</v>
      </c>
      <c r="B326" t="s">
        <v>77</v>
      </c>
      <c r="C326" t="s">
        <v>369</v>
      </c>
      <c r="E326" t="s">
        <v>1298</v>
      </c>
      <c r="F326" t="s">
        <v>3801</v>
      </c>
      <c r="G326" t="s">
        <v>6594</v>
      </c>
      <c r="I326" t="s">
        <v>11385</v>
      </c>
      <c r="J326">
        <v>11221</v>
      </c>
      <c r="K326" t="s">
        <v>11447</v>
      </c>
      <c r="N326" t="s">
        <v>14781</v>
      </c>
      <c r="P326" t="s">
        <v>14795</v>
      </c>
      <c r="S326" t="s">
        <v>14827</v>
      </c>
      <c r="V326">
        <v>0</v>
      </c>
      <c r="W326" t="s">
        <v>14859</v>
      </c>
      <c r="Z326" t="s">
        <v>15219</v>
      </c>
      <c r="AB326" t="s">
        <v>20377</v>
      </c>
      <c r="AC326">
        <v>0</v>
      </c>
      <c r="AF326">
        <v>0</v>
      </c>
      <c r="AG326">
        <v>1</v>
      </c>
      <c r="AH326">
        <v>0</v>
      </c>
      <c r="AI326">
        <v>82.43000000000001</v>
      </c>
      <c r="AL326" t="s">
        <v>5011</v>
      </c>
      <c r="AM326">
        <v>10296</v>
      </c>
      <c r="AS326">
        <v>6</v>
      </c>
      <c r="AT326" t="s">
        <v>491</v>
      </c>
      <c r="AU326" t="s">
        <v>91</v>
      </c>
      <c r="AW326" t="s">
        <v>11447</v>
      </c>
    </row>
    <row r="327" spans="1:49">
      <c r="A327" s="1">
        <f>HYPERLINK("https://lsnyc.legalserver.org/matter/dynamic-profile/view/1887886","19-1887886")</f>
        <v>0</v>
      </c>
      <c r="B327" t="s">
        <v>121</v>
      </c>
      <c r="C327" t="s">
        <v>549</v>
      </c>
      <c r="E327" t="s">
        <v>1299</v>
      </c>
      <c r="F327" t="s">
        <v>1036</v>
      </c>
      <c r="G327" t="s">
        <v>6595</v>
      </c>
      <c r="H327" t="s">
        <v>10603</v>
      </c>
      <c r="I327" t="s">
        <v>11386</v>
      </c>
      <c r="J327">
        <v>10002</v>
      </c>
      <c r="K327" t="s">
        <v>11447</v>
      </c>
      <c r="P327" t="s">
        <v>14795</v>
      </c>
      <c r="S327" t="s">
        <v>14828</v>
      </c>
      <c r="V327">
        <v>234</v>
      </c>
      <c r="W327" t="s">
        <v>14860</v>
      </c>
      <c r="X327" t="s">
        <v>14867</v>
      </c>
      <c r="Z327" t="s">
        <v>15220</v>
      </c>
      <c r="AB327" t="s">
        <v>20378</v>
      </c>
      <c r="AC327">
        <v>0</v>
      </c>
      <c r="AD327" t="s">
        <v>24602</v>
      </c>
      <c r="AF327">
        <v>30</v>
      </c>
      <c r="AG327">
        <v>1</v>
      </c>
      <c r="AH327">
        <v>0</v>
      </c>
      <c r="AI327">
        <v>82.54000000000001</v>
      </c>
      <c r="AL327" t="s">
        <v>5011</v>
      </c>
      <c r="AM327">
        <v>10020</v>
      </c>
      <c r="AS327">
        <v>0.6</v>
      </c>
      <c r="AT327" t="s">
        <v>549</v>
      </c>
      <c r="AU327" t="s">
        <v>25225</v>
      </c>
      <c r="AW327" t="s">
        <v>11447</v>
      </c>
    </row>
    <row r="328" spans="1:49">
      <c r="A328" s="1">
        <f>HYPERLINK("https://lsnyc.legalserver.org/matter/dynamic-profile/view/1893178","19-1893178")</f>
        <v>0</v>
      </c>
      <c r="B328" t="s">
        <v>140</v>
      </c>
      <c r="C328" t="s">
        <v>550</v>
      </c>
      <c r="E328" t="s">
        <v>1300</v>
      </c>
      <c r="F328" t="s">
        <v>3802</v>
      </c>
      <c r="G328" t="s">
        <v>6596</v>
      </c>
      <c r="H328" t="s">
        <v>10604</v>
      </c>
      <c r="I328" t="s">
        <v>11383</v>
      </c>
      <c r="J328">
        <v>10459</v>
      </c>
      <c r="K328" t="s">
        <v>11447</v>
      </c>
      <c r="L328" t="s">
        <v>11538</v>
      </c>
      <c r="M328" t="s">
        <v>14743</v>
      </c>
      <c r="P328" t="s">
        <v>14795</v>
      </c>
      <c r="Q328" t="s">
        <v>11448</v>
      </c>
      <c r="S328" t="s">
        <v>14827</v>
      </c>
      <c r="V328">
        <v>1350</v>
      </c>
      <c r="W328" t="s">
        <v>14858</v>
      </c>
      <c r="Z328" t="s">
        <v>15221</v>
      </c>
      <c r="AB328" t="s">
        <v>20379</v>
      </c>
      <c r="AC328">
        <v>6</v>
      </c>
      <c r="AD328" t="s">
        <v>24600</v>
      </c>
      <c r="AE328" t="s">
        <v>24615</v>
      </c>
      <c r="AF328">
        <v>6</v>
      </c>
      <c r="AG328">
        <v>3</v>
      </c>
      <c r="AH328">
        <v>3</v>
      </c>
      <c r="AI328">
        <v>82.68000000000001</v>
      </c>
      <c r="AL328" t="s">
        <v>5011</v>
      </c>
      <c r="AM328">
        <v>28600</v>
      </c>
      <c r="AS328">
        <v>0.5</v>
      </c>
      <c r="AT328" t="s">
        <v>550</v>
      </c>
      <c r="AU328" t="s">
        <v>25236</v>
      </c>
      <c r="AW328" t="s">
        <v>11447</v>
      </c>
    </row>
    <row r="329" spans="1:49">
      <c r="A329" s="1">
        <f>HYPERLINK("https://lsnyc.legalserver.org/matter/dynamic-profile/view/1909911","19-1909911")</f>
        <v>0</v>
      </c>
      <c r="B329" t="s">
        <v>75</v>
      </c>
      <c r="C329" t="s">
        <v>468</v>
      </c>
      <c r="E329" t="s">
        <v>1301</v>
      </c>
      <c r="F329" t="s">
        <v>3803</v>
      </c>
      <c r="G329" t="s">
        <v>6597</v>
      </c>
      <c r="H329" t="s">
        <v>10605</v>
      </c>
      <c r="I329" t="s">
        <v>11385</v>
      </c>
      <c r="J329">
        <v>11226</v>
      </c>
      <c r="K329" t="s">
        <v>11447</v>
      </c>
      <c r="P329" t="s">
        <v>14795</v>
      </c>
      <c r="S329" t="s">
        <v>14827</v>
      </c>
      <c r="V329">
        <v>865</v>
      </c>
      <c r="W329" t="s">
        <v>14859</v>
      </c>
      <c r="X329" t="s">
        <v>14755</v>
      </c>
      <c r="Z329" t="s">
        <v>15222</v>
      </c>
      <c r="AB329" t="s">
        <v>20380</v>
      </c>
      <c r="AC329">
        <v>46</v>
      </c>
      <c r="AF329">
        <v>37</v>
      </c>
      <c r="AG329">
        <v>1</v>
      </c>
      <c r="AH329">
        <v>0</v>
      </c>
      <c r="AI329">
        <v>83.11</v>
      </c>
      <c r="AL329" t="s">
        <v>5011</v>
      </c>
      <c r="AM329">
        <v>10380</v>
      </c>
      <c r="AS329">
        <v>1.1</v>
      </c>
      <c r="AT329" t="s">
        <v>511</v>
      </c>
      <c r="AU329" t="s">
        <v>25238</v>
      </c>
      <c r="AW329" t="s">
        <v>11447</v>
      </c>
    </row>
    <row r="330" spans="1:49">
      <c r="A330" s="1">
        <f>HYPERLINK("https://lsnyc.legalserver.org/matter/dynamic-profile/view/1906382","19-1906382")</f>
        <v>0</v>
      </c>
      <c r="B330" t="s">
        <v>63</v>
      </c>
      <c r="C330" t="s">
        <v>485</v>
      </c>
      <c r="E330" t="s">
        <v>1218</v>
      </c>
      <c r="F330" t="s">
        <v>3804</v>
      </c>
      <c r="G330" t="s">
        <v>6598</v>
      </c>
      <c r="H330" t="s">
        <v>10501</v>
      </c>
      <c r="I330" t="s">
        <v>11404</v>
      </c>
      <c r="J330">
        <v>11105</v>
      </c>
      <c r="K330" t="s">
        <v>11447</v>
      </c>
      <c r="M330" t="s">
        <v>14747</v>
      </c>
      <c r="N330" t="s">
        <v>14778</v>
      </c>
      <c r="P330" t="s">
        <v>14795</v>
      </c>
      <c r="S330" t="s">
        <v>14827</v>
      </c>
      <c r="V330">
        <v>2000</v>
      </c>
      <c r="W330" t="s">
        <v>14861</v>
      </c>
      <c r="X330" t="s">
        <v>14866</v>
      </c>
      <c r="Z330" t="s">
        <v>15223</v>
      </c>
      <c r="AB330" t="s">
        <v>20381</v>
      </c>
      <c r="AC330">
        <v>3</v>
      </c>
      <c r="AF330">
        <v>3</v>
      </c>
      <c r="AG330">
        <v>1</v>
      </c>
      <c r="AH330">
        <v>0</v>
      </c>
      <c r="AI330">
        <v>83.27</v>
      </c>
      <c r="AL330" t="s">
        <v>5011</v>
      </c>
      <c r="AM330">
        <v>10400</v>
      </c>
      <c r="AS330">
        <v>1.2</v>
      </c>
      <c r="AT330" t="s">
        <v>661</v>
      </c>
      <c r="AU330" t="s">
        <v>25241</v>
      </c>
      <c r="AW330" t="s">
        <v>11447</v>
      </c>
    </row>
    <row r="331" spans="1:49">
      <c r="A331" s="1">
        <f>HYPERLINK("https://lsnyc.legalserver.org/matter/dynamic-profile/view/1912800","19-1912800")</f>
        <v>0</v>
      </c>
      <c r="B331" t="s">
        <v>63</v>
      </c>
      <c r="C331" t="s">
        <v>470</v>
      </c>
      <c r="E331" t="s">
        <v>1302</v>
      </c>
      <c r="F331" t="s">
        <v>3805</v>
      </c>
      <c r="G331" t="s">
        <v>6599</v>
      </c>
      <c r="H331" t="s">
        <v>10562</v>
      </c>
      <c r="I331" t="s">
        <v>11412</v>
      </c>
      <c r="J331">
        <v>11101</v>
      </c>
      <c r="K331" t="s">
        <v>11447</v>
      </c>
      <c r="P331" t="s">
        <v>14795</v>
      </c>
      <c r="S331" t="s">
        <v>14827</v>
      </c>
      <c r="V331">
        <v>1650</v>
      </c>
      <c r="W331" t="s">
        <v>14861</v>
      </c>
      <c r="X331" t="s">
        <v>14870</v>
      </c>
      <c r="Z331" t="s">
        <v>15224</v>
      </c>
      <c r="AB331" t="s">
        <v>20382</v>
      </c>
      <c r="AC331">
        <v>6</v>
      </c>
      <c r="AD331" t="s">
        <v>24595</v>
      </c>
      <c r="AE331" t="s">
        <v>11459</v>
      </c>
      <c r="AF331">
        <v>10</v>
      </c>
      <c r="AG331">
        <v>1</v>
      </c>
      <c r="AH331">
        <v>0</v>
      </c>
      <c r="AI331">
        <v>83.27</v>
      </c>
      <c r="AL331" t="s">
        <v>5011</v>
      </c>
      <c r="AM331">
        <v>10400</v>
      </c>
      <c r="AS331">
        <v>1.7</v>
      </c>
      <c r="AT331" t="s">
        <v>574</v>
      </c>
      <c r="AU331" t="s">
        <v>25226</v>
      </c>
      <c r="AW331" t="s">
        <v>11447</v>
      </c>
    </row>
    <row r="332" spans="1:49">
      <c r="A332" s="1">
        <f>HYPERLINK("https://lsnyc.legalserver.org/matter/dynamic-profile/view/1907267","19-1907267")</f>
        <v>0</v>
      </c>
      <c r="B332" t="s">
        <v>55</v>
      </c>
      <c r="C332" t="s">
        <v>366</v>
      </c>
      <c r="E332" t="s">
        <v>1303</v>
      </c>
      <c r="F332" t="s">
        <v>3806</v>
      </c>
      <c r="G332" t="s">
        <v>6600</v>
      </c>
      <c r="H332" t="s">
        <v>10606</v>
      </c>
      <c r="I332" t="s">
        <v>11386</v>
      </c>
      <c r="J332">
        <v>10027</v>
      </c>
      <c r="K332" t="s">
        <v>11447</v>
      </c>
      <c r="P332" t="s">
        <v>14795</v>
      </c>
      <c r="S332" t="s">
        <v>14827</v>
      </c>
      <c r="V332">
        <v>900</v>
      </c>
      <c r="W332" t="s">
        <v>14860</v>
      </c>
      <c r="X332" t="s">
        <v>14868</v>
      </c>
      <c r="Z332" t="s">
        <v>15225</v>
      </c>
      <c r="AB332" t="s">
        <v>20383</v>
      </c>
      <c r="AC332">
        <v>20</v>
      </c>
      <c r="AD332" t="s">
        <v>24595</v>
      </c>
      <c r="AE332" t="s">
        <v>11459</v>
      </c>
      <c r="AF332">
        <v>10</v>
      </c>
      <c r="AG332">
        <v>1</v>
      </c>
      <c r="AH332">
        <v>0</v>
      </c>
      <c r="AI332">
        <v>83.27</v>
      </c>
      <c r="AL332" t="s">
        <v>5011</v>
      </c>
      <c r="AM332">
        <v>10400</v>
      </c>
      <c r="AS332">
        <v>1</v>
      </c>
      <c r="AT332" t="s">
        <v>366</v>
      </c>
      <c r="AU332" t="s">
        <v>25226</v>
      </c>
      <c r="AW332" t="s">
        <v>11447</v>
      </c>
    </row>
    <row r="333" spans="1:49">
      <c r="A333" s="1">
        <f>HYPERLINK("https://lsnyc.legalserver.org/matter/dynamic-profile/view/1912125","19-1912125")</f>
        <v>0</v>
      </c>
      <c r="B333" t="s">
        <v>55</v>
      </c>
      <c r="C333" t="s">
        <v>551</v>
      </c>
      <c r="E333" t="s">
        <v>1304</v>
      </c>
      <c r="F333" t="s">
        <v>3742</v>
      </c>
      <c r="G333" t="s">
        <v>6601</v>
      </c>
      <c r="H333" t="s">
        <v>10541</v>
      </c>
      <c r="I333" t="s">
        <v>11386</v>
      </c>
      <c r="J333">
        <v>10009</v>
      </c>
      <c r="K333" t="s">
        <v>11447</v>
      </c>
      <c r="P333" t="s">
        <v>14795</v>
      </c>
      <c r="S333" t="s">
        <v>14828</v>
      </c>
      <c r="V333">
        <v>270</v>
      </c>
      <c r="W333" t="s">
        <v>14860</v>
      </c>
      <c r="Z333" t="s">
        <v>15226</v>
      </c>
      <c r="AB333" t="s">
        <v>20384</v>
      </c>
      <c r="AC333">
        <v>46</v>
      </c>
      <c r="AD333" t="s">
        <v>11479</v>
      </c>
      <c r="AF333">
        <v>44</v>
      </c>
      <c r="AG333">
        <v>1</v>
      </c>
      <c r="AH333">
        <v>0</v>
      </c>
      <c r="AI333">
        <v>84.36</v>
      </c>
      <c r="AL333" t="s">
        <v>24640</v>
      </c>
      <c r="AM333">
        <v>10536</v>
      </c>
      <c r="AS333">
        <v>1</v>
      </c>
      <c r="AT333" t="s">
        <v>551</v>
      </c>
      <c r="AU333" t="s">
        <v>25236</v>
      </c>
      <c r="AW333" t="s">
        <v>11447</v>
      </c>
    </row>
    <row r="334" spans="1:49">
      <c r="A334" s="1">
        <f>HYPERLINK("https://lsnyc.legalserver.org/matter/dynamic-profile/view/1890745","19-1890745")</f>
        <v>0</v>
      </c>
      <c r="B334" t="s">
        <v>95</v>
      </c>
      <c r="C334" t="s">
        <v>552</v>
      </c>
      <c r="E334" t="s">
        <v>1305</v>
      </c>
      <c r="F334" t="s">
        <v>3748</v>
      </c>
      <c r="G334" t="s">
        <v>6602</v>
      </c>
      <c r="H334" t="s">
        <v>10575</v>
      </c>
      <c r="I334" t="s">
        <v>11383</v>
      </c>
      <c r="J334">
        <v>10452</v>
      </c>
      <c r="K334" t="s">
        <v>11447</v>
      </c>
      <c r="M334" t="s">
        <v>11601</v>
      </c>
      <c r="N334" t="s">
        <v>14778</v>
      </c>
      <c r="P334" t="s">
        <v>14795</v>
      </c>
      <c r="Q334" t="s">
        <v>11446</v>
      </c>
      <c r="S334" t="s">
        <v>14827</v>
      </c>
      <c r="V334">
        <v>1189</v>
      </c>
      <c r="W334" t="s">
        <v>14858</v>
      </c>
      <c r="X334" t="s">
        <v>14866</v>
      </c>
      <c r="Z334" t="s">
        <v>15227</v>
      </c>
      <c r="AB334" t="s">
        <v>20385</v>
      </c>
      <c r="AC334">
        <v>25</v>
      </c>
      <c r="AD334" t="s">
        <v>11479</v>
      </c>
      <c r="AE334" t="s">
        <v>11459</v>
      </c>
      <c r="AF334">
        <v>4</v>
      </c>
      <c r="AG334">
        <v>1</v>
      </c>
      <c r="AH334">
        <v>2</v>
      </c>
      <c r="AI334">
        <v>84.58</v>
      </c>
      <c r="AL334" t="s">
        <v>5011</v>
      </c>
      <c r="AM334">
        <v>18040</v>
      </c>
      <c r="AN334" t="s">
        <v>24700</v>
      </c>
      <c r="AS334">
        <v>1.35</v>
      </c>
      <c r="AT334" t="s">
        <v>870</v>
      </c>
      <c r="AU334" t="s">
        <v>25236</v>
      </c>
      <c r="AW334" t="s">
        <v>11447</v>
      </c>
    </row>
    <row r="335" spans="1:49">
      <c r="A335" s="1">
        <f>HYPERLINK("https://lsnyc.legalserver.org/matter/dynamic-profile/view/1906199","19-1906199")</f>
        <v>0</v>
      </c>
      <c r="B335" t="s">
        <v>75</v>
      </c>
      <c r="C335" t="s">
        <v>553</v>
      </c>
      <c r="E335" t="s">
        <v>1306</v>
      </c>
      <c r="F335" t="s">
        <v>3807</v>
      </c>
      <c r="G335" t="s">
        <v>6603</v>
      </c>
      <c r="H335" t="s">
        <v>10607</v>
      </c>
      <c r="I335" t="s">
        <v>11385</v>
      </c>
      <c r="J335">
        <v>11215</v>
      </c>
      <c r="K335" t="s">
        <v>11447</v>
      </c>
      <c r="P335" t="s">
        <v>14795</v>
      </c>
      <c r="S335" t="s">
        <v>14827</v>
      </c>
      <c r="V335">
        <v>265</v>
      </c>
      <c r="W335" t="s">
        <v>14859</v>
      </c>
      <c r="X335" t="s">
        <v>14873</v>
      </c>
      <c r="Z335" t="s">
        <v>15228</v>
      </c>
      <c r="AB335" t="s">
        <v>20386</v>
      </c>
      <c r="AC335">
        <v>250</v>
      </c>
      <c r="AD335" t="s">
        <v>24603</v>
      </c>
      <c r="AE335" t="s">
        <v>24610</v>
      </c>
      <c r="AF335">
        <v>19</v>
      </c>
      <c r="AG335">
        <v>1</v>
      </c>
      <c r="AH335">
        <v>0</v>
      </c>
      <c r="AI335">
        <v>84.84</v>
      </c>
      <c r="AL335" t="s">
        <v>5011</v>
      </c>
      <c r="AM335">
        <v>10596</v>
      </c>
      <c r="AS335">
        <v>1</v>
      </c>
      <c r="AT335" t="s">
        <v>553</v>
      </c>
      <c r="AU335" t="s">
        <v>25226</v>
      </c>
      <c r="AW335" t="s">
        <v>11447</v>
      </c>
    </row>
    <row r="336" spans="1:49">
      <c r="A336" s="1">
        <f>HYPERLINK("https://lsnyc.legalserver.org/matter/dynamic-profile/view/1903815","19-1903815")</f>
        <v>0</v>
      </c>
      <c r="B336" t="s">
        <v>92</v>
      </c>
      <c r="C336" t="s">
        <v>378</v>
      </c>
      <c r="E336" t="s">
        <v>1307</v>
      </c>
      <c r="F336" t="s">
        <v>3808</v>
      </c>
      <c r="G336" t="s">
        <v>6604</v>
      </c>
      <c r="H336" t="s">
        <v>10464</v>
      </c>
      <c r="I336" t="s">
        <v>11383</v>
      </c>
      <c r="J336">
        <v>10460</v>
      </c>
      <c r="K336" t="s">
        <v>11447</v>
      </c>
      <c r="M336" t="s">
        <v>14746</v>
      </c>
      <c r="P336" t="s">
        <v>14795</v>
      </c>
      <c r="Q336" t="s">
        <v>11448</v>
      </c>
      <c r="S336" t="s">
        <v>14827</v>
      </c>
      <c r="V336">
        <v>208</v>
      </c>
      <c r="W336" t="s">
        <v>14858</v>
      </c>
      <c r="X336" t="s">
        <v>14755</v>
      </c>
      <c r="Z336" t="s">
        <v>15229</v>
      </c>
      <c r="AB336" t="s">
        <v>20387</v>
      </c>
      <c r="AC336">
        <v>0</v>
      </c>
      <c r="AD336" t="s">
        <v>11479</v>
      </c>
      <c r="AE336" t="s">
        <v>11459</v>
      </c>
      <c r="AF336">
        <v>10</v>
      </c>
      <c r="AG336">
        <v>1</v>
      </c>
      <c r="AH336">
        <v>0</v>
      </c>
      <c r="AI336">
        <v>85.03</v>
      </c>
      <c r="AL336" t="s">
        <v>24632</v>
      </c>
      <c r="AM336">
        <v>10620</v>
      </c>
      <c r="AS336">
        <v>0.84</v>
      </c>
      <c r="AT336" t="s">
        <v>378</v>
      </c>
      <c r="AU336" t="s">
        <v>25240</v>
      </c>
      <c r="AW336" t="s">
        <v>11447</v>
      </c>
    </row>
    <row r="337" spans="1:49">
      <c r="A337" s="1">
        <f>HYPERLINK("https://lsnyc.legalserver.org/matter/dynamic-profile/view/1915417","19-1915417")</f>
        <v>0</v>
      </c>
      <c r="B337" t="s">
        <v>75</v>
      </c>
      <c r="C337" t="s">
        <v>495</v>
      </c>
      <c r="E337" t="s">
        <v>1308</v>
      </c>
      <c r="F337" t="s">
        <v>3809</v>
      </c>
      <c r="G337" t="s">
        <v>6605</v>
      </c>
      <c r="H337" t="s">
        <v>10506</v>
      </c>
      <c r="I337" t="s">
        <v>11385</v>
      </c>
      <c r="J337">
        <v>11218</v>
      </c>
      <c r="K337" t="s">
        <v>11447</v>
      </c>
      <c r="P337" t="s">
        <v>14795</v>
      </c>
      <c r="S337" t="s">
        <v>14827</v>
      </c>
      <c r="V337">
        <v>1600</v>
      </c>
      <c r="W337" t="s">
        <v>14859</v>
      </c>
      <c r="X337" t="s">
        <v>14866</v>
      </c>
      <c r="Z337" t="s">
        <v>15230</v>
      </c>
      <c r="AC337">
        <v>4</v>
      </c>
      <c r="AF337">
        <v>8</v>
      </c>
      <c r="AG337">
        <v>2</v>
      </c>
      <c r="AH337">
        <v>1</v>
      </c>
      <c r="AI337">
        <v>85.33</v>
      </c>
      <c r="AL337" t="s">
        <v>24632</v>
      </c>
      <c r="AM337">
        <v>18200</v>
      </c>
      <c r="AS337">
        <v>1</v>
      </c>
      <c r="AT337" t="s">
        <v>495</v>
      </c>
      <c r="AU337" t="s">
        <v>25257</v>
      </c>
      <c r="AW337" t="s">
        <v>11447</v>
      </c>
    </row>
    <row r="338" spans="1:49">
      <c r="A338" s="1">
        <f>HYPERLINK("https://lsnyc.legalserver.org/matter/dynamic-profile/view/0831410","17-0831410")</f>
        <v>0</v>
      </c>
      <c r="B338" t="s">
        <v>138</v>
      </c>
      <c r="C338" t="s">
        <v>554</v>
      </c>
      <c r="E338" t="s">
        <v>1309</v>
      </c>
      <c r="F338" t="s">
        <v>3810</v>
      </c>
      <c r="G338" t="s">
        <v>6606</v>
      </c>
      <c r="H338" t="s">
        <v>10506</v>
      </c>
      <c r="I338" t="s">
        <v>11395</v>
      </c>
      <c r="J338">
        <v>11373</v>
      </c>
      <c r="K338" t="s">
        <v>11447</v>
      </c>
      <c r="P338" t="s">
        <v>14795</v>
      </c>
      <c r="S338" t="s">
        <v>14827</v>
      </c>
      <c r="V338">
        <v>1752</v>
      </c>
      <c r="W338" t="s">
        <v>14861</v>
      </c>
      <c r="X338" t="s">
        <v>14867</v>
      </c>
      <c r="Z338" t="s">
        <v>15231</v>
      </c>
      <c r="AB338" t="s">
        <v>20388</v>
      </c>
      <c r="AC338">
        <v>8</v>
      </c>
      <c r="AF338">
        <v>8</v>
      </c>
      <c r="AG338">
        <v>1</v>
      </c>
      <c r="AH338">
        <v>0</v>
      </c>
      <c r="AI338">
        <v>85.56999999999999</v>
      </c>
      <c r="AL338" t="s">
        <v>24632</v>
      </c>
      <c r="AM338">
        <v>10320</v>
      </c>
      <c r="AS338">
        <v>1</v>
      </c>
      <c r="AT338" t="s">
        <v>554</v>
      </c>
      <c r="AU338" t="s">
        <v>316</v>
      </c>
      <c r="AW338" t="s">
        <v>11447</v>
      </c>
    </row>
    <row r="339" spans="1:49">
      <c r="A339" s="1">
        <f>HYPERLINK("https://lsnyc.legalserver.org/matter/dynamic-profile/view/1905534","19-1905534")</f>
        <v>0</v>
      </c>
      <c r="B339" t="s">
        <v>108</v>
      </c>
      <c r="C339" t="s">
        <v>555</v>
      </c>
      <c r="E339" t="s">
        <v>1269</v>
      </c>
      <c r="F339" t="s">
        <v>3811</v>
      </c>
      <c r="G339" t="s">
        <v>6607</v>
      </c>
      <c r="H339" t="s">
        <v>10575</v>
      </c>
      <c r="I339" t="s">
        <v>11385</v>
      </c>
      <c r="J339">
        <v>11225</v>
      </c>
      <c r="K339" t="s">
        <v>11447</v>
      </c>
      <c r="M339" t="s">
        <v>11601</v>
      </c>
      <c r="P339" t="s">
        <v>14795</v>
      </c>
      <c r="Q339" t="s">
        <v>11448</v>
      </c>
      <c r="S339" t="s">
        <v>14827</v>
      </c>
      <c r="V339">
        <v>800</v>
      </c>
      <c r="W339" t="s">
        <v>14859</v>
      </c>
      <c r="X339" t="s">
        <v>14873</v>
      </c>
      <c r="Z339" t="s">
        <v>15232</v>
      </c>
      <c r="AB339" t="s">
        <v>20389</v>
      </c>
      <c r="AC339">
        <v>8</v>
      </c>
      <c r="AD339" t="s">
        <v>11479</v>
      </c>
      <c r="AE339" t="s">
        <v>11459</v>
      </c>
      <c r="AF339">
        <v>21</v>
      </c>
      <c r="AG339">
        <v>1</v>
      </c>
      <c r="AH339">
        <v>0</v>
      </c>
      <c r="AI339">
        <v>86.47</v>
      </c>
      <c r="AL339" t="s">
        <v>5011</v>
      </c>
      <c r="AM339">
        <v>10800</v>
      </c>
      <c r="AS339">
        <v>0.5</v>
      </c>
      <c r="AT339" t="s">
        <v>555</v>
      </c>
      <c r="AU339" t="s">
        <v>25236</v>
      </c>
      <c r="AW339" t="s">
        <v>11447</v>
      </c>
    </row>
    <row r="340" spans="1:49">
      <c r="A340" s="1">
        <f>HYPERLINK("https://lsnyc.legalserver.org/matter/dynamic-profile/view/1910057","19-1910057")</f>
        <v>0</v>
      </c>
      <c r="B340" t="s">
        <v>146</v>
      </c>
      <c r="C340" t="s">
        <v>471</v>
      </c>
      <c r="E340" t="s">
        <v>1025</v>
      </c>
      <c r="F340" t="s">
        <v>3561</v>
      </c>
      <c r="G340" t="s">
        <v>6608</v>
      </c>
      <c r="I340" t="s">
        <v>11385</v>
      </c>
      <c r="J340">
        <v>11207</v>
      </c>
      <c r="K340" t="s">
        <v>11447</v>
      </c>
      <c r="M340" t="s">
        <v>11601</v>
      </c>
      <c r="P340" t="s">
        <v>14795</v>
      </c>
      <c r="S340" t="s">
        <v>14828</v>
      </c>
      <c r="V340">
        <v>600</v>
      </c>
      <c r="W340" t="s">
        <v>14859</v>
      </c>
      <c r="Z340" t="s">
        <v>15233</v>
      </c>
      <c r="AC340">
        <v>0</v>
      </c>
      <c r="AD340" t="s">
        <v>24596</v>
      </c>
      <c r="AE340" t="s">
        <v>24610</v>
      </c>
      <c r="AF340">
        <v>21</v>
      </c>
      <c r="AG340">
        <v>1</v>
      </c>
      <c r="AH340">
        <v>0</v>
      </c>
      <c r="AI340">
        <v>86.47</v>
      </c>
      <c r="AL340" t="s">
        <v>24632</v>
      </c>
      <c r="AM340">
        <v>10800</v>
      </c>
      <c r="AS340">
        <v>0.85</v>
      </c>
      <c r="AT340" t="s">
        <v>471</v>
      </c>
      <c r="AU340" t="s">
        <v>25236</v>
      </c>
      <c r="AW340" t="s">
        <v>11447</v>
      </c>
    </row>
    <row r="341" spans="1:49">
      <c r="A341" s="1">
        <f>HYPERLINK("https://lsnyc.legalserver.org/matter/dynamic-profile/view/1913586","19-1913586")</f>
        <v>0</v>
      </c>
      <c r="B341" t="s">
        <v>55</v>
      </c>
      <c r="C341" t="s">
        <v>477</v>
      </c>
      <c r="E341" t="s">
        <v>1135</v>
      </c>
      <c r="F341" t="s">
        <v>3560</v>
      </c>
      <c r="G341" t="s">
        <v>6609</v>
      </c>
      <c r="H341" t="s">
        <v>10608</v>
      </c>
      <c r="I341" t="s">
        <v>11386</v>
      </c>
      <c r="J341">
        <v>10028</v>
      </c>
      <c r="K341" t="s">
        <v>11447</v>
      </c>
      <c r="P341" t="s">
        <v>14795</v>
      </c>
      <c r="S341" t="s">
        <v>14831</v>
      </c>
      <c r="V341">
        <v>0</v>
      </c>
      <c r="W341" t="s">
        <v>14860</v>
      </c>
      <c r="Z341" t="s">
        <v>15234</v>
      </c>
      <c r="AB341" t="s">
        <v>20390</v>
      </c>
      <c r="AC341">
        <v>0</v>
      </c>
      <c r="AF341">
        <v>0</v>
      </c>
      <c r="AG341">
        <v>1</v>
      </c>
      <c r="AH341">
        <v>0</v>
      </c>
      <c r="AI341">
        <v>86.47</v>
      </c>
      <c r="AL341" t="s">
        <v>5011</v>
      </c>
      <c r="AM341">
        <v>10800</v>
      </c>
      <c r="AS341">
        <v>1</v>
      </c>
      <c r="AT341" t="s">
        <v>477</v>
      </c>
      <c r="AU341" t="s">
        <v>25226</v>
      </c>
      <c r="AW341" t="s">
        <v>11447</v>
      </c>
    </row>
    <row r="342" spans="1:49">
      <c r="A342" s="1">
        <f>HYPERLINK("https://lsnyc.legalserver.org/matter/dynamic-profile/view/1881578","18-1881578")</f>
        <v>0</v>
      </c>
      <c r="B342" t="s">
        <v>112</v>
      </c>
      <c r="C342" t="s">
        <v>556</v>
      </c>
      <c r="E342" t="s">
        <v>1310</v>
      </c>
      <c r="F342" t="s">
        <v>3812</v>
      </c>
      <c r="G342" t="s">
        <v>6610</v>
      </c>
      <c r="H342" t="s">
        <v>10496</v>
      </c>
      <c r="I342" t="s">
        <v>11383</v>
      </c>
      <c r="J342">
        <v>10462</v>
      </c>
      <c r="K342" t="s">
        <v>11446</v>
      </c>
      <c r="L342" t="s">
        <v>11539</v>
      </c>
      <c r="M342" t="s">
        <v>14744</v>
      </c>
      <c r="N342" t="s">
        <v>14778</v>
      </c>
      <c r="P342" t="s">
        <v>14795</v>
      </c>
      <c r="Q342" t="s">
        <v>11448</v>
      </c>
      <c r="S342" t="s">
        <v>14827</v>
      </c>
      <c r="T342" t="s">
        <v>14837</v>
      </c>
      <c r="V342">
        <v>2181</v>
      </c>
      <c r="W342" t="s">
        <v>14858</v>
      </c>
      <c r="X342" t="s">
        <v>14755</v>
      </c>
      <c r="Z342" t="s">
        <v>15235</v>
      </c>
      <c r="AB342" t="s">
        <v>20391</v>
      </c>
      <c r="AC342">
        <v>2</v>
      </c>
      <c r="AD342" t="s">
        <v>24600</v>
      </c>
      <c r="AE342" t="s">
        <v>24610</v>
      </c>
      <c r="AF342">
        <v>2</v>
      </c>
      <c r="AG342">
        <v>2</v>
      </c>
      <c r="AH342">
        <v>4</v>
      </c>
      <c r="AI342">
        <v>88.92</v>
      </c>
      <c r="AL342" t="s">
        <v>5011</v>
      </c>
      <c r="AM342">
        <v>30000</v>
      </c>
      <c r="AN342" t="s">
        <v>24701</v>
      </c>
      <c r="AS342">
        <v>10.7</v>
      </c>
      <c r="AT342" t="s">
        <v>497</v>
      </c>
      <c r="AU342" t="s">
        <v>25245</v>
      </c>
      <c r="AW342" t="s">
        <v>11446</v>
      </c>
    </row>
    <row r="343" spans="1:49">
      <c r="A343" s="1">
        <f>HYPERLINK("https://lsnyc.legalserver.org/matter/dynamic-profile/view/1869860","18-1869860")</f>
        <v>0</v>
      </c>
      <c r="B343" t="s">
        <v>85</v>
      </c>
      <c r="C343" t="s">
        <v>557</v>
      </c>
      <c r="E343" t="s">
        <v>1311</v>
      </c>
      <c r="F343" t="s">
        <v>3813</v>
      </c>
      <c r="G343" t="s">
        <v>6611</v>
      </c>
      <c r="H343" t="s">
        <v>10460</v>
      </c>
      <c r="I343" t="s">
        <v>11389</v>
      </c>
      <c r="J343">
        <v>11354</v>
      </c>
      <c r="K343" t="s">
        <v>11447</v>
      </c>
      <c r="P343" t="s">
        <v>14795</v>
      </c>
      <c r="S343" t="s">
        <v>14828</v>
      </c>
      <c r="V343">
        <v>316</v>
      </c>
      <c r="W343" t="s">
        <v>14861</v>
      </c>
      <c r="X343" t="s">
        <v>14866</v>
      </c>
      <c r="Z343" t="s">
        <v>15236</v>
      </c>
      <c r="AB343" t="s">
        <v>20392</v>
      </c>
      <c r="AC343">
        <v>80</v>
      </c>
      <c r="AD343" t="s">
        <v>24602</v>
      </c>
      <c r="AF343">
        <v>22</v>
      </c>
      <c r="AG343">
        <v>1</v>
      </c>
      <c r="AH343">
        <v>0</v>
      </c>
      <c r="AI343">
        <v>88.95999999999999</v>
      </c>
      <c r="AL343" t="s">
        <v>5011</v>
      </c>
      <c r="AM343">
        <v>10800</v>
      </c>
      <c r="AS343">
        <v>1</v>
      </c>
      <c r="AT343" t="s">
        <v>557</v>
      </c>
      <c r="AU343" t="s">
        <v>25245</v>
      </c>
      <c r="AW343" t="s">
        <v>11447</v>
      </c>
    </row>
    <row r="344" spans="1:49">
      <c r="A344" s="1">
        <f>HYPERLINK("https://lsnyc.legalserver.org/matter/dynamic-profile/view/1910396","19-1910396")</f>
        <v>0</v>
      </c>
      <c r="B344" t="s">
        <v>140</v>
      </c>
      <c r="C344" t="s">
        <v>508</v>
      </c>
      <c r="E344" t="s">
        <v>1312</v>
      </c>
      <c r="F344" t="s">
        <v>3814</v>
      </c>
      <c r="G344" t="s">
        <v>6612</v>
      </c>
      <c r="I344" t="s">
        <v>11383</v>
      </c>
      <c r="J344">
        <v>10453</v>
      </c>
      <c r="K344" t="s">
        <v>11447</v>
      </c>
      <c r="M344" t="s">
        <v>11601</v>
      </c>
      <c r="P344" t="s">
        <v>14795</v>
      </c>
      <c r="S344" t="s">
        <v>14827</v>
      </c>
      <c r="V344">
        <v>1800</v>
      </c>
      <c r="W344" t="s">
        <v>14859</v>
      </c>
      <c r="X344" t="s">
        <v>14867</v>
      </c>
      <c r="Z344" t="s">
        <v>15237</v>
      </c>
      <c r="AB344" t="s">
        <v>20393</v>
      </c>
      <c r="AC344">
        <v>40</v>
      </c>
      <c r="AD344" t="s">
        <v>24599</v>
      </c>
      <c r="AE344" t="s">
        <v>24610</v>
      </c>
      <c r="AF344">
        <v>1</v>
      </c>
      <c r="AG344">
        <v>2</v>
      </c>
      <c r="AH344">
        <v>4</v>
      </c>
      <c r="AI344">
        <v>89.98999999999999</v>
      </c>
      <c r="AL344" t="s">
        <v>5011</v>
      </c>
      <c r="AM344">
        <v>31128</v>
      </c>
      <c r="AS344">
        <v>0.5</v>
      </c>
      <c r="AT344" t="s">
        <v>508</v>
      </c>
      <c r="AU344" t="s">
        <v>25244</v>
      </c>
      <c r="AW344" t="s">
        <v>11447</v>
      </c>
    </row>
    <row r="345" spans="1:49">
      <c r="A345" s="1">
        <f>HYPERLINK("https://lsnyc.legalserver.org/matter/dynamic-profile/view/1892326","19-1892326")</f>
        <v>0</v>
      </c>
      <c r="B345" t="s">
        <v>102</v>
      </c>
      <c r="C345" t="s">
        <v>541</v>
      </c>
      <c r="E345" t="s">
        <v>1313</v>
      </c>
      <c r="F345" t="s">
        <v>3815</v>
      </c>
      <c r="G345" t="s">
        <v>6613</v>
      </c>
      <c r="H345" t="s">
        <v>10609</v>
      </c>
      <c r="I345" t="s">
        <v>11383</v>
      </c>
      <c r="J345">
        <v>10453</v>
      </c>
      <c r="K345" t="s">
        <v>11448</v>
      </c>
      <c r="M345" t="s">
        <v>11601</v>
      </c>
      <c r="N345" t="s">
        <v>14779</v>
      </c>
      <c r="P345" t="s">
        <v>14795</v>
      </c>
      <c r="Q345" t="s">
        <v>11448</v>
      </c>
      <c r="S345" t="s">
        <v>14827</v>
      </c>
      <c r="V345">
        <v>0</v>
      </c>
      <c r="W345" t="s">
        <v>14858</v>
      </c>
      <c r="Z345" t="s">
        <v>15238</v>
      </c>
      <c r="AC345">
        <v>0</v>
      </c>
      <c r="AF345">
        <v>0</v>
      </c>
      <c r="AG345">
        <v>4</v>
      </c>
      <c r="AH345">
        <v>2</v>
      </c>
      <c r="AI345">
        <v>90.2</v>
      </c>
      <c r="AL345" t="s">
        <v>24632</v>
      </c>
      <c r="AM345">
        <v>31200</v>
      </c>
      <c r="AN345" t="s">
        <v>24702</v>
      </c>
      <c r="AS345">
        <v>2.2</v>
      </c>
      <c r="AT345" t="s">
        <v>629</v>
      </c>
      <c r="AU345" t="s">
        <v>102</v>
      </c>
      <c r="AW345" t="s">
        <v>11448</v>
      </c>
    </row>
    <row r="346" spans="1:49">
      <c r="A346" s="1">
        <f>HYPERLINK("https://lsnyc.legalserver.org/matter/dynamic-profile/view/1876200","18-1876200")</f>
        <v>0</v>
      </c>
      <c r="B346" t="s">
        <v>147</v>
      </c>
      <c r="C346" t="s">
        <v>558</v>
      </c>
      <c r="E346" t="s">
        <v>1314</v>
      </c>
      <c r="F346" t="s">
        <v>3816</v>
      </c>
      <c r="G346" t="s">
        <v>6614</v>
      </c>
      <c r="H346" t="s">
        <v>10610</v>
      </c>
      <c r="I346" t="s">
        <v>11387</v>
      </c>
      <c r="J346">
        <v>11435</v>
      </c>
      <c r="K346" t="s">
        <v>11446</v>
      </c>
      <c r="L346" t="s">
        <v>11540</v>
      </c>
      <c r="M346" t="s">
        <v>14744</v>
      </c>
      <c r="N346" t="s">
        <v>14778</v>
      </c>
      <c r="P346" t="s">
        <v>14795</v>
      </c>
      <c r="Q346" t="s">
        <v>11448</v>
      </c>
      <c r="S346" t="s">
        <v>14827</v>
      </c>
      <c r="V346">
        <v>700</v>
      </c>
      <c r="W346" t="s">
        <v>14861</v>
      </c>
      <c r="X346" t="s">
        <v>14865</v>
      </c>
      <c r="Z346" t="s">
        <v>15239</v>
      </c>
      <c r="AA346" t="s">
        <v>19337</v>
      </c>
      <c r="AB346" t="s">
        <v>20394</v>
      </c>
      <c r="AC346">
        <v>0</v>
      </c>
      <c r="AD346" t="s">
        <v>11479</v>
      </c>
      <c r="AE346" t="s">
        <v>11459</v>
      </c>
      <c r="AF346">
        <v>12</v>
      </c>
      <c r="AG346">
        <v>1</v>
      </c>
      <c r="AH346">
        <v>0</v>
      </c>
      <c r="AI346">
        <v>91.33</v>
      </c>
      <c r="AL346" t="s">
        <v>5011</v>
      </c>
      <c r="AM346">
        <v>11088</v>
      </c>
      <c r="AS346">
        <v>2.1</v>
      </c>
      <c r="AT346" t="s">
        <v>445</v>
      </c>
      <c r="AU346" t="s">
        <v>292</v>
      </c>
      <c r="AW346" t="s">
        <v>11447</v>
      </c>
    </row>
    <row r="347" spans="1:49">
      <c r="A347" s="1">
        <f>HYPERLINK("https://lsnyc.legalserver.org/matter/dynamic-profile/view/1908487","19-1908487")</f>
        <v>0</v>
      </c>
      <c r="B347" t="s">
        <v>75</v>
      </c>
      <c r="C347" t="s">
        <v>466</v>
      </c>
      <c r="E347" t="s">
        <v>1315</v>
      </c>
      <c r="F347" t="s">
        <v>3817</v>
      </c>
      <c r="G347" t="s">
        <v>6615</v>
      </c>
      <c r="H347" t="s">
        <v>10575</v>
      </c>
      <c r="I347" t="s">
        <v>11385</v>
      </c>
      <c r="J347">
        <v>11230</v>
      </c>
      <c r="K347" t="s">
        <v>11447</v>
      </c>
      <c r="L347" t="s">
        <v>11541</v>
      </c>
      <c r="M347" t="s">
        <v>14744</v>
      </c>
      <c r="P347" t="s">
        <v>14795</v>
      </c>
      <c r="S347" t="s">
        <v>14827</v>
      </c>
      <c r="V347">
        <v>769</v>
      </c>
      <c r="W347" t="s">
        <v>14859</v>
      </c>
      <c r="Z347" t="s">
        <v>15240</v>
      </c>
      <c r="AB347" t="s">
        <v>20395</v>
      </c>
      <c r="AC347">
        <v>24</v>
      </c>
      <c r="AD347" t="s">
        <v>11479</v>
      </c>
      <c r="AE347" t="s">
        <v>24613</v>
      </c>
      <c r="AF347">
        <v>8</v>
      </c>
      <c r="AG347">
        <v>1</v>
      </c>
      <c r="AH347">
        <v>0</v>
      </c>
      <c r="AI347">
        <v>93.09999999999999</v>
      </c>
      <c r="AL347" t="s">
        <v>5011</v>
      </c>
      <c r="AM347">
        <v>11628</v>
      </c>
      <c r="AS347">
        <v>1</v>
      </c>
      <c r="AT347" t="s">
        <v>466</v>
      </c>
      <c r="AU347" t="s">
        <v>25231</v>
      </c>
      <c r="AW347" t="s">
        <v>11447</v>
      </c>
    </row>
    <row r="348" spans="1:49">
      <c r="A348" s="1">
        <f>HYPERLINK("https://lsnyc.legalserver.org/matter/dynamic-profile/view/1913874","19-1913874")</f>
        <v>0</v>
      </c>
      <c r="B348" t="s">
        <v>63</v>
      </c>
      <c r="C348" t="s">
        <v>533</v>
      </c>
      <c r="E348" t="s">
        <v>1316</v>
      </c>
      <c r="F348" t="s">
        <v>3622</v>
      </c>
      <c r="G348" t="s">
        <v>6616</v>
      </c>
      <c r="H348" t="s">
        <v>10611</v>
      </c>
      <c r="I348" t="s">
        <v>11389</v>
      </c>
      <c r="J348">
        <v>11354</v>
      </c>
      <c r="K348" t="s">
        <v>11447</v>
      </c>
      <c r="P348" t="s">
        <v>14795</v>
      </c>
      <c r="S348" t="s">
        <v>14827</v>
      </c>
      <c r="V348">
        <v>1083.7</v>
      </c>
      <c r="W348" t="s">
        <v>14861</v>
      </c>
      <c r="Z348" t="s">
        <v>15241</v>
      </c>
      <c r="AB348" t="s">
        <v>20396</v>
      </c>
      <c r="AC348">
        <v>12</v>
      </c>
      <c r="AF348">
        <v>11</v>
      </c>
      <c r="AG348">
        <v>2</v>
      </c>
      <c r="AH348">
        <v>2</v>
      </c>
      <c r="AI348">
        <v>93.2</v>
      </c>
      <c r="AL348" t="s">
        <v>5011</v>
      </c>
      <c r="AM348">
        <v>24000</v>
      </c>
      <c r="AS348">
        <v>1</v>
      </c>
      <c r="AT348" t="s">
        <v>533</v>
      </c>
      <c r="AU348" t="s">
        <v>25237</v>
      </c>
      <c r="AW348" t="s">
        <v>11447</v>
      </c>
    </row>
    <row r="349" spans="1:49">
      <c r="A349" s="1">
        <f>HYPERLINK("https://lsnyc.legalserver.org/matter/dynamic-profile/view/1911077","19-1911077")</f>
        <v>0</v>
      </c>
      <c r="B349" t="s">
        <v>108</v>
      </c>
      <c r="C349" t="s">
        <v>460</v>
      </c>
      <c r="E349" t="s">
        <v>1247</v>
      </c>
      <c r="F349" t="s">
        <v>3818</v>
      </c>
      <c r="G349" t="s">
        <v>6617</v>
      </c>
      <c r="H349" t="s">
        <v>10465</v>
      </c>
      <c r="I349" t="s">
        <v>11385</v>
      </c>
      <c r="J349">
        <v>11218</v>
      </c>
      <c r="K349" t="s">
        <v>11447</v>
      </c>
      <c r="P349" t="s">
        <v>14795</v>
      </c>
      <c r="S349" t="s">
        <v>14827</v>
      </c>
      <c r="V349">
        <v>1613</v>
      </c>
      <c r="W349" t="s">
        <v>14859</v>
      </c>
      <c r="X349" t="s">
        <v>14870</v>
      </c>
      <c r="Z349" t="s">
        <v>15149</v>
      </c>
      <c r="AB349" t="s">
        <v>20310</v>
      </c>
      <c r="AC349">
        <v>12</v>
      </c>
      <c r="AE349" t="s">
        <v>24610</v>
      </c>
      <c r="AF349">
        <v>10</v>
      </c>
      <c r="AG349">
        <v>2</v>
      </c>
      <c r="AH349">
        <v>0</v>
      </c>
      <c r="AI349">
        <v>93.53</v>
      </c>
      <c r="AL349" t="s">
        <v>5011</v>
      </c>
      <c r="AM349">
        <v>15816</v>
      </c>
      <c r="AS349">
        <v>2.4</v>
      </c>
      <c r="AT349" t="s">
        <v>521</v>
      </c>
      <c r="AU349" t="s">
        <v>25226</v>
      </c>
      <c r="AW349" t="s">
        <v>11447</v>
      </c>
    </row>
    <row r="350" spans="1:49">
      <c r="A350" s="1">
        <f>HYPERLINK("https://lsnyc.legalserver.org/matter/dynamic-profile/view/1914259","19-1914259")</f>
        <v>0</v>
      </c>
      <c r="B350" t="s">
        <v>92</v>
      </c>
      <c r="C350" t="s">
        <v>539</v>
      </c>
      <c r="E350" t="s">
        <v>1317</v>
      </c>
      <c r="F350" t="s">
        <v>3628</v>
      </c>
      <c r="G350" t="s">
        <v>6618</v>
      </c>
      <c r="H350" t="s">
        <v>10612</v>
      </c>
      <c r="I350" t="s">
        <v>11383</v>
      </c>
      <c r="J350">
        <v>10457</v>
      </c>
      <c r="K350" t="s">
        <v>11447</v>
      </c>
      <c r="L350" t="s">
        <v>11542</v>
      </c>
      <c r="M350" t="s">
        <v>14744</v>
      </c>
      <c r="P350" t="s">
        <v>14795</v>
      </c>
      <c r="S350" t="s">
        <v>14827</v>
      </c>
      <c r="V350">
        <v>1000</v>
      </c>
      <c r="W350" t="s">
        <v>14858</v>
      </c>
      <c r="X350" t="s">
        <v>14865</v>
      </c>
      <c r="Z350" t="s">
        <v>15242</v>
      </c>
      <c r="AB350" t="s">
        <v>20397</v>
      </c>
      <c r="AC350">
        <v>20</v>
      </c>
      <c r="AD350" t="s">
        <v>24604</v>
      </c>
      <c r="AE350" t="s">
        <v>24615</v>
      </c>
      <c r="AF350">
        <v>8</v>
      </c>
      <c r="AG350">
        <v>1</v>
      </c>
      <c r="AH350">
        <v>1</v>
      </c>
      <c r="AI350">
        <v>94.23999999999999</v>
      </c>
      <c r="AL350" t="s">
        <v>5011</v>
      </c>
      <c r="AM350">
        <v>15936</v>
      </c>
      <c r="AS350">
        <v>1.7</v>
      </c>
      <c r="AT350" t="s">
        <v>592</v>
      </c>
      <c r="AU350" t="s">
        <v>25244</v>
      </c>
      <c r="AW350" t="s">
        <v>11447</v>
      </c>
    </row>
    <row r="351" spans="1:49">
      <c r="A351" s="1">
        <f>HYPERLINK("https://lsnyc.legalserver.org/matter/dynamic-profile/view/1914007","19-1914007")</f>
        <v>0</v>
      </c>
      <c r="B351" t="s">
        <v>65</v>
      </c>
      <c r="C351" t="s">
        <v>490</v>
      </c>
      <c r="E351" t="s">
        <v>1318</v>
      </c>
      <c r="F351" t="s">
        <v>3819</v>
      </c>
      <c r="G351" t="s">
        <v>6619</v>
      </c>
      <c r="H351" t="s">
        <v>10613</v>
      </c>
      <c r="I351" t="s">
        <v>11385</v>
      </c>
      <c r="J351">
        <v>11221</v>
      </c>
      <c r="K351" t="s">
        <v>11447</v>
      </c>
      <c r="P351" t="s">
        <v>14795</v>
      </c>
      <c r="S351" t="s">
        <v>14827</v>
      </c>
      <c r="V351">
        <v>1050</v>
      </c>
      <c r="W351" t="s">
        <v>14859</v>
      </c>
      <c r="Z351" t="s">
        <v>15243</v>
      </c>
      <c r="AB351" t="s">
        <v>20398</v>
      </c>
      <c r="AC351">
        <v>15</v>
      </c>
      <c r="AF351">
        <v>1</v>
      </c>
      <c r="AG351">
        <v>1</v>
      </c>
      <c r="AH351">
        <v>0</v>
      </c>
      <c r="AI351">
        <v>96.08</v>
      </c>
      <c r="AL351" t="s">
        <v>5011</v>
      </c>
      <c r="AM351">
        <v>12000</v>
      </c>
      <c r="AS351">
        <v>2</v>
      </c>
      <c r="AT351" t="s">
        <v>506</v>
      </c>
      <c r="AU351" t="s">
        <v>25237</v>
      </c>
      <c r="AW351" t="s">
        <v>11447</v>
      </c>
    </row>
    <row r="352" spans="1:49">
      <c r="A352" s="1">
        <f>HYPERLINK("https://lsnyc.legalserver.org/matter/dynamic-profile/view/1912188","19-1912188")</f>
        <v>0</v>
      </c>
      <c r="B352" t="s">
        <v>66</v>
      </c>
      <c r="C352" t="s">
        <v>559</v>
      </c>
      <c r="E352" t="s">
        <v>1218</v>
      </c>
      <c r="F352" t="s">
        <v>3820</v>
      </c>
      <c r="G352" t="s">
        <v>6620</v>
      </c>
      <c r="H352">
        <v>311</v>
      </c>
      <c r="I352" t="s">
        <v>11385</v>
      </c>
      <c r="J352">
        <v>11208</v>
      </c>
      <c r="K352" t="s">
        <v>11447</v>
      </c>
      <c r="M352" t="s">
        <v>14751</v>
      </c>
      <c r="P352" t="s">
        <v>14795</v>
      </c>
      <c r="S352" t="s">
        <v>14827</v>
      </c>
      <c r="V352">
        <v>1200</v>
      </c>
      <c r="W352" t="s">
        <v>14859</v>
      </c>
      <c r="X352" t="s">
        <v>14866</v>
      </c>
      <c r="Z352" t="s">
        <v>15244</v>
      </c>
      <c r="AB352" t="s">
        <v>20399</v>
      </c>
      <c r="AC352">
        <v>30</v>
      </c>
      <c r="AF352">
        <v>9</v>
      </c>
      <c r="AG352">
        <v>1</v>
      </c>
      <c r="AH352">
        <v>0</v>
      </c>
      <c r="AI352">
        <v>96.08</v>
      </c>
      <c r="AL352" t="s">
        <v>5011</v>
      </c>
      <c r="AM352">
        <v>12000</v>
      </c>
      <c r="AS352">
        <v>1</v>
      </c>
      <c r="AT352" t="s">
        <v>559</v>
      </c>
      <c r="AU352" t="s">
        <v>25241</v>
      </c>
      <c r="AW352" t="s">
        <v>11447</v>
      </c>
    </row>
    <row r="353" spans="1:49">
      <c r="A353" s="1">
        <f>HYPERLINK("https://lsnyc.legalserver.org/matter/dynamic-profile/view/1913307","19-1913307")</f>
        <v>0</v>
      </c>
      <c r="B353" t="s">
        <v>116</v>
      </c>
      <c r="C353" t="s">
        <v>483</v>
      </c>
      <c r="E353" t="s">
        <v>1319</v>
      </c>
      <c r="F353" t="s">
        <v>3821</v>
      </c>
      <c r="G353" t="s">
        <v>6621</v>
      </c>
      <c r="H353">
        <v>1</v>
      </c>
      <c r="I353" t="s">
        <v>11383</v>
      </c>
      <c r="J353">
        <v>10456</v>
      </c>
      <c r="K353" t="s">
        <v>11447</v>
      </c>
      <c r="L353" t="s">
        <v>11543</v>
      </c>
      <c r="M353" t="s">
        <v>14746</v>
      </c>
      <c r="N353" t="s">
        <v>14781</v>
      </c>
      <c r="P353" t="s">
        <v>14795</v>
      </c>
      <c r="Q353" t="s">
        <v>11448</v>
      </c>
      <c r="S353" t="s">
        <v>14827</v>
      </c>
      <c r="T353" t="s">
        <v>14832</v>
      </c>
      <c r="V353">
        <v>0</v>
      </c>
      <c r="W353" t="s">
        <v>14858</v>
      </c>
      <c r="X353" t="s">
        <v>14868</v>
      </c>
      <c r="Z353" t="s">
        <v>15245</v>
      </c>
      <c r="AB353" t="s">
        <v>20400</v>
      </c>
      <c r="AC353">
        <v>2</v>
      </c>
      <c r="AD353" t="s">
        <v>11479</v>
      </c>
      <c r="AE353" t="s">
        <v>24610</v>
      </c>
      <c r="AF353">
        <v>20</v>
      </c>
      <c r="AG353">
        <v>3</v>
      </c>
      <c r="AH353">
        <v>1</v>
      </c>
      <c r="AI353">
        <v>96.51000000000001</v>
      </c>
      <c r="AL353" t="s">
        <v>5011</v>
      </c>
      <c r="AM353">
        <v>24852</v>
      </c>
      <c r="AS353">
        <v>8</v>
      </c>
      <c r="AT353" t="s">
        <v>537</v>
      </c>
      <c r="AU353" t="s">
        <v>116</v>
      </c>
      <c r="AW353" t="s">
        <v>11447</v>
      </c>
    </row>
    <row r="354" spans="1:49">
      <c r="A354" s="1">
        <f>HYPERLINK("https://lsnyc.legalserver.org/matter/dynamic-profile/view/1903208","19-1903208")</f>
        <v>0</v>
      </c>
      <c r="B354" t="s">
        <v>116</v>
      </c>
      <c r="C354" t="s">
        <v>515</v>
      </c>
      <c r="E354" t="s">
        <v>1319</v>
      </c>
      <c r="F354" t="s">
        <v>3821</v>
      </c>
      <c r="G354" t="s">
        <v>6621</v>
      </c>
      <c r="H354">
        <v>1</v>
      </c>
      <c r="I354" t="s">
        <v>11383</v>
      </c>
      <c r="J354">
        <v>10456</v>
      </c>
      <c r="K354" t="s">
        <v>11446</v>
      </c>
      <c r="L354" t="s">
        <v>11544</v>
      </c>
      <c r="M354" t="s">
        <v>14744</v>
      </c>
      <c r="N354" t="s">
        <v>14781</v>
      </c>
      <c r="P354" t="s">
        <v>14795</v>
      </c>
      <c r="Q354" t="s">
        <v>11448</v>
      </c>
      <c r="S354" t="s">
        <v>14827</v>
      </c>
      <c r="T354" t="s">
        <v>14832</v>
      </c>
      <c r="V354">
        <v>0</v>
      </c>
      <c r="W354" t="s">
        <v>14858</v>
      </c>
      <c r="X354" t="s">
        <v>14868</v>
      </c>
      <c r="Z354" t="s">
        <v>15245</v>
      </c>
      <c r="AB354" t="s">
        <v>20400</v>
      </c>
      <c r="AC354">
        <v>2</v>
      </c>
      <c r="AD354" t="s">
        <v>11479</v>
      </c>
      <c r="AE354" t="s">
        <v>24610</v>
      </c>
      <c r="AF354">
        <v>10</v>
      </c>
      <c r="AG354">
        <v>3</v>
      </c>
      <c r="AH354">
        <v>1</v>
      </c>
      <c r="AI354">
        <v>96.51000000000001</v>
      </c>
      <c r="AL354" t="s">
        <v>5011</v>
      </c>
      <c r="AM354">
        <v>24852</v>
      </c>
      <c r="AS354">
        <v>4.5</v>
      </c>
      <c r="AT354" t="s">
        <v>592</v>
      </c>
      <c r="AU354" t="s">
        <v>116</v>
      </c>
      <c r="AW354" t="s">
        <v>11447</v>
      </c>
    </row>
    <row r="355" spans="1:49">
      <c r="A355" s="1">
        <f>HYPERLINK("https://lsnyc.legalserver.org/matter/dynamic-profile/view/1912325","19-1912325")</f>
        <v>0</v>
      </c>
      <c r="B355" t="s">
        <v>100</v>
      </c>
      <c r="C355" t="s">
        <v>473</v>
      </c>
      <c r="E355" t="s">
        <v>1320</v>
      </c>
      <c r="F355" t="s">
        <v>3822</v>
      </c>
      <c r="G355" t="s">
        <v>6622</v>
      </c>
      <c r="H355" t="s">
        <v>10614</v>
      </c>
      <c r="I355" t="s">
        <v>11383</v>
      </c>
      <c r="J355">
        <v>10452</v>
      </c>
      <c r="K355" t="s">
        <v>11447</v>
      </c>
      <c r="P355" t="s">
        <v>14795</v>
      </c>
      <c r="S355" t="s">
        <v>14827</v>
      </c>
      <c r="V355">
        <v>0</v>
      </c>
      <c r="W355" t="s">
        <v>14858</v>
      </c>
      <c r="Z355" t="s">
        <v>15246</v>
      </c>
      <c r="AB355" t="s">
        <v>20401</v>
      </c>
      <c r="AC355">
        <v>0</v>
      </c>
      <c r="AF355">
        <v>0</v>
      </c>
      <c r="AG355">
        <v>2</v>
      </c>
      <c r="AH355">
        <v>0</v>
      </c>
      <c r="AI355">
        <v>96.87</v>
      </c>
      <c r="AL355" t="s">
        <v>24632</v>
      </c>
      <c r="AM355">
        <v>16380</v>
      </c>
      <c r="AS355">
        <v>0.5</v>
      </c>
      <c r="AT355" t="s">
        <v>473</v>
      </c>
      <c r="AU355" t="s">
        <v>25229</v>
      </c>
      <c r="AW355" t="s">
        <v>11447</v>
      </c>
    </row>
    <row r="356" spans="1:49">
      <c r="A356" s="1">
        <f>HYPERLINK("https://lsnyc.legalserver.org/matter/dynamic-profile/view/1903862","19-1903862")</f>
        <v>0</v>
      </c>
      <c r="B356" t="s">
        <v>99</v>
      </c>
      <c r="C356" t="s">
        <v>378</v>
      </c>
      <c r="E356" t="s">
        <v>1321</v>
      </c>
      <c r="F356" t="s">
        <v>3769</v>
      </c>
      <c r="G356" t="s">
        <v>6623</v>
      </c>
      <c r="H356" t="s">
        <v>10552</v>
      </c>
      <c r="I356" t="s">
        <v>11404</v>
      </c>
      <c r="J356">
        <v>11105</v>
      </c>
      <c r="K356" t="s">
        <v>11447</v>
      </c>
      <c r="N356" t="s">
        <v>14779</v>
      </c>
      <c r="P356" t="s">
        <v>14795</v>
      </c>
      <c r="S356" t="s">
        <v>14827</v>
      </c>
      <c r="V356">
        <v>0</v>
      </c>
      <c r="W356" t="s">
        <v>14861</v>
      </c>
      <c r="Z356" t="s">
        <v>15247</v>
      </c>
      <c r="AB356" t="s">
        <v>20402</v>
      </c>
      <c r="AC356">
        <v>0</v>
      </c>
      <c r="AF356">
        <v>4</v>
      </c>
      <c r="AG356">
        <v>1</v>
      </c>
      <c r="AH356">
        <v>0</v>
      </c>
      <c r="AI356">
        <v>97.23</v>
      </c>
      <c r="AM356">
        <v>12144</v>
      </c>
      <c r="AS356">
        <v>15.3</v>
      </c>
      <c r="AT356" t="s">
        <v>476</v>
      </c>
      <c r="AU356" t="s">
        <v>99</v>
      </c>
      <c r="AW356" t="s">
        <v>11447</v>
      </c>
    </row>
    <row r="357" spans="1:49">
      <c r="A357" s="1">
        <f>HYPERLINK("https://lsnyc.legalserver.org/matter/dynamic-profile/view/1901436","19-1901436")</f>
        <v>0</v>
      </c>
      <c r="B357" t="s">
        <v>148</v>
      </c>
      <c r="C357" t="s">
        <v>330</v>
      </c>
      <c r="E357" t="s">
        <v>1322</v>
      </c>
      <c r="F357" t="s">
        <v>3823</v>
      </c>
      <c r="G357" t="s">
        <v>6624</v>
      </c>
      <c r="I357" t="s">
        <v>11384</v>
      </c>
      <c r="J357">
        <v>10304</v>
      </c>
      <c r="K357" t="s">
        <v>11446</v>
      </c>
      <c r="L357" t="s">
        <v>11545</v>
      </c>
      <c r="M357" t="s">
        <v>14744</v>
      </c>
      <c r="P357" t="s">
        <v>14795</v>
      </c>
      <c r="Q357" t="s">
        <v>11448</v>
      </c>
      <c r="S357" t="s">
        <v>14827</v>
      </c>
      <c r="V357">
        <v>1000</v>
      </c>
      <c r="W357" t="s">
        <v>14862</v>
      </c>
      <c r="Z357" t="s">
        <v>15248</v>
      </c>
      <c r="AB357" t="s">
        <v>20403</v>
      </c>
      <c r="AC357">
        <v>0</v>
      </c>
      <c r="AD357" t="s">
        <v>11479</v>
      </c>
      <c r="AE357" t="s">
        <v>11459</v>
      </c>
      <c r="AF357">
        <v>1</v>
      </c>
      <c r="AG357">
        <v>1</v>
      </c>
      <c r="AH357">
        <v>1</v>
      </c>
      <c r="AI357">
        <v>97.29000000000001</v>
      </c>
      <c r="AL357" t="s">
        <v>24632</v>
      </c>
      <c r="AM357">
        <v>16452</v>
      </c>
      <c r="AS357">
        <v>1</v>
      </c>
      <c r="AT357" t="s">
        <v>330</v>
      </c>
      <c r="AU357" t="s">
        <v>25231</v>
      </c>
      <c r="AV357" t="s">
        <v>25335</v>
      </c>
      <c r="AW357" t="s">
        <v>11447</v>
      </c>
    </row>
    <row r="358" spans="1:49">
      <c r="A358" s="1">
        <f>HYPERLINK("https://lsnyc.legalserver.org/matter/dynamic-profile/view/1863505","18-1863505")</f>
        <v>0</v>
      </c>
      <c r="B358" t="s">
        <v>149</v>
      </c>
      <c r="C358" t="s">
        <v>560</v>
      </c>
      <c r="E358" t="s">
        <v>1087</v>
      </c>
      <c r="F358" t="s">
        <v>3824</v>
      </c>
      <c r="G358" t="s">
        <v>6315</v>
      </c>
      <c r="H358" t="s">
        <v>10615</v>
      </c>
      <c r="I358" t="s">
        <v>11385</v>
      </c>
      <c r="J358">
        <v>11206</v>
      </c>
      <c r="K358" t="s">
        <v>11447</v>
      </c>
      <c r="L358" t="s">
        <v>11546</v>
      </c>
      <c r="M358" t="s">
        <v>14744</v>
      </c>
      <c r="N358" t="s">
        <v>14781</v>
      </c>
      <c r="P358" t="s">
        <v>14795</v>
      </c>
      <c r="S358" t="s">
        <v>14830</v>
      </c>
      <c r="V358">
        <v>0</v>
      </c>
      <c r="W358" t="s">
        <v>14859</v>
      </c>
      <c r="X358" t="s">
        <v>14867</v>
      </c>
      <c r="Z358" t="s">
        <v>15249</v>
      </c>
      <c r="AB358" t="s">
        <v>20404</v>
      </c>
      <c r="AC358">
        <v>0</v>
      </c>
      <c r="AD358" t="s">
        <v>24605</v>
      </c>
      <c r="AE358" t="s">
        <v>24610</v>
      </c>
      <c r="AF358">
        <v>8</v>
      </c>
      <c r="AG358">
        <v>1</v>
      </c>
      <c r="AH358">
        <v>0</v>
      </c>
      <c r="AI358">
        <v>97.45</v>
      </c>
      <c r="AL358" t="s">
        <v>5011</v>
      </c>
      <c r="AM358">
        <v>11830</v>
      </c>
      <c r="AS358">
        <v>3.7</v>
      </c>
      <c r="AT358" t="s">
        <v>658</v>
      </c>
      <c r="AU358" t="s">
        <v>25225</v>
      </c>
      <c r="AW358" t="s">
        <v>11447</v>
      </c>
    </row>
    <row r="359" spans="1:49">
      <c r="A359" s="1">
        <f>HYPERLINK("https://lsnyc.legalserver.org/matter/dynamic-profile/view/1896418","19-1896418")</f>
        <v>0</v>
      </c>
      <c r="B359" t="s">
        <v>150</v>
      </c>
      <c r="C359" t="s">
        <v>416</v>
      </c>
      <c r="E359" t="s">
        <v>1323</v>
      </c>
      <c r="F359" t="s">
        <v>3825</v>
      </c>
      <c r="G359" t="s">
        <v>6625</v>
      </c>
      <c r="H359" t="s">
        <v>10484</v>
      </c>
      <c r="I359" t="s">
        <v>11385</v>
      </c>
      <c r="J359">
        <v>11226</v>
      </c>
      <c r="K359" t="s">
        <v>11446</v>
      </c>
      <c r="L359" t="s">
        <v>11547</v>
      </c>
      <c r="N359" t="s">
        <v>14780</v>
      </c>
      <c r="P359" t="s">
        <v>14795</v>
      </c>
      <c r="S359" t="s">
        <v>14829</v>
      </c>
      <c r="V359">
        <v>537.25</v>
      </c>
      <c r="W359" t="s">
        <v>14859</v>
      </c>
      <c r="X359" t="s">
        <v>14868</v>
      </c>
      <c r="Z359" t="s">
        <v>15250</v>
      </c>
      <c r="AC359">
        <v>6</v>
      </c>
      <c r="AF359">
        <v>0</v>
      </c>
      <c r="AG359">
        <v>2</v>
      </c>
      <c r="AH359">
        <v>0</v>
      </c>
      <c r="AI359">
        <v>99.17</v>
      </c>
      <c r="AL359" t="s">
        <v>5011</v>
      </c>
      <c r="AM359">
        <v>16770</v>
      </c>
      <c r="AS359">
        <v>1.4</v>
      </c>
      <c r="AT359" t="s">
        <v>645</v>
      </c>
      <c r="AU359" t="s">
        <v>25235</v>
      </c>
      <c r="AW359" t="s">
        <v>11446</v>
      </c>
    </row>
    <row r="360" spans="1:49">
      <c r="A360" s="1">
        <f>HYPERLINK("https://lsnyc.legalserver.org/matter/dynamic-profile/view/1913888","19-1913888")</f>
        <v>0</v>
      </c>
      <c r="B360" t="s">
        <v>151</v>
      </c>
      <c r="C360" t="s">
        <v>533</v>
      </c>
      <c r="E360" t="s">
        <v>1324</v>
      </c>
      <c r="F360" t="s">
        <v>3826</v>
      </c>
      <c r="G360" t="s">
        <v>6626</v>
      </c>
      <c r="H360" t="s">
        <v>10616</v>
      </c>
      <c r="I360" t="s">
        <v>11385</v>
      </c>
      <c r="J360">
        <v>11216</v>
      </c>
      <c r="K360" t="s">
        <v>11447</v>
      </c>
      <c r="L360" t="s">
        <v>11548</v>
      </c>
      <c r="M360" t="s">
        <v>14743</v>
      </c>
      <c r="N360" t="s">
        <v>14782</v>
      </c>
      <c r="P360" t="s">
        <v>14795</v>
      </c>
      <c r="S360" t="s">
        <v>14827</v>
      </c>
      <c r="V360">
        <v>800</v>
      </c>
      <c r="W360" t="s">
        <v>14859</v>
      </c>
      <c r="Z360" t="s">
        <v>15251</v>
      </c>
      <c r="AB360" t="s">
        <v>20405</v>
      </c>
      <c r="AC360">
        <v>8</v>
      </c>
      <c r="AF360">
        <v>15</v>
      </c>
      <c r="AG360">
        <v>2</v>
      </c>
      <c r="AH360">
        <v>0</v>
      </c>
      <c r="AI360">
        <v>99.34999999999999</v>
      </c>
      <c r="AL360" t="s">
        <v>5011</v>
      </c>
      <c r="AM360">
        <v>16800</v>
      </c>
      <c r="AS360">
        <v>0.7</v>
      </c>
      <c r="AT360" t="s">
        <v>592</v>
      </c>
      <c r="AU360" t="s">
        <v>25238</v>
      </c>
      <c r="AW360" t="s">
        <v>11447</v>
      </c>
    </row>
    <row r="361" spans="1:49">
      <c r="A361" s="1">
        <f>HYPERLINK("https://lsnyc.legalserver.org/matter/dynamic-profile/view/1910318","19-1910318")</f>
        <v>0</v>
      </c>
      <c r="B361" t="s">
        <v>140</v>
      </c>
      <c r="C361" t="s">
        <v>540</v>
      </c>
      <c r="E361" t="s">
        <v>1325</v>
      </c>
      <c r="F361" t="s">
        <v>3758</v>
      </c>
      <c r="G361" t="s">
        <v>6627</v>
      </c>
      <c r="I361" t="s">
        <v>11383</v>
      </c>
      <c r="J361">
        <v>10457</v>
      </c>
      <c r="K361" t="s">
        <v>11447</v>
      </c>
      <c r="P361" t="s">
        <v>14795</v>
      </c>
      <c r="Q361" t="s">
        <v>11448</v>
      </c>
      <c r="S361" t="s">
        <v>14827</v>
      </c>
      <c r="V361">
        <v>543.4400000000001</v>
      </c>
      <c r="W361" t="s">
        <v>14858</v>
      </c>
      <c r="X361" t="s">
        <v>14872</v>
      </c>
      <c r="Z361" t="s">
        <v>15252</v>
      </c>
      <c r="AB361" t="s">
        <v>20406</v>
      </c>
      <c r="AC361">
        <v>55</v>
      </c>
      <c r="AD361" t="s">
        <v>24598</v>
      </c>
      <c r="AE361" t="s">
        <v>24613</v>
      </c>
      <c r="AF361">
        <v>26</v>
      </c>
      <c r="AG361">
        <v>1</v>
      </c>
      <c r="AH361">
        <v>0</v>
      </c>
      <c r="AI361">
        <v>99.92</v>
      </c>
      <c r="AL361" t="s">
        <v>5011</v>
      </c>
      <c r="AM361">
        <v>12480</v>
      </c>
      <c r="AS361">
        <v>1</v>
      </c>
      <c r="AT361" t="s">
        <v>559</v>
      </c>
      <c r="AU361" t="s">
        <v>25244</v>
      </c>
      <c r="AW361" t="s">
        <v>11447</v>
      </c>
    </row>
    <row r="362" spans="1:49">
      <c r="A362" s="1">
        <f>HYPERLINK("https://lsnyc.legalserver.org/matter/dynamic-profile/view/0826497","17-0826497")</f>
        <v>0</v>
      </c>
      <c r="B362" t="s">
        <v>138</v>
      </c>
      <c r="C362" t="s">
        <v>561</v>
      </c>
      <c r="E362" t="s">
        <v>1326</v>
      </c>
      <c r="F362" t="s">
        <v>3827</v>
      </c>
      <c r="G362" t="s">
        <v>6628</v>
      </c>
      <c r="H362" t="s">
        <v>10524</v>
      </c>
      <c r="I362" t="s">
        <v>11407</v>
      </c>
      <c r="J362">
        <v>11415</v>
      </c>
      <c r="K362" t="s">
        <v>11447</v>
      </c>
      <c r="M362" t="s">
        <v>14755</v>
      </c>
      <c r="P362" t="s">
        <v>14795</v>
      </c>
      <c r="Q362" t="s">
        <v>11448</v>
      </c>
      <c r="S362" t="s">
        <v>14827</v>
      </c>
      <c r="V362">
        <v>1525</v>
      </c>
      <c r="W362" t="s">
        <v>14861</v>
      </c>
      <c r="X362" t="s">
        <v>14868</v>
      </c>
      <c r="Z362" t="s">
        <v>15253</v>
      </c>
      <c r="AC362">
        <v>100</v>
      </c>
      <c r="AD362" t="s">
        <v>24595</v>
      </c>
      <c r="AE362" t="s">
        <v>24610</v>
      </c>
      <c r="AF362">
        <v>22</v>
      </c>
      <c r="AG362">
        <v>1</v>
      </c>
      <c r="AH362">
        <v>0</v>
      </c>
      <c r="AI362">
        <v>100.9</v>
      </c>
      <c r="AL362" t="s">
        <v>5011</v>
      </c>
      <c r="AM362">
        <v>12168</v>
      </c>
      <c r="AS362">
        <v>0.6</v>
      </c>
      <c r="AT362" t="s">
        <v>561</v>
      </c>
      <c r="AU362" t="s">
        <v>25244</v>
      </c>
      <c r="AW362" t="s">
        <v>11447</v>
      </c>
    </row>
    <row r="363" spans="1:49">
      <c r="A363" s="1">
        <f>HYPERLINK("https://lsnyc.legalserver.org/matter/dynamic-profile/view/1914648","19-1914648")</f>
        <v>0</v>
      </c>
      <c r="B363" t="s">
        <v>63</v>
      </c>
      <c r="C363" t="s">
        <v>491</v>
      </c>
      <c r="E363" t="s">
        <v>1327</v>
      </c>
      <c r="F363" t="s">
        <v>3828</v>
      </c>
      <c r="G363" t="s">
        <v>6629</v>
      </c>
      <c r="H363" t="s">
        <v>10617</v>
      </c>
      <c r="I363" t="s">
        <v>11389</v>
      </c>
      <c r="J363">
        <v>11354</v>
      </c>
      <c r="K363" t="s">
        <v>11447</v>
      </c>
      <c r="L363" t="s">
        <v>11549</v>
      </c>
      <c r="M363" t="s">
        <v>14743</v>
      </c>
      <c r="P363" t="s">
        <v>14795</v>
      </c>
      <c r="S363" t="s">
        <v>14827</v>
      </c>
      <c r="V363">
        <v>1550</v>
      </c>
      <c r="W363" t="s">
        <v>14861</v>
      </c>
      <c r="Z363" t="s">
        <v>15254</v>
      </c>
      <c r="AB363" t="s">
        <v>20407</v>
      </c>
      <c r="AC363">
        <v>0</v>
      </c>
      <c r="AE363" t="s">
        <v>11459</v>
      </c>
      <c r="AF363">
        <v>0</v>
      </c>
      <c r="AG363">
        <v>2</v>
      </c>
      <c r="AH363">
        <v>2</v>
      </c>
      <c r="AI363">
        <v>100.97</v>
      </c>
      <c r="AL363" t="s">
        <v>24634</v>
      </c>
      <c r="AM363">
        <v>26000</v>
      </c>
      <c r="AS363">
        <v>2.1</v>
      </c>
      <c r="AT363" t="s">
        <v>537</v>
      </c>
      <c r="AU363" t="s">
        <v>25231</v>
      </c>
      <c r="AW363" t="s">
        <v>11447</v>
      </c>
    </row>
    <row r="364" spans="1:49">
      <c r="A364" s="1">
        <f>HYPERLINK("https://lsnyc.legalserver.org/matter/dynamic-profile/view/0812537","16-0812537")</f>
        <v>0</v>
      </c>
      <c r="B364" t="s">
        <v>138</v>
      </c>
      <c r="C364" t="s">
        <v>562</v>
      </c>
      <c r="E364" t="s">
        <v>1328</v>
      </c>
      <c r="F364" t="s">
        <v>3808</v>
      </c>
      <c r="G364" t="s">
        <v>6630</v>
      </c>
      <c r="H364" t="s">
        <v>10465</v>
      </c>
      <c r="I364" t="s">
        <v>11404</v>
      </c>
      <c r="J364">
        <v>11106</v>
      </c>
      <c r="K364" t="s">
        <v>11447</v>
      </c>
      <c r="P364" t="s">
        <v>14795</v>
      </c>
      <c r="S364" t="s">
        <v>14830</v>
      </c>
      <c r="V364">
        <v>700</v>
      </c>
      <c r="W364" t="s">
        <v>14861</v>
      </c>
      <c r="Z364" t="s">
        <v>15255</v>
      </c>
      <c r="AB364" t="s">
        <v>20408</v>
      </c>
      <c r="AC364">
        <v>12</v>
      </c>
      <c r="AE364" t="s">
        <v>11459</v>
      </c>
      <c r="AF364">
        <v>31</v>
      </c>
      <c r="AG364">
        <v>1</v>
      </c>
      <c r="AH364">
        <v>0</v>
      </c>
      <c r="AI364">
        <v>101.01</v>
      </c>
      <c r="AL364" t="s">
        <v>24632</v>
      </c>
      <c r="AM364">
        <v>12000</v>
      </c>
      <c r="AS364">
        <v>0.75</v>
      </c>
      <c r="AT364" t="s">
        <v>562</v>
      </c>
      <c r="AU364" t="s">
        <v>25236</v>
      </c>
      <c r="AW364" t="s">
        <v>11447</v>
      </c>
    </row>
    <row r="365" spans="1:49">
      <c r="A365" s="1">
        <f>HYPERLINK("https://lsnyc.legalserver.org/matter/dynamic-profile/view/1914250","19-1914250")</f>
        <v>0</v>
      </c>
      <c r="B365" t="s">
        <v>92</v>
      </c>
      <c r="C365" t="s">
        <v>539</v>
      </c>
      <c r="E365" t="s">
        <v>1329</v>
      </c>
      <c r="F365" t="s">
        <v>3829</v>
      </c>
      <c r="G365" t="s">
        <v>6631</v>
      </c>
      <c r="H365" t="s">
        <v>10618</v>
      </c>
      <c r="I365" t="s">
        <v>11383</v>
      </c>
      <c r="J365">
        <v>10457</v>
      </c>
      <c r="K365" t="s">
        <v>11447</v>
      </c>
      <c r="P365" t="s">
        <v>14795</v>
      </c>
      <c r="S365" t="s">
        <v>14827</v>
      </c>
      <c r="V365">
        <v>1453</v>
      </c>
      <c r="W365" t="s">
        <v>14858</v>
      </c>
      <c r="X365" t="s">
        <v>14868</v>
      </c>
      <c r="Z365" t="s">
        <v>15256</v>
      </c>
      <c r="AB365" t="s">
        <v>20409</v>
      </c>
      <c r="AC365">
        <v>24</v>
      </c>
      <c r="AD365" t="s">
        <v>24596</v>
      </c>
      <c r="AE365" t="s">
        <v>24610</v>
      </c>
      <c r="AF365">
        <v>9</v>
      </c>
      <c r="AG365">
        <v>1</v>
      </c>
      <c r="AH365">
        <v>0</v>
      </c>
      <c r="AI365">
        <v>101.17</v>
      </c>
      <c r="AL365" t="s">
        <v>24632</v>
      </c>
      <c r="AM365">
        <v>12636</v>
      </c>
      <c r="AS365">
        <v>0.76</v>
      </c>
      <c r="AT365" t="s">
        <v>521</v>
      </c>
      <c r="AU365" t="s">
        <v>25247</v>
      </c>
      <c r="AW365" t="s">
        <v>11447</v>
      </c>
    </row>
    <row r="366" spans="1:49">
      <c r="A366" s="1">
        <f>HYPERLINK("https://lsnyc.legalserver.org/matter/dynamic-profile/view/1848253","17-1848253")</f>
        <v>0</v>
      </c>
      <c r="B366" t="s">
        <v>85</v>
      </c>
      <c r="C366" t="s">
        <v>563</v>
      </c>
      <c r="E366" t="s">
        <v>1330</v>
      </c>
      <c r="F366" t="s">
        <v>3628</v>
      </c>
      <c r="G366" t="s">
        <v>6632</v>
      </c>
      <c r="H366" t="s">
        <v>10506</v>
      </c>
      <c r="I366" t="s">
        <v>11388</v>
      </c>
      <c r="J366">
        <v>11385</v>
      </c>
      <c r="K366" t="s">
        <v>11447</v>
      </c>
      <c r="M366" t="s">
        <v>14746</v>
      </c>
      <c r="N366" t="s">
        <v>14778</v>
      </c>
      <c r="P366" t="s">
        <v>14795</v>
      </c>
      <c r="S366" t="s">
        <v>14827</v>
      </c>
      <c r="V366">
        <v>1260</v>
      </c>
      <c r="W366" t="s">
        <v>14861</v>
      </c>
      <c r="X366" t="s">
        <v>14866</v>
      </c>
      <c r="Z366" t="s">
        <v>15257</v>
      </c>
      <c r="AB366" t="s">
        <v>20410</v>
      </c>
      <c r="AC366">
        <v>6</v>
      </c>
      <c r="AF366">
        <v>18</v>
      </c>
      <c r="AG366">
        <v>3</v>
      </c>
      <c r="AH366">
        <v>0</v>
      </c>
      <c r="AI366">
        <v>101.86</v>
      </c>
      <c r="AL366" t="s">
        <v>24632</v>
      </c>
      <c r="AM366">
        <v>20800</v>
      </c>
      <c r="AS366">
        <v>0.83</v>
      </c>
      <c r="AT366" t="s">
        <v>563</v>
      </c>
      <c r="AU366" t="s">
        <v>316</v>
      </c>
      <c r="AW366" t="s">
        <v>11447</v>
      </c>
    </row>
    <row r="367" spans="1:49">
      <c r="A367" s="1">
        <f>HYPERLINK("https://lsnyc.legalserver.org/matter/dynamic-profile/view/1906816","19-1906816")</f>
        <v>0</v>
      </c>
      <c r="B367" t="s">
        <v>61</v>
      </c>
      <c r="C367" t="s">
        <v>564</v>
      </c>
      <c r="E367" t="s">
        <v>1045</v>
      </c>
      <c r="F367" t="s">
        <v>3565</v>
      </c>
      <c r="G367" t="s">
        <v>6296</v>
      </c>
      <c r="H367" t="s">
        <v>10463</v>
      </c>
      <c r="I367" t="s">
        <v>11385</v>
      </c>
      <c r="J367">
        <v>11225</v>
      </c>
      <c r="K367" t="s">
        <v>11446</v>
      </c>
      <c r="L367" t="s">
        <v>11458</v>
      </c>
      <c r="M367" t="s">
        <v>14748</v>
      </c>
      <c r="N367" t="s">
        <v>14780</v>
      </c>
      <c r="P367" t="s">
        <v>14795</v>
      </c>
      <c r="Q367" t="s">
        <v>11448</v>
      </c>
      <c r="S367" t="s">
        <v>14829</v>
      </c>
      <c r="T367" t="s">
        <v>14832</v>
      </c>
      <c r="V367">
        <v>1008.26</v>
      </c>
      <c r="W367" t="s">
        <v>14859</v>
      </c>
      <c r="X367" t="s">
        <v>14868</v>
      </c>
      <c r="Z367" t="s">
        <v>14922</v>
      </c>
      <c r="AB367" t="s">
        <v>20116</v>
      </c>
      <c r="AC367">
        <v>0</v>
      </c>
      <c r="AD367" t="s">
        <v>24595</v>
      </c>
      <c r="AE367" t="s">
        <v>11459</v>
      </c>
      <c r="AF367">
        <v>30</v>
      </c>
      <c r="AG367">
        <v>1</v>
      </c>
      <c r="AH367">
        <v>0</v>
      </c>
      <c r="AI367">
        <v>101.91</v>
      </c>
      <c r="AL367" t="s">
        <v>5011</v>
      </c>
      <c r="AM367">
        <v>12729</v>
      </c>
      <c r="AS367">
        <v>1.7</v>
      </c>
      <c r="AT367" t="s">
        <v>463</v>
      </c>
      <c r="AU367" t="s">
        <v>61</v>
      </c>
      <c r="AW367" t="s">
        <v>11447</v>
      </c>
    </row>
    <row r="368" spans="1:49">
      <c r="A368" s="1">
        <f>HYPERLINK("https://lsnyc.legalserver.org/matter/dynamic-profile/view/1910398","19-1910398")</f>
        <v>0</v>
      </c>
      <c r="B368" t="s">
        <v>140</v>
      </c>
      <c r="C368" t="s">
        <v>508</v>
      </c>
      <c r="E368" t="s">
        <v>1331</v>
      </c>
      <c r="F368" t="s">
        <v>1840</v>
      </c>
      <c r="G368" t="s">
        <v>6633</v>
      </c>
      <c r="H368" t="s">
        <v>10474</v>
      </c>
      <c r="I368" t="s">
        <v>11383</v>
      </c>
      <c r="J368">
        <v>10457</v>
      </c>
      <c r="K368" t="s">
        <v>11447</v>
      </c>
      <c r="M368" t="s">
        <v>11601</v>
      </c>
      <c r="P368" t="s">
        <v>14795</v>
      </c>
      <c r="Q368" t="s">
        <v>11448</v>
      </c>
      <c r="S368" t="s">
        <v>14827</v>
      </c>
      <c r="V368">
        <v>1003</v>
      </c>
      <c r="W368" t="s">
        <v>14858</v>
      </c>
      <c r="Z368" t="s">
        <v>15258</v>
      </c>
      <c r="AB368" t="s">
        <v>20411</v>
      </c>
      <c r="AC368">
        <v>30</v>
      </c>
      <c r="AD368" t="s">
        <v>24596</v>
      </c>
      <c r="AE368" t="s">
        <v>24610</v>
      </c>
      <c r="AF368">
        <v>8</v>
      </c>
      <c r="AG368">
        <v>1</v>
      </c>
      <c r="AH368">
        <v>2</v>
      </c>
      <c r="AI368">
        <v>103.72</v>
      </c>
      <c r="AL368" t="s">
        <v>5011</v>
      </c>
      <c r="AM368">
        <v>22124</v>
      </c>
      <c r="AS368">
        <v>0.5</v>
      </c>
      <c r="AT368" t="s">
        <v>508</v>
      </c>
      <c r="AU368" t="s">
        <v>25236</v>
      </c>
      <c r="AW368" t="s">
        <v>11447</v>
      </c>
    </row>
    <row r="369" spans="1:49">
      <c r="A369" s="1">
        <f>HYPERLINK("https://lsnyc.legalserver.org/matter/dynamic-profile/view/1913629","19-1913629")</f>
        <v>0</v>
      </c>
      <c r="B369" t="s">
        <v>55</v>
      </c>
      <c r="C369" t="s">
        <v>477</v>
      </c>
      <c r="E369" t="s">
        <v>1332</v>
      </c>
      <c r="F369" t="s">
        <v>3830</v>
      </c>
      <c r="G369" t="s">
        <v>6634</v>
      </c>
      <c r="H369" t="s">
        <v>10460</v>
      </c>
      <c r="I369" t="s">
        <v>11386</v>
      </c>
      <c r="J369">
        <v>10030</v>
      </c>
      <c r="K369" t="s">
        <v>11447</v>
      </c>
      <c r="P369" t="s">
        <v>14795</v>
      </c>
      <c r="S369" t="s">
        <v>14828</v>
      </c>
      <c r="V369">
        <v>0</v>
      </c>
      <c r="W369" t="s">
        <v>14860</v>
      </c>
      <c r="Z369" t="s">
        <v>15259</v>
      </c>
      <c r="AB369" t="s">
        <v>20412</v>
      </c>
      <c r="AC369">
        <v>0</v>
      </c>
      <c r="AF369">
        <v>0</v>
      </c>
      <c r="AG369">
        <v>1</v>
      </c>
      <c r="AH369">
        <v>3</v>
      </c>
      <c r="AI369">
        <v>103.92</v>
      </c>
      <c r="AL369" t="s">
        <v>5011</v>
      </c>
      <c r="AM369">
        <v>26760</v>
      </c>
      <c r="AS369">
        <v>0.84</v>
      </c>
      <c r="AT369" t="s">
        <v>477</v>
      </c>
      <c r="AU369" t="s">
        <v>25253</v>
      </c>
      <c r="AW369" t="s">
        <v>11447</v>
      </c>
    </row>
    <row r="370" spans="1:49">
      <c r="A370" s="1">
        <f>HYPERLINK("https://lsnyc.legalserver.org/matter/dynamic-profile/view/1879384","18-1879384")</f>
        <v>0</v>
      </c>
      <c r="B370" t="s">
        <v>85</v>
      </c>
      <c r="C370" t="s">
        <v>420</v>
      </c>
      <c r="E370" t="s">
        <v>1333</v>
      </c>
      <c r="F370" t="s">
        <v>3831</v>
      </c>
      <c r="G370" t="s">
        <v>6635</v>
      </c>
      <c r="H370" t="s">
        <v>10586</v>
      </c>
      <c r="I370" t="s">
        <v>11413</v>
      </c>
      <c r="J370">
        <v>11413</v>
      </c>
      <c r="K370" t="s">
        <v>11447</v>
      </c>
      <c r="M370" t="s">
        <v>11601</v>
      </c>
      <c r="N370" t="s">
        <v>14778</v>
      </c>
      <c r="P370" t="s">
        <v>14795</v>
      </c>
      <c r="Q370" t="s">
        <v>11448</v>
      </c>
      <c r="S370" t="s">
        <v>14827</v>
      </c>
      <c r="V370">
        <v>1515</v>
      </c>
      <c r="W370" t="s">
        <v>14861</v>
      </c>
      <c r="X370" t="s">
        <v>14755</v>
      </c>
      <c r="Z370" t="s">
        <v>15260</v>
      </c>
      <c r="AB370" t="s">
        <v>20413</v>
      </c>
      <c r="AC370">
        <v>2</v>
      </c>
      <c r="AD370" t="s">
        <v>11479</v>
      </c>
      <c r="AF370">
        <v>0</v>
      </c>
      <c r="AG370">
        <v>2</v>
      </c>
      <c r="AH370">
        <v>1</v>
      </c>
      <c r="AI370">
        <v>103.95</v>
      </c>
      <c r="AL370" t="s">
        <v>5011</v>
      </c>
      <c r="AM370">
        <v>21600</v>
      </c>
      <c r="AS370">
        <v>0.75</v>
      </c>
      <c r="AT370" t="s">
        <v>420</v>
      </c>
      <c r="AU370" t="s">
        <v>25236</v>
      </c>
      <c r="AW370" t="s">
        <v>11447</v>
      </c>
    </row>
    <row r="371" spans="1:49">
      <c r="A371" s="1">
        <f>HYPERLINK("https://lsnyc.legalserver.org/matter/dynamic-profile/view/1913658","19-1913658")</f>
        <v>0</v>
      </c>
      <c r="B371" t="s">
        <v>152</v>
      </c>
      <c r="C371" t="s">
        <v>476</v>
      </c>
      <c r="E371" t="s">
        <v>1269</v>
      </c>
      <c r="F371" t="s">
        <v>3832</v>
      </c>
      <c r="G371" t="s">
        <v>6626</v>
      </c>
      <c r="H371" t="s">
        <v>10619</v>
      </c>
      <c r="I371" t="s">
        <v>11385</v>
      </c>
      <c r="J371">
        <v>11216</v>
      </c>
      <c r="K371" t="s">
        <v>11447</v>
      </c>
      <c r="L371" t="s">
        <v>11550</v>
      </c>
      <c r="M371" t="s">
        <v>14743</v>
      </c>
      <c r="P371" t="s">
        <v>14795</v>
      </c>
      <c r="S371" t="s">
        <v>14827</v>
      </c>
      <c r="V371">
        <v>600</v>
      </c>
      <c r="W371" t="s">
        <v>14859</v>
      </c>
      <c r="Z371" t="s">
        <v>15261</v>
      </c>
      <c r="AB371" t="s">
        <v>20414</v>
      </c>
      <c r="AC371">
        <v>8</v>
      </c>
      <c r="AF371">
        <v>16</v>
      </c>
      <c r="AG371">
        <v>2</v>
      </c>
      <c r="AH371">
        <v>0</v>
      </c>
      <c r="AI371">
        <v>105.03</v>
      </c>
      <c r="AL371" t="s">
        <v>5011</v>
      </c>
      <c r="AM371">
        <v>17760</v>
      </c>
      <c r="AS371">
        <v>0.6</v>
      </c>
      <c r="AT371" t="s">
        <v>490</v>
      </c>
      <c r="AU371" t="s">
        <v>25238</v>
      </c>
      <c r="AW371" t="s">
        <v>11447</v>
      </c>
    </row>
    <row r="372" spans="1:49">
      <c r="A372" s="1">
        <f>HYPERLINK("https://lsnyc.legalserver.org/matter/dynamic-profile/view/1904984","19-1904984")</f>
        <v>0</v>
      </c>
      <c r="B372" t="s">
        <v>54</v>
      </c>
      <c r="C372" t="s">
        <v>540</v>
      </c>
      <c r="E372" t="s">
        <v>1334</v>
      </c>
      <c r="F372" t="s">
        <v>3833</v>
      </c>
      <c r="I372" t="s">
        <v>11385</v>
      </c>
      <c r="J372">
        <v>11207</v>
      </c>
      <c r="K372" t="s">
        <v>11447</v>
      </c>
      <c r="P372" t="s">
        <v>14795</v>
      </c>
      <c r="S372" t="s">
        <v>14830</v>
      </c>
      <c r="V372">
        <v>0</v>
      </c>
      <c r="W372" t="s">
        <v>14859</v>
      </c>
      <c r="Z372" t="s">
        <v>15262</v>
      </c>
      <c r="AB372" t="s">
        <v>20415</v>
      </c>
      <c r="AC372">
        <v>0</v>
      </c>
      <c r="AF372">
        <v>0</v>
      </c>
      <c r="AG372">
        <v>2</v>
      </c>
      <c r="AH372">
        <v>1</v>
      </c>
      <c r="AI372">
        <v>105.38</v>
      </c>
      <c r="AL372" t="s">
        <v>5011</v>
      </c>
      <c r="AM372">
        <v>22478</v>
      </c>
      <c r="AS372">
        <v>2.2</v>
      </c>
      <c r="AT372" t="s">
        <v>373</v>
      </c>
      <c r="AU372" t="s">
        <v>25259</v>
      </c>
      <c r="AW372" t="s">
        <v>11447</v>
      </c>
    </row>
    <row r="373" spans="1:49">
      <c r="A373" s="1">
        <f>HYPERLINK("https://lsnyc.legalserver.org/matter/dynamic-profile/view/1914463","19-1914463")</f>
        <v>0</v>
      </c>
      <c r="B373" t="s">
        <v>143</v>
      </c>
      <c r="C373" t="s">
        <v>506</v>
      </c>
      <c r="E373" t="s">
        <v>1335</v>
      </c>
      <c r="F373" t="s">
        <v>3834</v>
      </c>
      <c r="G373" t="s">
        <v>6636</v>
      </c>
      <c r="H373" t="s">
        <v>10568</v>
      </c>
      <c r="I373" t="s">
        <v>11383</v>
      </c>
      <c r="J373">
        <v>10458</v>
      </c>
      <c r="K373" t="s">
        <v>11447</v>
      </c>
      <c r="N373" t="s">
        <v>14782</v>
      </c>
      <c r="P373" t="s">
        <v>14795</v>
      </c>
      <c r="S373" t="s">
        <v>14827</v>
      </c>
      <c r="V373">
        <v>0</v>
      </c>
      <c r="W373" t="s">
        <v>14858</v>
      </c>
      <c r="X373" t="s">
        <v>14870</v>
      </c>
      <c r="Z373" t="s">
        <v>15263</v>
      </c>
      <c r="AB373" t="s">
        <v>20416</v>
      </c>
      <c r="AC373">
        <v>0</v>
      </c>
      <c r="AE373" t="s">
        <v>24610</v>
      </c>
      <c r="AF373">
        <v>9</v>
      </c>
      <c r="AG373">
        <v>1</v>
      </c>
      <c r="AH373">
        <v>0</v>
      </c>
      <c r="AI373">
        <v>105.68</v>
      </c>
      <c r="AL373" t="s">
        <v>5011</v>
      </c>
      <c r="AM373">
        <v>13200</v>
      </c>
      <c r="AS373">
        <v>1.1</v>
      </c>
      <c r="AT373" t="s">
        <v>478</v>
      </c>
      <c r="AU373" t="s">
        <v>25226</v>
      </c>
      <c r="AW373" t="s">
        <v>11447</v>
      </c>
    </row>
    <row r="374" spans="1:49">
      <c r="A374" s="1">
        <f>HYPERLINK("https://lsnyc.legalserver.org/matter/dynamic-profile/view/1915383","19-1915383")</f>
        <v>0</v>
      </c>
      <c r="B374" t="s">
        <v>75</v>
      </c>
      <c r="C374" t="s">
        <v>495</v>
      </c>
      <c r="E374" t="s">
        <v>1336</v>
      </c>
      <c r="F374" t="s">
        <v>3560</v>
      </c>
      <c r="G374" t="s">
        <v>6637</v>
      </c>
      <c r="H374" t="s">
        <v>10575</v>
      </c>
      <c r="I374" t="s">
        <v>11385</v>
      </c>
      <c r="J374">
        <v>11226</v>
      </c>
      <c r="K374" t="s">
        <v>11447</v>
      </c>
      <c r="L374" t="s">
        <v>11551</v>
      </c>
      <c r="M374" t="s">
        <v>14744</v>
      </c>
      <c r="P374" t="s">
        <v>14795</v>
      </c>
      <c r="S374" t="s">
        <v>14827</v>
      </c>
      <c r="V374">
        <v>1400</v>
      </c>
      <c r="W374" t="s">
        <v>14859</v>
      </c>
      <c r="X374" t="s">
        <v>14868</v>
      </c>
      <c r="Z374" t="s">
        <v>15264</v>
      </c>
      <c r="AB374" t="s">
        <v>20417</v>
      </c>
      <c r="AC374">
        <v>70</v>
      </c>
      <c r="AD374" t="s">
        <v>24595</v>
      </c>
      <c r="AE374" t="s">
        <v>24611</v>
      </c>
      <c r="AF374">
        <v>14</v>
      </c>
      <c r="AG374">
        <v>1</v>
      </c>
      <c r="AH374">
        <v>0</v>
      </c>
      <c r="AI374">
        <v>106.28</v>
      </c>
      <c r="AL374" t="s">
        <v>5011</v>
      </c>
      <c r="AM374">
        <v>13274.04</v>
      </c>
      <c r="AS374">
        <v>1</v>
      </c>
      <c r="AT374" t="s">
        <v>495</v>
      </c>
      <c r="AU374" t="s">
        <v>25244</v>
      </c>
      <c r="AW374" t="s">
        <v>11447</v>
      </c>
    </row>
    <row r="375" spans="1:49">
      <c r="A375" s="1">
        <f>HYPERLINK("https://lsnyc.legalserver.org/matter/dynamic-profile/view/1903275","19-1903275")</f>
        <v>0</v>
      </c>
      <c r="B375" t="s">
        <v>75</v>
      </c>
      <c r="C375" t="s">
        <v>469</v>
      </c>
      <c r="E375" t="s">
        <v>1337</v>
      </c>
      <c r="F375" t="s">
        <v>3835</v>
      </c>
      <c r="G375" t="s">
        <v>6638</v>
      </c>
      <c r="H375" t="s">
        <v>10490</v>
      </c>
      <c r="I375" t="s">
        <v>11385</v>
      </c>
      <c r="J375">
        <v>11237</v>
      </c>
      <c r="K375" t="s">
        <v>11447</v>
      </c>
      <c r="L375" t="s">
        <v>11552</v>
      </c>
      <c r="M375" t="s">
        <v>14743</v>
      </c>
      <c r="P375" t="s">
        <v>14795</v>
      </c>
      <c r="S375" t="s">
        <v>14827</v>
      </c>
      <c r="V375">
        <v>600</v>
      </c>
      <c r="W375" t="s">
        <v>14859</v>
      </c>
      <c r="Z375" t="s">
        <v>15265</v>
      </c>
      <c r="AB375" t="s">
        <v>20418</v>
      </c>
      <c r="AC375">
        <v>0</v>
      </c>
      <c r="AD375" t="s">
        <v>11479</v>
      </c>
      <c r="AE375" t="s">
        <v>11459</v>
      </c>
      <c r="AF375">
        <v>35</v>
      </c>
      <c r="AG375">
        <v>2</v>
      </c>
      <c r="AH375">
        <v>0</v>
      </c>
      <c r="AI375">
        <v>106.45</v>
      </c>
      <c r="AL375" t="s">
        <v>5011</v>
      </c>
      <c r="AM375">
        <v>18000</v>
      </c>
      <c r="AS375">
        <v>1</v>
      </c>
      <c r="AT375" t="s">
        <v>469</v>
      </c>
      <c r="AU375" t="s">
        <v>25231</v>
      </c>
      <c r="AW375" t="s">
        <v>11447</v>
      </c>
    </row>
    <row r="376" spans="1:49">
      <c r="A376" s="1">
        <f>HYPERLINK("https://lsnyc.legalserver.org/matter/dynamic-profile/view/1909599","19-1909599")</f>
        <v>0</v>
      </c>
      <c r="B376" t="s">
        <v>73</v>
      </c>
      <c r="C376" t="s">
        <v>463</v>
      </c>
      <c r="E376" t="s">
        <v>1338</v>
      </c>
      <c r="F376" t="s">
        <v>3836</v>
      </c>
      <c r="G376" t="s">
        <v>6639</v>
      </c>
      <c r="H376" t="s">
        <v>10552</v>
      </c>
      <c r="I376" t="s">
        <v>11383</v>
      </c>
      <c r="J376">
        <v>10458</v>
      </c>
      <c r="K376" t="s">
        <v>11447</v>
      </c>
      <c r="N376" t="s">
        <v>14778</v>
      </c>
      <c r="P376" t="s">
        <v>14795</v>
      </c>
      <c r="R376" t="s">
        <v>14818</v>
      </c>
      <c r="S376" t="s">
        <v>14827</v>
      </c>
      <c r="V376">
        <v>460</v>
      </c>
      <c r="W376" t="s">
        <v>14858</v>
      </c>
      <c r="X376" t="s">
        <v>14870</v>
      </c>
      <c r="Z376" t="s">
        <v>15266</v>
      </c>
      <c r="AB376" t="s">
        <v>20419</v>
      </c>
      <c r="AC376">
        <v>50</v>
      </c>
      <c r="AD376" t="s">
        <v>24603</v>
      </c>
      <c r="AE376" t="s">
        <v>24610</v>
      </c>
      <c r="AF376">
        <v>4</v>
      </c>
      <c r="AG376">
        <v>1</v>
      </c>
      <c r="AH376">
        <v>0</v>
      </c>
      <c r="AI376">
        <v>108.76</v>
      </c>
      <c r="AL376" t="s">
        <v>5011</v>
      </c>
      <c r="AM376">
        <v>13584</v>
      </c>
      <c r="AS376">
        <v>1.45</v>
      </c>
      <c r="AT376" t="s">
        <v>468</v>
      </c>
      <c r="AU376" t="s">
        <v>25226</v>
      </c>
      <c r="AW376" t="s">
        <v>11447</v>
      </c>
    </row>
    <row r="377" spans="1:49">
      <c r="A377" s="1">
        <f>HYPERLINK("https://lsnyc.legalserver.org/matter/dynamic-profile/view/1904552","19-1904552")</f>
        <v>0</v>
      </c>
      <c r="B377" t="s">
        <v>153</v>
      </c>
      <c r="C377" t="s">
        <v>493</v>
      </c>
      <c r="E377" t="s">
        <v>1339</v>
      </c>
      <c r="F377" t="s">
        <v>3730</v>
      </c>
      <c r="G377" t="s">
        <v>6640</v>
      </c>
      <c r="H377">
        <v>2</v>
      </c>
      <c r="I377" t="s">
        <v>11383</v>
      </c>
      <c r="J377">
        <v>10462</v>
      </c>
      <c r="K377" t="s">
        <v>11447</v>
      </c>
      <c r="P377" t="s">
        <v>14795</v>
      </c>
      <c r="S377" t="s">
        <v>14827</v>
      </c>
      <c r="V377">
        <v>1515</v>
      </c>
      <c r="W377" t="s">
        <v>14860</v>
      </c>
      <c r="Z377" t="s">
        <v>15267</v>
      </c>
      <c r="AB377" t="s">
        <v>20420</v>
      </c>
      <c r="AC377">
        <v>3</v>
      </c>
      <c r="AE377" t="s">
        <v>24612</v>
      </c>
      <c r="AF377">
        <v>5</v>
      </c>
      <c r="AG377">
        <v>2</v>
      </c>
      <c r="AH377">
        <v>0</v>
      </c>
      <c r="AI377">
        <v>109.43</v>
      </c>
      <c r="AL377" t="s">
        <v>5011</v>
      </c>
      <c r="AM377">
        <v>18504</v>
      </c>
      <c r="AS377">
        <v>1.5</v>
      </c>
      <c r="AT377" t="s">
        <v>618</v>
      </c>
      <c r="AU377" t="s">
        <v>25227</v>
      </c>
      <c r="AW377" t="s">
        <v>11447</v>
      </c>
    </row>
    <row r="378" spans="1:49">
      <c r="A378" s="1">
        <f>HYPERLINK("https://lsnyc.legalserver.org/matter/dynamic-profile/view/1847564","17-1847564")</f>
        <v>0</v>
      </c>
      <c r="B378" t="s">
        <v>85</v>
      </c>
      <c r="C378" t="s">
        <v>565</v>
      </c>
      <c r="E378" t="s">
        <v>1329</v>
      </c>
      <c r="F378" t="s">
        <v>3837</v>
      </c>
      <c r="G378" t="s">
        <v>6641</v>
      </c>
      <c r="H378" t="s">
        <v>10527</v>
      </c>
      <c r="I378" t="s">
        <v>11401</v>
      </c>
      <c r="J378">
        <v>11375</v>
      </c>
      <c r="K378" t="s">
        <v>11447</v>
      </c>
      <c r="M378" t="s">
        <v>14746</v>
      </c>
      <c r="N378" t="s">
        <v>14778</v>
      </c>
      <c r="P378" t="s">
        <v>14795</v>
      </c>
      <c r="S378" t="s">
        <v>14827</v>
      </c>
      <c r="V378">
        <v>578</v>
      </c>
      <c r="W378" t="s">
        <v>14861</v>
      </c>
      <c r="Z378" t="s">
        <v>15268</v>
      </c>
      <c r="AB378" t="s">
        <v>20421</v>
      </c>
      <c r="AC378">
        <v>0</v>
      </c>
      <c r="AF378">
        <v>36</v>
      </c>
      <c r="AG378">
        <v>2</v>
      </c>
      <c r="AH378">
        <v>0</v>
      </c>
      <c r="AI378">
        <v>109.88</v>
      </c>
      <c r="AL378" t="s">
        <v>5011</v>
      </c>
      <c r="AM378">
        <v>17844</v>
      </c>
      <c r="AS378">
        <v>1.2</v>
      </c>
      <c r="AT378" t="s">
        <v>25128</v>
      </c>
      <c r="AU378" t="s">
        <v>316</v>
      </c>
      <c r="AW378" t="s">
        <v>11447</v>
      </c>
    </row>
    <row r="379" spans="1:49">
      <c r="A379" s="1">
        <f>HYPERLINK("https://lsnyc.legalserver.org/matter/dynamic-profile/view/0799273","16-0799273")</f>
        <v>0</v>
      </c>
      <c r="B379" t="s">
        <v>102</v>
      </c>
      <c r="C379" t="s">
        <v>566</v>
      </c>
      <c r="E379" t="s">
        <v>1287</v>
      </c>
      <c r="F379" t="s">
        <v>3838</v>
      </c>
      <c r="G379" t="s">
        <v>6642</v>
      </c>
      <c r="H379" t="s">
        <v>10620</v>
      </c>
      <c r="I379" t="s">
        <v>11383</v>
      </c>
      <c r="J379">
        <v>10452</v>
      </c>
      <c r="K379" t="s">
        <v>11448</v>
      </c>
      <c r="L379" t="s">
        <v>11553</v>
      </c>
      <c r="M379" t="s">
        <v>14756</v>
      </c>
      <c r="N379" t="s">
        <v>14783</v>
      </c>
      <c r="P379" t="s">
        <v>14795</v>
      </c>
      <c r="Q379" t="s">
        <v>11446</v>
      </c>
      <c r="S379" t="s">
        <v>14827</v>
      </c>
      <c r="V379">
        <v>764.28</v>
      </c>
      <c r="W379" t="s">
        <v>14858</v>
      </c>
      <c r="X379" t="s">
        <v>14864</v>
      </c>
      <c r="Z379" t="s">
        <v>15269</v>
      </c>
      <c r="AC379">
        <v>61</v>
      </c>
      <c r="AD379" t="s">
        <v>24595</v>
      </c>
      <c r="AF379">
        <v>35</v>
      </c>
      <c r="AG379">
        <v>4</v>
      </c>
      <c r="AH379">
        <v>2</v>
      </c>
      <c r="AI379">
        <v>111.97</v>
      </c>
      <c r="AL379" t="s">
        <v>24632</v>
      </c>
      <c r="AM379">
        <v>36480</v>
      </c>
      <c r="AN379" t="s">
        <v>24703</v>
      </c>
      <c r="AS379">
        <v>0.55</v>
      </c>
      <c r="AT379" t="s">
        <v>753</v>
      </c>
      <c r="AU379" t="s">
        <v>186</v>
      </c>
      <c r="AW379" t="s">
        <v>11447</v>
      </c>
    </row>
    <row r="380" spans="1:49">
      <c r="A380" s="1">
        <f>HYPERLINK("https://lsnyc.legalserver.org/matter/dynamic-profile/view/0817119","16-0817119")</f>
        <v>0</v>
      </c>
      <c r="B380" t="s">
        <v>102</v>
      </c>
      <c r="C380" t="s">
        <v>567</v>
      </c>
      <c r="E380" t="s">
        <v>1287</v>
      </c>
      <c r="F380" t="s">
        <v>3838</v>
      </c>
      <c r="G380" t="s">
        <v>6642</v>
      </c>
      <c r="H380" t="s">
        <v>10620</v>
      </c>
      <c r="I380" t="s">
        <v>11383</v>
      </c>
      <c r="J380">
        <v>10452</v>
      </c>
      <c r="K380" t="s">
        <v>11448</v>
      </c>
      <c r="L380" t="s">
        <v>11554</v>
      </c>
      <c r="M380" t="s">
        <v>14756</v>
      </c>
      <c r="N380" t="s">
        <v>14783</v>
      </c>
      <c r="P380" t="s">
        <v>14795</v>
      </c>
      <c r="Q380" t="s">
        <v>11446</v>
      </c>
      <c r="S380" t="s">
        <v>14827</v>
      </c>
      <c r="V380">
        <v>764.28</v>
      </c>
      <c r="W380" t="s">
        <v>14858</v>
      </c>
      <c r="X380" t="s">
        <v>14864</v>
      </c>
      <c r="Z380" t="s">
        <v>15269</v>
      </c>
      <c r="AC380">
        <v>0</v>
      </c>
      <c r="AD380" t="s">
        <v>24595</v>
      </c>
      <c r="AF380">
        <v>35</v>
      </c>
      <c r="AG380">
        <v>4</v>
      </c>
      <c r="AH380">
        <v>2</v>
      </c>
      <c r="AI380">
        <v>111.97</v>
      </c>
      <c r="AL380" t="s">
        <v>24632</v>
      </c>
      <c r="AM380">
        <v>36480</v>
      </c>
      <c r="AS380">
        <v>0.8</v>
      </c>
      <c r="AT380" t="s">
        <v>753</v>
      </c>
      <c r="AU380" t="s">
        <v>25260</v>
      </c>
      <c r="AW380" t="s">
        <v>11447</v>
      </c>
    </row>
    <row r="381" spans="1:49">
      <c r="A381" s="1">
        <f>HYPERLINK("https://lsnyc.legalserver.org/matter/dynamic-profile/view/1852635","17-1852635")</f>
        <v>0</v>
      </c>
      <c r="B381" t="s">
        <v>85</v>
      </c>
      <c r="C381" t="s">
        <v>568</v>
      </c>
      <c r="E381" t="s">
        <v>1249</v>
      </c>
      <c r="F381" t="s">
        <v>3839</v>
      </c>
      <c r="G381" t="s">
        <v>6643</v>
      </c>
      <c r="H381" t="s">
        <v>10621</v>
      </c>
      <c r="I381" t="s">
        <v>11390</v>
      </c>
      <c r="J381">
        <v>11368</v>
      </c>
      <c r="K381" t="s">
        <v>11447</v>
      </c>
      <c r="P381" t="s">
        <v>14795</v>
      </c>
      <c r="S381" t="s">
        <v>14827</v>
      </c>
      <c r="V381">
        <v>1200</v>
      </c>
      <c r="W381" t="s">
        <v>14861</v>
      </c>
      <c r="X381" t="s">
        <v>14866</v>
      </c>
      <c r="Z381" t="s">
        <v>15270</v>
      </c>
      <c r="AC381">
        <v>4</v>
      </c>
      <c r="AD381" t="s">
        <v>24600</v>
      </c>
      <c r="AE381" t="s">
        <v>11459</v>
      </c>
      <c r="AF381">
        <v>5</v>
      </c>
      <c r="AG381">
        <v>2</v>
      </c>
      <c r="AH381">
        <v>1</v>
      </c>
      <c r="AI381">
        <v>112.05</v>
      </c>
      <c r="AL381" t="s">
        <v>24632</v>
      </c>
      <c r="AM381">
        <v>22880</v>
      </c>
      <c r="AS381">
        <v>1</v>
      </c>
      <c r="AT381" t="s">
        <v>568</v>
      </c>
      <c r="AU381" t="s">
        <v>25233</v>
      </c>
      <c r="AW381" t="s">
        <v>11447</v>
      </c>
    </row>
    <row r="382" spans="1:49">
      <c r="A382" s="1">
        <f>HYPERLINK("https://lsnyc.legalserver.org/matter/dynamic-profile/view/1892108","19-1892108")</f>
        <v>0</v>
      </c>
      <c r="B382" t="s">
        <v>134</v>
      </c>
      <c r="C382" t="s">
        <v>358</v>
      </c>
      <c r="E382" t="s">
        <v>1162</v>
      </c>
      <c r="F382" t="s">
        <v>3547</v>
      </c>
      <c r="G382" t="s">
        <v>6644</v>
      </c>
      <c r="H382" t="s">
        <v>10622</v>
      </c>
      <c r="I382" t="s">
        <v>11383</v>
      </c>
      <c r="J382">
        <v>10451</v>
      </c>
      <c r="K382" t="s">
        <v>11446</v>
      </c>
      <c r="L382" t="s">
        <v>11555</v>
      </c>
      <c r="M382" t="s">
        <v>14744</v>
      </c>
      <c r="N382" t="s">
        <v>14778</v>
      </c>
      <c r="P382" t="s">
        <v>14795</v>
      </c>
      <c r="S382" t="s">
        <v>14827</v>
      </c>
      <c r="T382" t="s">
        <v>14834</v>
      </c>
      <c r="V382">
        <v>1202.15</v>
      </c>
      <c r="W382" t="s">
        <v>14858</v>
      </c>
      <c r="X382" t="s">
        <v>14863</v>
      </c>
      <c r="Z382" t="s">
        <v>15271</v>
      </c>
      <c r="AB382" t="s">
        <v>20422</v>
      </c>
      <c r="AC382">
        <v>20</v>
      </c>
      <c r="AD382" t="s">
        <v>11479</v>
      </c>
      <c r="AF382">
        <v>10</v>
      </c>
      <c r="AG382">
        <v>2</v>
      </c>
      <c r="AH382">
        <v>3</v>
      </c>
      <c r="AI382">
        <v>112.69</v>
      </c>
      <c r="AL382" t="s">
        <v>5011</v>
      </c>
      <c r="AM382">
        <v>34000</v>
      </c>
      <c r="AN382" t="s">
        <v>24704</v>
      </c>
      <c r="AS382">
        <v>1.05</v>
      </c>
      <c r="AT382" t="s">
        <v>870</v>
      </c>
      <c r="AU382" t="s">
        <v>25261</v>
      </c>
      <c r="AW382" t="s">
        <v>11448</v>
      </c>
    </row>
    <row r="383" spans="1:49">
      <c r="A383" s="1">
        <f>HYPERLINK("https://lsnyc.legalserver.org/matter/dynamic-profile/view/1906023","19-1906023")</f>
        <v>0</v>
      </c>
      <c r="B383" t="s">
        <v>88</v>
      </c>
      <c r="C383" t="s">
        <v>461</v>
      </c>
      <c r="E383" t="s">
        <v>1339</v>
      </c>
      <c r="F383" t="s">
        <v>3840</v>
      </c>
      <c r="G383" t="s">
        <v>6645</v>
      </c>
      <c r="H383" t="s">
        <v>10501</v>
      </c>
      <c r="I383" t="s">
        <v>11385</v>
      </c>
      <c r="J383">
        <v>11237</v>
      </c>
      <c r="K383" t="s">
        <v>11447</v>
      </c>
      <c r="L383" t="s">
        <v>11556</v>
      </c>
      <c r="M383" t="s">
        <v>14743</v>
      </c>
      <c r="P383" t="s">
        <v>14795</v>
      </c>
      <c r="Q383" t="s">
        <v>11448</v>
      </c>
      <c r="S383" t="s">
        <v>14827</v>
      </c>
      <c r="V383">
        <v>750</v>
      </c>
      <c r="W383" t="s">
        <v>14859</v>
      </c>
      <c r="X383" t="s">
        <v>14755</v>
      </c>
      <c r="Z383" t="s">
        <v>15272</v>
      </c>
      <c r="AB383" t="s">
        <v>20423</v>
      </c>
      <c r="AC383">
        <v>3</v>
      </c>
      <c r="AD383" t="s">
        <v>11479</v>
      </c>
      <c r="AE383" t="s">
        <v>11459</v>
      </c>
      <c r="AF383">
        <v>10</v>
      </c>
      <c r="AG383">
        <v>2</v>
      </c>
      <c r="AH383">
        <v>0</v>
      </c>
      <c r="AI383">
        <v>113.54</v>
      </c>
      <c r="AL383" t="s">
        <v>24632</v>
      </c>
      <c r="AM383">
        <v>19200</v>
      </c>
      <c r="AS383">
        <v>1.48</v>
      </c>
      <c r="AT383" t="s">
        <v>524</v>
      </c>
      <c r="AU383" t="s">
        <v>25240</v>
      </c>
      <c r="AW383" t="s">
        <v>11447</v>
      </c>
    </row>
    <row r="384" spans="1:49">
      <c r="A384" s="1">
        <f>HYPERLINK("https://lsnyc.legalserver.org/matter/dynamic-profile/view/1909654","19-1909654")</f>
        <v>0</v>
      </c>
      <c r="B384" t="s">
        <v>154</v>
      </c>
      <c r="C384" t="s">
        <v>463</v>
      </c>
      <c r="E384" t="s">
        <v>1340</v>
      </c>
      <c r="F384" t="s">
        <v>3841</v>
      </c>
      <c r="G384" t="s">
        <v>6646</v>
      </c>
      <c r="I384" t="s">
        <v>11383</v>
      </c>
      <c r="J384">
        <v>10460</v>
      </c>
      <c r="K384" t="s">
        <v>11447</v>
      </c>
      <c r="P384" t="s">
        <v>14795</v>
      </c>
      <c r="S384" t="s">
        <v>14827</v>
      </c>
      <c r="V384">
        <v>236</v>
      </c>
      <c r="W384" t="s">
        <v>14858</v>
      </c>
      <c r="Z384" t="s">
        <v>15273</v>
      </c>
      <c r="AB384" t="s">
        <v>20424</v>
      </c>
      <c r="AC384">
        <v>40</v>
      </c>
      <c r="AF384">
        <v>10</v>
      </c>
      <c r="AG384">
        <v>1</v>
      </c>
      <c r="AH384">
        <v>0</v>
      </c>
      <c r="AI384">
        <v>114.55</v>
      </c>
      <c r="AL384" t="s">
        <v>5011</v>
      </c>
      <c r="AM384">
        <v>14307.6</v>
      </c>
      <c r="AS384">
        <v>0.5</v>
      </c>
      <c r="AT384" t="s">
        <v>463</v>
      </c>
      <c r="AU384" t="s">
        <v>25238</v>
      </c>
      <c r="AW384" t="s">
        <v>11447</v>
      </c>
    </row>
    <row r="385" spans="1:49">
      <c r="A385" s="1">
        <f>HYPERLINK("https://lsnyc.legalserver.org/matter/dynamic-profile/view/1906162","19-1906162")</f>
        <v>0</v>
      </c>
      <c r="B385" t="s">
        <v>95</v>
      </c>
      <c r="C385" t="s">
        <v>553</v>
      </c>
      <c r="E385" t="s">
        <v>1068</v>
      </c>
      <c r="F385" t="s">
        <v>3842</v>
      </c>
      <c r="G385" t="s">
        <v>6647</v>
      </c>
      <c r="H385" t="s">
        <v>10481</v>
      </c>
      <c r="I385" t="s">
        <v>11383</v>
      </c>
      <c r="J385">
        <v>10460</v>
      </c>
      <c r="K385" t="s">
        <v>11446</v>
      </c>
      <c r="M385" t="s">
        <v>11601</v>
      </c>
      <c r="N385" t="s">
        <v>14778</v>
      </c>
      <c r="P385" t="s">
        <v>14795</v>
      </c>
      <c r="S385" t="s">
        <v>14827</v>
      </c>
      <c r="V385">
        <v>723.99</v>
      </c>
      <c r="W385" t="s">
        <v>14858</v>
      </c>
      <c r="Z385" t="s">
        <v>15274</v>
      </c>
      <c r="AB385" t="s">
        <v>20425</v>
      </c>
      <c r="AC385">
        <v>0</v>
      </c>
      <c r="AD385" t="s">
        <v>11479</v>
      </c>
      <c r="AE385" t="s">
        <v>11459</v>
      </c>
      <c r="AF385">
        <v>3</v>
      </c>
      <c r="AG385">
        <v>1</v>
      </c>
      <c r="AH385">
        <v>0</v>
      </c>
      <c r="AI385">
        <v>115.29</v>
      </c>
      <c r="AL385" t="s">
        <v>5011</v>
      </c>
      <c r="AM385">
        <v>14400</v>
      </c>
      <c r="AS385">
        <v>2</v>
      </c>
      <c r="AT385" t="s">
        <v>354</v>
      </c>
      <c r="AU385" t="s">
        <v>25231</v>
      </c>
      <c r="AV385" t="s">
        <v>25335</v>
      </c>
      <c r="AW385" t="s">
        <v>11447</v>
      </c>
    </row>
    <row r="386" spans="1:49">
      <c r="A386" s="1">
        <f>HYPERLINK("https://lsnyc.legalserver.org/matter/dynamic-profile/view/1906203","19-1906203")</f>
        <v>0</v>
      </c>
      <c r="B386" t="s">
        <v>95</v>
      </c>
      <c r="C386" t="s">
        <v>553</v>
      </c>
      <c r="E386" t="s">
        <v>1341</v>
      </c>
      <c r="F386" t="s">
        <v>3695</v>
      </c>
      <c r="G386" t="s">
        <v>6648</v>
      </c>
      <c r="H386" t="s">
        <v>10575</v>
      </c>
      <c r="I386" t="s">
        <v>11383</v>
      </c>
      <c r="J386">
        <v>10457</v>
      </c>
      <c r="K386" t="s">
        <v>11447</v>
      </c>
      <c r="L386" t="s">
        <v>11557</v>
      </c>
      <c r="M386" t="s">
        <v>14744</v>
      </c>
      <c r="P386" t="s">
        <v>14795</v>
      </c>
      <c r="S386" t="s">
        <v>14827</v>
      </c>
      <c r="V386">
        <v>1108</v>
      </c>
      <c r="W386" t="s">
        <v>14858</v>
      </c>
      <c r="Z386" t="s">
        <v>15275</v>
      </c>
      <c r="AB386" t="s">
        <v>20426</v>
      </c>
      <c r="AC386">
        <v>20</v>
      </c>
      <c r="AE386" t="s">
        <v>24615</v>
      </c>
      <c r="AF386">
        <v>5</v>
      </c>
      <c r="AG386">
        <v>1</v>
      </c>
      <c r="AH386">
        <v>2</v>
      </c>
      <c r="AI386">
        <v>115.9</v>
      </c>
      <c r="AL386" t="s">
        <v>5011</v>
      </c>
      <c r="AM386">
        <v>24722</v>
      </c>
      <c r="AS386">
        <v>0.9</v>
      </c>
      <c r="AT386" t="s">
        <v>553</v>
      </c>
      <c r="AU386" t="s">
        <v>25227</v>
      </c>
      <c r="AW386" t="s">
        <v>11447</v>
      </c>
    </row>
    <row r="387" spans="1:49">
      <c r="A387" s="1">
        <f>HYPERLINK("https://lsnyc.legalserver.org/matter/dynamic-profile/view/1903715","19-1903715")</f>
        <v>0</v>
      </c>
      <c r="B387" t="s">
        <v>92</v>
      </c>
      <c r="C387" t="s">
        <v>545</v>
      </c>
      <c r="E387" t="s">
        <v>1241</v>
      </c>
      <c r="F387" t="s">
        <v>3738</v>
      </c>
      <c r="G387" t="s">
        <v>6649</v>
      </c>
      <c r="H387" t="s">
        <v>10450</v>
      </c>
      <c r="I387" t="s">
        <v>11383</v>
      </c>
      <c r="J387">
        <v>10452</v>
      </c>
      <c r="K387" t="s">
        <v>11447</v>
      </c>
      <c r="L387" t="s">
        <v>11558</v>
      </c>
      <c r="P387" t="s">
        <v>14795</v>
      </c>
      <c r="S387" t="s">
        <v>14827</v>
      </c>
      <c r="V387">
        <v>1557</v>
      </c>
      <c r="W387" t="s">
        <v>14858</v>
      </c>
      <c r="X387" t="s">
        <v>14868</v>
      </c>
      <c r="Z387" t="s">
        <v>15276</v>
      </c>
      <c r="AB387" t="s">
        <v>20427</v>
      </c>
      <c r="AC387">
        <v>18</v>
      </c>
      <c r="AD387" t="s">
        <v>24603</v>
      </c>
      <c r="AE387" t="s">
        <v>24610</v>
      </c>
      <c r="AF387">
        <v>10</v>
      </c>
      <c r="AG387">
        <v>2</v>
      </c>
      <c r="AH387">
        <v>0</v>
      </c>
      <c r="AI387">
        <v>116.95</v>
      </c>
      <c r="AL387" t="s">
        <v>5011</v>
      </c>
      <c r="AM387">
        <v>19776</v>
      </c>
      <c r="AS387">
        <v>1</v>
      </c>
      <c r="AT387" t="s">
        <v>545</v>
      </c>
      <c r="AU387" t="s">
        <v>25226</v>
      </c>
      <c r="AW387" t="s">
        <v>11447</v>
      </c>
    </row>
    <row r="388" spans="1:49">
      <c r="A388" s="1">
        <f>HYPERLINK("https://lsnyc.legalserver.org/matter/dynamic-profile/view/0824596","17-0824596")</f>
        <v>0</v>
      </c>
      <c r="B388" t="s">
        <v>138</v>
      </c>
      <c r="C388" t="s">
        <v>569</v>
      </c>
      <c r="E388" t="s">
        <v>1342</v>
      </c>
      <c r="F388" t="s">
        <v>3843</v>
      </c>
      <c r="G388" t="s">
        <v>6650</v>
      </c>
      <c r="H388" t="s">
        <v>10623</v>
      </c>
      <c r="I388" t="s">
        <v>11394</v>
      </c>
      <c r="J388">
        <v>11694</v>
      </c>
      <c r="K388" t="s">
        <v>11447</v>
      </c>
      <c r="P388" t="s">
        <v>14795</v>
      </c>
      <c r="Q388" t="s">
        <v>11446</v>
      </c>
      <c r="S388" t="s">
        <v>14827</v>
      </c>
      <c r="V388">
        <v>1189</v>
      </c>
      <c r="W388" t="s">
        <v>14861</v>
      </c>
      <c r="X388" t="s">
        <v>14864</v>
      </c>
      <c r="Z388" t="s">
        <v>15277</v>
      </c>
      <c r="AB388" t="s">
        <v>20428</v>
      </c>
      <c r="AC388">
        <v>84</v>
      </c>
      <c r="AE388" t="s">
        <v>24617</v>
      </c>
      <c r="AF388">
        <v>3</v>
      </c>
      <c r="AG388">
        <v>1</v>
      </c>
      <c r="AH388">
        <v>2</v>
      </c>
      <c r="AI388">
        <v>117.98</v>
      </c>
      <c r="AL388" t="s">
        <v>5011</v>
      </c>
      <c r="AM388">
        <v>23784</v>
      </c>
      <c r="AS388">
        <v>1.25</v>
      </c>
      <c r="AT388" t="s">
        <v>25129</v>
      </c>
      <c r="AU388" t="s">
        <v>25262</v>
      </c>
      <c r="AW388" t="s">
        <v>11447</v>
      </c>
    </row>
    <row r="389" spans="1:49">
      <c r="A389" s="1">
        <f>HYPERLINK("https://lsnyc.legalserver.org/matter/dynamic-profile/view/1864325","18-1864325")</f>
        <v>0</v>
      </c>
      <c r="B389" t="s">
        <v>124</v>
      </c>
      <c r="C389" t="s">
        <v>570</v>
      </c>
      <c r="E389" t="s">
        <v>1343</v>
      </c>
      <c r="F389" t="s">
        <v>3844</v>
      </c>
      <c r="G389" t="s">
        <v>6651</v>
      </c>
      <c r="H389" t="s">
        <v>10598</v>
      </c>
      <c r="I389" t="s">
        <v>11387</v>
      </c>
      <c r="J389">
        <v>11432</v>
      </c>
      <c r="K389" t="s">
        <v>11447</v>
      </c>
      <c r="P389" t="s">
        <v>14795</v>
      </c>
      <c r="S389" t="s">
        <v>14827</v>
      </c>
      <c r="V389">
        <v>0</v>
      </c>
      <c r="W389" t="s">
        <v>14861</v>
      </c>
      <c r="Z389" t="s">
        <v>15278</v>
      </c>
      <c r="AB389" t="s">
        <v>20429</v>
      </c>
      <c r="AC389">
        <v>0</v>
      </c>
      <c r="AF389">
        <v>0</v>
      </c>
      <c r="AG389">
        <v>2</v>
      </c>
      <c r="AH389">
        <v>1</v>
      </c>
      <c r="AI389">
        <v>119.47</v>
      </c>
      <c r="AL389" t="s">
        <v>5011</v>
      </c>
      <c r="AM389">
        <v>34330.8</v>
      </c>
      <c r="AS389">
        <v>1.35</v>
      </c>
      <c r="AT389" t="s">
        <v>405</v>
      </c>
      <c r="AU389" t="s">
        <v>124</v>
      </c>
      <c r="AW389" t="s">
        <v>11447</v>
      </c>
    </row>
    <row r="390" spans="1:49">
      <c r="A390" s="1">
        <f>HYPERLINK("https://lsnyc.legalserver.org/matter/dynamic-profile/view/1913110","19-1913110")</f>
        <v>0</v>
      </c>
      <c r="B390" t="s">
        <v>63</v>
      </c>
      <c r="C390" t="s">
        <v>571</v>
      </c>
      <c r="E390" t="s">
        <v>1344</v>
      </c>
      <c r="F390" t="s">
        <v>3845</v>
      </c>
      <c r="G390" t="s">
        <v>6652</v>
      </c>
      <c r="H390" t="s">
        <v>10520</v>
      </c>
      <c r="I390" t="s">
        <v>11410</v>
      </c>
      <c r="J390">
        <v>11692</v>
      </c>
      <c r="K390" t="s">
        <v>11447</v>
      </c>
      <c r="N390" t="s">
        <v>14778</v>
      </c>
      <c r="P390" t="s">
        <v>14795</v>
      </c>
      <c r="Q390" t="s">
        <v>11446</v>
      </c>
      <c r="S390" t="s">
        <v>14827</v>
      </c>
      <c r="V390">
        <v>831</v>
      </c>
      <c r="W390" t="s">
        <v>14861</v>
      </c>
      <c r="X390" t="s">
        <v>14866</v>
      </c>
      <c r="Z390" t="s">
        <v>15279</v>
      </c>
      <c r="AB390" t="s">
        <v>20430</v>
      </c>
      <c r="AC390">
        <v>56</v>
      </c>
      <c r="AD390" t="s">
        <v>24596</v>
      </c>
      <c r="AE390" t="s">
        <v>24610</v>
      </c>
      <c r="AF390">
        <v>1</v>
      </c>
      <c r="AG390">
        <v>3</v>
      </c>
      <c r="AH390">
        <v>1</v>
      </c>
      <c r="AI390">
        <v>120.39</v>
      </c>
      <c r="AL390" t="s">
        <v>5011</v>
      </c>
      <c r="AM390">
        <v>31000</v>
      </c>
      <c r="AS390">
        <v>1.5</v>
      </c>
      <c r="AT390" t="s">
        <v>571</v>
      </c>
      <c r="AU390" t="s">
        <v>25247</v>
      </c>
      <c r="AW390" t="s">
        <v>11447</v>
      </c>
    </row>
    <row r="391" spans="1:49">
      <c r="A391" s="1">
        <f>HYPERLINK("https://lsnyc.legalserver.org/matter/dynamic-profile/view/1880909","18-1880909")</f>
        <v>0</v>
      </c>
      <c r="B391" t="s">
        <v>85</v>
      </c>
      <c r="C391" t="s">
        <v>446</v>
      </c>
      <c r="E391" t="s">
        <v>1345</v>
      </c>
      <c r="F391" t="s">
        <v>3846</v>
      </c>
      <c r="G391" t="s">
        <v>6653</v>
      </c>
      <c r="H391">
        <v>225</v>
      </c>
      <c r="I391" t="s">
        <v>11392</v>
      </c>
      <c r="J391">
        <v>11372</v>
      </c>
      <c r="K391" t="s">
        <v>11447</v>
      </c>
      <c r="P391" t="s">
        <v>14795</v>
      </c>
      <c r="S391" t="s">
        <v>14827</v>
      </c>
      <c r="V391">
        <v>0</v>
      </c>
      <c r="W391" t="s">
        <v>14861</v>
      </c>
      <c r="Z391" t="s">
        <v>15280</v>
      </c>
      <c r="AB391" t="s">
        <v>20431</v>
      </c>
      <c r="AC391">
        <v>84</v>
      </c>
      <c r="AE391" t="s">
        <v>24613</v>
      </c>
      <c r="AF391">
        <v>49</v>
      </c>
      <c r="AG391">
        <v>1</v>
      </c>
      <c r="AH391">
        <v>0</v>
      </c>
      <c r="AI391">
        <v>120.59</v>
      </c>
      <c r="AL391" t="s">
        <v>5011</v>
      </c>
      <c r="AM391">
        <v>14640</v>
      </c>
      <c r="AS391">
        <v>3</v>
      </c>
      <c r="AT391" t="s">
        <v>440</v>
      </c>
      <c r="AU391" t="s">
        <v>25245</v>
      </c>
      <c r="AW391" t="s">
        <v>11447</v>
      </c>
    </row>
    <row r="392" spans="1:49">
      <c r="A392" s="1">
        <f>HYPERLINK("https://lsnyc.legalserver.org/matter/dynamic-profile/view/1910355","19-1910355")</f>
        <v>0</v>
      </c>
      <c r="B392" t="s">
        <v>75</v>
      </c>
      <c r="C392" t="s">
        <v>540</v>
      </c>
      <c r="E392" t="s">
        <v>1346</v>
      </c>
      <c r="F392" t="s">
        <v>3769</v>
      </c>
      <c r="G392" t="s">
        <v>6654</v>
      </c>
      <c r="H392" t="s">
        <v>10493</v>
      </c>
      <c r="I392" t="s">
        <v>11385</v>
      </c>
      <c r="J392">
        <v>11237</v>
      </c>
      <c r="K392" t="s">
        <v>11447</v>
      </c>
      <c r="M392" t="s">
        <v>11601</v>
      </c>
      <c r="N392" t="s">
        <v>14778</v>
      </c>
      <c r="P392" t="s">
        <v>14795</v>
      </c>
      <c r="Q392" t="s">
        <v>11448</v>
      </c>
      <c r="S392" t="s">
        <v>14827</v>
      </c>
      <c r="V392">
        <v>500</v>
      </c>
      <c r="W392" t="s">
        <v>14859</v>
      </c>
      <c r="Z392" t="s">
        <v>15281</v>
      </c>
      <c r="AC392">
        <v>6</v>
      </c>
      <c r="AD392" t="s">
        <v>11479</v>
      </c>
      <c r="AE392" t="s">
        <v>11459</v>
      </c>
      <c r="AF392">
        <v>7</v>
      </c>
      <c r="AG392">
        <v>2</v>
      </c>
      <c r="AH392">
        <v>3</v>
      </c>
      <c r="AI392">
        <v>120.65</v>
      </c>
      <c r="AL392" t="s">
        <v>24632</v>
      </c>
      <c r="AM392">
        <v>36400</v>
      </c>
      <c r="AS392">
        <v>0.5</v>
      </c>
      <c r="AT392" t="s">
        <v>540</v>
      </c>
      <c r="AU392" t="s">
        <v>25236</v>
      </c>
      <c r="AW392" t="s">
        <v>11447</v>
      </c>
    </row>
    <row r="393" spans="1:49">
      <c r="A393" s="1">
        <f>HYPERLINK("https://lsnyc.legalserver.org/matter/dynamic-profile/view/1915430","19-1915430")</f>
        <v>0</v>
      </c>
      <c r="B393" t="s">
        <v>131</v>
      </c>
      <c r="C393" t="s">
        <v>495</v>
      </c>
      <c r="E393" t="s">
        <v>1347</v>
      </c>
      <c r="F393" t="s">
        <v>3847</v>
      </c>
      <c r="G393" t="s">
        <v>6655</v>
      </c>
      <c r="H393" t="s">
        <v>10586</v>
      </c>
      <c r="I393" t="s">
        <v>11385</v>
      </c>
      <c r="J393">
        <v>11229</v>
      </c>
      <c r="K393" t="s">
        <v>11447</v>
      </c>
      <c r="P393" t="s">
        <v>14795</v>
      </c>
      <c r="S393" t="s">
        <v>14827</v>
      </c>
      <c r="V393">
        <v>900</v>
      </c>
      <c r="W393" t="s">
        <v>14859</v>
      </c>
      <c r="X393" t="s">
        <v>14864</v>
      </c>
      <c r="Z393" t="s">
        <v>15282</v>
      </c>
      <c r="AB393" t="s">
        <v>20432</v>
      </c>
      <c r="AC393">
        <v>2</v>
      </c>
      <c r="AD393" t="s">
        <v>24595</v>
      </c>
      <c r="AF393">
        <v>30</v>
      </c>
      <c r="AG393">
        <v>1</v>
      </c>
      <c r="AH393">
        <v>0</v>
      </c>
      <c r="AI393">
        <v>120.74</v>
      </c>
      <c r="AL393" t="s">
        <v>24632</v>
      </c>
      <c r="AM393">
        <v>15080</v>
      </c>
      <c r="AS393">
        <v>0.84</v>
      </c>
      <c r="AT393" t="s">
        <v>495</v>
      </c>
      <c r="AU393" t="s">
        <v>25253</v>
      </c>
      <c r="AW393" t="s">
        <v>11447</v>
      </c>
    </row>
    <row r="394" spans="1:49">
      <c r="A394" s="1">
        <f>HYPERLINK("https://lsnyc.legalserver.org/matter/dynamic-profile/view/1915290","19-1915290")</f>
        <v>0</v>
      </c>
      <c r="B394" t="s">
        <v>144</v>
      </c>
      <c r="C394" t="s">
        <v>509</v>
      </c>
      <c r="E394" t="s">
        <v>1348</v>
      </c>
      <c r="F394" t="s">
        <v>3848</v>
      </c>
      <c r="G394" t="s">
        <v>6656</v>
      </c>
      <c r="H394" t="s">
        <v>10624</v>
      </c>
      <c r="I394" t="s">
        <v>11383</v>
      </c>
      <c r="J394">
        <v>10453</v>
      </c>
      <c r="K394" t="s">
        <v>11447</v>
      </c>
      <c r="P394" t="s">
        <v>14795</v>
      </c>
      <c r="S394" t="s">
        <v>14827</v>
      </c>
      <c r="V394">
        <v>1326</v>
      </c>
      <c r="W394" t="s">
        <v>14858</v>
      </c>
      <c r="X394" t="s">
        <v>14873</v>
      </c>
      <c r="Z394" t="s">
        <v>15283</v>
      </c>
      <c r="AB394" t="s">
        <v>20433</v>
      </c>
      <c r="AC394">
        <v>20</v>
      </c>
      <c r="AF394">
        <v>7</v>
      </c>
      <c r="AG394">
        <v>3</v>
      </c>
      <c r="AH394">
        <v>1</v>
      </c>
      <c r="AI394">
        <v>121.17</v>
      </c>
      <c r="AL394" t="s">
        <v>24632</v>
      </c>
      <c r="AM394">
        <v>31200</v>
      </c>
      <c r="AS394">
        <v>0.46</v>
      </c>
      <c r="AT394" t="s">
        <v>509</v>
      </c>
      <c r="AU394" t="s">
        <v>25253</v>
      </c>
      <c r="AW394" t="s">
        <v>11447</v>
      </c>
    </row>
    <row r="395" spans="1:49">
      <c r="A395" s="1">
        <f>HYPERLINK("https://lsnyc.legalserver.org/matter/dynamic-profile/view/1840728","17-1840728")</f>
        <v>0</v>
      </c>
      <c r="B395" t="s">
        <v>155</v>
      </c>
      <c r="C395" t="s">
        <v>572</v>
      </c>
      <c r="E395" t="s">
        <v>1245</v>
      </c>
      <c r="F395" t="s">
        <v>3849</v>
      </c>
      <c r="G395" t="s">
        <v>6657</v>
      </c>
      <c r="H395" t="s">
        <v>10484</v>
      </c>
      <c r="I395" t="s">
        <v>11385</v>
      </c>
      <c r="J395">
        <v>11234</v>
      </c>
      <c r="K395" t="s">
        <v>11448</v>
      </c>
      <c r="L395" t="s">
        <v>11559</v>
      </c>
      <c r="M395" t="s">
        <v>14744</v>
      </c>
      <c r="N395" t="s">
        <v>14778</v>
      </c>
      <c r="P395" t="s">
        <v>14795</v>
      </c>
      <c r="S395" t="s">
        <v>14827</v>
      </c>
      <c r="V395">
        <v>1457.13</v>
      </c>
      <c r="W395" t="s">
        <v>14859</v>
      </c>
      <c r="X395" t="s">
        <v>14868</v>
      </c>
      <c r="Z395" t="s">
        <v>15284</v>
      </c>
      <c r="AB395" t="s">
        <v>20434</v>
      </c>
      <c r="AC395">
        <v>98</v>
      </c>
      <c r="AD395" t="s">
        <v>24595</v>
      </c>
      <c r="AE395" t="s">
        <v>24613</v>
      </c>
      <c r="AF395">
        <v>36</v>
      </c>
      <c r="AG395">
        <v>2</v>
      </c>
      <c r="AH395">
        <v>0</v>
      </c>
      <c r="AI395">
        <v>122.96</v>
      </c>
      <c r="AK395" t="s">
        <v>24626</v>
      </c>
      <c r="AL395" t="s">
        <v>5011</v>
      </c>
      <c r="AM395">
        <v>19968</v>
      </c>
      <c r="AS395">
        <v>1.2</v>
      </c>
      <c r="AT395" t="s">
        <v>924</v>
      </c>
      <c r="AU395" t="s">
        <v>66</v>
      </c>
      <c r="AW395" t="s">
        <v>11447</v>
      </c>
    </row>
    <row r="396" spans="1:49">
      <c r="A396" s="1">
        <f>HYPERLINK("https://lsnyc.legalserver.org/matter/dynamic-profile/view/1912867","19-1912867")</f>
        <v>0</v>
      </c>
      <c r="B396" t="s">
        <v>76</v>
      </c>
      <c r="C396" t="s">
        <v>470</v>
      </c>
      <c r="E396" t="s">
        <v>1349</v>
      </c>
      <c r="F396" t="s">
        <v>1114</v>
      </c>
      <c r="G396" t="s">
        <v>6658</v>
      </c>
      <c r="H396" t="s">
        <v>10499</v>
      </c>
      <c r="I396" t="s">
        <v>11385</v>
      </c>
      <c r="J396">
        <v>11210</v>
      </c>
      <c r="K396" t="s">
        <v>11447</v>
      </c>
      <c r="P396" t="s">
        <v>14795</v>
      </c>
      <c r="S396" t="s">
        <v>14827</v>
      </c>
      <c r="V396">
        <v>1275</v>
      </c>
      <c r="W396" t="s">
        <v>14859</v>
      </c>
      <c r="X396" t="s">
        <v>14877</v>
      </c>
      <c r="Z396" t="s">
        <v>15285</v>
      </c>
      <c r="AB396" t="s">
        <v>20435</v>
      </c>
      <c r="AC396">
        <v>2</v>
      </c>
      <c r="AE396" t="s">
        <v>11459</v>
      </c>
      <c r="AF396">
        <v>21</v>
      </c>
      <c r="AG396">
        <v>1</v>
      </c>
      <c r="AH396">
        <v>0</v>
      </c>
      <c r="AI396">
        <v>123.94</v>
      </c>
      <c r="AL396" t="s">
        <v>24641</v>
      </c>
      <c r="AM396">
        <v>15480</v>
      </c>
      <c r="AS396">
        <v>1.2</v>
      </c>
      <c r="AT396" t="s">
        <v>603</v>
      </c>
      <c r="AU396" t="s">
        <v>25226</v>
      </c>
      <c r="AW396" t="s">
        <v>11447</v>
      </c>
    </row>
    <row r="397" spans="1:49">
      <c r="A397" s="1">
        <f>HYPERLINK("https://lsnyc.legalserver.org/matter/dynamic-profile/view/1902075","19-1902075")</f>
        <v>0</v>
      </c>
      <c r="B397" t="s">
        <v>140</v>
      </c>
      <c r="C397" t="s">
        <v>349</v>
      </c>
      <c r="E397" t="s">
        <v>1272</v>
      </c>
      <c r="F397" t="s">
        <v>3850</v>
      </c>
      <c r="G397" t="s">
        <v>6514</v>
      </c>
      <c r="H397" t="s">
        <v>10625</v>
      </c>
      <c r="I397" t="s">
        <v>11383</v>
      </c>
      <c r="J397">
        <v>10460</v>
      </c>
      <c r="K397" t="s">
        <v>11447</v>
      </c>
      <c r="M397" t="s">
        <v>11601</v>
      </c>
      <c r="P397" t="s">
        <v>14795</v>
      </c>
      <c r="S397" t="s">
        <v>14827</v>
      </c>
      <c r="V397">
        <v>1600</v>
      </c>
      <c r="W397" t="s">
        <v>14858</v>
      </c>
      <c r="X397" t="s">
        <v>14755</v>
      </c>
      <c r="Z397" t="s">
        <v>15286</v>
      </c>
      <c r="AB397" t="s">
        <v>20436</v>
      </c>
      <c r="AC397">
        <v>56</v>
      </c>
      <c r="AD397" t="s">
        <v>11479</v>
      </c>
      <c r="AE397" t="s">
        <v>24614</v>
      </c>
      <c r="AF397">
        <v>2</v>
      </c>
      <c r="AG397">
        <v>1</v>
      </c>
      <c r="AH397">
        <v>0</v>
      </c>
      <c r="AI397">
        <v>124.9</v>
      </c>
      <c r="AL397" t="s">
        <v>5011</v>
      </c>
      <c r="AM397">
        <v>15600</v>
      </c>
      <c r="AS397">
        <v>0.6</v>
      </c>
      <c r="AT397" t="s">
        <v>349</v>
      </c>
      <c r="AU397" t="s">
        <v>25244</v>
      </c>
      <c r="AW397" t="s">
        <v>11447</v>
      </c>
    </row>
    <row r="398" spans="1:49">
      <c r="A398" s="1">
        <f>HYPERLINK("https://lsnyc.legalserver.org/matter/dynamic-profile/view/1909259","19-1909259")</f>
        <v>0</v>
      </c>
      <c r="B398" t="s">
        <v>51</v>
      </c>
      <c r="C398" t="s">
        <v>488</v>
      </c>
      <c r="E398" t="s">
        <v>1350</v>
      </c>
      <c r="F398" t="s">
        <v>3851</v>
      </c>
      <c r="G398" t="s">
        <v>6659</v>
      </c>
      <c r="H398" t="s">
        <v>10626</v>
      </c>
      <c r="I398" t="s">
        <v>11383</v>
      </c>
      <c r="J398">
        <v>10453</v>
      </c>
      <c r="K398" t="s">
        <v>11447</v>
      </c>
      <c r="L398" t="s">
        <v>11560</v>
      </c>
      <c r="M398" t="s">
        <v>14744</v>
      </c>
      <c r="P398" t="s">
        <v>14795</v>
      </c>
      <c r="Q398" t="s">
        <v>11448</v>
      </c>
      <c r="S398" t="s">
        <v>14827</v>
      </c>
      <c r="V398">
        <v>875</v>
      </c>
      <c r="W398" t="s">
        <v>14860</v>
      </c>
      <c r="Z398" t="s">
        <v>15287</v>
      </c>
      <c r="AB398" t="s">
        <v>20437</v>
      </c>
      <c r="AC398">
        <v>0</v>
      </c>
      <c r="AE398" t="s">
        <v>11459</v>
      </c>
      <c r="AF398">
        <v>6</v>
      </c>
      <c r="AG398">
        <v>1</v>
      </c>
      <c r="AH398">
        <v>0</v>
      </c>
      <c r="AI398">
        <v>124.9</v>
      </c>
      <c r="AL398" t="s">
        <v>5011</v>
      </c>
      <c r="AM398">
        <v>15600</v>
      </c>
      <c r="AS398">
        <v>0.5</v>
      </c>
      <c r="AT398" t="s">
        <v>488</v>
      </c>
      <c r="AU398" t="s">
        <v>25236</v>
      </c>
      <c r="AW398" t="s">
        <v>11447</v>
      </c>
    </row>
    <row r="399" spans="1:49">
      <c r="A399" s="1">
        <f>HYPERLINK("https://lsnyc.legalserver.org/matter/dynamic-profile/view/1889323","19-1889323")</f>
        <v>0</v>
      </c>
      <c r="B399" t="s">
        <v>140</v>
      </c>
      <c r="C399" t="s">
        <v>513</v>
      </c>
      <c r="E399" t="s">
        <v>1249</v>
      </c>
      <c r="F399" t="s">
        <v>3852</v>
      </c>
      <c r="G399" t="s">
        <v>6660</v>
      </c>
      <c r="H399" t="s">
        <v>10627</v>
      </c>
      <c r="I399" t="s">
        <v>11383</v>
      </c>
      <c r="J399">
        <v>10452</v>
      </c>
      <c r="K399" t="s">
        <v>11447</v>
      </c>
      <c r="M399" t="s">
        <v>14747</v>
      </c>
      <c r="P399" t="s">
        <v>14795</v>
      </c>
      <c r="S399" t="s">
        <v>14827</v>
      </c>
      <c r="V399">
        <v>700</v>
      </c>
      <c r="W399" t="s">
        <v>14858</v>
      </c>
      <c r="X399" t="s">
        <v>14866</v>
      </c>
      <c r="Z399" t="s">
        <v>15288</v>
      </c>
      <c r="AB399" t="s">
        <v>20438</v>
      </c>
      <c r="AC399">
        <v>25</v>
      </c>
      <c r="AF399">
        <v>38</v>
      </c>
      <c r="AG399">
        <v>1</v>
      </c>
      <c r="AH399">
        <v>0</v>
      </c>
      <c r="AI399">
        <v>124.9</v>
      </c>
      <c r="AL399" t="s">
        <v>24632</v>
      </c>
      <c r="AM399">
        <v>15600</v>
      </c>
      <c r="AS399">
        <v>1</v>
      </c>
      <c r="AT399" t="s">
        <v>513</v>
      </c>
      <c r="AU399" t="s">
        <v>25241</v>
      </c>
      <c r="AW399" t="s">
        <v>11447</v>
      </c>
    </row>
    <row r="400" spans="1:49">
      <c r="A400" s="1">
        <f>HYPERLINK("https://lsnyc.legalserver.org/matter/dynamic-profile/view/1887114","19-1887114")</f>
        <v>0</v>
      </c>
      <c r="B400" t="s">
        <v>130</v>
      </c>
      <c r="C400" t="s">
        <v>573</v>
      </c>
      <c r="E400" t="s">
        <v>1351</v>
      </c>
      <c r="F400" t="s">
        <v>3758</v>
      </c>
      <c r="G400" t="s">
        <v>6661</v>
      </c>
      <c r="H400" t="s">
        <v>10628</v>
      </c>
      <c r="I400" t="s">
        <v>11383</v>
      </c>
      <c r="J400">
        <v>10457</v>
      </c>
      <c r="K400" t="s">
        <v>11446</v>
      </c>
      <c r="L400" t="s">
        <v>11561</v>
      </c>
      <c r="M400" t="s">
        <v>14744</v>
      </c>
      <c r="N400" t="s">
        <v>14778</v>
      </c>
      <c r="P400" t="s">
        <v>14795</v>
      </c>
      <c r="S400" t="s">
        <v>14827</v>
      </c>
      <c r="V400">
        <v>0</v>
      </c>
      <c r="W400" t="s">
        <v>14858</v>
      </c>
      <c r="X400" t="s">
        <v>14863</v>
      </c>
      <c r="Z400" t="s">
        <v>15289</v>
      </c>
      <c r="AA400" t="s">
        <v>19338</v>
      </c>
      <c r="AB400" t="s">
        <v>20439</v>
      </c>
      <c r="AC400">
        <v>36</v>
      </c>
      <c r="AF400">
        <v>4</v>
      </c>
      <c r="AG400">
        <v>1</v>
      </c>
      <c r="AH400">
        <v>1</v>
      </c>
      <c r="AI400">
        <v>125.26</v>
      </c>
      <c r="AL400" t="s">
        <v>5011</v>
      </c>
      <c r="AM400">
        <v>20618</v>
      </c>
      <c r="AN400" t="s">
        <v>24705</v>
      </c>
      <c r="AS400">
        <v>6.4</v>
      </c>
      <c r="AT400" t="s">
        <v>534</v>
      </c>
      <c r="AU400" t="s">
        <v>25238</v>
      </c>
      <c r="AW400" t="s">
        <v>11446</v>
      </c>
    </row>
    <row r="401" spans="1:49">
      <c r="A401" s="1">
        <f>HYPERLINK("https://lsnyc.legalserver.org/matter/dynamic-profile/view/1912936","19-1912936")</f>
        <v>0</v>
      </c>
      <c r="B401" t="s">
        <v>66</v>
      </c>
      <c r="C401" t="s">
        <v>574</v>
      </c>
      <c r="E401" t="s">
        <v>1352</v>
      </c>
      <c r="F401" t="s">
        <v>3853</v>
      </c>
      <c r="G401" t="s">
        <v>6662</v>
      </c>
      <c r="H401">
        <v>1</v>
      </c>
      <c r="I401" t="s">
        <v>11385</v>
      </c>
      <c r="J401">
        <v>11233</v>
      </c>
      <c r="K401" t="s">
        <v>11447</v>
      </c>
      <c r="M401" t="s">
        <v>14744</v>
      </c>
      <c r="P401" t="s">
        <v>14795</v>
      </c>
      <c r="Q401" t="s">
        <v>11446</v>
      </c>
      <c r="S401" t="s">
        <v>14827</v>
      </c>
      <c r="V401">
        <v>1250</v>
      </c>
      <c r="W401" t="s">
        <v>14859</v>
      </c>
      <c r="X401" t="s">
        <v>14873</v>
      </c>
      <c r="Z401" t="s">
        <v>15290</v>
      </c>
      <c r="AC401">
        <v>3</v>
      </c>
      <c r="AD401" t="s">
        <v>24595</v>
      </c>
      <c r="AF401">
        <v>5</v>
      </c>
      <c r="AG401">
        <v>2</v>
      </c>
      <c r="AH401">
        <v>1</v>
      </c>
      <c r="AI401">
        <v>126.77</v>
      </c>
      <c r="AL401" t="s">
        <v>5011</v>
      </c>
      <c r="AM401">
        <v>27040</v>
      </c>
      <c r="AS401">
        <v>0.75</v>
      </c>
      <c r="AT401" t="s">
        <v>574</v>
      </c>
      <c r="AU401" t="s">
        <v>25236</v>
      </c>
      <c r="AW401" t="s">
        <v>11447</v>
      </c>
    </row>
    <row r="402" spans="1:49">
      <c r="A402" s="1">
        <f>HYPERLINK("https://lsnyc.legalserver.org/matter/dynamic-profile/view/1912352","19-1912352")</f>
        <v>0</v>
      </c>
      <c r="B402" t="s">
        <v>102</v>
      </c>
      <c r="C402" t="s">
        <v>473</v>
      </c>
      <c r="E402" t="s">
        <v>1353</v>
      </c>
      <c r="F402" t="s">
        <v>3854</v>
      </c>
      <c r="G402" t="s">
        <v>6663</v>
      </c>
      <c r="H402" t="s">
        <v>10524</v>
      </c>
      <c r="I402" t="s">
        <v>11383</v>
      </c>
      <c r="J402">
        <v>10460</v>
      </c>
      <c r="K402" t="s">
        <v>11447</v>
      </c>
      <c r="P402" t="s">
        <v>14795</v>
      </c>
      <c r="Q402" t="s">
        <v>11446</v>
      </c>
      <c r="S402" t="s">
        <v>14827</v>
      </c>
      <c r="V402">
        <v>809</v>
      </c>
      <c r="W402" t="s">
        <v>14858</v>
      </c>
      <c r="X402" t="s">
        <v>14870</v>
      </c>
      <c r="Z402" t="s">
        <v>15291</v>
      </c>
      <c r="AB402" t="s">
        <v>20440</v>
      </c>
      <c r="AC402">
        <v>40</v>
      </c>
      <c r="AE402" t="s">
        <v>24616</v>
      </c>
      <c r="AF402">
        <v>-1</v>
      </c>
      <c r="AG402">
        <v>1</v>
      </c>
      <c r="AH402">
        <v>2</v>
      </c>
      <c r="AI402">
        <v>127.76</v>
      </c>
      <c r="AL402" t="s">
        <v>24632</v>
      </c>
      <c r="AM402">
        <v>27252</v>
      </c>
      <c r="AS402">
        <v>0.76</v>
      </c>
      <c r="AT402" t="s">
        <v>473</v>
      </c>
      <c r="AU402" t="s">
        <v>25247</v>
      </c>
      <c r="AW402" t="s">
        <v>11447</v>
      </c>
    </row>
    <row r="403" spans="1:49">
      <c r="A403" s="1">
        <f>HYPERLINK("https://lsnyc.legalserver.org/matter/dynamic-profile/view/1891517","19-1891517")</f>
        <v>0</v>
      </c>
      <c r="B403" t="s">
        <v>112</v>
      </c>
      <c r="C403" t="s">
        <v>575</v>
      </c>
      <c r="E403" t="s">
        <v>1241</v>
      </c>
      <c r="F403" t="s">
        <v>3758</v>
      </c>
      <c r="G403" t="s">
        <v>6664</v>
      </c>
      <c r="H403" t="s">
        <v>10485</v>
      </c>
      <c r="I403" t="s">
        <v>11383</v>
      </c>
      <c r="J403">
        <v>10465</v>
      </c>
      <c r="K403" t="s">
        <v>11446</v>
      </c>
      <c r="L403" t="s">
        <v>11562</v>
      </c>
      <c r="M403" t="s">
        <v>14744</v>
      </c>
      <c r="N403" t="s">
        <v>14778</v>
      </c>
      <c r="P403" t="s">
        <v>14795</v>
      </c>
      <c r="Q403" t="s">
        <v>11448</v>
      </c>
      <c r="S403" t="s">
        <v>14827</v>
      </c>
      <c r="T403" t="s">
        <v>14832</v>
      </c>
      <c r="V403">
        <v>733</v>
      </c>
      <c r="W403" t="s">
        <v>14858</v>
      </c>
      <c r="X403" t="s">
        <v>14877</v>
      </c>
      <c r="Z403" t="s">
        <v>15292</v>
      </c>
      <c r="AB403" t="s">
        <v>20441</v>
      </c>
      <c r="AC403">
        <v>220</v>
      </c>
      <c r="AD403" t="s">
        <v>24597</v>
      </c>
      <c r="AE403" t="s">
        <v>11459</v>
      </c>
      <c r="AF403">
        <v>49</v>
      </c>
      <c r="AG403">
        <v>1</v>
      </c>
      <c r="AH403">
        <v>0</v>
      </c>
      <c r="AI403">
        <v>129.22</v>
      </c>
      <c r="AL403" t="s">
        <v>5011</v>
      </c>
      <c r="AM403">
        <v>16140</v>
      </c>
      <c r="AN403" t="s">
        <v>24706</v>
      </c>
      <c r="AS403">
        <v>8.15</v>
      </c>
      <c r="AT403" t="s">
        <v>512</v>
      </c>
      <c r="AU403" t="s">
        <v>25239</v>
      </c>
      <c r="AV403" t="s">
        <v>25335</v>
      </c>
      <c r="AW403" t="s">
        <v>11446</v>
      </c>
    </row>
    <row r="404" spans="1:49">
      <c r="A404" s="1">
        <f>HYPERLINK("https://lsnyc.legalserver.org/matter/dynamic-profile/view/1842863","17-1842863")</f>
        <v>0</v>
      </c>
      <c r="B404" t="s">
        <v>116</v>
      </c>
      <c r="C404" t="s">
        <v>576</v>
      </c>
      <c r="E404" t="s">
        <v>1354</v>
      </c>
      <c r="F404" t="s">
        <v>3555</v>
      </c>
      <c r="G404" t="s">
        <v>6665</v>
      </c>
      <c r="H404" t="s">
        <v>10598</v>
      </c>
      <c r="I404" t="s">
        <v>11383</v>
      </c>
      <c r="J404">
        <v>10453</v>
      </c>
      <c r="K404" t="s">
        <v>11447</v>
      </c>
      <c r="M404" t="s">
        <v>14755</v>
      </c>
      <c r="N404" t="s">
        <v>14778</v>
      </c>
      <c r="P404" t="s">
        <v>14795</v>
      </c>
      <c r="S404" t="s">
        <v>14827</v>
      </c>
      <c r="V404">
        <v>594</v>
      </c>
      <c r="W404" t="s">
        <v>14858</v>
      </c>
      <c r="Z404" t="s">
        <v>15293</v>
      </c>
      <c r="AB404" t="s">
        <v>20442</v>
      </c>
      <c r="AC404">
        <v>56</v>
      </c>
      <c r="AF404">
        <v>30</v>
      </c>
      <c r="AG404">
        <v>1</v>
      </c>
      <c r="AH404">
        <v>0</v>
      </c>
      <c r="AI404">
        <v>129.35</v>
      </c>
      <c r="AL404" t="s">
        <v>24632</v>
      </c>
      <c r="AM404">
        <v>15600</v>
      </c>
      <c r="AN404" t="s">
        <v>24707</v>
      </c>
      <c r="AS404">
        <v>1.11</v>
      </c>
      <c r="AT404" t="s">
        <v>664</v>
      </c>
      <c r="AU404" t="s">
        <v>25241</v>
      </c>
      <c r="AW404" t="s">
        <v>11447</v>
      </c>
    </row>
    <row r="405" spans="1:49">
      <c r="A405" s="1">
        <f>HYPERLINK("https://lsnyc.legalserver.org/matter/dynamic-profile/view/1862445","18-1862445")</f>
        <v>0</v>
      </c>
      <c r="B405" t="s">
        <v>99</v>
      </c>
      <c r="C405" t="s">
        <v>381</v>
      </c>
      <c r="E405" t="s">
        <v>1355</v>
      </c>
      <c r="F405" t="s">
        <v>3855</v>
      </c>
      <c r="G405" t="s">
        <v>6666</v>
      </c>
      <c r="H405" t="s">
        <v>10629</v>
      </c>
      <c r="I405" t="s">
        <v>11392</v>
      </c>
      <c r="J405">
        <v>11372</v>
      </c>
      <c r="K405" t="s">
        <v>11447</v>
      </c>
      <c r="L405" t="s">
        <v>11465</v>
      </c>
      <c r="M405" t="s">
        <v>11601</v>
      </c>
      <c r="N405" t="s">
        <v>14778</v>
      </c>
      <c r="P405" t="s">
        <v>14795</v>
      </c>
      <c r="S405" t="s">
        <v>14827</v>
      </c>
      <c r="V405">
        <v>1021</v>
      </c>
      <c r="W405" t="s">
        <v>14861</v>
      </c>
      <c r="X405" t="s">
        <v>14755</v>
      </c>
      <c r="Z405" t="s">
        <v>15294</v>
      </c>
      <c r="AB405" t="s">
        <v>20443</v>
      </c>
      <c r="AC405">
        <v>220</v>
      </c>
      <c r="AD405" t="s">
        <v>24595</v>
      </c>
      <c r="AE405" t="s">
        <v>24613</v>
      </c>
      <c r="AF405">
        <v>19</v>
      </c>
      <c r="AG405">
        <v>2</v>
      </c>
      <c r="AH405">
        <v>0</v>
      </c>
      <c r="AI405">
        <v>131.28</v>
      </c>
      <c r="AM405">
        <v>21608</v>
      </c>
      <c r="AS405">
        <v>29.05</v>
      </c>
      <c r="AT405" t="s">
        <v>663</v>
      </c>
      <c r="AU405" t="s">
        <v>99</v>
      </c>
      <c r="AW405" t="s">
        <v>11447</v>
      </c>
    </row>
    <row r="406" spans="1:49">
      <c r="A406" s="1">
        <f>HYPERLINK("https://lsnyc.legalserver.org/matter/dynamic-profile/view/1888495","19-1888495")</f>
        <v>0</v>
      </c>
      <c r="B406" t="s">
        <v>110</v>
      </c>
      <c r="C406" t="s">
        <v>577</v>
      </c>
      <c r="E406" t="s">
        <v>1356</v>
      </c>
      <c r="F406" t="s">
        <v>3856</v>
      </c>
      <c r="G406" t="s">
        <v>6667</v>
      </c>
      <c r="H406" t="s">
        <v>10630</v>
      </c>
      <c r="I406" t="s">
        <v>11391</v>
      </c>
      <c r="J406">
        <v>11691</v>
      </c>
      <c r="K406" t="s">
        <v>11447</v>
      </c>
      <c r="M406" t="s">
        <v>11601</v>
      </c>
      <c r="N406" t="s">
        <v>14782</v>
      </c>
      <c r="P406" t="s">
        <v>14795</v>
      </c>
      <c r="Q406" t="s">
        <v>11448</v>
      </c>
      <c r="S406" t="s">
        <v>14827</v>
      </c>
      <c r="T406" t="s">
        <v>14832</v>
      </c>
      <c r="V406">
        <v>871.87</v>
      </c>
      <c r="W406" t="s">
        <v>14861</v>
      </c>
      <c r="X406" t="s">
        <v>14755</v>
      </c>
      <c r="Z406" t="s">
        <v>15295</v>
      </c>
      <c r="AB406" t="s">
        <v>20444</v>
      </c>
      <c r="AC406">
        <v>55</v>
      </c>
      <c r="AE406" t="s">
        <v>24613</v>
      </c>
      <c r="AF406">
        <v>39</v>
      </c>
      <c r="AG406">
        <v>1</v>
      </c>
      <c r="AH406">
        <v>0</v>
      </c>
      <c r="AI406">
        <v>132.95</v>
      </c>
      <c r="AL406" t="s">
        <v>5011</v>
      </c>
      <c r="AM406">
        <v>16140</v>
      </c>
      <c r="AS406">
        <v>2.4</v>
      </c>
      <c r="AT406" t="s">
        <v>25130</v>
      </c>
      <c r="AU406" t="s">
        <v>25238</v>
      </c>
      <c r="AW406" t="s">
        <v>11447</v>
      </c>
    </row>
    <row r="407" spans="1:49">
      <c r="A407" s="1">
        <f>HYPERLINK("https://lsnyc.legalserver.org/matter/dynamic-profile/view/1912740","19-1912740")</f>
        <v>0</v>
      </c>
      <c r="B407" t="s">
        <v>156</v>
      </c>
      <c r="C407" t="s">
        <v>578</v>
      </c>
      <c r="E407" t="s">
        <v>1357</v>
      </c>
      <c r="F407" t="s">
        <v>3857</v>
      </c>
      <c r="G407" t="s">
        <v>6668</v>
      </c>
      <c r="H407" t="s">
        <v>10631</v>
      </c>
      <c r="I407" t="s">
        <v>11386</v>
      </c>
      <c r="J407">
        <v>10011</v>
      </c>
      <c r="K407" t="s">
        <v>11447</v>
      </c>
      <c r="N407" t="s">
        <v>14778</v>
      </c>
      <c r="P407" t="s">
        <v>14795</v>
      </c>
      <c r="S407" t="s">
        <v>14827</v>
      </c>
      <c r="V407">
        <v>0</v>
      </c>
      <c r="W407" t="s">
        <v>14860</v>
      </c>
      <c r="Z407" t="s">
        <v>15296</v>
      </c>
      <c r="AB407" t="s">
        <v>20445</v>
      </c>
      <c r="AC407">
        <v>0</v>
      </c>
      <c r="AF407">
        <v>0</v>
      </c>
      <c r="AG407">
        <v>2</v>
      </c>
      <c r="AH407">
        <v>0</v>
      </c>
      <c r="AI407">
        <v>135.3</v>
      </c>
      <c r="AL407" t="s">
        <v>5011</v>
      </c>
      <c r="AM407">
        <v>22880</v>
      </c>
      <c r="AS407">
        <v>1.2</v>
      </c>
      <c r="AT407" t="s">
        <v>495</v>
      </c>
      <c r="AU407" t="s">
        <v>25229</v>
      </c>
      <c r="AW407" t="s">
        <v>11447</v>
      </c>
    </row>
    <row r="408" spans="1:49">
      <c r="A408" s="1">
        <f>HYPERLINK("https://lsnyc.legalserver.org/matter/dynamic-profile/view/1902520","19-1902520")</f>
        <v>0</v>
      </c>
      <c r="B408" t="s">
        <v>141</v>
      </c>
      <c r="C408" t="s">
        <v>517</v>
      </c>
      <c r="E408" t="s">
        <v>1358</v>
      </c>
      <c r="F408" t="s">
        <v>3858</v>
      </c>
      <c r="G408" t="s">
        <v>6669</v>
      </c>
      <c r="I408" t="s">
        <v>11385</v>
      </c>
      <c r="J408">
        <v>11209</v>
      </c>
      <c r="K408" t="s">
        <v>11446</v>
      </c>
      <c r="N408" t="s">
        <v>14778</v>
      </c>
      <c r="P408" t="s">
        <v>14795</v>
      </c>
      <c r="S408" t="s">
        <v>14827</v>
      </c>
      <c r="V408">
        <v>1800</v>
      </c>
      <c r="W408" t="s">
        <v>14859</v>
      </c>
      <c r="Z408" t="s">
        <v>15297</v>
      </c>
      <c r="AB408" t="s">
        <v>20446</v>
      </c>
      <c r="AC408">
        <v>0</v>
      </c>
      <c r="AF408">
        <v>0</v>
      </c>
      <c r="AG408">
        <v>2</v>
      </c>
      <c r="AH408">
        <v>0</v>
      </c>
      <c r="AI408">
        <v>136.01</v>
      </c>
      <c r="AL408" t="s">
        <v>5011</v>
      </c>
      <c r="AM408">
        <v>23000</v>
      </c>
      <c r="AS408">
        <v>0</v>
      </c>
      <c r="AU408" t="s">
        <v>25230</v>
      </c>
      <c r="AV408" t="s">
        <v>25335</v>
      </c>
      <c r="AW408" t="s">
        <v>11447</v>
      </c>
    </row>
    <row r="409" spans="1:49">
      <c r="A409" s="1">
        <f>HYPERLINK("https://lsnyc.legalserver.org/matter/dynamic-profile/view/1891486","19-1891486")</f>
        <v>0</v>
      </c>
      <c r="B409" t="s">
        <v>61</v>
      </c>
      <c r="C409" t="s">
        <v>575</v>
      </c>
      <c r="E409" t="s">
        <v>1359</v>
      </c>
      <c r="F409" t="s">
        <v>1035</v>
      </c>
      <c r="G409" t="s">
        <v>6670</v>
      </c>
      <c r="H409" t="s">
        <v>10476</v>
      </c>
      <c r="I409" t="s">
        <v>11385</v>
      </c>
      <c r="J409">
        <v>11238</v>
      </c>
      <c r="K409" t="s">
        <v>11446</v>
      </c>
      <c r="L409" t="s">
        <v>11563</v>
      </c>
      <c r="M409" t="s">
        <v>14750</v>
      </c>
      <c r="N409" t="s">
        <v>14783</v>
      </c>
      <c r="P409" t="s">
        <v>14795</v>
      </c>
      <c r="Q409" t="s">
        <v>11448</v>
      </c>
      <c r="S409" t="s">
        <v>14830</v>
      </c>
      <c r="T409" t="s">
        <v>14832</v>
      </c>
      <c r="V409">
        <v>1043</v>
      </c>
      <c r="W409" t="s">
        <v>14859</v>
      </c>
      <c r="X409" t="s">
        <v>14868</v>
      </c>
      <c r="Z409" t="s">
        <v>15298</v>
      </c>
      <c r="AA409" t="s">
        <v>19339</v>
      </c>
      <c r="AB409" t="s">
        <v>20447</v>
      </c>
      <c r="AC409">
        <v>102</v>
      </c>
      <c r="AD409" t="s">
        <v>24597</v>
      </c>
      <c r="AE409" t="s">
        <v>11459</v>
      </c>
      <c r="AF409">
        <v>3</v>
      </c>
      <c r="AG409">
        <v>1</v>
      </c>
      <c r="AH409">
        <v>2</v>
      </c>
      <c r="AI409">
        <v>137.48</v>
      </c>
      <c r="AL409" t="s">
        <v>5011</v>
      </c>
      <c r="AM409">
        <v>29325.36</v>
      </c>
      <c r="AS409">
        <v>26.25</v>
      </c>
      <c r="AT409" t="s">
        <v>537</v>
      </c>
      <c r="AU409" t="s">
        <v>61</v>
      </c>
      <c r="AW409" t="s">
        <v>11446</v>
      </c>
    </row>
    <row r="410" spans="1:49">
      <c r="A410" s="1">
        <f>HYPERLINK("https://lsnyc.legalserver.org/matter/dynamic-profile/view/1906948","19-1906948")</f>
        <v>0</v>
      </c>
      <c r="B410" t="s">
        <v>75</v>
      </c>
      <c r="C410" t="s">
        <v>354</v>
      </c>
      <c r="E410" t="s">
        <v>1360</v>
      </c>
      <c r="F410" t="s">
        <v>1395</v>
      </c>
      <c r="G410" t="s">
        <v>6671</v>
      </c>
      <c r="H410" t="s">
        <v>10552</v>
      </c>
      <c r="I410" t="s">
        <v>11385</v>
      </c>
      <c r="J410">
        <v>11226</v>
      </c>
      <c r="K410" t="s">
        <v>11447</v>
      </c>
      <c r="P410" t="s">
        <v>14795</v>
      </c>
      <c r="Q410" t="s">
        <v>11446</v>
      </c>
      <c r="S410" t="s">
        <v>14829</v>
      </c>
      <c r="V410">
        <v>945</v>
      </c>
      <c r="W410" t="s">
        <v>14859</v>
      </c>
      <c r="Z410" t="s">
        <v>15299</v>
      </c>
      <c r="AB410" t="s">
        <v>20448</v>
      </c>
      <c r="AC410">
        <v>16</v>
      </c>
      <c r="AF410">
        <v>11</v>
      </c>
      <c r="AG410">
        <v>1</v>
      </c>
      <c r="AH410">
        <v>0</v>
      </c>
      <c r="AI410">
        <v>139.5</v>
      </c>
      <c r="AL410" t="s">
        <v>5011</v>
      </c>
      <c r="AM410">
        <v>17424</v>
      </c>
      <c r="AS410">
        <v>1</v>
      </c>
      <c r="AT410" t="s">
        <v>354</v>
      </c>
      <c r="AU410" t="s">
        <v>25237</v>
      </c>
      <c r="AW410" t="s">
        <v>11447</v>
      </c>
    </row>
    <row r="411" spans="1:49">
      <c r="A411" s="1">
        <f>HYPERLINK("https://lsnyc.legalserver.org/matter/dynamic-profile/view/1887183","19-1887183")</f>
        <v>0</v>
      </c>
      <c r="B411" t="s">
        <v>116</v>
      </c>
      <c r="C411" t="s">
        <v>544</v>
      </c>
      <c r="E411" t="s">
        <v>1361</v>
      </c>
      <c r="F411" t="s">
        <v>3685</v>
      </c>
      <c r="G411" t="s">
        <v>6672</v>
      </c>
      <c r="H411" t="s">
        <v>10522</v>
      </c>
      <c r="I411" t="s">
        <v>11383</v>
      </c>
      <c r="J411">
        <v>10457</v>
      </c>
      <c r="K411" t="s">
        <v>11447</v>
      </c>
      <c r="M411" t="s">
        <v>11601</v>
      </c>
      <c r="N411" t="s">
        <v>14778</v>
      </c>
      <c r="P411" t="s">
        <v>14795</v>
      </c>
      <c r="Q411" t="s">
        <v>11448</v>
      </c>
      <c r="S411" t="s">
        <v>14827</v>
      </c>
      <c r="V411">
        <v>1300</v>
      </c>
      <c r="W411" t="s">
        <v>14858</v>
      </c>
      <c r="X411" t="s">
        <v>14867</v>
      </c>
      <c r="Z411" t="s">
        <v>15300</v>
      </c>
      <c r="AB411" t="s">
        <v>20449</v>
      </c>
      <c r="AC411">
        <v>9</v>
      </c>
      <c r="AD411" t="s">
        <v>24595</v>
      </c>
      <c r="AE411" t="s">
        <v>11459</v>
      </c>
      <c r="AF411">
        <v>2</v>
      </c>
      <c r="AG411">
        <v>1</v>
      </c>
      <c r="AH411">
        <v>0</v>
      </c>
      <c r="AI411">
        <v>141.35</v>
      </c>
      <c r="AL411" t="s">
        <v>5011</v>
      </c>
      <c r="AM411">
        <v>17160</v>
      </c>
      <c r="AN411" t="s">
        <v>24699</v>
      </c>
      <c r="AS411">
        <v>0</v>
      </c>
      <c r="AU411" t="s">
        <v>25236</v>
      </c>
      <c r="AW411" t="s">
        <v>11447</v>
      </c>
    </row>
    <row r="412" spans="1:49">
      <c r="A412" s="1">
        <f>HYPERLINK("https://lsnyc.legalserver.org/matter/dynamic-profile/view/1889937","19-1889937")</f>
        <v>0</v>
      </c>
      <c r="B412" t="s">
        <v>116</v>
      </c>
      <c r="C412" t="s">
        <v>499</v>
      </c>
      <c r="E412" t="s">
        <v>1362</v>
      </c>
      <c r="F412" t="s">
        <v>3859</v>
      </c>
      <c r="G412" t="s">
        <v>6673</v>
      </c>
      <c r="H412" t="s">
        <v>10632</v>
      </c>
      <c r="I412" t="s">
        <v>11383</v>
      </c>
      <c r="J412">
        <v>10463</v>
      </c>
      <c r="K412" t="s">
        <v>11447</v>
      </c>
      <c r="P412" t="s">
        <v>14795</v>
      </c>
      <c r="S412" t="s">
        <v>14827</v>
      </c>
      <c r="V412">
        <v>1144.98</v>
      </c>
      <c r="W412" t="s">
        <v>14858</v>
      </c>
      <c r="X412" t="s">
        <v>14872</v>
      </c>
      <c r="Z412" t="s">
        <v>15301</v>
      </c>
      <c r="AB412" t="s">
        <v>20450</v>
      </c>
      <c r="AC412">
        <v>117</v>
      </c>
      <c r="AF412">
        <v>23</v>
      </c>
      <c r="AG412">
        <v>1</v>
      </c>
      <c r="AH412">
        <v>1</v>
      </c>
      <c r="AI412">
        <v>141.93</v>
      </c>
      <c r="AL412" t="s">
        <v>24632</v>
      </c>
      <c r="AM412">
        <v>24000</v>
      </c>
      <c r="AS412">
        <v>1.7</v>
      </c>
      <c r="AT412" t="s">
        <v>629</v>
      </c>
      <c r="AU412" t="s">
        <v>25238</v>
      </c>
      <c r="AW412" t="s">
        <v>11447</v>
      </c>
    </row>
    <row r="413" spans="1:49">
      <c r="A413" s="1">
        <f>HYPERLINK("https://lsnyc.legalserver.org/matter/dynamic-profile/view/1868537","18-1868537")</f>
        <v>0</v>
      </c>
      <c r="B413" t="s">
        <v>85</v>
      </c>
      <c r="C413" t="s">
        <v>579</v>
      </c>
      <c r="E413" t="s">
        <v>1363</v>
      </c>
      <c r="F413" t="s">
        <v>3581</v>
      </c>
      <c r="G413" t="s">
        <v>6674</v>
      </c>
      <c r="H413" t="s">
        <v>10633</v>
      </c>
      <c r="I413" t="s">
        <v>11389</v>
      </c>
      <c r="J413">
        <v>11358</v>
      </c>
      <c r="K413" t="s">
        <v>11447</v>
      </c>
      <c r="P413" t="s">
        <v>14795</v>
      </c>
      <c r="S413" t="s">
        <v>14827</v>
      </c>
      <c r="V413">
        <v>0</v>
      </c>
      <c r="W413" t="s">
        <v>14861</v>
      </c>
      <c r="X413" t="s">
        <v>14755</v>
      </c>
      <c r="Z413" t="s">
        <v>15302</v>
      </c>
      <c r="AB413" t="s">
        <v>20451</v>
      </c>
      <c r="AC413">
        <v>0</v>
      </c>
      <c r="AF413">
        <v>0</v>
      </c>
      <c r="AG413">
        <v>2</v>
      </c>
      <c r="AH413">
        <v>2</v>
      </c>
      <c r="AI413">
        <v>143.43</v>
      </c>
      <c r="AL413" t="s">
        <v>24633</v>
      </c>
      <c r="AM413">
        <v>36000</v>
      </c>
      <c r="AS413">
        <v>1.05</v>
      </c>
      <c r="AT413" t="s">
        <v>637</v>
      </c>
      <c r="AU413" t="s">
        <v>25227</v>
      </c>
      <c r="AW413" t="s">
        <v>11447</v>
      </c>
    </row>
    <row r="414" spans="1:49">
      <c r="A414" s="1">
        <f>HYPERLINK("https://lsnyc.legalserver.org/matter/dynamic-profile/view/1914850","19-1914850")</f>
        <v>0</v>
      </c>
      <c r="B414" t="s">
        <v>65</v>
      </c>
      <c r="C414" t="s">
        <v>537</v>
      </c>
      <c r="E414" t="s">
        <v>1104</v>
      </c>
      <c r="F414" t="s">
        <v>3860</v>
      </c>
      <c r="G414" t="s">
        <v>6675</v>
      </c>
      <c r="H414" t="s">
        <v>10634</v>
      </c>
      <c r="I414" t="s">
        <v>11385</v>
      </c>
      <c r="J414">
        <v>11209</v>
      </c>
      <c r="K414" t="s">
        <v>11447</v>
      </c>
      <c r="M414" t="s">
        <v>11601</v>
      </c>
      <c r="P414" t="s">
        <v>14795</v>
      </c>
      <c r="S414" t="s">
        <v>14827</v>
      </c>
      <c r="V414">
        <v>1700</v>
      </c>
      <c r="W414" t="s">
        <v>14859</v>
      </c>
      <c r="Z414" t="s">
        <v>15303</v>
      </c>
      <c r="AB414" t="s">
        <v>20452</v>
      </c>
      <c r="AC414">
        <v>0</v>
      </c>
      <c r="AD414" t="s">
        <v>24600</v>
      </c>
      <c r="AE414" t="s">
        <v>24611</v>
      </c>
      <c r="AF414">
        <v>30</v>
      </c>
      <c r="AG414">
        <v>1</v>
      </c>
      <c r="AH414">
        <v>0</v>
      </c>
      <c r="AI414">
        <v>144.12</v>
      </c>
      <c r="AL414" t="s">
        <v>5011</v>
      </c>
      <c r="AM414">
        <v>18000</v>
      </c>
      <c r="AS414">
        <v>1</v>
      </c>
      <c r="AT414" t="s">
        <v>537</v>
      </c>
      <c r="AU414" t="s">
        <v>25231</v>
      </c>
      <c r="AW414" t="s">
        <v>11447</v>
      </c>
    </row>
    <row r="415" spans="1:49">
      <c r="A415" s="1">
        <f>HYPERLINK("https://lsnyc.legalserver.org/matter/dynamic-profile/view/1907239","19-1907239")</f>
        <v>0</v>
      </c>
      <c r="B415" t="s">
        <v>75</v>
      </c>
      <c r="C415" t="s">
        <v>366</v>
      </c>
      <c r="E415" t="s">
        <v>1221</v>
      </c>
      <c r="F415" t="s">
        <v>3861</v>
      </c>
      <c r="G415" t="s">
        <v>6676</v>
      </c>
      <c r="H415" t="s">
        <v>10635</v>
      </c>
      <c r="I415" t="s">
        <v>11385</v>
      </c>
      <c r="J415">
        <v>11206</v>
      </c>
      <c r="K415" t="s">
        <v>11447</v>
      </c>
      <c r="M415" t="s">
        <v>14743</v>
      </c>
      <c r="P415" t="s">
        <v>14795</v>
      </c>
      <c r="Q415" t="s">
        <v>11448</v>
      </c>
      <c r="S415" t="s">
        <v>14827</v>
      </c>
      <c r="V415">
        <v>1700</v>
      </c>
      <c r="W415" t="s">
        <v>14859</v>
      </c>
      <c r="Z415" t="s">
        <v>15304</v>
      </c>
      <c r="AB415" t="s">
        <v>20453</v>
      </c>
      <c r="AC415">
        <v>8</v>
      </c>
      <c r="AD415" t="s">
        <v>11479</v>
      </c>
      <c r="AF415">
        <v>11</v>
      </c>
      <c r="AG415">
        <v>1</v>
      </c>
      <c r="AH415">
        <v>0</v>
      </c>
      <c r="AI415">
        <v>144.12</v>
      </c>
      <c r="AL415" t="s">
        <v>5011</v>
      </c>
      <c r="AM415">
        <v>18000</v>
      </c>
      <c r="AS415">
        <v>1</v>
      </c>
      <c r="AT415" t="s">
        <v>366</v>
      </c>
      <c r="AU415" t="s">
        <v>25236</v>
      </c>
      <c r="AW415" t="s">
        <v>11447</v>
      </c>
    </row>
    <row r="416" spans="1:49">
      <c r="A416" s="1">
        <f>HYPERLINK("https://lsnyc.legalserver.org/matter/dynamic-profile/view/1914155","19-1914155")</f>
        <v>0</v>
      </c>
      <c r="B416" t="s">
        <v>63</v>
      </c>
      <c r="C416" t="s">
        <v>580</v>
      </c>
      <c r="E416" t="s">
        <v>1025</v>
      </c>
      <c r="F416" t="s">
        <v>3862</v>
      </c>
      <c r="G416" t="s">
        <v>6677</v>
      </c>
      <c r="H416" t="s">
        <v>10448</v>
      </c>
      <c r="I416" t="s">
        <v>11389</v>
      </c>
      <c r="J416">
        <v>11354</v>
      </c>
      <c r="K416" t="s">
        <v>11447</v>
      </c>
      <c r="P416" t="s">
        <v>14795</v>
      </c>
      <c r="S416" t="s">
        <v>14827</v>
      </c>
      <c r="V416">
        <v>948</v>
      </c>
      <c r="W416" t="s">
        <v>14861</v>
      </c>
      <c r="Z416" t="s">
        <v>15305</v>
      </c>
      <c r="AB416" t="s">
        <v>20454</v>
      </c>
      <c r="AC416">
        <v>0</v>
      </c>
      <c r="AF416">
        <v>8</v>
      </c>
      <c r="AG416">
        <v>1</v>
      </c>
      <c r="AH416">
        <v>0</v>
      </c>
      <c r="AI416">
        <v>145.3</v>
      </c>
      <c r="AL416" t="s">
        <v>24632</v>
      </c>
      <c r="AM416">
        <v>18148</v>
      </c>
      <c r="AS416">
        <v>1.55</v>
      </c>
      <c r="AT416" t="s">
        <v>495</v>
      </c>
      <c r="AU416" t="s">
        <v>25257</v>
      </c>
      <c r="AW416" t="s">
        <v>11447</v>
      </c>
    </row>
    <row r="417" spans="1:49">
      <c r="A417" s="1">
        <f>HYPERLINK("https://lsnyc.legalserver.org/matter/dynamic-profile/view/1895391","19-1895391")</f>
        <v>0</v>
      </c>
      <c r="B417" t="s">
        <v>157</v>
      </c>
      <c r="C417" t="s">
        <v>333</v>
      </c>
      <c r="E417" t="s">
        <v>1364</v>
      </c>
      <c r="F417" t="s">
        <v>3655</v>
      </c>
      <c r="G417" t="s">
        <v>6678</v>
      </c>
      <c r="H417" t="s">
        <v>10484</v>
      </c>
      <c r="I417" t="s">
        <v>11383</v>
      </c>
      <c r="J417">
        <v>10461</v>
      </c>
      <c r="K417" t="s">
        <v>11446</v>
      </c>
      <c r="L417" t="s">
        <v>11564</v>
      </c>
      <c r="M417" t="s">
        <v>14744</v>
      </c>
      <c r="N417" t="s">
        <v>14781</v>
      </c>
      <c r="P417" t="s">
        <v>14795</v>
      </c>
      <c r="Q417" t="s">
        <v>11448</v>
      </c>
      <c r="S417" t="s">
        <v>14827</v>
      </c>
      <c r="V417">
        <v>1289</v>
      </c>
      <c r="W417" t="s">
        <v>14858</v>
      </c>
      <c r="X417" t="s">
        <v>14863</v>
      </c>
      <c r="Z417" t="s">
        <v>15306</v>
      </c>
      <c r="AB417" t="s">
        <v>20455</v>
      </c>
      <c r="AC417">
        <v>0</v>
      </c>
      <c r="AD417" t="s">
        <v>24595</v>
      </c>
      <c r="AE417" t="s">
        <v>24610</v>
      </c>
      <c r="AF417">
        <v>15</v>
      </c>
      <c r="AG417">
        <v>1</v>
      </c>
      <c r="AH417">
        <v>0</v>
      </c>
      <c r="AI417">
        <v>145.72</v>
      </c>
      <c r="AL417" t="s">
        <v>5011</v>
      </c>
      <c r="AM417">
        <v>18200</v>
      </c>
      <c r="AS417">
        <v>18.5</v>
      </c>
      <c r="AT417" t="s">
        <v>476</v>
      </c>
      <c r="AU417" t="s">
        <v>25231</v>
      </c>
      <c r="AW417" t="s">
        <v>11446</v>
      </c>
    </row>
    <row r="418" spans="1:49">
      <c r="A418" s="1">
        <f>HYPERLINK("https://lsnyc.legalserver.org/matter/dynamic-profile/view/1908648","19-1908648")</f>
        <v>0</v>
      </c>
      <c r="B418" t="s">
        <v>99</v>
      </c>
      <c r="C418" t="s">
        <v>372</v>
      </c>
      <c r="E418" t="s">
        <v>1365</v>
      </c>
      <c r="F418" t="s">
        <v>3863</v>
      </c>
      <c r="G418" t="s">
        <v>6679</v>
      </c>
      <c r="H418" t="s">
        <v>10581</v>
      </c>
      <c r="I418" t="s">
        <v>11389</v>
      </c>
      <c r="J418">
        <v>11355</v>
      </c>
      <c r="K418" t="s">
        <v>11447</v>
      </c>
      <c r="P418" t="s">
        <v>14795</v>
      </c>
      <c r="S418" t="s">
        <v>14827</v>
      </c>
      <c r="V418">
        <v>0</v>
      </c>
      <c r="W418" t="s">
        <v>14861</v>
      </c>
      <c r="Z418" t="s">
        <v>15307</v>
      </c>
      <c r="AB418" t="s">
        <v>20456</v>
      </c>
      <c r="AC418">
        <v>0</v>
      </c>
      <c r="AF418">
        <v>20</v>
      </c>
      <c r="AG418">
        <v>2</v>
      </c>
      <c r="AH418">
        <v>0</v>
      </c>
      <c r="AI418">
        <v>147.84</v>
      </c>
      <c r="AL418" t="s">
        <v>5011</v>
      </c>
      <c r="AM418">
        <v>25000</v>
      </c>
      <c r="AS418">
        <v>2.5</v>
      </c>
      <c r="AT418" t="s">
        <v>589</v>
      </c>
      <c r="AU418" t="s">
        <v>99</v>
      </c>
      <c r="AW418" t="s">
        <v>11447</v>
      </c>
    </row>
    <row r="419" spans="1:49">
      <c r="A419" s="1">
        <f>HYPERLINK("https://lsnyc.legalserver.org/matter/dynamic-profile/view/1901468","19-1901468")</f>
        <v>0</v>
      </c>
      <c r="B419" t="s">
        <v>158</v>
      </c>
      <c r="C419" t="s">
        <v>330</v>
      </c>
      <c r="E419" t="s">
        <v>1228</v>
      </c>
      <c r="F419" t="s">
        <v>3695</v>
      </c>
      <c r="G419" t="s">
        <v>6680</v>
      </c>
      <c r="H419" t="s">
        <v>10594</v>
      </c>
      <c r="I419" t="s">
        <v>11385</v>
      </c>
      <c r="J419">
        <v>11213</v>
      </c>
      <c r="K419" t="s">
        <v>11447</v>
      </c>
      <c r="L419" t="s">
        <v>11565</v>
      </c>
      <c r="M419" t="s">
        <v>14743</v>
      </c>
      <c r="N419" t="s">
        <v>14781</v>
      </c>
      <c r="P419" t="s">
        <v>14795</v>
      </c>
      <c r="Q419" t="s">
        <v>11448</v>
      </c>
      <c r="S419" t="s">
        <v>14827</v>
      </c>
      <c r="T419" t="s">
        <v>14832</v>
      </c>
      <c r="V419">
        <v>1200</v>
      </c>
      <c r="W419" t="s">
        <v>14859</v>
      </c>
      <c r="X419" t="s">
        <v>14872</v>
      </c>
      <c r="Z419" t="s">
        <v>15308</v>
      </c>
      <c r="AB419" t="s">
        <v>20457</v>
      </c>
      <c r="AC419">
        <v>0</v>
      </c>
      <c r="AD419" t="s">
        <v>24595</v>
      </c>
      <c r="AF419">
        <v>32</v>
      </c>
      <c r="AG419">
        <v>2</v>
      </c>
      <c r="AH419">
        <v>0</v>
      </c>
      <c r="AI419">
        <v>147.84</v>
      </c>
      <c r="AM419">
        <v>25000</v>
      </c>
      <c r="AS419">
        <v>43.75</v>
      </c>
      <c r="AT419" t="s">
        <v>574</v>
      </c>
      <c r="AU419" t="s">
        <v>158</v>
      </c>
      <c r="AW419" t="s">
        <v>11447</v>
      </c>
    </row>
    <row r="420" spans="1:49">
      <c r="A420" s="1">
        <f>HYPERLINK("https://lsnyc.legalserver.org/matter/dynamic-profile/view/0821421","16-0821421")</f>
        <v>0</v>
      </c>
      <c r="B420" t="s">
        <v>138</v>
      </c>
      <c r="C420" t="s">
        <v>581</v>
      </c>
      <c r="E420" t="s">
        <v>1366</v>
      </c>
      <c r="F420" t="s">
        <v>3639</v>
      </c>
      <c r="G420" t="s">
        <v>6681</v>
      </c>
      <c r="I420" t="s">
        <v>11414</v>
      </c>
      <c r="J420">
        <v>11362</v>
      </c>
      <c r="K420" t="s">
        <v>11447</v>
      </c>
      <c r="M420" t="s">
        <v>14746</v>
      </c>
      <c r="N420" t="s">
        <v>14782</v>
      </c>
      <c r="P420" t="s">
        <v>14795</v>
      </c>
      <c r="Q420" t="s">
        <v>11446</v>
      </c>
      <c r="S420" t="s">
        <v>14827</v>
      </c>
      <c r="V420">
        <v>1850</v>
      </c>
      <c r="W420" t="s">
        <v>14861</v>
      </c>
      <c r="X420" t="s">
        <v>14874</v>
      </c>
      <c r="Z420" t="s">
        <v>15309</v>
      </c>
      <c r="AB420" t="s">
        <v>20458</v>
      </c>
      <c r="AC420">
        <v>0</v>
      </c>
      <c r="AD420" t="s">
        <v>11479</v>
      </c>
      <c r="AE420" t="s">
        <v>11459</v>
      </c>
      <c r="AF420">
        <v>0</v>
      </c>
      <c r="AG420">
        <v>4</v>
      </c>
      <c r="AH420">
        <v>0</v>
      </c>
      <c r="AI420">
        <v>148.15</v>
      </c>
      <c r="AL420" t="s">
        <v>24642</v>
      </c>
      <c r="AM420">
        <v>36000</v>
      </c>
      <c r="AS420">
        <v>0.55</v>
      </c>
      <c r="AT420" t="s">
        <v>581</v>
      </c>
      <c r="AU420" t="s">
        <v>25258</v>
      </c>
      <c r="AW420" t="s">
        <v>11447</v>
      </c>
    </row>
    <row r="421" spans="1:49">
      <c r="A421" s="1">
        <f>HYPERLINK("https://lsnyc.legalserver.org/matter/dynamic-profile/view/1872479","18-1872479")</f>
        <v>0</v>
      </c>
      <c r="B421" t="s">
        <v>85</v>
      </c>
      <c r="C421" t="s">
        <v>582</v>
      </c>
      <c r="E421" t="s">
        <v>1367</v>
      </c>
      <c r="F421" t="s">
        <v>3864</v>
      </c>
      <c r="G421" t="s">
        <v>6682</v>
      </c>
      <c r="I421" t="s">
        <v>11387</v>
      </c>
      <c r="J421">
        <v>11434</v>
      </c>
      <c r="K421" t="s">
        <v>11447</v>
      </c>
      <c r="P421" t="s">
        <v>14795</v>
      </c>
      <c r="S421" t="s">
        <v>14827</v>
      </c>
      <c r="V421">
        <v>0</v>
      </c>
      <c r="W421" t="s">
        <v>14861</v>
      </c>
      <c r="Z421" t="s">
        <v>15310</v>
      </c>
      <c r="AB421" t="s">
        <v>20459</v>
      </c>
      <c r="AC421">
        <v>0</v>
      </c>
      <c r="AF421">
        <v>0</v>
      </c>
      <c r="AG421">
        <v>2</v>
      </c>
      <c r="AH421">
        <v>2</v>
      </c>
      <c r="AI421">
        <v>148.69</v>
      </c>
      <c r="AL421" t="s">
        <v>5011</v>
      </c>
      <c r="AM421">
        <v>37320</v>
      </c>
      <c r="AS421">
        <v>0.4</v>
      </c>
      <c r="AT421" t="s">
        <v>582</v>
      </c>
      <c r="AU421" t="s">
        <v>25229</v>
      </c>
      <c r="AW421" t="s">
        <v>11447</v>
      </c>
    </row>
    <row r="422" spans="1:49">
      <c r="A422" s="1">
        <f>HYPERLINK("https://lsnyc.legalserver.org/matter/dynamic-profile/view/0812374","16-0812374")</f>
        <v>0</v>
      </c>
      <c r="B422" t="s">
        <v>138</v>
      </c>
      <c r="C422" t="s">
        <v>583</v>
      </c>
      <c r="E422" t="s">
        <v>1368</v>
      </c>
      <c r="F422" t="s">
        <v>3716</v>
      </c>
      <c r="G422" t="s">
        <v>6683</v>
      </c>
      <c r="H422" t="s">
        <v>10636</v>
      </c>
      <c r="I422" t="s">
        <v>11400</v>
      </c>
      <c r="J422">
        <v>11385</v>
      </c>
      <c r="K422" t="s">
        <v>11447</v>
      </c>
      <c r="M422" t="s">
        <v>14746</v>
      </c>
      <c r="P422" t="s">
        <v>14795</v>
      </c>
      <c r="Q422" t="s">
        <v>11448</v>
      </c>
      <c r="S422" t="s">
        <v>14827</v>
      </c>
      <c r="V422">
        <v>1550</v>
      </c>
      <c r="W422" t="s">
        <v>14861</v>
      </c>
      <c r="X422" t="s">
        <v>14878</v>
      </c>
      <c r="Z422" t="s">
        <v>15311</v>
      </c>
      <c r="AC422">
        <v>4</v>
      </c>
      <c r="AD422" t="s">
        <v>11479</v>
      </c>
      <c r="AE422" t="s">
        <v>11459</v>
      </c>
      <c r="AF422">
        <v>10</v>
      </c>
      <c r="AG422">
        <v>2</v>
      </c>
      <c r="AH422">
        <v>1</v>
      </c>
      <c r="AI422">
        <v>148.81</v>
      </c>
      <c r="AL422" t="s">
        <v>5011</v>
      </c>
      <c r="AM422">
        <v>30000</v>
      </c>
      <c r="AS422">
        <v>3.1</v>
      </c>
      <c r="AT422" t="s">
        <v>25131</v>
      </c>
      <c r="AU422" t="s">
        <v>25244</v>
      </c>
      <c r="AW422" t="s">
        <v>11447</v>
      </c>
    </row>
    <row r="423" spans="1:49">
      <c r="A423" s="1">
        <f>HYPERLINK("https://lsnyc.legalserver.org/matter/dynamic-profile/view/1914566","19-1914566")</f>
        <v>0</v>
      </c>
      <c r="B423" t="s">
        <v>124</v>
      </c>
      <c r="C423" t="s">
        <v>478</v>
      </c>
      <c r="E423" t="s">
        <v>1369</v>
      </c>
      <c r="F423" t="s">
        <v>1636</v>
      </c>
      <c r="G423" t="s">
        <v>6684</v>
      </c>
      <c r="H423" t="s">
        <v>10637</v>
      </c>
      <c r="I423" t="s">
        <v>11387</v>
      </c>
      <c r="J423">
        <v>11433</v>
      </c>
      <c r="K423" t="s">
        <v>11447</v>
      </c>
      <c r="L423" t="s">
        <v>11566</v>
      </c>
      <c r="M423" t="s">
        <v>14744</v>
      </c>
      <c r="P423" t="s">
        <v>14795</v>
      </c>
      <c r="Q423" t="s">
        <v>11448</v>
      </c>
      <c r="S423" t="s">
        <v>14827</v>
      </c>
      <c r="V423">
        <v>1590</v>
      </c>
      <c r="W423" t="s">
        <v>14861</v>
      </c>
      <c r="X423" t="s">
        <v>14865</v>
      </c>
      <c r="Z423" t="s">
        <v>15312</v>
      </c>
      <c r="AB423" t="s">
        <v>20460</v>
      </c>
      <c r="AC423">
        <v>2</v>
      </c>
      <c r="AD423" t="s">
        <v>11479</v>
      </c>
      <c r="AE423" t="s">
        <v>24610</v>
      </c>
      <c r="AF423">
        <v>6</v>
      </c>
      <c r="AG423">
        <v>1</v>
      </c>
      <c r="AH423">
        <v>3</v>
      </c>
      <c r="AI423">
        <v>149.83</v>
      </c>
      <c r="AL423" t="s">
        <v>5011</v>
      </c>
      <c r="AM423">
        <v>38580</v>
      </c>
      <c r="AS423">
        <v>2.35</v>
      </c>
      <c r="AT423" t="s">
        <v>516</v>
      </c>
      <c r="AU423" t="s">
        <v>25233</v>
      </c>
      <c r="AW423" t="s">
        <v>11447</v>
      </c>
    </row>
    <row r="424" spans="1:49">
      <c r="A424" s="1">
        <f>HYPERLINK("https://lsnyc.legalserver.org/matter/dynamic-profile/view/1888168","19-1888168")</f>
        <v>0</v>
      </c>
      <c r="B424" t="s">
        <v>75</v>
      </c>
      <c r="C424" t="s">
        <v>584</v>
      </c>
      <c r="E424" t="s">
        <v>1370</v>
      </c>
      <c r="F424" t="s">
        <v>3865</v>
      </c>
      <c r="G424" t="s">
        <v>6685</v>
      </c>
      <c r="H424" t="s">
        <v>10500</v>
      </c>
      <c r="I424" t="s">
        <v>11385</v>
      </c>
      <c r="J424">
        <v>11211</v>
      </c>
      <c r="K424" t="s">
        <v>11447</v>
      </c>
      <c r="L424" t="s">
        <v>11567</v>
      </c>
      <c r="P424" t="s">
        <v>14795</v>
      </c>
      <c r="S424" t="s">
        <v>14827</v>
      </c>
      <c r="V424">
        <v>732.78</v>
      </c>
      <c r="W424" t="s">
        <v>14859</v>
      </c>
      <c r="X424" t="s">
        <v>14876</v>
      </c>
      <c r="Z424" t="s">
        <v>15313</v>
      </c>
      <c r="AB424" t="s">
        <v>20461</v>
      </c>
      <c r="AC424">
        <v>6</v>
      </c>
      <c r="AD424" t="s">
        <v>24595</v>
      </c>
      <c r="AE424" t="s">
        <v>11459</v>
      </c>
      <c r="AF424">
        <v>34</v>
      </c>
      <c r="AG424">
        <v>1</v>
      </c>
      <c r="AH424">
        <v>0</v>
      </c>
      <c r="AI424">
        <v>149.92</v>
      </c>
      <c r="AL424" t="s">
        <v>5011</v>
      </c>
      <c r="AM424">
        <v>18200.04</v>
      </c>
      <c r="AS424">
        <v>1.6</v>
      </c>
      <c r="AT424" t="s">
        <v>683</v>
      </c>
      <c r="AU424" t="s">
        <v>25225</v>
      </c>
      <c r="AW424" t="s">
        <v>11447</v>
      </c>
    </row>
    <row r="425" spans="1:49">
      <c r="A425" s="1">
        <f>HYPERLINK("https://lsnyc.legalserver.org/matter/dynamic-profile/view/1915240","19-1915240")</f>
        <v>0</v>
      </c>
      <c r="B425" t="s">
        <v>67</v>
      </c>
      <c r="C425" t="s">
        <v>509</v>
      </c>
      <c r="E425" t="s">
        <v>1371</v>
      </c>
      <c r="F425" t="s">
        <v>3866</v>
      </c>
      <c r="G425" t="s">
        <v>6686</v>
      </c>
      <c r="H425" t="s">
        <v>10501</v>
      </c>
      <c r="I425" t="s">
        <v>11383</v>
      </c>
      <c r="J425">
        <v>10457</v>
      </c>
      <c r="K425" t="s">
        <v>11447</v>
      </c>
      <c r="P425" t="s">
        <v>14795</v>
      </c>
      <c r="S425" t="s">
        <v>14827</v>
      </c>
      <c r="V425">
        <v>0</v>
      </c>
      <c r="W425" t="s">
        <v>14858</v>
      </c>
      <c r="Z425" t="s">
        <v>15314</v>
      </c>
      <c r="AB425" t="s">
        <v>20462</v>
      </c>
      <c r="AC425">
        <v>0</v>
      </c>
      <c r="AF425">
        <v>0</v>
      </c>
      <c r="AG425">
        <v>1</v>
      </c>
      <c r="AH425">
        <v>1</v>
      </c>
      <c r="AI425">
        <v>150.99</v>
      </c>
      <c r="AL425" t="s">
        <v>24632</v>
      </c>
      <c r="AM425">
        <v>25532</v>
      </c>
      <c r="AS425">
        <v>0.4</v>
      </c>
      <c r="AT425" t="s">
        <v>509</v>
      </c>
      <c r="AU425" t="s">
        <v>25229</v>
      </c>
      <c r="AW425" t="s">
        <v>11447</v>
      </c>
    </row>
    <row r="426" spans="1:49">
      <c r="A426" s="1">
        <f>HYPERLINK("https://lsnyc.legalserver.org/matter/dynamic-profile/view/1908805","19-1908805")</f>
        <v>0</v>
      </c>
      <c r="B426" t="s">
        <v>55</v>
      </c>
      <c r="C426" t="s">
        <v>585</v>
      </c>
      <c r="E426" t="s">
        <v>1145</v>
      </c>
      <c r="F426" t="s">
        <v>3867</v>
      </c>
      <c r="G426" t="s">
        <v>6687</v>
      </c>
      <c r="H426" t="s">
        <v>10589</v>
      </c>
      <c r="I426" t="s">
        <v>11386</v>
      </c>
      <c r="J426">
        <v>10040</v>
      </c>
      <c r="K426" t="s">
        <v>11447</v>
      </c>
      <c r="P426" t="s">
        <v>14795</v>
      </c>
      <c r="S426" t="s">
        <v>14827</v>
      </c>
      <c r="V426">
        <v>2500</v>
      </c>
      <c r="W426" t="s">
        <v>14860</v>
      </c>
      <c r="Z426" t="s">
        <v>15315</v>
      </c>
      <c r="AB426" t="s">
        <v>20463</v>
      </c>
      <c r="AC426">
        <v>50</v>
      </c>
      <c r="AF426">
        <v>4</v>
      </c>
      <c r="AG426">
        <v>1</v>
      </c>
      <c r="AH426">
        <v>0</v>
      </c>
      <c r="AI426">
        <v>152.12</v>
      </c>
      <c r="AL426" t="s">
        <v>5011</v>
      </c>
      <c r="AM426">
        <v>19000</v>
      </c>
      <c r="AS426">
        <v>1.2</v>
      </c>
      <c r="AT426" t="s">
        <v>471</v>
      </c>
      <c r="AU426" t="s">
        <v>25227</v>
      </c>
      <c r="AW426" t="s">
        <v>11447</v>
      </c>
    </row>
    <row r="427" spans="1:49">
      <c r="A427" s="1">
        <f>HYPERLINK("https://lsnyc.legalserver.org/matter/dynamic-profile/view/1887210","19-1887210")</f>
        <v>0</v>
      </c>
      <c r="B427" t="s">
        <v>116</v>
      </c>
      <c r="C427" t="s">
        <v>544</v>
      </c>
      <c r="E427" t="s">
        <v>1372</v>
      </c>
      <c r="F427" t="s">
        <v>3868</v>
      </c>
      <c r="G427" t="s">
        <v>6688</v>
      </c>
      <c r="H427" t="s">
        <v>10468</v>
      </c>
      <c r="I427" t="s">
        <v>11383</v>
      </c>
      <c r="J427">
        <v>10453</v>
      </c>
      <c r="K427" t="s">
        <v>11447</v>
      </c>
      <c r="L427" t="s">
        <v>11568</v>
      </c>
      <c r="M427" t="s">
        <v>14743</v>
      </c>
      <c r="P427" t="s">
        <v>14795</v>
      </c>
      <c r="S427" t="s">
        <v>14827</v>
      </c>
      <c r="V427">
        <v>1675</v>
      </c>
      <c r="W427" t="s">
        <v>14858</v>
      </c>
      <c r="X427" t="s">
        <v>14872</v>
      </c>
      <c r="Z427" t="s">
        <v>15316</v>
      </c>
      <c r="AB427" t="s">
        <v>20464</v>
      </c>
      <c r="AC427">
        <v>20</v>
      </c>
      <c r="AD427" t="s">
        <v>24595</v>
      </c>
      <c r="AE427" t="s">
        <v>11459</v>
      </c>
      <c r="AF427">
        <v>3</v>
      </c>
      <c r="AG427">
        <v>2</v>
      </c>
      <c r="AH427">
        <v>0</v>
      </c>
      <c r="AI427">
        <v>152.25</v>
      </c>
      <c r="AL427" t="s">
        <v>24632</v>
      </c>
      <c r="AM427">
        <v>25060</v>
      </c>
      <c r="AN427" t="s">
        <v>24699</v>
      </c>
      <c r="AS427">
        <v>1</v>
      </c>
      <c r="AT427" t="s">
        <v>544</v>
      </c>
      <c r="AU427" t="s">
        <v>25233</v>
      </c>
      <c r="AW427" t="s">
        <v>11447</v>
      </c>
    </row>
    <row r="428" spans="1:49">
      <c r="A428" s="1">
        <f>HYPERLINK("https://lsnyc.legalserver.org/matter/dynamic-profile/view/1911673","19-1911673")</f>
        <v>0</v>
      </c>
      <c r="B428" t="s">
        <v>58</v>
      </c>
      <c r="C428" t="s">
        <v>505</v>
      </c>
      <c r="E428" t="s">
        <v>1373</v>
      </c>
      <c r="F428" t="s">
        <v>3869</v>
      </c>
      <c r="G428" t="s">
        <v>6689</v>
      </c>
      <c r="I428" t="s">
        <v>11415</v>
      </c>
      <c r="J428">
        <v>11356</v>
      </c>
      <c r="K428" t="s">
        <v>11447</v>
      </c>
      <c r="P428" t="s">
        <v>14795</v>
      </c>
      <c r="S428" t="s">
        <v>14829</v>
      </c>
      <c r="V428">
        <v>0</v>
      </c>
      <c r="W428" t="s">
        <v>14861</v>
      </c>
      <c r="Z428" t="s">
        <v>15317</v>
      </c>
      <c r="AB428" t="s">
        <v>20465</v>
      </c>
      <c r="AC428">
        <v>0</v>
      </c>
      <c r="AF428">
        <v>0</v>
      </c>
      <c r="AG428">
        <v>1</v>
      </c>
      <c r="AH428">
        <v>0</v>
      </c>
      <c r="AI428">
        <v>152.28</v>
      </c>
      <c r="AL428" t="s">
        <v>5011</v>
      </c>
      <c r="AM428">
        <v>19020</v>
      </c>
      <c r="AS428">
        <v>2.5</v>
      </c>
      <c r="AT428" t="s">
        <v>491</v>
      </c>
      <c r="AU428" t="s">
        <v>25234</v>
      </c>
      <c r="AW428" t="s">
        <v>11447</v>
      </c>
    </row>
    <row r="429" spans="1:49">
      <c r="A429" s="1">
        <f>HYPERLINK("https://lsnyc.legalserver.org/matter/dynamic-profile/view/1902887","19-1902887")</f>
        <v>0</v>
      </c>
      <c r="B429" t="s">
        <v>75</v>
      </c>
      <c r="C429" t="s">
        <v>343</v>
      </c>
      <c r="E429" t="s">
        <v>1374</v>
      </c>
      <c r="F429" t="s">
        <v>3870</v>
      </c>
      <c r="G429" t="s">
        <v>6690</v>
      </c>
      <c r="H429" t="s">
        <v>10638</v>
      </c>
      <c r="I429" t="s">
        <v>11385</v>
      </c>
      <c r="J429">
        <v>11237</v>
      </c>
      <c r="K429" t="s">
        <v>11447</v>
      </c>
      <c r="P429" t="s">
        <v>14795</v>
      </c>
      <c r="S429" t="s">
        <v>14827</v>
      </c>
      <c r="V429">
        <v>819</v>
      </c>
      <c r="W429" t="s">
        <v>14859</v>
      </c>
      <c r="Z429" t="s">
        <v>15318</v>
      </c>
      <c r="AB429" t="s">
        <v>20466</v>
      </c>
      <c r="AC429">
        <v>6</v>
      </c>
      <c r="AE429" t="s">
        <v>11459</v>
      </c>
      <c r="AF429">
        <v>28</v>
      </c>
      <c r="AG429">
        <v>3</v>
      </c>
      <c r="AH429">
        <v>1</v>
      </c>
      <c r="AI429">
        <v>153.48</v>
      </c>
      <c r="AL429" t="s">
        <v>5011</v>
      </c>
      <c r="AM429">
        <v>39519.96</v>
      </c>
      <c r="AS429">
        <v>1</v>
      </c>
      <c r="AT429" t="s">
        <v>343</v>
      </c>
      <c r="AU429" t="s">
        <v>25225</v>
      </c>
      <c r="AW429" t="s">
        <v>11447</v>
      </c>
    </row>
    <row r="430" spans="1:49">
      <c r="A430" s="1">
        <f>HYPERLINK("https://lsnyc.legalserver.org/matter/dynamic-profile/view/1912000","19-1912000")</f>
        <v>0</v>
      </c>
      <c r="B430" t="s">
        <v>131</v>
      </c>
      <c r="C430" t="s">
        <v>586</v>
      </c>
      <c r="E430" t="s">
        <v>1375</v>
      </c>
      <c r="F430" t="s">
        <v>3871</v>
      </c>
      <c r="G430" t="s">
        <v>6691</v>
      </c>
      <c r="H430" t="s">
        <v>10468</v>
      </c>
      <c r="I430" t="s">
        <v>11385</v>
      </c>
      <c r="J430">
        <v>11225</v>
      </c>
      <c r="K430" t="s">
        <v>11447</v>
      </c>
      <c r="P430" t="s">
        <v>14795</v>
      </c>
      <c r="S430" t="s">
        <v>14827</v>
      </c>
      <c r="V430">
        <v>134</v>
      </c>
      <c r="W430" t="s">
        <v>14859</v>
      </c>
      <c r="Z430" t="s">
        <v>15319</v>
      </c>
      <c r="AB430" t="s">
        <v>20467</v>
      </c>
      <c r="AC430">
        <v>92</v>
      </c>
      <c r="AD430" t="s">
        <v>24599</v>
      </c>
      <c r="AF430">
        <v>20</v>
      </c>
      <c r="AG430">
        <v>1</v>
      </c>
      <c r="AH430">
        <v>0</v>
      </c>
      <c r="AI430">
        <v>153.72</v>
      </c>
      <c r="AL430" t="s">
        <v>5011</v>
      </c>
      <c r="AM430">
        <v>19200</v>
      </c>
      <c r="AS430">
        <v>1</v>
      </c>
      <c r="AT430" t="s">
        <v>586</v>
      </c>
      <c r="AU430" t="s">
        <v>25237</v>
      </c>
      <c r="AW430" t="s">
        <v>11447</v>
      </c>
    </row>
    <row r="431" spans="1:49">
      <c r="A431" s="1">
        <f>HYPERLINK("https://lsnyc.legalserver.org/matter/dynamic-profile/view/1904261","19-1904261")</f>
        <v>0</v>
      </c>
      <c r="B431" t="s">
        <v>75</v>
      </c>
      <c r="C431" t="s">
        <v>332</v>
      </c>
      <c r="E431" t="s">
        <v>1376</v>
      </c>
      <c r="F431" t="s">
        <v>3872</v>
      </c>
      <c r="G431" t="s">
        <v>6692</v>
      </c>
      <c r="H431" t="s">
        <v>10542</v>
      </c>
      <c r="I431" t="s">
        <v>11385</v>
      </c>
      <c r="J431">
        <v>11226</v>
      </c>
      <c r="K431" t="s">
        <v>11447</v>
      </c>
      <c r="L431">
        <v>88696</v>
      </c>
      <c r="M431" t="s">
        <v>14744</v>
      </c>
      <c r="P431" t="s">
        <v>14795</v>
      </c>
      <c r="Q431" t="s">
        <v>11448</v>
      </c>
      <c r="S431" t="s">
        <v>14827</v>
      </c>
      <c r="V431">
        <v>1532</v>
      </c>
      <c r="W431" t="s">
        <v>14859</v>
      </c>
      <c r="X431" t="s">
        <v>14863</v>
      </c>
      <c r="Z431" t="s">
        <v>15320</v>
      </c>
      <c r="AB431" t="s">
        <v>20468</v>
      </c>
      <c r="AC431">
        <v>54</v>
      </c>
      <c r="AD431" t="s">
        <v>11479</v>
      </c>
      <c r="AE431" t="s">
        <v>11459</v>
      </c>
      <c r="AF431">
        <v>10</v>
      </c>
      <c r="AG431">
        <v>1</v>
      </c>
      <c r="AH431">
        <v>2</v>
      </c>
      <c r="AI431">
        <v>154.71</v>
      </c>
      <c r="AL431" t="s">
        <v>5011</v>
      </c>
      <c r="AM431">
        <v>33000</v>
      </c>
      <c r="AS431">
        <v>0.95</v>
      </c>
      <c r="AT431" t="s">
        <v>593</v>
      </c>
      <c r="AU431" t="s">
        <v>25236</v>
      </c>
      <c r="AW431" t="s">
        <v>11447</v>
      </c>
    </row>
    <row r="432" spans="1:49">
      <c r="A432" s="1">
        <f>HYPERLINK("https://lsnyc.legalserver.org/matter/dynamic-profile/view/1912543","19-1912543")</f>
        <v>0</v>
      </c>
      <c r="B432" t="s">
        <v>63</v>
      </c>
      <c r="C432" t="s">
        <v>472</v>
      </c>
      <c r="E432" t="s">
        <v>1043</v>
      </c>
      <c r="F432" t="s">
        <v>3873</v>
      </c>
      <c r="G432" t="s">
        <v>6693</v>
      </c>
      <c r="H432" t="s">
        <v>10639</v>
      </c>
      <c r="I432" t="s">
        <v>11391</v>
      </c>
      <c r="J432">
        <v>11691</v>
      </c>
      <c r="K432" t="s">
        <v>11447</v>
      </c>
      <c r="P432" t="s">
        <v>14795</v>
      </c>
      <c r="S432" t="s">
        <v>14827</v>
      </c>
      <c r="V432">
        <v>800</v>
      </c>
      <c r="W432" t="s">
        <v>14861</v>
      </c>
      <c r="X432" t="s">
        <v>14866</v>
      </c>
      <c r="Z432" t="s">
        <v>15321</v>
      </c>
      <c r="AB432" t="s">
        <v>20469</v>
      </c>
      <c r="AC432">
        <v>3</v>
      </c>
      <c r="AF432">
        <v>2</v>
      </c>
      <c r="AG432">
        <v>1</v>
      </c>
      <c r="AH432">
        <v>0</v>
      </c>
      <c r="AI432">
        <v>155.77</v>
      </c>
      <c r="AL432" t="s">
        <v>5011</v>
      </c>
      <c r="AM432">
        <v>19456</v>
      </c>
      <c r="AS432">
        <v>0.5</v>
      </c>
      <c r="AT432" t="s">
        <v>472</v>
      </c>
      <c r="AU432" t="s">
        <v>25238</v>
      </c>
      <c r="AW432" t="s">
        <v>11447</v>
      </c>
    </row>
    <row r="433" spans="1:49">
      <c r="A433" s="1">
        <f>HYPERLINK("https://lsnyc.legalserver.org/matter/dynamic-profile/view/1914016","19-1914016")</f>
        <v>0</v>
      </c>
      <c r="B433" t="s">
        <v>63</v>
      </c>
      <c r="C433" t="s">
        <v>490</v>
      </c>
      <c r="E433" t="s">
        <v>1377</v>
      </c>
      <c r="F433" t="s">
        <v>3874</v>
      </c>
      <c r="G433" t="s">
        <v>6694</v>
      </c>
      <c r="H433">
        <v>508</v>
      </c>
      <c r="I433" t="s">
        <v>11412</v>
      </c>
      <c r="J433">
        <v>11101</v>
      </c>
      <c r="K433" t="s">
        <v>11447</v>
      </c>
      <c r="P433" t="s">
        <v>14795</v>
      </c>
      <c r="S433" t="s">
        <v>14827</v>
      </c>
      <c r="V433">
        <v>850</v>
      </c>
      <c r="W433" t="s">
        <v>14861</v>
      </c>
      <c r="Z433" t="s">
        <v>15322</v>
      </c>
      <c r="AB433" t="s">
        <v>20470</v>
      </c>
      <c r="AC433">
        <v>100</v>
      </c>
      <c r="AF433">
        <v>2</v>
      </c>
      <c r="AG433">
        <v>1</v>
      </c>
      <c r="AH433">
        <v>0</v>
      </c>
      <c r="AI433">
        <v>156.96</v>
      </c>
      <c r="AL433" t="s">
        <v>5011</v>
      </c>
      <c r="AM433">
        <v>19604</v>
      </c>
      <c r="AS433">
        <v>1</v>
      </c>
      <c r="AT433" t="s">
        <v>490</v>
      </c>
      <c r="AU433" t="s">
        <v>25257</v>
      </c>
      <c r="AW433" t="s">
        <v>11447</v>
      </c>
    </row>
    <row r="434" spans="1:49">
      <c r="A434" s="1">
        <f>HYPERLINK("https://lsnyc.legalserver.org/matter/dynamic-profile/view/1913445","19-1913445")</f>
        <v>0</v>
      </c>
      <c r="B434" t="s">
        <v>159</v>
      </c>
      <c r="C434" t="s">
        <v>484</v>
      </c>
      <c r="E434" t="s">
        <v>1378</v>
      </c>
      <c r="F434" t="s">
        <v>3875</v>
      </c>
      <c r="G434" t="s">
        <v>6695</v>
      </c>
      <c r="H434">
        <v>12</v>
      </c>
      <c r="I434" t="s">
        <v>11383</v>
      </c>
      <c r="J434">
        <v>10457</v>
      </c>
      <c r="K434" t="s">
        <v>11446</v>
      </c>
      <c r="L434" t="s">
        <v>11569</v>
      </c>
      <c r="M434" t="s">
        <v>14744</v>
      </c>
      <c r="N434" t="s">
        <v>14782</v>
      </c>
      <c r="P434" t="s">
        <v>14795</v>
      </c>
      <c r="Q434" t="s">
        <v>11448</v>
      </c>
      <c r="S434" t="s">
        <v>14827</v>
      </c>
      <c r="V434">
        <v>805</v>
      </c>
      <c r="W434" t="s">
        <v>14858</v>
      </c>
      <c r="Z434" t="s">
        <v>15323</v>
      </c>
      <c r="AB434" t="s">
        <v>20471</v>
      </c>
      <c r="AC434">
        <v>15</v>
      </c>
      <c r="AD434" t="s">
        <v>11479</v>
      </c>
      <c r="AE434" t="s">
        <v>11459</v>
      </c>
      <c r="AF434">
        <v>10</v>
      </c>
      <c r="AG434">
        <v>1</v>
      </c>
      <c r="AH434">
        <v>0</v>
      </c>
      <c r="AI434">
        <v>156.96</v>
      </c>
      <c r="AL434" t="s">
        <v>5011</v>
      </c>
      <c r="AM434">
        <v>19604</v>
      </c>
      <c r="AS434">
        <v>0.25</v>
      </c>
      <c r="AT434" t="s">
        <v>476</v>
      </c>
      <c r="AU434" t="s">
        <v>245</v>
      </c>
      <c r="AW434" t="s">
        <v>11447</v>
      </c>
    </row>
    <row r="435" spans="1:49">
      <c r="A435" s="1">
        <f>HYPERLINK("https://lsnyc.legalserver.org/matter/dynamic-profile/view/1913338","19-1913338")</f>
        <v>0</v>
      </c>
      <c r="B435" t="s">
        <v>75</v>
      </c>
      <c r="C435" t="s">
        <v>483</v>
      </c>
      <c r="E435" t="s">
        <v>1379</v>
      </c>
      <c r="F435" t="s">
        <v>3709</v>
      </c>
      <c r="G435" t="s">
        <v>6696</v>
      </c>
      <c r="H435" t="s">
        <v>10480</v>
      </c>
      <c r="I435" t="s">
        <v>11385</v>
      </c>
      <c r="J435">
        <v>11226</v>
      </c>
      <c r="K435" t="s">
        <v>11447</v>
      </c>
      <c r="P435" t="s">
        <v>14795</v>
      </c>
      <c r="S435" t="s">
        <v>14827</v>
      </c>
      <c r="V435">
        <v>1307</v>
      </c>
      <c r="W435" t="s">
        <v>14859</v>
      </c>
      <c r="Z435" t="s">
        <v>15324</v>
      </c>
      <c r="AC435">
        <v>72</v>
      </c>
      <c r="AF435">
        <v>1</v>
      </c>
      <c r="AG435">
        <v>1</v>
      </c>
      <c r="AH435">
        <v>0</v>
      </c>
      <c r="AI435">
        <v>160.13</v>
      </c>
      <c r="AL435" t="s">
        <v>5011</v>
      </c>
      <c r="AM435">
        <v>20000</v>
      </c>
      <c r="AS435">
        <v>0.8</v>
      </c>
      <c r="AT435" t="s">
        <v>483</v>
      </c>
      <c r="AU435" t="s">
        <v>25227</v>
      </c>
      <c r="AW435" t="s">
        <v>11447</v>
      </c>
    </row>
    <row r="436" spans="1:49">
      <c r="A436" s="1">
        <f>HYPERLINK("https://lsnyc.legalserver.org/matter/dynamic-profile/view/1913597","19-1913597")</f>
        <v>0</v>
      </c>
      <c r="B436" t="s">
        <v>75</v>
      </c>
      <c r="C436" t="s">
        <v>477</v>
      </c>
      <c r="E436" t="s">
        <v>1380</v>
      </c>
      <c r="F436" t="s">
        <v>3876</v>
      </c>
      <c r="G436" t="s">
        <v>6697</v>
      </c>
      <c r="H436" t="s">
        <v>10481</v>
      </c>
      <c r="I436" t="s">
        <v>11385</v>
      </c>
      <c r="J436">
        <v>11226</v>
      </c>
      <c r="K436" t="s">
        <v>11447</v>
      </c>
      <c r="P436" t="s">
        <v>14795</v>
      </c>
      <c r="S436" t="s">
        <v>14827</v>
      </c>
      <c r="V436">
        <v>1875</v>
      </c>
      <c r="W436" t="s">
        <v>14859</v>
      </c>
      <c r="Z436" t="s">
        <v>15325</v>
      </c>
      <c r="AB436" t="s">
        <v>20472</v>
      </c>
      <c r="AC436">
        <v>100</v>
      </c>
      <c r="AF436">
        <v>2</v>
      </c>
      <c r="AG436">
        <v>1</v>
      </c>
      <c r="AH436">
        <v>0</v>
      </c>
      <c r="AI436">
        <v>160.13</v>
      </c>
      <c r="AL436" t="s">
        <v>5011</v>
      </c>
      <c r="AM436">
        <v>20000</v>
      </c>
      <c r="AS436">
        <v>2</v>
      </c>
      <c r="AT436" t="s">
        <v>506</v>
      </c>
      <c r="AU436" t="s">
        <v>25227</v>
      </c>
      <c r="AW436" t="s">
        <v>11447</v>
      </c>
    </row>
    <row r="437" spans="1:49">
      <c r="A437" s="1">
        <f>HYPERLINK("https://lsnyc.legalserver.org/matter/dynamic-profile/view/1914356","19-1914356")</f>
        <v>0</v>
      </c>
      <c r="B437" t="s">
        <v>156</v>
      </c>
      <c r="C437" t="s">
        <v>506</v>
      </c>
      <c r="E437" t="s">
        <v>1216</v>
      </c>
      <c r="F437" t="s">
        <v>2982</v>
      </c>
      <c r="G437" t="s">
        <v>6698</v>
      </c>
      <c r="H437" t="s">
        <v>10640</v>
      </c>
      <c r="I437" t="s">
        <v>11386</v>
      </c>
      <c r="J437">
        <v>10028</v>
      </c>
      <c r="K437" t="s">
        <v>11447</v>
      </c>
      <c r="P437" t="s">
        <v>14795</v>
      </c>
      <c r="S437" t="s">
        <v>14827</v>
      </c>
      <c r="V437">
        <v>2500</v>
      </c>
      <c r="W437" t="s">
        <v>14860</v>
      </c>
      <c r="X437" t="s">
        <v>14755</v>
      </c>
      <c r="Z437" t="s">
        <v>15326</v>
      </c>
      <c r="AB437" t="s">
        <v>20473</v>
      </c>
      <c r="AC437">
        <v>800</v>
      </c>
      <c r="AF437">
        <v>18</v>
      </c>
      <c r="AG437">
        <v>1</v>
      </c>
      <c r="AH437">
        <v>0</v>
      </c>
      <c r="AI437">
        <v>160.13</v>
      </c>
      <c r="AL437" t="s">
        <v>5011</v>
      </c>
      <c r="AM437">
        <v>20000</v>
      </c>
      <c r="AS437">
        <v>0.6</v>
      </c>
      <c r="AT437" t="s">
        <v>495</v>
      </c>
      <c r="AU437" t="s">
        <v>25247</v>
      </c>
      <c r="AW437" t="s">
        <v>11447</v>
      </c>
    </row>
    <row r="438" spans="1:49">
      <c r="A438" s="1">
        <f>HYPERLINK("https://lsnyc.legalserver.org/matter/dynamic-profile/view/1908766","19-1908766")</f>
        <v>0</v>
      </c>
      <c r="B438" t="s">
        <v>160</v>
      </c>
      <c r="C438" t="s">
        <v>585</v>
      </c>
      <c r="E438" t="s">
        <v>1381</v>
      </c>
      <c r="F438" t="s">
        <v>3877</v>
      </c>
      <c r="G438" t="s">
        <v>6699</v>
      </c>
      <c r="H438" t="s">
        <v>10527</v>
      </c>
      <c r="I438" t="s">
        <v>11383</v>
      </c>
      <c r="J438">
        <v>10452</v>
      </c>
      <c r="K438" t="s">
        <v>11447</v>
      </c>
      <c r="P438" t="s">
        <v>14795</v>
      </c>
      <c r="S438" t="s">
        <v>14829</v>
      </c>
      <c r="V438">
        <v>0</v>
      </c>
      <c r="W438" t="s">
        <v>14858</v>
      </c>
      <c r="Z438" t="s">
        <v>15327</v>
      </c>
      <c r="AB438" t="s">
        <v>20474</v>
      </c>
      <c r="AC438">
        <v>0</v>
      </c>
      <c r="AF438">
        <v>0</v>
      </c>
      <c r="AG438">
        <v>1</v>
      </c>
      <c r="AH438">
        <v>0</v>
      </c>
      <c r="AI438">
        <v>163.33</v>
      </c>
      <c r="AL438" t="s">
        <v>5011</v>
      </c>
      <c r="AM438">
        <v>20400</v>
      </c>
      <c r="AS438">
        <v>0.4</v>
      </c>
      <c r="AT438" t="s">
        <v>602</v>
      </c>
      <c r="AU438" t="s">
        <v>25263</v>
      </c>
      <c r="AW438" t="s">
        <v>11447</v>
      </c>
    </row>
    <row r="439" spans="1:49">
      <c r="A439" s="1">
        <f>HYPERLINK("https://lsnyc.legalserver.org/matter/dynamic-profile/view/0809904","16-0809904")</f>
        <v>0</v>
      </c>
      <c r="B439" t="s">
        <v>138</v>
      </c>
      <c r="C439" t="s">
        <v>587</v>
      </c>
      <c r="E439" t="s">
        <v>1382</v>
      </c>
      <c r="F439" t="s">
        <v>3878</v>
      </c>
      <c r="G439" t="s">
        <v>6700</v>
      </c>
      <c r="I439" t="s">
        <v>11387</v>
      </c>
      <c r="J439">
        <v>11431</v>
      </c>
      <c r="K439" t="s">
        <v>11447</v>
      </c>
      <c r="P439" t="s">
        <v>14795</v>
      </c>
      <c r="Q439" t="s">
        <v>11448</v>
      </c>
      <c r="S439" t="s">
        <v>14827</v>
      </c>
      <c r="V439">
        <v>1140.82</v>
      </c>
      <c r="W439" t="s">
        <v>14861</v>
      </c>
      <c r="X439" t="s">
        <v>14873</v>
      </c>
      <c r="Z439" t="s">
        <v>15328</v>
      </c>
      <c r="AB439" t="s">
        <v>20475</v>
      </c>
      <c r="AC439">
        <v>54</v>
      </c>
      <c r="AD439" t="s">
        <v>24595</v>
      </c>
      <c r="AE439" t="s">
        <v>11459</v>
      </c>
      <c r="AF439">
        <v>32</v>
      </c>
      <c r="AG439">
        <v>1</v>
      </c>
      <c r="AH439">
        <v>0</v>
      </c>
      <c r="AI439">
        <v>163.74</v>
      </c>
      <c r="AL439" t="s">
        <v>5011</v>
      </c>
      <c r="AM439">
        <v>19452</v>
      </c>
      <c r="AS439">
        <v>0.4</v>
      </c>
      <c r="AT439" t="s">
        <v>685</v>
      </c>
      <c r="AU439" t="s">
        <v>25262</v>
      </c>
      <c r="AW439" t="s">
        <v>11447</v>
      </c>
    </row>
    <row r="440" spans="1:49">
      <c r="A440" s="1">
        <f>HYPERLINK("https://lsnyc.legalserver.org/matter/dynamic-profile/view/1889122","19-1889122")</f>
        <v>0</v>
      </c>
      <c r="B440" t="s">
        <v>140</v>
      </c>
      <c r="C440" t="s">
        <v>588</v>
      </c>
      <c r="E440" t="s">
        <v>1383</v>
      </c>
      <c r="F440" t="s">
        <v>3879</v>
      </c>
      <c r="G440" t="s">
        <v>6701</v>
      </c>
      <c r="H440">
        <v>19</v>
      </c>
      <c r="I440" t="s">
        <v>11383</v>
      </c>
      <c r="J440">
        <v>10460</v>
      </c>
      <c r="K440" t="s">
        <v>11447</v>
      </c>
      <c r="P440" t="s">
        <v>14795</v>
      </c>
      <c r="S440" t="s">
        <v>14827</v>
      </c>
      <c r="V440">
        <v>1496</v>
      </c>
      <c r="W440" t="s">
        <v>14858</v>
      </c>
      <c r="Z440" t="s">
        <v>15329</v>
      </c>
      <c r="AB440" t="s">
        <v>20476</v>
      </c>
      <c r="AC440">
        <v>25</v>
      </c>
      <c r="AD440" t="s">
        <v>24596</v>
      </c>
      <c r="AF440">
        <v>3</v>
      </c>
      <c r="AG440">
        <v>1</v>
      </c>
      <c r="AH440">
        <v>1</v>
      </c>
      <c r="AI440">
        <v>165.58</v>
      </c>
      <c r="AL440" t="s">
        <v>5011</v>
      </c>
      <c r="AM440">
        <v>28000</v>
      </c>
      <c r="AS440">
        <v>1.1</v>
      </c>
      <c r="AT440" t="s">
        <v>690</v>
      </c>
      <c r="AU440" t="s">
        <v>25227</v>
      </c>
      <c r="AW440" t="s">
        <v>11447</v>
      </c>
    </row>
    <row r="441" spans="1:49">
      <c r="A441" s="1">
        <f>HYPERLINK("https://lsnyc.legalserver.org/matter/dynamic-profile/view/1901457","19-1901457")</f>
        <v>0</v>
      </c>
      <c r="B441" t="s">
        <v>136</v>
      </c>
      <c r="C441" t="s">
        <v>330</v>
      </c>
      <c r="E441" t="s">
        <v>1384</v>
      </c>
      <c r="F441" t="s">
        <v>3880</v>
      </c>
      <c r="G441" t="s">
        <v>6702</v>
      </c>
      <c r="H441" t="s">
        <v>10641</v>
      </c>
      <c r="I441" t="s">
        <v>11385</v>
      </c>
      <c r="J441">
        <v>11203</v>
      </c>
      <c r="K441" t="s">
        <v>11447</v>
      </c>
      <c r="L441" t="s">
        <v>11570</v>
      </c>
      <c r="M441" t="s">
        <v>14744</v>
      </c>
      <c r="P441" t="s">
        <v>14795</v>
      </c>
      <c r="S441" t="s">
        <v>14827</v>
      </c>
      <c r="V441">
        <v>1700</v>
      </c>
      <c r="W441" t="s">
        <v>14859</v>
      </c>
      <c r="X441" t="s">
        <v>14879</v>
      </c>
      <c r="Z441" t="s">
        <v>15330</v>
      </c>
      <c r="AB441" t="s">
        <v>20477</v>
      </c>
      <c r="AC441">
        <v>6</v>
      </c>
      <c r="AF441">
        <v>14</v>
      </c>
      <c r="AG441">
        <v>1</v>
      </c>
      <c r="AH441">
        <v>1</v>
      </c>
      <c r="AI441">
        <v>166.06</v>
      </c>
      <c r="AL441" t="s">
        <v>5011</v>
      </c>
      <c r="AM441">
        <v>28080</v>
      </c>
      <c r="AS441">
        <v>0.5</v>
      </c>
      <c r="AT441" t="s">
        <v>330</v>
      </c>
      <c r="AU441" t="s">
        <v>25238</v>
      </c>
      <c r="AW441" t="s">
        <v>11447</v>
      </c>
    </row>
    <row r="442" spans="1:49">
      <c r="A442" s="1">
        <f>HYPERLINK("https://lsnyc.legalserver.org/matter/dynamic-profile/view/1905773","19-1905773")</f>
        <v>0</v>
      </c>
      <c r="B442" t="s">
        <v>74</v>
      </c>
      <c r="C442" t="s">
        <v>496</v>
      </c>
      <c r="E442" t="s">
        <v>1385</v>
      </c>
      <c r="F442" t="s">
        <v>3881</v>
      </c>
      <c r="G442" t="s">
        <v>6703</v>
      </c>
      <c r="H442" t="s">
        <v>10450</v>
      </c>
      <c r="I442" t="s">
        <v>11410</v>
      </c>
      <c r="J442">
        <v>11692</v>
      </c>
      <c r="K442" t="s">
        <v>11448</v>
      </c>
      <c r="M442" t="s">
        <v>14757</v>
      </c>
      <c r="N442" t="s">
        <v>14780</v>
      </c>
      <c r="P442" t="s">
        <v>14795</v>
      </c>
      <c r="Q442" t="s">
        <v>11446</v>
      </c>
      <c r="S442" t="s">
        <v>14828</v>
      </c>
      <c r="T442" t="s">
        <v>14832</v>
      </c>
      <c r="V442">
        <v>897</v>
      </c>
      <c r="W442" t="s">
        <v>14861</v>
      </c>
      <c r="X442" t="s">
        <v>14871</v>
      </c>
      <c r="Z442" t="s">
        <v>15331</v>
      </c>
      <c r="AB442" t="s">
        <v>20478</v>
      </c>
      <c r="AC442">
        <v>45</v>
      </c>
      <c r="AD442" t="s">
        <v>24597</v>
      </c>
      <c r="AE442" t="s">
        <v>24610</v>
      </c>
      <c r="AF442">
        <v>10</v>
      </c>
      <c r="AG442">
        <v>2</v>
      </c>
      <c r="AH442">
        <v>1</v>
      </c>
      <c r="AI442">
        <v>167.36</v>
      </c>
      <c r="AL442" t="s">
        <v>5011</v>
      </c>
      <c r="AM442">
        <v>35698</v>
      </c>
      <c r="AS442">
        <v>2.04</v>
      </c>
      <c r="AT442" t="s">
        <v>516</v>
      </c>
      <c r="AU442" t="s">
        <v>25233</v>
      </c>
      <c r="AV442" t="s">
        <v>25335</v>
      </c>
      <c r="AW442" t="s">
        <v>11447</v>
      </c>
    </row>
    <row r="443" spans="1:49">
      <c r="A443" s="1">
        <f>HYPERLINK("https://lsnyc.legalserver.org/matter/dynamic-profile/view/1909318","19-1909318")</f>
        <v>0</v>
      </c>
      <c r="B443" t="s">
        <v>75</v>
      </c>
      <c r="C443" t="s">
        <v>589</v>
      </c>
      <c r="E443" t="s">
        <v>1386</v>
      </c>
      <c r="F443" t="s">
        <v>3882</v>
      </c>
      <c r="G443" t="s">
        <v>6704</v>
      </c>
      <c r="H443" t="s">
        <v>10642</v>
      </c>
      <c r="I443" t="s">
        <v>11385</v>
      </c>
      <c r="J443">
        <v>11226</v>
      </c>
      <c r="K443" t="s">
        <v>11447</v>
      </c>
      <c r="L443" t="s">
        <v>11571</v>
      </c>
      <c r="M443" t="s">
        <v>14744</v>
      </c>
      <c r="N443" t="s">
        <v>14778</v>
      </c>
      <c r="P443" t="s">
        <v>14795</v>
      </c>
      <c r="S443" t="s">
        <v>14827</v>
      </c>
      <c r="V443">
        <v>1475.14</v>
      </c>
      <c r="W443" t="s">
        <v>14859</v>
      </c>
      <c r="X443" t="s">
        <v>14755</v>
      </c>
      <c r="Z443" t="s">
        <v>15332</v>
      </c>
      <c r="AB443" t="s">
        <v>20479</v>
      </c>
      <c r="AC443">
        <v>16</v>
      </c>
      <c r="AD443" t="s">
        <v>24600</v>
      </c>
      <c r="AF443">
        <v>12</v>
      </c>
      <c r="AG443">
        <v>2</v>
      </c>
      <c r="AH443">
        <v>0</v>
      </c>
      <c r="AI443">
        <v>168.79</v>
      </c>
      <c r="AL443" t="s">
        <v>5011</v>
      </c>
      <c r="AM443">
        <v>28542.8</v>
      </c>
      <c r="AS443">
        <v>0.8</v>
      </c>
      <c r="AT443" t="s">
        <v>412</v>
      </c>
      <c r="AU443" t="s">
        <v>25229</v>
      </c>
      <c r="AW443" t="s">
        <v>11447</v>
      </c>
    </row>
    <row r="444" spans="1:49">
      <c r="A444" s="1">
        <f>HYPERLINK("https://lsnyc.legalserver.org/matter/dynamic-profile/view/1899487","19-1899487")</f>
        <v>0</v>
      </c>
      <c r="B444" t="s">
        <v>121</v>
      </c>
      <c r="C444" t="s">
        <v>329</v>
      </c>
      <c r="E444" t="s">
        <v>1387</v>
      </c>
      <c r="F444" t="s">
        <v>3883</v>
      </c>
      <c r="G444" t="s">
        <v>6705</v>
      </c>
      <c r="H444" t="s">
        <v>10643</v>
      </c>
      <c r="I444" t="s">
        <v>11386</v>
      </c>
      <c r="J444">
        <v>10036</v>
      </c>
      <c r="K444" t="s">
        <v>11447</v>
      </c>
      <c r="N444" t="s">
        <v>14782</v>
      </c>
      <c r="P444" t="s">
        <v>14795</v>
      </c>
      <c r="S444" t="s">
        <v>14830</v>
      </c>
      <c r="V444">
        <v>700</v>
      </c>
      <c r="W444" t="s">
        <v>14860</v>
      </c>
      <c r="Z444" t="s">
        <v>15333</v>
      </c>
      <c r="AB444" t="s">
        <v>20480</v>
      </c>
      <c r="AC444">
        <v>104</v>
      </c>
      <c r="AF444">
        <v>0</v>
      </c>
      <c r="AG444">
        <v>1</v>
      </c>
      <c r="AH444">
        <v>1</v>
      </c>
      <c r="AI444">
        <v>169.84</v>
      </c>
      <c r="AL444" t="s">
        <v>5011</v>
      </c>
      <c r="AM444">
        <v>28720</v>
      </c>
      <c r="AS444">
        <v>0.5</v>
      </c>
      <c r="AT444" t="s">
        <v>329</v>
      </c>
      <c r="AU444" t="s">
        <v>25238</v>
      </c>
      <c r="AW444" t="s">
        <v>11447</v>
      </c>
    </row>
    <row r="445" spans="1:49">
      <c r="A445" s="1">
        <f>HYPERLINK("https://lsnyc.legalserver.org/matter/dynamic-profile/view/1913889","19-1913889")</f>
        <v>0</v>
      </c>
      <c r="B445" t="s">
        <v>75</v>
      </c>
      <c r="C445" t="s">
        <v>533</v>
      </c>
      <c r="E445" t="s">
        <v>1240</v>
      </c>
      <c r="F445" t="s">
        <v>3884</v>
      </c>
      <c r="G445" t="s">
        <v>6318</v>
      </c>
      <c r="H445" t="s">
        <v>10644</v>
      </c>
      <c r="I445" t="s">
        <v>11385</v>
      </c>
      <c r="J445">
        <v>11226</v>
      </c>
      <c r="K445" t="s">
        <v>11447</v>
      </c>
      <c r="P445" t="s">
        <v>14795</v>
      </c>
      <c r="S445" t="s">
        <v>14827</v>
      </c>
      <c r="V445">
        <v>1800</v>
      </c>
      <c r="W445" t="s">
        <v>14859</v>
      </c>
      <c r="Z445" t="s">
        <v>15334</v>
      </c>
      <c r="AB445" t="s">
        <v>20481</v>
      </c>
      <c r="AC445">
        <v>0</v>
      </c>
      <c r="AF445">
        <v>2</v>
      </c>
      <c r="AG445">
        <v>2</v>
      </c>
      <c r="AH445">
        <v>0</v>
      </c>
      <c r="AI445">
        <v>170.31</v>
      </c>
      <c r="AL445" t="s">
        <v>5011</v>
      </c>
      <c r="AM445">
        <v>28800</v>
      </c>
      <c r="AS445">
        <v>1.6</v>
      </c>
      <c r="AT445" t="s">
        <v>506</v>
      </c>
      <c r="AU445" t="s">
        <v>25257</v>
      </c>
      <c r="AW445" t="s">
        <v>11447</v>
      </c>
    </row>
    <row r="446" spans="1:49">
      <c r="A446" s="1">
        <f>HYPERLINK("https://lsnyc.legalserver.org/matter/dynamic-profile/view/1872810","18-1872810")</f>
        <v>0</v>
      </c>
      <c r="B446" t="s">
        <v>85</v>
      </c>
      <c r="C446" t="s">
        <v>590</v>
      </c>
      <c r="E446" t="s">
        <v>1388</v>
      </c>
      <c r="F446" t="s">
        <v>3885</v>
      </c>
      <c r="G446" t="s">
        <v>6706</v>
      </c>
      <c r="H446" t="s">
        <v>10645</v>
      </c>
      <c r="I446" t="s">
        <v>11389</v>
      </c>
      <c r="J446">
        <v>11367</v>
      </c>
      <c r="K446" t="s">
        <v>11447</v>
      </c>
      <c r="P446" t="s">
        <v>14795</v>
      </c>
      <c r="S446" t="s">
        <v>14827</v>
      </c>
      <c r="V446">
        <v>0</v>
      </c>
      <c r="W446" t="s">
        <v>14861</v>
      </c>
      <c r="Z446" t="s">
        <v>15335</v>
      </c>
      <c r="AB446" t="s">
        <v>20482</v>
      </c>
      <c r="AC446">
        <v>0</v>
      </c>
      <c r="AF446">
        <v>0</v>
      </c>
      <c r="AG446">
        <v>1</v>
      </c>
      <c r="AH446">
        <v>0</v>
      </c>
      <c r="AI446">
        <v>171.33</v>
      </c>
      <c r="AL446" t="s">
        <v>5011</v>
      </c>
      <c r="AM446">
        <v>20800</v>
      </c>
      <c r="AS446">
        <v>0.5</v>
      </c>
      <c r="AT446" t="s">
        <v>590</v>
      </c>
      <c r="AU446" t="s">
        <v>25229</v>
      </c>
      <c r="AW446" t="s">
        <v>11447</v>
      </c>
    </row>
    <row r="447" spans="1:49">
      <c r="A447" s="1">
        <f>HYPERLINK("https://lsnyc.legalserver.org/matter/dynamic-profile/view/1909231","19-1909231")</f>
        <v>0</v>
      </c>
      <c r="B447" t="s">
        <v>75</v>
      </c>
      <c r="C447" t="s">
        <v>462</v>
      </c>
      <c r="E447" t="s">
        <v>1389</v>
      </c>
      <c r="F447" t="s">
        <v>3886</v>
      </c>
      <c r="G447" t="s">
        <v>6707</v>
      </c>
      <c r="H447" t="s">
        <v>10646</v>
      </c>
      <c r="I447" t="s">
        <v>11385</v>
      </c>
      <c r="J447">
        <v>11237</v>
      </c>
      <c r="K447" t="s">
        <v>11447</v>
      </c>
      <c r="P447" t="s">
        <v>14795</v>
      </c>
      <c r="S447" t="s">
        <v>14827</v>
      </c>
      <c r="V447">
        <v>0</v>
      </c>
      <c r="W447" t="s">
        <v>14859</v>
      </c>
      <c r="Z447" t="s">
        <v>15336</v>
      </c>
      <c r="AB447" t="s">
        <v>20483</v>
      </c>
      <c r="AC447">
        <v>0</v>
      </c>
      <c r="AF447">
        <v>0</v>
      </c>
      <c r="AG447">
        <v>3</v>
      </c>
      <c r="AH447">
        <v>1</v>
      </c>
      <c r="AI447">
        <v>173.67</v>
      </c>
      <c r="AL447" t="s">
        <v>24632</v>
      </c>
      <c r="AM447">
        <v>44720</v>
      </c>
      <c r="AS447">
        <v>0.5</v>
      </c>
      <c r="AT447" t="s">
        <v>462</v>
      </c>
      <c r="AU447" t="s">
        <v>25236</v>
      </c>
      <c r="AW447" t="s">
        <v>11447</v>
      </c>
    </row>
    <row r="448" spans="1:49">
      <c r="A448" s="1">
        <f>HYPERLINK("https://lsnyc.legalserver.org/matter/dynamic-profile/view/1908688","19-1908688")</f>
        <v>0</v>
      </c>
      <c r="B448" t="s">
        <v>75</v>
      </c>
      <c r="C448" t="s">
        <v>410</v>
      </c>
      <c r="E448" t="s">
        <v>1390</v>
      </c>
      <c r="F448" t="s">
        <v>3887</v>
      </c>
      <c r="G448" t="s">
        <v>6708</v>
      </c>
      <c r="H448" t="s">
        <v>10647</v>
      </c>
      <c r="I448" t="s">
        <v>11385</v>
      </c>
      <c r="J448">
        <v>11225</v>
      </c>
      <c r="K448" t="s">
        <v>11447</v>
      </c>
      <c r="M448" t="s">
        <v>14744</v>
      </c>
      <c r="P448" t="s">
        <v>14795</v>
      </c>
      <c r="S448" t="s">
        <v>14827</v>
      </c>
      <c r="V448">
        <v>1583.82</v>
      </c>
      <c r="W448" t="s">
        <v>14859</v>
      </c>
      <c r="Z448" t="s">
        <v>15337</v>
      </c>
      <c r="AB448" t="s">
        <v>20484</v>
      </c>
      <c r="AC448">
        <v>0</v>
      </c>
      <c r="AF448">
        <v>16</v>
      </c>
      <c r="AG448">
        <v>2</v>
      </c>
      <c r="AH448">
        <v>0</v>
      </c>
      <c r="AI448">
        <v>177.41</v>
      </c>
      <c r="AL448" t="s">
        <v>5011</v>
      </c>
      <c r="AM448">
        <v>30000</v>
      </c>
      <c r="AS448">
        <v>0.8</v>
      </c>
      <c r="AT448" t="s">
        <v>410</v>
      </c>
      <c r="AU448" t="s">
        <v>25229</v>
      </c>
      <c r="AW448" t="s">
        <v>11447</v>
      </c>
    </row>
    <row r="449" spans="1:49">
      <c r="A449" s="1">
        <f>HYPERLINK("https://lsnyc.legalserver.org/matter/dynamic-profile/view/1885536","18-1885536")</f>
        <v>0</v>
      </c>
      <c r="B449" t="s">
        <v>157</v>
      </c>
      <c r="C449" t="s">
        <v>591</v>
      </c>
      <c r="E449" t="s">
        <v>1391</v>
      </c>
      <c r="F449" t="s">
        <v>3888</v>
      </c>
      <c r="G449" t="s">
        <v>6709</v>
      </c>
      <c r="H449">
        <v>1</v>
      </c>
      <c r="I449" t="s">
        <v>11383</v>
      </c>
      <c r="J449">
        <v>10453</v>
      </c>
      <c r="K449" t="s">
        <v>11448</v>
      </c>
      <c r="L449" t="s">
        <v>11572</v>
      </c>
      <c r="M449" t="s">
        <v>14743</v>
      </c>
      <c r="N449" t="s">
        <v>14778</v>
      </c>
      <c r="P449" t="s">
        <v>14795</v>
      </c>
      <c r="Q449" t="s">
        <v>11448</v>
      </c>
      <c r="S449" t="s">
        <v>14827</v>
      </c>
      <c r="T449" t="s">
        <v>14832</v>
      </c>
      <c r="V449">
        <v>526</v>
      </c>
      <c r="W449" t="s">
        <v>14858</v>
      </c>
      <c r="X449" t="s">
        <v>14865</v>
      </c>
      <c r="Z449" t="s">
        <v>15338</v>
      </c>
      <c r="AB449" t="s">
        <v>20485</v>
      </c>
      <c r="AC449">
        <v>2</v>
      </c>
      <c r="AE449" t="s">
        <v>24610</v>
      </c>
      <c r="AF449">
        <v>3</v>
      </c>
      <c r="AG449">
        <v>1</v>
      </c>
      <c r="AH449">
        <v>1</v>
      </c>
      <c r="AI449">
        <v>182.26</v>
      </c>
      <c r="AL449" t="s">
        <v>5011</v>
      </c>
      <c r="AM449">
        <v>30000</v>
      </c>
      <c r="AN449" t="s">
        <v>24708</v>
      </c>
      <c r="AS449">
        <v>0.4</v>
      </c>
      <c r="AT449" t="s">
        <v>25132</v>
      </c>
      <c r="AU449" t="s">
        <v>94</v>
      </c>
      <c r="AW449" t="s">
        <v>11446</v>
      </c>
    </row>
    <row r="450" spans="1:49">
      <c r="A450" s="1">
        <f>HYPERLINK("https://lsnyc.legalserver.org/matter/dynamic-profile/view/1914768","19-1914768")</f>
        <v>0</v>
      </c>
      <c r="B450" t="s">
        <v>104</v>
      </c>
      <c r="C450" t="s">
        <v>592</v>
      </c>
      <c r="E450" t="s">
        <v>1392</v>
      </c>
      <c r="F450" t="s">
        <v>3709</v>
      </c>
      <c r="G450" t="s">
        <v>6710</v>
      </c>
      <c r="H450" t="s">
        <v>10527</v>
      </c>
      <c r="I450" t="s">
        <v>11386</v>
      </c>
      <c r="J450">
        <v>10037</v>
      </c>
      <c r="K450" t="s">
        <v>11447</v>
      </c>
      <c r="L450" t="s">
        <v>11573</v>
      </c>
      <c r="P450" t="s">
        <v>14795</v>
      </c>
      <c r="S450" t="s">
        <v>14827</v>
      </c>
      <c r="V450">
        <v>1168.1</v>
      </c>
      <c r="W450" t="s">
        <v>14860</v>
      </c>
      <c r="X450" t="s">
        <v>14870</v>
      </c>
      <c r="Z450" t="s">
        <v>15339</v>
      </c>
      <c r="AB450" t="s">
        <v>20486</v>
      </c>
      <c r="AC450">
        <v>217</v>
      </c>
      <c r="AD450" t="s">
        <v>24595</v>
      </c>
      <c r="AF450">
        <v>30</v>
      </c>
      <c r="AG450">
        <v>1</v>
      </c>
      <c r="AH450">
        <v>0</v>
      </c>
      <c r="AI450">
        <v>182.55</v>
      </c>
      <c r="AL450" t="s">
        <v>5011</v>
      </c>
      <c r="AM450">
        <v>22800</v>
      </c>
      <c r="AS450">
        <v>0.34</v>
      </c>
      <c r="AT450" t="s">
        <v>592</v>
      </c>
      <c r="AU450" t="s">
        <v>25247</v>
      </c>
      <c r="AW450" t="s">
        <v>11447</v>
      </c>
    </row>
    <row r="451" spans="1:49">
      <c r="A451" s="1">
        <f>HYPERLINK("https://lsnyc.legalserver.org/matter/dynamic-profile/view/1911721","19-1911721")</f>
        <v>0</v>
      </c>
      <c r="B451" t="s">
        <v>161</v>
      </c>
      <c r="C451" t="s">
        <v>505</v>
      </c>
      <c r="E451" t="s">
        <v>1393</v>
      </c>
      <c r="F451" t="s">
        <v>3889</v>
      </c>
      <c r="G451" t="s">
        <v>6711</v>
      </c>
      <c r="I451" t="s">
        <v>11386</v>
      </c>
      <c r="J451">
        <v>10037</v>
      </c>
      <c r="K451" t="s">
        <v>11447</v>
      </c>
      <c r="M451" t="s">
        <v>11601</v>
      </c>
      <c r="P451" t="s">
        <v>14795</v>
      </c>
      <c r="S451" t="s">
        <v>14827</v>
      </c>
      <c r="V451">
        <v>2192</v>
      </c>
      <c r="W451" t="s">
        <v>14860</v>
      </c>
      <c r="Z451" t="s">
        <v>15340</v>
      </c>
      <c r="AC451">
        <v>0</v>
      </c>
      <c r="AD451" t="s">
        <v>24595</v>
      </c>
      <c r="AE451" t="s">
        <v>11459</v>
      </c>
      <c r="AF451">
        <v>4</v>
      </c>
      <c r="AG451">
        <v>2</v>
      </c>
      <c r="AH451">
        <v>1</v>
      </c>
      <c r="AI451">
        <v>182.84</v>
      </c>
      <c r="AL451" t="s">
        <v>5011</v>
      </c>
      <c r="AM451">
        <v>39000</v>
      </c>
      <c r="AS451">
        <v>2.9</v>
      </c>
      <c r="AT451" t="s">
        <v>603</v>
      </c>
      <c r="AU451" t="s">
        <v>25231</v>
      </c>
      <c r="AW451" t="s">
        <v>11447</v>
      </c>
    </row>
    <row r="452" spans="1:49">
      <c r="A452" s="1">
        <f>HYPERLINK("https://lsnyc.legalserver.org/matter/dynamic-profile/view/1907419","19-1907419")</f>
        <v>0</v>
      </c>
      <c r="B452" t="s">
        <v>162</v>
      </c>
      <c r="C452" t="s">
        <v>368</v>
      </c>
      <c r="E452" t="s">
        <v>1241</v>
      </c>
      <c r="F452" t="s">
        <v>3890</v>
      </c>
      <c r="G452" t="s">
        <v>6712</v>
      </c>
      <c r="I452" t="s">
        <v>11386</v>
      </c>
      <c r="J452">
        <v>10116</v>
      </c>
      <c r="K452" t="s">
        <v>11447</v>
      </c>
      <c r="N452" t="s">
        <v>14779</v>
      </c>
      <c r="P452" t="s">
        <v>14795</v>
      </c>
      <c r="S452" t="s">
        <v>14829</v>
      </c>
      <c r="V452">
        <v>0</v>
      </c>
      <c r="W452" t="s">
        <v>14858</v>
      </c>
      <c r="Z452" t="s">
        <v>15341</v>
      </c>
      <c r="AB452" t="s">
        <v>20487</v>
      </c>
      <c r="AC452">
        <v>0</v>
      </c>
      <c r="AF452">
        <v>0</v>
      </c>
      <c r="AG452">
        <v>1</v>
      </c>
      <c r="AH452">
        <v>0</v>
      </c>
      <c r="AI452">
        <v>183.51</v>
      </c>
      <c r="AL452" t="s">
        <v>5011</v>
      </c>
      <c r="AM452">
        <v>22920</v>
      </c>
      <c r="AS452">
        <v>9.25</v>
      </c>
      <c r="AT452" t="s">
        <v>578</v>
      </c>
      <c r="AU452" t="s">
        <v>65</v>
      </c>
      <c r="AW452" t="s">
        <v>11447</v>
      </c>
    </row>
    <row r="453" spans="1:49">
      <c r="A453" s="1">
        <f>HYPERLINK("https://lsnyc.legalserver.org/matter/dynamic-profile/view/1904994","19-1904994")</f>
        <v>0</v>
      </c>
      <c r="B453" t="s">
        <v>95</v>
      </c>
      <c r="C453" t="s">
        <v>593</v>
      </c>
      <c r="E453" t="s">
        <v>1394</v>
      </c>
      <c r="F453" t="s">
        <v>2218</v>
      </c>
      <c r="G453" t="s">
        <v>6560</v>
      </c>
      <c r="H453" t="s">
        <v>10485</v>
      </c>
      <c r="I453" t="s">
        <v>11383</v>
      </c>
      <c r="J453">
        <v>10460</v>
      </c>
      <c r="K453" t="s">
        <v>11446</v>
      </c>
      <c r="M453" t="s">
        <v>14744</v>
      </c>
      <c r="N453" t="s">
        <v>14778</v>
      </c>
      <c r="P453" t="s">
        <v>14795</v>
      </c>
      <c r="Q453" t="s">
        <v>11448</v>
      </c>
      <c r="S453" t="s">
        <v>14828</v>
      </c>
      <c r="V453">
        <v>1488</v>
      </c>
      <c r="W453" t="s">
        <v>14858</v>
      </c>
      <c r="X453" t="s">
        <v>14870</v>
      </c>
      <c r="Z453" t="s">
        <v>15342</v>
      </c>
      <c r="AB453" t="s">
        <v>20488</v>
      </c>
      <c r="AC453">
        <v>48</v>
      </c>
      <c r="AD453" t="s">
        <v>24600</v>
      </c>
      <c r="AE453" t="s">
        <v>11459</v>
      </c>
      <c r="AF453">
        <v>15</v>
      </c>
      <c r="AG453">
        <v>1</v>
      </c>
      <c r="AH453">
        <v>1</v>
      </c>
      <c r="AI453">
        <v>184.51</v>
      </c>
      <c r="AL453" t="s">
        <v>5011</v>
      </c>
      <c r="AM453">
        <v>31200</v>
      </c>
      <c r="AS453">
        <v>2.95</v>
      </c>
      <c r="AT453" t="s">
        <v>589</v>
      </c>
      <c r="AU453" t="s">
        <v>25236</v>
      </c>
      <c r="AV453" t="s">
        <v>25335</v>
      </c>
      <c r="AW453" t="s">
        <v>11447</v>
      </c>
    </row>
    <row r="454" spans="1:49">
      <c r="A454" s="1">
        <f>HYPERLINK("https://lsnyc.legalserver.org/matter/dynamic-profile/view/1902649","19-1902649")</f>
        <v>0</v>
      </c>
      <c r="B454" t="s">
        <v>75</v>
      </c>
      <c r="C454" t="s">
        <v>371</v>
      </c>
      <c r="E454" t="s">
        <v>1395</v>
      </c>
      <c r="F454" t="s">
        <v>3891</v>
      </c>
      <c r="G454" t="s">
        <v>6713</v>
      </c>
      <c r="H454" t="s">
        <v>10642</v>
      </c>
      <c r="I454" t="s">
        <v>11385</v>
      </c>
      <c r="J454">
        <v>11225</v>
      </c>
      <c r="K454" t="s">
        <v>11447</v>
      </c>
      <c r="P454" t="s">
        <v>14795</v>
      </c>
      <c r="S454" t="s">
        <v>14827</v>
      </c>
      <c r="V454">
        <v>0</v>
      </c>
      <c r="W454" t="s">
        <v>14859</v>
      </c>
      <c r="Z454" t="s">
        <v>15343</v>
      </c>
      <c r="AB454" t="s">
        <v>20489</v>
      </c>
      <c r="AC454">
        <v>40</v>
      </c>
      <c r="AF454">
        <v>15</v>
      </c>
      <c r="AG454">
        <v>1</v>
      </c>
      <c r="AH454">
        <v>2</v>
      </c>
      <c r="AI454">
        <v>185.28</v>
      </c>
      <c r="AL454" t="s">
        <v>5011</v>
      </c>
      <c r="AM454">
        <v>39520</v>
      </c>
      <c r="AS454">
        <v>1.1</v>
      </c>
      <c r="AT454" t="s">
        <v>343</v>
      </c>
      <c r="AU454" t="s">
        <v>25229</v>
      </c>
      <c r="AW454" t="s">
        <v>11447</v>
      </c>
    </row>
    <row r="455" spans="1:49">
      <c r="A455" s="1">
        <f>HYPERLINK("https://lsnyc.legalserver.org/matter/dynamic-profile/view/1911292","19-1911292")</f>
        <v>0</v>
      </c>
      <c r="B455" t="s">
        <v>63</v>
      </c>
      <c r="C455" t="s">
        <v>511</v>
      </c>
      <c r="E455" t="s">
        <v>1396</v>
      </c>
      <c r="F455" t="s">
        <v>3892</v>
      </c>
      <c r="G455" t="s">
        <v>6714</v>
      </c>
      <c r="I455" t="s">
        <v>11389</v>
      </c>
      <c r="J455">
        <v>11377</v>
      </c>
      <c r="K455" t="s">
        <v>11447</v>
      </c>
      <c r="P455" t="s">
        <v>14795</v>
      </c>
      <c r="S455" t="s">
        <v>14827</v>
      </c>
      <c r="V455">
        <v>1100</v>
      </c>
      <c r="W455" t="s">
        <v>14861</v>
      </c>
      <c r="X455" t="s">
        <v>14870</v>
      </c>
      <c r="Z455" t="s">
        <v>15344</v>
      </c>
      <c r="AB455" t="s">
        <v>20490</v>
      </c>
      <c r="AC455">
        <v>4</v>
      </c>
      <c r="AE455" t="s">
        <v>11459</v>
      </c>
      <c r="AF455">
        <v>0</v>
      </c>
      <c r="AG455">
        <v>1</v>
      </c>
      <c r="AH455">
        <v>0</v>
      </c>
      <c r="AI455">
        <v>187.35</v>
      </c>
      <c r="AL455" t="s">
        <v>5011</v>
      </c>
      <c r="AM455">
        <v>23400</v>
      </c>
      <c r="AS455">
        <v>1</v>
      </c>
      <c r="AT455" t="s">
        <v>511</v>
      </c>
      <c r="AU455" t="s">
        <v>25226</v>
      </c>
      <c r="AW455" t="s">
        <v>11447</v>
      </c>
    </row>
    <row r="456" spans="1:49">
      <c r="A456" s="1">
        <f>HYPERLINK("https://lsnyc.legalserver.org/matter/dynamic-profile/view/1905716","19-1905716")</f>
        <v>0</v>
      </c>
      <c r="B456" t="s">
        <v>75</v>
      </c>
      <c r="C456" t="s">
        <v>496</v>
      </c>
      <c r="E456" t="s">
        <v>1397</v>
      </c>
      <c r="F456" t="s">
        <v>3893</v>
      </c>
      <c r="G456" t="s">
        <v>6715</v>
      </c>
      <c r="H456" t="s">
        <v>10638</v>
      </c>
      <c r="I456" t="s">
        <v>11385</v>
      </c>
      <c r="J456">
        <v>11203</v>
      </c>
      <c r="K456" t="s">
        <v>11447</v>
      </c>
      <c r="M456" t="s">
        <v>14744</v>
      </c>
      <c r="P456" t="s">
        <v>14795</v>
      </c>
      <c r="S456" t="s">
        <v>14827</v>
      </c>
      <c r="V456">
        <v>950</v>
      </c>
      <c r="W456" t="s">
        <v>14859</v>
      </c>
      <c r="X456" t="s">
        <v>14866</v>
      </c>
      <c r="Z456" t="s">
        <v>15345</v>
      </c>
      <c r="AB456" t="s">
        <v>20491</v>
      </c>
      <c r="AC456">
        <v>3</v>
      </c>
      <c r="AF456">
        <v>8</v>
      </c>
      <c r="AG456">
        <v>1</v>
      </c>
      <c r="AH456">
        <v>0</v>
      </c>
      <c r="AI456">
        <v>187.35</v>
      </c>
      <c r="AL456" t="s">
        <v>5011</v>
      </c>
      <c r="AM456">
        <v>23400</v>
      </c>
      <c r="AS456">
        <v>1</v>
      </c>
      <c r="AT456" t="s">
        <v>496</v>
      </c>
      <c r="AU456" t="s">
        <v>25241</v>
      </c>
      <c r="AW456" t="s">
        <v>11447</v>
      </c>
    </row>
    <row r="457" spans="1:49">
      <c r="A457" s="1">
        <f>HYPERLINK("https://lsnyc.legalserver.org/matter/dynamic-profile/view/1899321","19-1899321")</f>
        <v>0</v>
      </c>
      <c r="B457" t="s">
        <v>145</v>
      </c>
      <c r="C457" t="s">
        <v>361</v>
      </c>
      <c r="E457" t="s">
        <v>1398</v>
      </c>
      <c r="F457" t="s">
        <v>3718</v>
      </c>
      <c r="G457" t="s">
        <v>6716</v>
      </c>
      <c r="H457">
        <v>2</v>
      </c>
      <c r="I457" t="s">
        <v>11383</v>
      </c>
      <c r="J457">
        <v>10467</v>
      </c>
      <c r="K457" t="s">
        <v>11447</v>
      </c>
      <c r="L457">
        <v>6084012</v>
      </c>
      <c r="P457" t="s">
        <v>14795</v>
      </c>
      <c r="S457" t="s">
        <v>14827</v>
      </c>
      <c r="V457">
        <v>960</v>
      </c>
      <c r="W457" t="s">
        <v>14858</v>
      </c>
      <c r="X457" t="s">
        <v>14866</v>
      </c>
      <c r="Z457" t="s">
        <v>15346</v>
      </c>
      <c r="AB457" t="s">
        <v>20492</v>
      </c>
      <c r="AC457">
        <v>0</v>
      </c>
      <c r="AF457">
        <v>9</v>
      </c>
      <c r="AG457">
        <v>1</v>
      </c>
      <c r="AH457">
        <v>0</v>
      </c>
      <c r="AI457">
        <v>187.35</v>
      </c>
      <c r="AL457" t="s">
        <v>5011</v>
      </c>
      <c r="AM457">
        <v>23400</v>
      </c>
      <c r="AS457">
        <v>1</v>
      </c>
      <c r="AT457" t="s">
        <v>361</v>
      </c>
      <c r="AU457" t="s">
        <v>25241</v>
      </c>
      <c r="AW457" t="s">
        <v>11447</v>
      </c>
    </row>
    <row r="458" spans="1:49">
      <c r="A458" s="1">
        <f>HYPERLINK("https://lsnyc.legalserver.org/matter/dynamic-profile/view/1894879","19-1894879")</f>
        <v>0</v>
      </c>
      <c r="B458" t="s">
        <v>92</v>
      </c>
      <c r="C458" t="s">
        <v>594</v>
      </c>
      <c r="E458" t="s">
        <v>1399</v>
      </c>
      <c r="F458" t="s">
        <v>3742</v>
      </c>
      <c r="G458" t="s">
        <v>6717</v>
      </c>
      <c r="H458" t="s">
        <v>10509</v>
      </c>
      <c r="I458" t="s">
        <v>11383</v>
      </c>
      <c r="J458">
        <v>10453</v>
      </c>
      <c r="K458" t="s">
        <v>11447</v>
      </c>
      <c r="M458" t="s">
        <v>11601</v>
      </c>
      <c r="P458" t="s">
        <v>14795</v>
      </c>
      <c r="S458" t="s">
        <v>14827</v>
      </c>
      <c r="V458">
        <v>726</v>
      </c>
      <c r="W458" t="s">
        <v>14858</v>
      </c>
      <c r="Z458" t="s">
        <v>15347</v>
      </c>
      <c r="AB458" t="s">
        <v>20493</v>
      </c>
      <c r="AC458">
        <v>0</v>
      </c>
      <c r="AD458" t="s">
        <v>24595</v>
      </c>
      <c r="AE458" t="s">
        <v>11459</v>
      </c>
      <c r="AF458">
        <v>30</v>
      </c>
      <c r="AG458">
        <v>1</v>
      </c>
      <c r="AH458">
        <v>0</v>
      </c>
      <c r="AI458">
        <v>187.35</v>
      </c>
      <c r="AL458" t="s">
        <v>5011</v>
      </c>
      <c r="AM458">
        <v>23400</v>
      </c>
      <c r="AS458">
        <v>1</v>
      </c>
      <c r="AT458" t="s">
        <v>594</v>
      </c>
      <c r="AU458" t="s">
        <v>25231</v>
      </c>
      <c r="AW458" t="s">
        <v>11447</v>
      </c>
    </row>
    <row r="459" spans="1:49">
      <c r="A459" s="1">
        <f>HYPERLINK("https://lsnyc.legalserver.org/matter/dynamic-profile/view/1907368","19-1907368")</f>
        <v>0</v>
      </c>
      <c r="B459" t="s">
        <v>75</v>
      </c>
      <c r="C459" t="s">
        <v>368</v>
      </c>
      <c r="E459" t="s">
        <v>1400</v>
      </c>
      <c r="F459" t="s">
        <v>3894</v>
      </c>
      <c r="G459" t="s">
        <v>6718</v>
      </c>
      <c r="H459" t="s">
        <v>10524</v>
      </c>
      <c r="I459" t="s">
        <v>11385</v>
      </c>
      <c r="J459">
        <v>11230</v>
      </c>
      <c r="K459" t="s">
        <v>11447</v>
      </c>
      <c r="P459" t="s">
        <v>14795</v>
      </c>
      <c r="S459" t="s">
        <v>14827</v>
      </c>
      <c r="V459">
        <v>2100</v>
      </c>
      <c r="W459" t="s">
        <v>14859</v>
      </c>
      <c r="Z459" t="s">
        <v>15348</v>
      </c>
      <c r="AB459" t="s">
        <v>20494</v>
      </c>
      <c r="AC459">
        <v>60</v>
      </c>
      <c r="AF459">
        <v>5</v>
      </c>
      <c r="AG459">
        <v>1</v>
      </c>
      <c r="AH459">
        <v>5</v>
      </c>
      <c r="AI459">
        <v>187.92</v>
      </c>
      <c r="AL459" t="s">
        <v>5011</v>
      </c>
      <c r="AM459">
        <v>65000</v>
      </c>
      <c r="AS459">
        <v>1</v>
      </c>
      <c r="AT459" t="s">
        <v>368</v>
      </c>
      <c r="AU459" t="s">
        <v>25227</v>
      </c>
      <c r="AW459" t="s">
        <v>11447</v>
      </c>
    </row>
    <row r="460" spans="1:49">
      <c r="A460" s="1">
        <f>HYPERLINK("https://lsnyc.legalserver.org/matter/dynamic-profile/view/1913678","19-1913678")</f>
        <v>0</v>
      </c>
      <c r="B460" t="s">
        <v>63</v>
      </c>
      <c r="C460" t="s">
        <v>476</v>
      </c>
      <c r="E460" t="s">
        <v>1401</v>
      </c>
      <c r="F460" t="s">
        <v>3569</v>
      </c>
      <c r="G460" t="s">
        <v>6719</v>
      </c>
      <c r="I460" t="s">
        <v>11389</v>
      </c>
      <c r="J460">
        <v>11354</v>
      </c>
      <c r="K460" t="s">
        <v>11447</v>
      </c>
      <c r="P460" t="s">
        <v>14795</v>
      </c>
      <c r="S460" t="s">
        <v>14827</v>
      </c>
      <c r="V460">
        <v>0</v>
      </c>
      <c r="W460" t="s">
        <v>14861</v>
      </c>
      <c r="Z460" t="s">
        <v>15349</v>
      </c>
      <c r="AC460">
        <v>0</v>
      </c>
      <c r="AF460">
        <v>6</v>
      </c>
      <c r="AG460">
        <v>2</v>
      </c>
      <c r="AH460">
        <v>2</v>
      </c>
      <c r="AI460">
        <v>191.84</v>
      </c>
      <c r="AL460" t="s">
        <v>24632</v>
      </c>
      <c r="AM460">
        <v>49400</v>
      </c>
      <c r="AS460">
        <v>0.84</v>
      </c>
      <c r="AT460" t="s">
        <v>476</v>
      </c>
      <c r="AU460" t="s">
        <v>25253</v>
      </c>
      <c r="AW460" t="s">
        <v>11447</v>
      </c>
    </row>
    <row r="461" spans="1:49">
      <c r="A461" s="1">
        <f>HYPERLINK("https://lsnyc.legalserver.org/matter/dynamic-profile/view/1914870","19-1914870")</f>
        <v>0</v>
      </c>
      <c r="B461" t="s">
        <v>163</v>
      </c>
      <c r="C461" t="s">
        <v>537</v>
      </c>
      <c r="E461" t="s">
        <v>1114</v>
      </c>
      <c r="F461" t="s">
        <v>3895</v>
      </c>
      <c r="G461" t="s">
        <v>6720</v>
      </c>
      <c r="H461" t="s">
        <v>10589</v>
      </c>
      <c r="I461" t="s">
        <v>11389</v>
      </c>
      <c r="J461">
        <v>11354</v>
      </c>
      <c r="K461" t="s">
        <v>11447</v>
      </c>
      <c r="M461" t="s">
        <v>11601</v>
      </c>
      <c r="N461" t="s">
        <v>14782</v>
      </c>
      <c r="P461" t="s">
        <v>14795</v>
      </c>
      <c r="S461" t="s">
        <v>14827</v>
      </c>
      <c r="V461">
        <v>700</v>
      </c>
      <c r="W461" t="s">
        <v>14861</v>
      </c>
      <c r="Z461" t="s">
        <v>15350</v>
      </c>
      <c r="AC461">
        <v>0</v>
      </c>
      <c r="AD461" t="s">
        <v>24598</v>
      </c>
      <c r="AE461" t="s">
        <v>11459</v>
      </c>
      <c r="AF461">
        <v>47</v>
      </c>
      <c r="AG461">
        <v>1</v>
      </c>
      <c r="AH461">
        <v>0</v>
      </c>
      <c r="AI461">
        <v>192.15</v>
      </c>
      <c r="AL461" t="s">
        <v>5011</v>
      </c>
      <c r="AM461">
        <v>24000</v>
      </c>
      <c r="AS461">
        <v>1.7</v>
      </c>
      <c r="AT461" t="s">
        <v>521</v>
      </c>
      <c r="AU461" t="s">
        <v>25231</v>
      </c>
      <c r="AW461" t="s">
        <v>11447</v>
      </c>
    </row>
    <row r="462" spans="1:49">
      <c r="A462" s="1">
        <f>HYPERLINK("https://lsnyc.legalserver.org/matter/dynamic-profile/view/1901166","19-1901166")</f>
        <v>0</v>
      </c>
      <c r="B462" t="s">
        <v>136</v>
      </c>
      <c r="C462" t="s">
        <v>595</v>
      </c>
      <c r="E462" t="s">
        <v>1402</v>
      </c>
      <c r="F462" t="s">
        <v>3896</v>
      </c>
      <c r="G462" t="s">
        <v>6721</v>
      </c>
      <c r="H462" t="s">
        <v>10648</v>
      </c>
      <c r="I462" t="s">
        <v>11385</v>
      </c>
      <c r="J462">
        <v>11203</v>
      </c>
      <c r="K462" t="s">
        <v>11447</v>
      </c>
      <c r="P462" t="s">
        <v>14795</v>
      </c>
      <c r="S462" t="s">
        <v>14827</v>
      </c>
      <c r="V462">
        <v>800</v>
      </c>
      <c r="W462" t="s">
        <v>14859</v>
      </c>
      <c r="Z462" t="s">
        <v>15351</v>
      </c>
      <c r="AB462" t="s">
        <v>20495</v>
      </c>
      <c r="AC462">
        <v>2</v>
      </c>
      <c r="AF462">
        <v>11</v>
      </c>
      <c r="AG462">
        <v>1</v>
      </c>
      <c r="AH462">
        <v>0</v>
      </c>
      <c r="AI462">
        <v>192.15</v>
      </c>
      <c r="AL462" t="s">
        <v>5011</v>
      </c>
      <c r="AM462">
        <v>24000</v>
      </c>
      <c r="AS462">
        <v>1</v>
      </c>
      <c r="AT462" t="s">
        <v>595</v>
      </c>
      <c r="AU462" t="s">
        <v>25227</v>
      </c>
      <c r="AW462" t="s">
        <v>11447</v>
      </c>
    </row>
    <row r="463" spans="1:49">
      <c r="A463" s="1">
        <f>HYPERLINK("https://lsnyc.legalserver.org/matter/dynamic-profile/view/1889788","19-1889788")</f>
        <v>0</v>
      </c>
      <c r="B463" t="s">
        <v>140</v>
      </c>
      <c r="C463" t="s">
        <v>359</v>
      </c>
      <c r="E463" t="s">
        <v>1330</v>
      </c>
      <c r="F463" t="s">
        <v>3682</v>
      </c>
      <c r="G463" t="s">
        <v>6722</v>
      </c>
      <c r="H463" t="s">
        <v>10649</v>
      </c>
      <c r="I463" t="s">
        <v>11383</v>
      </c>
      <c r="J463">
        <v>10459</v>
      </c>
      <c r="K463" t="s">
        <v>11447</v>
      </c>
      <c r="M463" t="s">
        <v>11601</v>
      </c>
      <c r="N463" t="s">
        <v>14778</v>
      </c>
      <c r="P463" t="s">
        <v>14795</v>
      </c>
      <c r="Q463" t="s">
        <v>11448</v>
      </c>
      <c r="S463" t="s">
        <v>14827</v>
      </c>
      <c r="V463">
        <v>1100</v>
      </c>
      <c r="W463" t="s">
        <v>14858</v>
      </c>
      <c r="Z463" t="s">
        <v>15352</v>
      </c>
      <c r="AC463">
        <v>4</v>
      </c>
      <c r="AD463" t="s">
        <v>11479</v>
      </c>
      <c r="AE463" t="s">
        <v>11459</v>
      </c>
      <c r="AF463">
        <v>3</v>
      </c>
      <c r="AG463">
        <v>1</v>
      </c>
      <c r="AH463">
        <v>0</v>
      </c>
      <c r="AI463">
        <v>192.15</v>
      </c>
      <c r="AL463" t="s">
        <v>5011</v>
      </c>
      <c r="AM463">
        <v>24000</v>
      </c>
      <c r="AN463" t="s">
        <v>24709</v>
      </c>
      <c r="AS463">
        <v>2</v>
      </c>
      <c r="AT463" t="s">
        <v>683</v>
      </c>
      <c r="AU463" t="s">
        <v>25236</v>
      </c>
      <c r="AW463" t="s">
        <v>11447</v>
      </c>
    </row>
    <row r="464" spans="1:49">
      <c r="A464" s="1">
        <f>HYPERLINK("https://lsnyc.legalserver.org/matter/dynamic-profile/view/1912691","19-1912691")</f>
        <v>0</v>
      </c>
      <c r="B464" t="s">
        <v>102</v>
      </c>
      <c r="C464" t="s">
        <v>578</v>
      </c>
      <c r="E464" t="s">
        <v>1403</v>
      </c>
      <c r="F464" t="s">
        <v>2777</v>
      </c>
      <c r="G464" t="s">
        <v>6329</v>
      </c>
      <c r="H464" t="s">
        <v>10541</v>
      </c>
      <c r="I464" t="s">
        <v>11383</v>
      </c>
      <c r="J464">
        <v>10452</v>
      </c>
      <c r="K464" t="s">
        <v>11447</v>
      </c>
      <c r="M464" t="s">
        <v>14747</v>
      </c>
      <c r="P464" t="s">
        <v>14795</v>
      </c>
      <c r="S464" t="s">
        <v>14827</v>
      </c>
      <c r="V464">
        <v>2300</v>
      </c>
      <c r="W464" t="s">
        <v>14858</v>
      </c>
      <c r="X464" t="s">
        <v>14866</v>
      </c>
      <c r="Z464" t="s">
        <v>15353</v>
      </c>
      <c r="AB464" t="s">
        <v>20496</v>
      </c>
      <c r="AC464">
        <v>48</v>
      </c>
      <c r="AF464">
        <v>1</v>
      </c>
      <c r="AG464">
        <v>1</v>
      </c>
      <c r="AH464">
        <v>0</v>
      </c>
      <c r="AI464">
        <v>192.15</v>
      </c>
      <c r="AL464" t="s">
        <v>5011</v>
      </c>
      <c r="AM464">
        <v>24000</v>
      </c>
      <c r="AS464">
        <v>1.2</v>
      </c>
      <c r="AT464" t="s">
        <v>483</v>
      </c>
      <c r="AU464" t="s">
        <v>25241</v>
      </c>
      <c r="AW464" t="s">
        <v>11447</v>
      </c>
    </row>
    <row r="465" spans="1:49">
      <c r="A465" s="1">
        <f>HYPERLINK("https://lsnyc.legalserver.org/matter/dynamic-profile/view/1868943","18-1868943")</f>
        <v>0</v>
      </c>
      <c r="B465" t="s">
        <v>85</v>
      </c>
      <c r="C465" t="s">
        <v>428</v>
      </c>
      <c r="E465" t="s">
        <v>1211</v>
      </c>
      <c r="F465" t="s">
        <v>2123</v>
      </c>
      <c r="G465" t="s">
        <v>6723</v>
      </c>
      <c r="I465" t="s">
        <v>11416</v>
      </c>
      <c r="J465">
        <v>11361</v>
      </c>
      <c r="K465" t="s">
        <v>11447</v>
      </c>
      <c r="M465" t="s">
        <v>11601</v>
      </c>
      <c r="N465" t="s">
        <v>14778</v>
      </c>
      <c r="P465" t="s">
        <v>14795</v>
      </c>
      <c r="Q465" t="s">
        <v>11448</v>
      </c>
      <c r="S465" t="s">
        <v>14827</v>
      </c>
      <c r="V465">
        <v>2000</v>
      </c>
      <c r="W465" t="s">
        <v>14861</v>
      </c>
      <c r="Z465" t="s">
        <v>15354</v>
      </c>
      <c r="AB465" t="s">
        <v>20497</v>
      </c>
      <c r="AC465">
        <v>2</v>
      </c>
      <c r="AD465" t="s">
        <v>11479</v>
      </c>
      <c r="AE465" t="s">
        <v>11459</v>
      </c>
      <c r="AF465">
        <v>18</v>
      </c>
      <c r="AG465">
        <v>2</v>
      </c>
      <c r="AH465">
        <v>1</v>
      </c>
      <c r="AI465">
        <v>192.49</v>
      </c>
      <c r="AL465" t="s">
        <v>24632</v>
      </c>
      <c r="AM465">
        <v>40000</v>
      </c>
      <c r="AS465">
        <v>0.75</v>
      </c>
      <c r="AT465" t="s">
        <v>428</v>
      </c>
      <c r="AU465" t="s">
        <v>25236</v>
      </c>
      <c r="AW465" t="s">
        <v>11447</v>
      </c>
    </row>
    <row r="466" spans="1:49">
      <c r="A466" s="1">
        <f>HYPERLINK("https://lsnyc.legalserver.org/matter/dynamic-profile/view/1914941","19-1914941")</f>
        <v>0</v>
      </c>
      <c r="B466" t="s">
        <v>63</v>
      </c>
      <c r="C466" t="s">
        <v>537</v>
      </c>
      <c r="E466" t="s">
        <v>1404</v>
      </c>
      <c r="F466" t="s">
        <v>2375</v>
      </c>
      <c r="G466" t="s">
        <v>6724</v>
      </c>
      <c r="H466" t="s">
        <v>10650</v>
      </c>
      <c r="I466" t="s">
        <v>11391</v>
      </c>
      <c r="J466">
        <v>11691</v>
      </c>
      <c r="K466" t="s">
        <v>11447</v>
      </c>
      <c r="P466" t="s">
        <v>14795</v>
      </c>
      <c r="S466" t="s">
        <v>14827</v>
      </c>
      <c r="V466">
        <v>1087</v>
      </c>
      <c r="W466" t="s">
        <v>14861</v>
      </c>
      <c r="Z466" t="s">
        <v>15355</v>
      </c>
      <c r="AB466" t="s">
        <v>20498</v>
      </c>
      <c r="AC466">
        <v>12</v>
      </c>
      <c r="AF466">
        <v>3</v>
      </c>
      <c r="AG466">
        <v>1</v>
      </c>
      <c r="AH466">
        <v>0</v>
      </c>
      <c r="AI466">
        <v>193.5</v>
      </c>
      <c r="AL466" t="s">
        <v>5011</v>
      </c>
      <c r="AM466">
        <v>24168</v>
      </c>
      <c r="AS466">
        <v>1</v>
      </c>
      <c r="AT466" t="s">
        <v>537</v>
      </c>
      <c r="AU466" t="s">
        <v>25227</v>
      </c>
      <c r="AW466" t="s">
        <v>11447</v>
      </c>
    </row>
    <row r="467" spans="1:49">
      <c r="A467" s="1">
        <f>HYPERLINK("https://lsnyc.legalserver.org/matter/dynamic-profile/view/1891603","19-1891603")</f>
        <v>0</v>
      </c>
      <c r="B467" t="s">
        <v>82</v>
      </c>
      <c r="C467" t="s">
        <v>596</v>
      </c>
      <c r="E467" t="s">
        <v>1405</v>
      </c>
      <c r="F467" t="s">
        <v>3897</v>
      </c>
      <c r="G467" t="s">
        <v>6725</v>
      </c>
      <c r="H467" t="s">
        <v>10651</v>
      </c>
      <c r="I467" t="s">
        <v>11383</v>
      </c>
      <c r="J467">
        <v>10473</v>
      </c>
      <c r="K467" t="s">
        <v>11448</v>
      </c>
      <c r="N467" t="s">
        <v>14781</v>
      </c>
      <c r="P467" t="s">
        <v>14795</v>
      </c>
      <c r="Q467" t="s">
        <v>11448</v>
      </c>
      <c r="S467" t="s">
        <v>14827</v>
      </c>
      <c r="V467">
        <v>1203</v>
      </c>
      <c r="W467" t="s">
        <v>14858</v>
      </c>
      <c r="X467" t="s">
        <v>14868</v>
      </c>
      <c r="Z467" t="s">
        <v>15356</v>
      </c>
      <c r="AB467" t="s">
        <v>20499</v>
      </c>
      <c r="AC467">
        <v>484</v>
      </c>
      <c r="AD467" t="s">
        <v>24595</v>
      </c>
      <c r="AE467" t="s">
        <v>11459</v>
      </c>
      <c r="AF467">
        <v>10</v>
      </c>
      <c r="AG467">
        <v>1</v>
      </c>
      <c r="AH467">
        <v>0</v>
      </c>
      <c r="AI467">
        <v>194.01</v>
      </c>
      <c r="AL467" t="s">
        <v>5011</v>
      </c>
      <c r="AM467">
        <v>24232</v>
      </c>
      <c r="AS467">
        <v>7.5</v>
      </c>
      <c r="AT467" t="s">
        <v>595</v>
      </c>
      <c r="AU467" t="s">
        <v>245</v>
      </c>
      <c r="AW467" t="s">
        <v>11448</v>
      </c>
    </row>
    <row r="468" spans="1:49">
      <c r="A468" s="1">
        <f>HYPERLINK("https://lsnyc.legalserver.org/matter/dynamic-profile/view/1914004","19-1914004")</f>
        <v>0</v>
      </c>
      <c r="B468" t="s">
        <v>73</v>
      </c>
      <c r="C468" t="s">
        <v>490</v>
      </c>
      <c r="E468" t="s">
        <v>1392</v>
      </c>
      <c r="F468" t="s">
        <v>3709</v>
      </c>
      <c r="G468" t="s">
        <v>6726</v>
      </c>
      <c r="H468" t="s">
        <v>10652</v>
      </c>
      <c r="I468" t="s">
        <v>11383</v>
      </c>
      <c r="J468">
        <v>10473</v>
      </c>
      <c r="K468" t="s">
        <v>11447</v>
      </c>
      <c r="N468" t="s">
        <v>14778</v>
      </c>
      <c r="P468" t="s">
        <v>14795</v>
      </c>
      <c r="S468" t="s">
        <v>14828</v>
      </c>
      <c r="V468">
        <v>1233</v>
      </c>
      <c r="W468" t="s">
        <v>14858</v>
      </c>
      <c r="X468" t="s">
        <v>14870</v>
      </c>
      <c r="Z468" t="s">
        <v>15357</v>
      </c>
      <c r="AB468" t="s">
        <v>20500</v>
      </c>
      <c r="AC468">
        <v>0</v>
      </c>
      <c r="AD468" t="s">
        <v>24597</v>
      </c>
      <c r="AE468" t="s">
        <v>24614</v>
      </c>
      <c r="AF468">
        <v>7</v>
      </c>
      <c r="AG468">
        <v>1</v>
      </c>
      <c r="AH468">
        <v>0</v>
      </c>
      <c r="AI468">
        <v>194.04</v>
      </c>
      <c r="AL468" t="s">
        <v>5011</v>
      </c>
      <c r="AM468">
        <v>24236.16</v>
      </c>
      <c r="AS468">
        <v>1.85</v>
      </c>
      <c r="AT468" t="s">
        <v>478</v>
      </c>
      <c r="AU468" t="s">
        <v>25226</v>
      </c>
      <c r="AW468" t="s">
        <v>11447</v>
      </c>
    </row>
    <row r="469" spans="1:49">
      <c r="A469" s="1">
        <f>HYPERLINK("https://lsnyc.legalserver.org/matter/dynamic-profile/view/1903773","19-1903773")</f>
        <v>0</v>
      </c>
      <c r="B469" t="s">
        <v>92</v>
      </c>
      <c r="C469" t="s">
        <v>545</v>
      </c>
      <c r="E469" t="s">
        <v>1406</v>
      </c>
      <c r="F469" t="s">
        <v>3898</v>
      </c>
      <c r="G469" t="s">
        <v>6727</v>
      </c>
      <c r="H469">
        <v>35</v>
      </c>
      <c r="I469" t="s">
        <v>11383</v>
      </c>
      <c r="J469">
        <v>10457</v>
      </c>
      <c r="K469" t="s">
        <v>11447</v>
      </c>
      <c r="M469" t="s">
        <v>14747</v>
      </c>
      <c r="N469" t="s">
        <v>14778</v>
      </c>
      <c r="P469" t="s">
        <v>14795</v>
      </c>
      <c r="Q469" t="s">
        <v>11448</v>
      </c>
      <c r="S469" t="s">
        <v>14827</v>
      </c>
      <c r="V469">
        <v>485</v>
      </c>
      <c r="W469" t="s">
        <v>14858</v>
      </c>
      <c r="X469" t="s">
        <v>14755</v>
      </c>
      <c r="Z469" t="s">
        <v>15358</v>
      </c>
      <c r="AB469" t="s">
        <v>20501</v>
      </c>
      <c r="AC469">
        <v>35</v>
      </c>
      <c r="AD469" t="s">
        <v>24606</v>
      </c>
      <c r="AE469" t="s">
        <v>11459</v>
      </c>
      <c r="AF469">
        <v>44</v>
      </c>
      <c r="AG469">
        <v>1</v>
      </c>
      <c r="AH469">
        <v>0</v>
      </c>
      <c r="AI469">
        <v>196.16</v>
      </c>
      <c r="AL469" t="s">
        <v>5011</v>
      </c>
      <c r="AM469">
        <v>24500</v>
      </c>
      <c r="AS469">
        <v>0.84</v>
      </c>
      <c r="AT469" t="s">
        <v>545</v>
      </c>
      <c r="AU469" t="s">
        <v>25240</v>
      </c>
      <c r="AW469" t="s">
        <v>11447</v>
      </c>
    </row>
    <row r="470" spans="1:49">
      <c r="A470" s="1">
        <f>HYPERLINK("https://lsnyc.legalserver.org/matter/dynamic-profile/view/0811598","16-0811598")</f>
        <v>0</v>
      </c>
      <c r="B470" t="s">
        <v>138</v>
      </c>
      <c r="C470" t="s">
        <v>597</v>
      </c>
      <c r="E470" t="s">
        <v>1407</v>
      </c>
      <c r="F470" t="s">
        <v>3899</v>
      </c>
      <c r="G470" t="s">
        <v>6728</v>
      </c>
      <c r="H470" t="s">
        <v>10502</v>
      </c>
      <c r="I470" t="s">
        <v>11385</v>
      </c>
      <c r="J470">
        <v>11238</v>
      </c>
      <c r="K470" t="s">
        <v>11447</v>
      </c>
      <c r="M470" t="s">
        <v>11601</v>
      </c>
      <c r="P470" t="s">
        <v>14795</v>
      </c>
      <c r="S470" t="s">
        <v>14827</v>
      </c>
      <c r="V470">
        <v>1606</v>
      </c>
      <c r="W470" t="s">
        <v>14861</v>
      </c>
      <c r="X470" t="s">
        <v>14867</v>
      </c>
      <c r="Z470" t="s">
        <v>15359</v>
      </c>
      <c r="AB470" t="s">
        <v>20502</v>
      </c>
      <c r="AC470">
        <v>5</v>
      </c>
      <c r="AD470" t="s">
        <v>11479</v>
      </c>
      <c r="AE470" t="s">
        <v>11459</v>
      </c>
      <c r="AF470">
        <v>4</v>
      </c>
      <c r="AG470">
        <v>1</v>
      </c>
      <c r="AH470">
        <v>0</v>
      </c>
      <c r="AI470">
        <v>196.97</v>
      </c>
      <c r="AL470" t="s">
        <v>5011</v>
      </c>
      <c r="AM470">
        <v>23400</v>
      </c>
      <c r="AS470">
        <v>0.6</v>
      </c>
      <c r="AT470" t="s">
        <v>597</v>
      </c>
      <c r="AU470" t="s">
        <v>25264</v>
      </c>
      <c r="AW470" t="s">
        <v>11447</v>
      </c>
    </row>
    <row r="471" spans="1:49">
      <c r="A471" s="1">
        <f>HYPERLINK("https://lsnyc.legalserver.org/matter/dynamic-profile/view/1912768","19-1912768")</f>
        <v>0</v>
      </c>
      <c r="B471" t="s">
        <v>76</v>
      </c>
      <c r="C471" t="s">
        <v>470</v>
      </c>
      <c r="E471" t="s">
        <v>1408</v>
      </c>
      <c r="F471" t="s">
        <v>3900</v>
      </c>
      <c r="G471" t="s">
        <v>6729</v>
      </c>
      <c r="I471" t="s">
        <v>11385</v>
      </c>
      <c r="J471">
        <v>11212</v>
      </c>
      <c r="K471" t="s">
        <v>11447</v>
      </c>
      <c r="P471" t="s">
        <v>14795</v>
      </c>
      <c r="S471" t="s">
        <v>14827</v>
      </c>
      <c r="V471">
        <v>558</v>
      </c>
      <c r="W471" t="s">
        <v>14859</v>
      </c>
      <c r="X471" t="s">
        <v>14867</v>
      </c>
      <c r="Z471" t="s">
        <v>15360</v>
      </c>
      <c r="AB471" t="s">
        <v>20503</v>
      </c>
      <c r="AC471">
        <v>20</v>
      </c>
      <c r="AD471" t="s">
        <v>24603</v>
      </c>
      <c r="AE471" t="s">
        <v>11459</v>
      </c>
      <c r="AF471">
        <v>4</v>
      </c>
      <c r="AG471">
        <v>1</v>
      </c>
      <c r="AH471">
        <v>0</v>
      </c>
      <c r="AI471">
        <v>197.53</v>
      </c>
      <c r="AL471" t="s">
        <v>5011</v>
      </c>
      <c r="AM471">
        <v>24670.88</v>
      </c>
      <c r="AS471">
        <v>1.1</v>
      </c>
      <c r="AT471" t="s">
        <v>571</v>
      </c>
      <c r="AU471" t="s">
        <v>25226</v>
      </c>
      <c r="AW471" t="s">
        <v>11447</v>
      </c>
    </row>
    <row r="472" spans="1:49">
      <c r="A472" s="1">
        <f>HYPERLINK("https://lsnyc.legalserver.org/matter/dynamic-profile/view/1861812","18-1861812")</f>
        <v>0</v>
      </c>
      <c r="B472" t="s">
        <v>85</v>
      </c>
      <c r="C472" t="s">
        <v>598</v>
      </c>
      <c r="E472" t="s">
        <v>1409</v>
      </c>
      <c r="F472" t="s">
        <v>3901</v>
      </c>
      <c r="G472" t="s">
        <v>6730</v>
      </c>
      <c r="H472" t="s">
        <v>10604</v>
      </c>
      <c r="I472" t="s">
        <v>11387</v>
      </c>
      <c r="J472">
        <v>11434</v>
      </c>
      <c r="K472" t="s">
        <v>11447</v>
      </c>
      <c r="N472" t="s">
        <v>14778</v>
      </c>
      <c r="P472" t="s">
        <v>14795</v>
      </c>
      <c r="Q472" t="s">
        <v>11448</v>
      </c>
      <c r="S472" t="s">
        <v>14827</v>
      </c>
      <c r="V472">
        <v>950</v>
      </c>
      <c r="W472" t="s">
        <v>14861</v>
      </c>
      <c r="X472" t="s">
        <v>14866</v>
      </c>
      <c r="Z472" t="s">
        <v>15361</v>
      </c>
      <c r="AB472" t="s">
        <v>20504</v>
      </c>
      <c r="AC472">
        <v>3</v>
      </c>
      <c r="AF472">
        <v>2</v>
      </c>
      <c r="AG472">
        <v>1</v>
      </c>
      <c r="AH472">
        <v>0</v>
      </c>
      <c r="AI472">
        <v>197.69</v>
      </c>
      <c r="AL472" t="s">
        <v>5011</v>
      </c>
      <c r="AM472">
        <v>24000</v>
      </c>
      <c r="AS472">
        <v>1</v>
      </c>
      <c r="AT472" t="s">
        <v>598</v>
      </c>
      <c r="AU472" t="s">
        <v>25245</v>
      </c>
      <c r="AW472" t="s">
        <v>11447</v>
      </c>
    </row>
    <row r="473" spans="1:49">
      <c r="A473" s="1">
        <f>HYPERLINK("https://lsnyc.legalserver.org/matter/dynamic-profile/view/1852224","17-1852224")</f>
        <v>0</v>
      </c>
      <c r="B473" t="s">
        <v>99</v>
      </c>
      <c r="C473" t="s">
        <v>599</v>
      </c>
      <c r="E473" t="s">
        <v>1410</v>
      </c>
      <c r="F473" t="s">
        <v>3902</v>
      </c>
      <c r="G473" t="s">
        <v>6731</v>
      </c>
      <c r="I473" t="s">
        <v>11387</v>
      </c>
      <c r="J473">
        <v>11434</v>
      </c>
      <c r="K473" t="s">
        <v>11447</v>
      </c>
      <c r="L473" t="s">
        <v>11574</v>
      </c>
      <c r="M473" t="s">
        <v>14744</v>
      </c>
      <c r="N473" t="s">
        <v>14779</v>
      </c>
      <c r="P473" t="s">
        <v>14795</v>
      </c>
      <c r="S473" t="s">
        <v>14827</v>
      </c>
      <c r="V473">
        <v>1950</v>
      </c>
      <c r="W473" t="s">
        <v>14861</v>
      </c>
      <c r="X473" t="s">
        <v>14865</v>
      </c>
      <c r="Z473" t="s">
        <v>15362</v>
      </c>
      <c r="AB473" t="s">
        <v>20505</v>
      </c>
      <c r="AC473">
        <v>0</v>
      </c>
      <c r="AD473" t="s">
        <v>24600</v>
      </c>
      <c r="AE473" t="s">
        <v>11459</v>
      </c>
      <c r="AF473">
        <v>0</v>
      </c>
      <c r="AG473">
        <v>3</v>
      </c>
      <c r="AH473">
        <v>2</v>
      </c>
      <c r="AI473">
        <v>198.05</v>
      </c>
      <c r="AL473" t="s">
        <v>5011</v>
      </c>
      <c r="AM473">
        <v>81000</v>
      </c>
      <c r="AS473">
        <v>1.75</v>
      </c>
      <c r="AT473" t="s">
        <v>25133</v>
      </c>
      <c r="AU473" t="s">
        <v>99</v>
      </c>
      <c r="AW473" t="s">
        <v>11447</v>
      </c>
    </row>
    <row r="474" spans="1:49">
      <c r="A474" s="1">
        <f>HYPERLINK("https://lsnyc.legalserver.org/matter/dynamic-profile/view/1915021","19-1915021")</f>
        <v>0</v>
      </c>
      <c r="B474" t="s">
        <v>75</v>
      </c>
      <c r="C474" t="s">
        <v>521</v>
      </c>
      <c r="E474" t="s">
        <v>1411</v>
      </c>
      <c r="F474" t="s">
        <v>3903</v>
      </c>
      <c r="G474" t="s">
        <v>6732</v>
      </c>
      <c r="I474" t="s">
        <v>11385</v>
      </c>
      <c r="J474">
        <v>11218</v>
      </c>
      <c r="K474" t="s">
        <v>11447</v>
      </c>
      <c r="P474" t="s">
        <v>14795</v>
      </c>
      <c r="S474" t="s">
        <v>14827</v>
      </c>
      <c r="V474">
        <v>799</v>
      </c>
      <c r="W474" t="s">
        <v>14859</v>
      </c>
      <c r="Z474" t="s">
        <v>15363</v>
      </c>
      <c r="AB474" t="s">
        <v>20506</v>
      </c>
      <c r="AC474">
        <v>200</v>
      </c>
      <c r="AD474" t="s">
        <v>24595</v>
      </c>
      <c r="AF474">
        <v>9</v>
      </c>
      <c r="AG474">
        <v>1</v>
      </c>
      <c r="AH474">
        <v>0</v>
      </c>
      <c r="AI474">
        <v>198.59</v>
      </c>
      <c r="AL474" t="s">
        <v>5011</v>
      </c>
      <c r="AM474">
        <v>24804</v>
      </c>
      <c r="AS474">
        <v>1</v>
      </c>
      <c r="AT474" t="s">
        <v>521</v>
      </c>
      <c r="AU474" t="s">
        <v>25237</v>
      </c>
      <c r="AW474" t="s">
        <v>11447</v>
      </c>
    </row>
    <row r="475" spans="1:49">
      <c r="A475" s="1">
        <f>HYPERLINK("https://lsnyc.legalserver.org/matter/dynamic-profile/view/1913659","19-1913659")</f>
        <v>0</v>
      </c>
      <c r="B475" t="s">
        <v>84</v>
      </c>
      <c r="C475" t="s">
        <v>476</v>
      </c>
      <c r="E475" t="s">
        <v>1412</v>
      </c>
      <c r="F475" t="s">
        <v>3904</v>
      </c>
      <c r="G475" t="s">
        <v>6733</v>
      </c>
      <c r="H475" t="s">
        <v>10653</v>
      </c>
      <c r="I475" t="s">
        <v>11383</v>
      </c>
      <c r="J475">
        <v>10460</v>
      </c>
      <c r="K475" t="s">
        <v>11447</v>
      </c>
      <c r="L475" t="s">
        <v>11575</v>
      </c>
      <c r="M475" t="s">
        <v>14744</v>
      </c>
      <c r="P475" t="s">
        <v>14795</v>
      </c>
      <c r="S475" t="s">
        <v>14827</v>
      </c>
      <c r="V475">
        <v>0</v>
      </c>
      <c r="W475" t="s">
        <v>14858</v>
      </c>
      <c r="Z475" t="s">
        <v>15364</v>
      </c>
      <c r="AB475" t="s">
        <v>20507</v>
      </c>
      <c r="AC475">
        <v>0</v>
      </c>
      <c r="AD475" t="s">
        <v>11479</v>
      </c>
      <c r="AE475" t="s">
        <v>24610</v>
      </c>
      <c r="AF475">
        <v>5</v>
      </c>
      <c r="AG475">
        <v>1</v>
      </c>
      <c r="AH475">
        <v>0</v>
      </c>
      <c r="AI475">
        <v>199.65</v>
      </c>
      <c r="AL475" t="s">
        <v>5011</v>
      </c>
      <c r="AM475">
        <v>24936</v>
      </c>
      <c r="AS475">
        <v>1</v>
      </c>
      <c r="AT475" t="s">
        <v>476</v>
      </c>
      <c r="AU475" t="s">
        <v>25231</v>
      </c>
      <c r="AW475" t="s">
        <v>11447</v>
      </c>
    </row>
    <row r="476" spans="1:49">
      <c r="A476" s="1">
        <f>HYPERLINK("https://lsnyc.legalserver.org/matter/dynamic-profile/view/1898390","19-1898390")</f>
        <v>0</v>
      </c>
      <c r="B476" t="s">
        <v>121</v>
      </c>
      <c r="C476" t="s">
        <v>360</v>
      </c>
      <c r="E476" t="s">
        <v>1084</v>
      </c>
      <c r="F476" t="s">
        <v>3905</v>
      </c>
      <c r="G476" t="s">
        <v>6734</v>
      </c>
      <c r="H476" t="s">
        <v>10474</v>
      </c>
      <c r="I476" t="s">
        <v>11386</v>
      </c>
      <c r="J476">
        <v>10037</v>
      </c>
      <c r="K476" t="s">
        <v>11447</v>
      </c>
      <c r="L476" t="s">
        <v>11576</v>
      </c>
      <c r="M476" t="s">
        <v>14744</v>
      </c>
      <c r="N476" t="s">
        <v>14782</v>
      </c>
      <c r="P476" t="s">
        <v>14795</v>
      </c>
      <c r="S476" t="s">
        <v>14828</v>
      </c>
      <c r="V476">
        <v>1138</v>
      </c>
      <c r="W476" t="s">
        <v>14860</v>
      </c>
      <c r="Z476" t="s">
        <v>15365</v>
      </c>
      <c r="AB476" t="s">
        <v>20508</v>
      </c>
      <c r="AC476">
        <v>80</v>
      </c>
      <c r="AF476">
        <v>7</v>
      </c>
      <c r="AG476">
        <v>2</v>
      </c>
      <c r="AH476">
        <v>1</v>
      </c>
      <c r="AI476">
        <v>199.72</v>
      </c>
      <c r="AL476" t="s">
        <v>5011</v>
      </c>
      <c r="AM476">
        <v>42600</v>
      </c>
      <c r="AS476">
        <v>1</v>
      </c>
      <c r="AT476" t="s">
        <v>360</v>
      </c>
      <c r="AU476" t="s">
        <v>25227</v>
      </c>
      <c r="AW476" t="s">
        <v>11447</v>
      </c>
    </row>
    <row r="477" spans="1:49">
      <c r="A477" s="1">
        <f>HYPERLINK("https://lsnyc.legalserver.org/matter/dynamic-profile/view/1851675","17-1851675")</f>
        <v>0</v>
      </c>
      <c r="B477" t="s">
        <v>85</v>
      </c>
      <c r="C477" t="s">
        <v>350</v>
      </c>
      <c r="E477" t="s">
        <v>1046</v>
      </c>
      <c r="F477" t="s">
        <v>3566</v>
      </c>
      <c r="G477" t="s">
        <v>6297</v>
      </c>
      <c r="H477" t="s">
        <v>10464</v>
      </c>
      <c r="I477" t="s">
        <v>11390</v>
      </c>
      <c r="J477">
        <v>11368</v>
      </c>
      <c r="K477" t="s">
        <v>11447</v>
      </c>
      <c r="M477" t="s">
        <v>14746</v>
      </c>
      <c r="N477" t="s">
        <v>14778</v>
      </c>
      <c r="P477" t="s">
        <v>14795</v>
      </c>
      <c r="S477" t="s">
        <v>14827</v>
      </c>
      <c r="V477">
        <v>1750</v>
      </c>
      <c r="W477" t="s">
        <v>14861</v>
      </c>
      <c r="X477" t="s">
        <v>14873</v>
      </c>
      <c r="Z477" t="s">
        <v>14923</v>
      </c>
      <c r="AC477">
        <v>2</v>
      </c>
      <c r="AD477" t="s">
        <v>24600</v>
      </c>
      <c r="AE477" t="s">
        <v>11459</v>
      </c>
      <c r="AF477">
        <v>10</v>
      </c>
      <c r="AG477">
        <v>2</v>
      </c>
      <c r="AH477">
        <v>1</v>
      </c>
      <c r="AI477">
        <v>267.38</v>
      </c>
      <c r="AL477" t="s">
        <v>24632</v>
      </c>
      <c r="AM477">
        <v>54600</v>
      </c>
      <c r="AS477">
        <v>1</v>
      </c>
      <c r="AT477" t="s">
        <v>350</v>
      </c>
      <c r="AU477" t="s">
        <v>25233</v>
      </c>
      <c r="AW477" t="s">
        <v>11447</v>
      </c>
    </row>
    <row r="478" spans="1:49">
      <c r="A478" s="1">
        <f>HYPERLINK("https://lsnyc.legalserver.org/matter/dynamic-profile/view/1904337","19-1904337")</f>
        <v>0</v>
      </c>
      <c r="B478" t="s">
        <v>59</v>
      </c>
      <c r="C478" t="s">
        <v>332</v>
      </c>
      <c r="D478" t="s">
        <v>607</v>
      </c>
      <c r="E478" t="s">
        <v>1337</v>
      </c>
      <c r="F478" t="s">
        <v>3580</v>
      </c>
      <c r="G478" t="s">
        <v>6735</v>
      </c>
      <c r="I478" t="s">
        <v>11391</v>
      </c>
      <c r="J478">
        <v>11691</v>
      </c>
      <c r="K478" t="s">
        <v>11446</v>
      </c>
      <c r="L478" t="s">
        <v>11474</v>
      </c>
      <c r="M478" t="s">
        <v>11601</v>
      </c>
      <c r="N478" t="s">
        <v>14778</v>
      </c>
      <c r="O478" t="s">
        <v>14786</v>
      </c>
      <c r="P478" t="s">
        <v>14796</v>
      </c>
      <c r="Q478" t="s">
        <v>11448</v>
      </c>
      <c r="S478" t="s">
        <v>14827</v>
      </c>
      <c r="T478" t="s">
        <v>14832</v>
      </c>
      <c r="U478" t="s">
        <v>607</v>
      </c>
      <c r="V478">
        <v>600</v>
      </c>
      <c r="W478" t="s">
        <v>14861</v>
      </c>
      <c r="X478" t="s">
        <v>14875</v>
      </c>
      <c r="Y478" t="s">
        <v>14883</v>
      </c>
      <c r="Z478" t="s">
        <v>15366</v>
      </c>
      <c r="AA478" t="s">
        <v>11459</v>
      </c>
      <c r="AB478" t="s">
        <v>19344</v>
      </c>
      <c r="AC478">
        <v>2</v>
      </c>
      <c r="AD478" t="s">
        <v>24600</v>
      </c>
      <c r="AE478" t="s">
        <v>11459</v>
      </c>
      <c r="AF478">
        <v>5</v>
      </c>
      <c r="AG478">
        <v>1</v>
      </c>
      <c r="AH478">
        <v>2</v>
      </c>
      <c r="AI478">
        <v>0</v>
      </c>
      <c r="AJ478" t="s">
        <v>24621</v>
      </c>
      <c r="AK478" t="s">
        <v>24627</v>
      </c>
      <c r="AL478" t="s">
        <v>5011</v>
      </c>
      <c r="AM478">
        <v>0</v>
      </c>
      <c r="AS478">
        <v>1.2</v>
      </c>
      <c r="AT478" t="s">
        <v>607</v>
      </c>
      <c r="AU478" t="s">
        <v>59</v>
      </c>
      <c r="AV478" t="s">
        <v>25335</v>
      </c>
      <c r="AW478" t="s">
        <v>11447</v>
      </c>
    </row>
    <row r="479" spans="1:49">
      <c r="A479" s="1">
        <f>HYPERLINK("https://lsnyc.legalserver.org/matter/dynamic-profile/view/1905128","19-1905128")</f>
        <v>0</v>
      </c>
      <c r="B479" t="s">
        <v>87</v>
      </c>
      <c r="C479" t="s">
        <v>456</v>
      </c>
      <c r="D479" t="s">
        <v>553</v>
      </c>
      <c r="E479" t="s">
        <v>1413</v>
      </c>
      <c r="F479" t="s">
        <v>3702</v>
      </c>
      <c r="G479" t="s">
        <v>6736</v>
      </c>
      <c r="I479" t="s">
        <v>11384</v>
      </c>
      <c r="J479">
        <v>10304</v>
      </c>
      <c r="K479" t="s">
        <v>11446</v>
      </c>
      <c r="M479" t="s">
        <v>11601</v>
      </c>
      <c r="N479" t="s">
        <v>14778</v>
      </c>
      <c r="O479" t="s">
        <v>14786</v>
      </c>
      <c r="P479" t="s">
        <v>14796</v>
      </c>
      <c r="Q479" t="s">
        <v>11448</v>
      </c>
      <c r="S479" t="s">
        <v>14827</v>
      </c>
      <c r="T479" t="s">
        <v>14832</v>
      </c>
      <c r="U479" t="s">
        <v>456</v>
      </c>
      <c r="V479">
        <v>1831</v>
      </c>
      <c r="W479" t="s">
        <v>14862</v>
      </c>
      <c r="X479" t="s">
        <v>14875</v>
      </c>
      <c r="Y479" t="s">
        <v>14883</v>
      </c>
      <c r="Z479" t="s">
        <v>15367</v>
      </c>
      <c r="AB479" t="s">
        <v>20509</v>
      </c>
      <c r="AC479">
        <v>2</v>
      </c>
      <c r="AD479" t="s">
        <v>24600</v>
      </c>
      <c r="AE479" t="s">
        <v>11459</v>
      </c>
      <c r="AF479">
        <v>1</v>
      </c>
      <c r="AG479">
        <v>1</v>
      </c>
      <c r="AH479">
        <v>0</v>
      </c>
      <c r="AI479">
        <v>105.68</v>
      </c>
      <c r="AJ479" t="s">
        <v>24621</v>
      </c>
      <c r="AK479" t="s">
        <v>24627</v>
      </c>
      <c r="AL479" t="s">
        <v>5011</v>
      </c>
      <c r="AM479">
        <v>13200</v>
      </c>
      <c r="AS479">
        <v>1.5</v>
      </c>
      <c r="AT479" t="s">
        <v>456</v>
      </c>
      <c r="AU479" t="s">
        <v>87</v>
      </c>
      <c r="AV479" t="s">
        <v>25335</v>
      </c>
      <c r="AW479" t="s">
        <v>11447</v>
      </c>
    </row>
    <row r="480" spans="1:49">
      <c r="A480" s="1">
        <f>HYPERLINK("https://lsnyc.legalserver.org/matter/dynamic-profile/view/1906859","19-1906859")</f>
        <v>0</v>
      </c>
      <c r="B480" t="s">
        <v>87</v>
      </c>
      <c r="C480" t="s">
        <v>564</v>
      </c>
      <c r="D480" t="s">
        <v>354</v>
      </c>
      <c r="E480" t="s">
        <v>1319</v>
      </c>
      <c r="F480" t="s">
        <v>3906</v>
      </c>
      <c r="G480" t="s">
        <v>6737</v>
      </c>
      <c r="H480">
        <v>2</v>
      </c>
      <c r="I480" t="s">
        <v>11384</v>
      </c>
      <c r="J480">
        <v>10306</v>
      </c>
      <c r="K480" t="s">
        <v>11446</v>
      </c>
      <c r="M480" t="s">
        <v>11601</v>
      </c>
      <c r="N480" t="s">
        <v>14778</v>
      </c>
      <c r="O480" t="s">
        <v>14786</v>
      </c>
      <c r="P480" t="s">
        <v>14796</v>
      </c>
      <c r="Q480" t="s">
        <v>11448</v>
      </c>
      <c r="S480" t="s">
        <v>14827</v>
      </c>
      <c r="T480" t="s">
        <v>14832</v>
      </c>
      <c r="U480" t="s">
        <v>564</v>
      </c>
      <c r="V480">
        <v>1200</v>
      </c>
      <c r="W480" t="s">
        <v>14862</v>
      </c>
      <c r="X480" t="s">
        <v>14875</v>
      </c>
      <c r="Y480" t="s">
        <v>14883</v>
      </c>
      <c r="Z480" t="s">
        <v>15368</v>
      </c>
      <c r="AB480" t="s">
        <v>20510</v>
      </c>
      <c r="AC480">
        <v>2</v>
      </c>
      <c r="AD480" t="s">
        <v>24600</v>
      </c>
      <c r="AE480" t="s">
        <v>11459</v>
      </c>
      <c r="AF480">
        <v>1</v>
      </c>
      <c r="AG480">
        <v>3</v>
      </c>
      <c r="AH480">
        <v>0</v>
      </c>
      <c r="AI480">
        <v>67.51000000000001</v>
      </c>
      <c r="AJ480" t="s">
        <v>24621</v>
      </c>
      <c r="AK480" t="s">
        <v>24627</v>
      </c>
      <c r="AL480" t="s">
        <v>5011</v>
      </c>
      <c r="AM480">
        <v>14400</v>
      </c>
      <c r="AS480">
        <v>1.5</v>
      </c>
      <c r="AT480" t="s">
        <v>564</v>
      </c>
      <c r="AU480" t="s">
        <v>87</v>
      </c>
      <c r="AV480" t="s">
        <v>25335</v>
      </c>
      <c r="AW480" t="s">
        <v>11447</v>
      </c>
    </row>
    <row r="481" spans="1:49">
      <c r="A481" s="1">
        <f>HYPERLINK("https://lsnyc.legalserver.org/matter/dynamic-profile/view/1906263","19-1906263")</f>
        <v>0</v>
      </c>
      <c r="B481" t="s">
        <v>164</v>
      </c>
      <c r="C481" t="s">
        <v>355</v>
      </c>
      <c r="D481" t="s">
        <v>368</v>
      </c>
      <c r="E481" t="s">
        <v>1414</v>
      </c>
      <c r="F481" t="s">
        <v>3907</v>
      </c>
      <c r="G481" t="s">
        <v>6738</v>
      </c>
      <c r="H481" t="s">
        <v>10654</v>
      </c>
      <c r="I481" t="s">
        <v>11384</v>
      </c>
      <c r="J481">
        <v>10301</v>
      </c>
      <c r="K481" t="s">
        <v>11446</v>
      </c>
      <c r="L481" t="s">
        <v>11474</v>
      </c>
      <c r="M481" t="s">
        <v>14758</v>
      </c>
      <c r="N481" t="s">
        <v>14779</v>
      </c>
      <c r="O481" t="s">
        <v>14787</v>
      </c>
      <c r="P481" t="s">
        <v>14796</v>
      </c>
      <c r="Q481" t="s">
        <v>11448</v>
      </c>
      <c r="S481" t="s">
        <v>14830</v>
      </c>
      <c r="T481" t="s">
        <v>14832</v>
      </c>
      <c r="U481" t="s">
        <v>355</v>
      </c>
      <c r="V481">
        <v>98</v>
      </c>
      <c r="W481" t="s">
        <v>14862</v>
      </c>
      <c r="X481" t="s">
        <v>14875</v>
      </c>
      <c r="Y481" t="s">
        <v>14883</v>
      </c>
      <c r="Z481" t="s">
        <v>15369</v>
      </c>
      <c r="AB481" t="s">
        <v>20511</v>
      </c>
      <c r="AC481">
        <v>2</v>
      </c>
      <c r="AD481" t="s">
        <v>24600</v>
      </c>
      <c r="AE481" t="s">
        <v>24610</v>
      </c>
      <c r="AF481">
        <v>3</v>
      </c>
      <c r="AG481">
        <v>4</v>
      </c>
      <c r="AH481">
        <v>0</v>
      </c>
      <c r="AI481">
        <v>40.12</v>
      </c>
      <c r="AJ481" t="s">
        <v>24621</v>
      </c>
      <c r="AK481" t="s">
        <v>24627</v>
      </c>
      <c r="AL481" t="s">
        <v>5011</v>
      </c>
      <c r="AM481">
        <v>10332</v>
      </c>
      <c r="AS481">
        <v>1.6</v>
      </c>
      <c r="AT481" t="s">
        <v>368</v>
      </c>
      <c r="AU481" t="s">
        <v>164</v>
      </c>
      <c r="AV481" t="s">
        <v>25335</v>
      </c>
      <c r="AW481" t="s">
        <v>11447</v>
      </c>
    </row>
    <row r="482" spans="1:49">
      <c r="A482" s="1">
        <f>HYPERLINK("https://lsnyc.legalserver.org/matter/dynamic-profile/view/1884785","18-1884785")</f>
        <v>0</v>
      </c>
      <c r="B482" t="s">
        <v>165</v>
      </c>
      <c r="C482" t="s">
        <v>600</v>
      </c>
      <c r="D482" t="s">
        <v>630</v>
      </c>
      <c r="E482" t="s">
        <v>1415</v>
      </c>
      <c r="F482" t="s">
        <v>2002</v>
      </c>
      <c r="G482" t="s">
        <v>6739</v>
      </c>
      <c r="H482" t="s">
        <v>10583</v>
      </c>
      <c r="I482" t="s">
        <v>11384</v>
      </c>
      <c r="J482">
        <v>10302</v>
      </c>
      <c r="K482" t="s">
        <v>11446</v>
      </c>
      <c r="L482" t="s">
        <v>11577</v>
      </c>
      <c r="M482" t="s">
        <v>14743</v>
      </c>
      <c r="N482" t="s">
        <v>14781</v>
      </c>
      <c r="O482" t="s">
        <v>14788</v>
      </c>
      <c r="P482" t="s">
        <v>14796</v>
      </c>
      <c r="Q482" t="s">
        <v>11448</v>
      </c>
      <c r="S482" t="s">
        <v>14827</v>
      </c>
      <c r="T482" t="s">
        <v>14832</v>
      </c>
      <c r="V482">
        <v>1300</v>
      </c>
      <c r="W482" t="s">
        <v>14862</v>
      </c>
      <c r="X482" t="s">
        <v>14875</v>
      </c>
      <c r="Y482" t="s">
        <v>14887</v>
      </c>
      <c r="Z482" t="s">
        <v>15370</v>
      </c>
      <c r="AC482">
        <v>3</v>
      </c>
      <c r="AD482" t="s">
        <v>24600</v>
      </c>
      <c r="AE482" t="s">
        <v>11459</v>
      </c>
      <c r="AF482">
        <v>5</v>
      </c>
      <c r="AG482">
        <v>2</v>
      </c>
      <c r="AH482">
        <v>4</v>
      </c>
      <c r="AI482">
        <v>30.94</v>
      </c>
      <c r="AJ482" t="s">
        <v>24621</v>
      </c>
      <c r="AK482" t="s">
        <v>24627</v>
      </c>
      <c r="AL482" t="s">
        <v>24632</v>
      </c>
      <c r="AM482">
        <v>10440</v>
      </c>
      <c r="AO482" t="s">
        <v>24930</v>
      </c>
      <c r="AP482" t="s">
        <v>24942</v>
      </c>
      <c r="AQ482" t="s">
        <v>24986</v>
      </c>
      <c r="AR482" t="s">
        <v>24997</v>
      </c>
      <c r="AS482">
        <v>6.15</v>
      </c>
      <c r="AT482" t="s">
        <v>630</v>
      </c>
      <c r="AU482" t="s">
        <v>25265</v>
      </c>
      <c r="AV482" t="s">
        <v>25335</v>
      </c>
      <c r="AW482" t="s">
        <v>11446</v>
      </c>
    </row>
    <row r="483" spans="1:49">
      <c r="A483" s="1">
        <f>HYPERLINK("https://lsnyc.legalserver.org/matter/dynamic-profile/view/1908824","19-1908824")</f>
        <v>0</v>
      </c>
      <c r="B483" t="s">
        <v>166</v>
      </c>
      <c r="C483" t="s">
        <v>585</v>
      </c>
      <c r="D483" t="s">
        <v>585</v>
      </c>
      <c r="E483" t="s">
        <v>1416</v>
      </c>
      <c r="F483" t="s">
        <v>3908</v>
      </c>
      <c r="G483" t="s">
        <v>6740</v>
      </c>
      <c r="I483" t="s">
        <v>11384</v>
      </c>
      <c r="J483">
        <v>10310</v>
      </c>
      <c r="K483" t="s">
        <v>11446</v>
      </c>
      <c r="L483" t="s">
        <v>11465</v>
      </c>
      <c r="M483" t="s">
        <v>11601</v>
      </c>
      <c r="N483" t="s">
        <v>14778</v>
      </c>
      <c r="O483" t="s">
        <v>14786</v>
      </c>
      <c r="P483" t="s">
        <v>14796</v>
      </c>
      <c r="Q483" t="s">
        <v>11448</v>
      </c>
      <c r="S483" t="s">
        <v>14827</v>
      </c>
      <c r="T483" t="s">
        <v>14832</v>
      </c>
      <c r="V483">
        <v>1275</v>
      </c>
      <c r="W483" t="s">
        <v>14862</v>
      </c>
      <c r="X483" t="s">
        <v>14875</v>
      </c>
      <c r="Y483" t="s">
        <v>14883</v>
      </c>
      <c r="Z483" t="s">
        <v>15371</v>
      </c>
      <c r="AA483" t="s">
        <v>11465</v>
      </c>
      <c r="AB483" t="s">
        <v>20512</v>
      </c>
      <c r="AC483">
        <v>2</v>
      </c>
      <c r="AD483" t="s">
        <v>11479</v>
      </c>
      <c r="AE483" t="s">
        <v>11459</v>
      </c>
      <c r="AF483">
        <v>5</v>
      </c>
      <c r="AG483">
        <v>1</v>
      </c>
      <c r="AH483">
        <v>2</v>
      </c>
      <c r="AI483">
        <v>0</v>
      </c>
      <c r="AJ483" t="s">
        <v>24621</v>
      </c>
      <c r="AK483" t="s">
        <v>24627</v>
      </c>
      <c r="AL483" t="s">
        <v>5011</v>
      </c>
      <c r="AM483">
        <v>0</v>
      </c>
      <c r="AQ483" t="s">
        <v>24986</v>
      </c>
      <c r="AR483" t="s">
        <v>24998</v>
      </c>
      <c r="AS483">
        <v>2.3</v>
      </c>
      <c r="AT483" t="s">
        <v>602</v>
      </c>
      <c r="AU483" t="s">
        <v>166</v>
      </c>
      <c r="AV483" t="s">
        <v>25335</v>
      </c>
      <c r="AW483" t="s">
        <v>11447</v>
      </c>
    </row>
    <row r="484" spans="1:49">
      <c r="A484" s="1">
        <f>HYPERLINK("https://lsnyc.legalserver.org/matter/dynamic-profile/view/1908665","19-1908665")</f>
        <v>0</v>
      </c>
      <c r="B484" t="s">
        <v>167</v>
      </c>
      <c r="C484" t="s">
        <v>410</v>
      </c>
      <c r="D484" t="s">
        <v>463</v>
      </c>
      <c r="E484" t="s">
        <v>1417</v>
      </c>
      <c r="F484" t="s">
        <v>3909</v>
      </c>
      <c r="G484" t="s">
        <v>6741</v>
      </c>
      <c r="H484">
        <v>2</v>
      </c>
      <c r="I484" t="s">
        <v>11417</v>
      </c>
      <c r="J484">
        <v>11693</v>
      </c>
      <c r="K484" t="s">
        <v>11446</v>
      </c>
      <c r="L484" t="s">
        <v>11578</v>
      </c>
      <c r="M484" t="s">
        <v>14743</v>
      </c>
      <c r="N484" t="s">
        <v>14778</v>
      </c>
      <c r="O484" t="s">
        <v>14786</v>
      </c>
      <c r="P484" t="s">
        <v>14796</v>
      </c>
      <c r="Q484" t="s">
        <v>11448</v>
      </c>
      <c r="S484" t="s">
        <v>14827</v>
      </c>
      <c r="T484" t="s">
        <v>14837</v>
      </c>
      <c r="U484" t="s">
        <v>463</v>
      </c>
      <c r="V484">
        <v>240</v>
      </c>
      <c r="W484" t="s">
        <v>14861</v>
      </c>
      <c r="X484" t="s">
        <v>14875</v>
      </c>
      <c r="Y484" t="s">
        <v>14883</v>
      </c>
      <c r="Z484" t="s">
        <v>15372</v>
      </c>
      <c r="AA484" t="s">
        <v>19340</v>
      </c>
      <c r="AC484">
        <v>2</v>
      </c>
      <c r="AD484" t="s">
        <v>24600</v>
      </c>
      <c r="AE484" t="s">
        <v>24610</v>
      </c>
      <c r="AF484">
        <v>6</v>
      </c>
      <c r="AG484">
        <v>1</v>
      </c>
      <c r="AH484">
        <v>4</v>
      </c>
      <c r="AI484">
        <v>62.63</v>
      </c>
      <c r="AJ484" t="s">
        <v>24621</v>
      </c>
      <c r="AK484" t="s">
        <v>24627</v>
      </c>
      <c r="AL484" t="s">
        <v>5011</v>
      </c>
      <c r="AM484">
        <v>18896.54</v>
      </c>
      <c r="AS484">
        <v>1.65</v>
      </c>
      <c r="AT484" t="s">
        <v>559</v>
      </c>
      <c r="AU484" t="s">
        <v>167</v>
      </c>
      <c r="AV484" t="s">
        <v>25335</v>
      </c>
      <c r="AW484" t="s">
        <v>11447</v>
      </c>
    </row>
    <row r="485" spans="1:49">
      <c r="A485" s="1">
        <f>HYPERLINK("https://lsnyc.legalserver.org/matter/dynamic-profile/view/1908836","19-1908836")</f>
        <v>0</v>
      </c>
      <c r="B485" t="s">
        <v>166</v>
      </c>
      <c r="C485" t="s">
        <v>585</v>
      </c>
      <c r="D485" t="s">
        <v>602</v>
      </c>
      <c r="E485" t="s">
        <v>1418</v>
      </c>
      <c r="F485" t="s">
        <v>3910</v>
      </c>
      <c r="G485" t="s">
        <v>6742</v>
      </c>
      <c r="I485" t="s">
        <v>11384</v>
      </c>
      <c r="J485">
        <v>10305</v>
      </c>
      <c r="K485" t="s">
        <v>11446</v>
      </c>
      <c r="L485" t="s">
        <v>11456</v>
      </c>
      <c r="M485" t="s">
        <v>11601</v>
      </c>
      <c r="N485" t="s">
        <v>14778</v>
      </c>
      <c r="O485" t="s">
        <v>14786</v>
      </c>
      <c r="P485" t="s">
        <v>14796</v>
      </c>
      <c r="Q485" t="s">
        <v>11448</v>
      </c>
      <c r="S485" t="s">
        <v>14829</v>
      </c>
      <c r="U485" t="s">
        <v>585</v>
      </c>
      <c r="V485">
        <v>0</v>
      </c>
      <c r="W485" t="s">
        <v>14862</v>
      </c>
      <c r="X485" t="s">
        <v>14875</v>
      </c>
      <c r="Y485" t="s">
        <v>14883</v>
      </c>
      <c r="Z485" t="s">
        <v>15373</v>
      </c>
      <c r="AB485" t="s">
        <v>20513</v>
      </c>
      <c r="AC485">
        <v>1</v>
      </c>
      <c r="AD485" t="s">
        <v>24600</v>
      </c>
      <c r="AE485" t="s">
        <v>11459</v>
      </c>
      <c r="AF485">
        <v>0</v>
      </c>
      <c r="AG485">
        <v>4</v>
      </c>
      <c r="AH485">
        <v>2</v>
      </c>
      <c r="AI485">
        <v>0</v>
      </c>
      <c r="AJ485" t="s">
        <v>24621</v>
      </c>
      <c r="AK485" t="s">
        <v>24627</v>
      </c>
      <c r="AL485" t="s">
        <v>5011</v>
      </c>
      <c r="AM485">
        <v>0</v>
      </c>
      <c r="AP485" t="s">
        <v>14755</v>
      </c>
      <c r="AR485" t="s">
        <v>24998</v>
      </c>
      <c r="AS485">
        <v>1.7</v>
      </c>
      <c r="AT485" t="s">
        <v>602</v>
      </c>
      <c r="AU485" t="s">
        <v>166</v>
      </c>
      <c r="AV485" t="s">
        <v>25335</v>
      </c>
      <c r="AW485" t="s">
        <v>11447</v>
      </c>
    </row>
    <row r="486" spans="1:49">
      <c r="A486" s="1">
        <f>HYPERLINK("https://lsnyc.legalserver.org/matter/dynamic-profile/view/1909441","19-1909441")</f>
        <v>0</v>
      </c>
      <c r="B486" t="s">
        <v>164</v>
      </c>
      <c r="C486" t="s">
        <v>412</v>
      </c>
      <c r="D486" t="s">
        <v>526</v>
      </c>
      <c r="E486" t="s">
        <v>1419</v>
      </c>
      <c r="F486" t="s">
        <v>3831</v>
      </c>
      <c r="G486" t="s">
        <v>6743</v>
      </c>
      <c r="H486">
        <v>2</v>
      </c>
      <c r="I486" t="s">
        <v>11384</v>
      </c>
      <c r="J486">
        <v>10306</v>
      </c>
      <c r="K486" t="s">
        <v>11446</v>
      </c>
      <c r="L486" t="s">
        <v>11474</v>
      </c>
      <c r="M486" t="s">
        <v>11601</v>
      </c>
      <c r="N486" t="s">
        <v>14778</v>
      </c>
      <c r="O486" t="s">
        <v>14786</v>
      </c>
      <c r="P486" t="s">
        <v>14796</v>
      </c>
      <c r="Q486" t="s">
        <v>11448</v>
      </c>
      <c r="S486" t="s">
        <v>14827</v>
      </c>
      <c r="T486" t="s">
        <v>14832</v>
      </c>
      <c r="U486" t="s">
        <v>412</v>
      </c>
      <c r="V486">
        <v>0</v>
      </c>
      <c r="W486" t="s">
        <v>14862</v>
      </c>
      <c r="X486" t="s">
        <v>14875</v>
      </c>
      <c r="Y486" t="s">
        <v>14883</v>
      </c>
      <c r="Z486" t="s">
        <v>15374</v>
      </c>
      <c r="AB486" t="s">
        <v>20514</v>
      </c>
      <c r="AC486">
        <v>20</v>
      </c>
      <c r="AD486" t="s">
        <v>24600</v>
      </c>
      <c r="AE486" t="s">
        <v>11459</v>
      </c>
      <c r="AF486">
        <v>2</v>
      </c>
      <c r="AG486">
        <v>2</v>
      </c>
      <c r="AH486">
        <v>1</v>
      </c>
      <c r="AI486">
        <v>200.79</v>
      </c>
      <c r="AJ486" t="s">
        <v>24621</v>
      </c>
      <c r="AK486" t="s">
        <v>24627</v>
      </c>
      <c r="AL486" t="s">
        <v>24632</v>
      </c>
      <c r="AM486">
        <v>42828</v>
      </c>
      <c r="AS486">
        <v>1.9</v>
      </c>
      <c r="AT486" t="s">
        <v>526</v>
      </c>
      <c r="AU486" t="s">
        <v>164</v>
      </c>
      <c r="AV486" t="s">
        <v>25335</v>
      </c>
      <c r="AW486" t="s">
        <v>11447</v>
      </c>
    </row>
    <row r="487" spans="1:49">
      <c r="A487" s="1">
        <f>HYPERLINK("https://lsnyc.legalserver.org/matter/dynamic-profile/view/1910816","19-1910816")</f>
        <v>0</v>
      </c>
      <c r="B487" t="s">
        <v>151</v>
      </c>
      <c r="C487" t="s">
        <v>601</v>
      </c>
      <c r="D487" t="s">
        <v>472</v>
      </c>
      <c r="E487" t="s">
        <v>1420</v>
      </c>
      <c r="F487" t="s">
        <v>3911</v>
      </c>
      <c r="G487" t="s">
        <v>6744</v>
      </c>
      <c r="I487" t="s">
        <v>11385</v>
      </c>
      <c r="J487">
        <v>11209</v>
      </c>
      <c r="K487" t="s">
        <v>11448</v>
      </c>
      <c r="M487" t="s">
        <v>11601</v>
      </c>
      <c r="N487" t="s">
        <v>14778</v>
      </c>
      <c r="O487" t="s">
        <v>14786</v>
      </c>
      <c r="P487" t="s">
        <v>14796</v>
      </c>
      <c r="Q487" t="s">
        <v>11448</v>
      </c>
      <c r="S487" t="s">
        <v>14829</v>
      </c>
      <c r="V487">
        <v>1798</v>
      </c>
      <c r="W487" t="s">
        <v>14859</v>
      </c>
      <c r="X487" t="s">
        <v>14875</v>
      </c>
      <c r="Y487" t="s">
        <v>14883</v>
      </c>
      <c r="Z487" t="s">
        <v>15375</v>
      </c>
      <c r="AB487" t="s">
        <v>20515</v>
      </c>
      <c r="AC487">
        <v>70</v>
      </c>
      <c r="AD487" t="s">
        <v>24595</v>
      </c>
      <c r="AF487">
        <v>0</v>
      </c>
      <c r="AG487">
        <v>1</v>
      </c>
      <c r="AH487">
        <v>0</v>
      </c>
      <c r="AI487">
        <v>4803.84</v>
      </c>
      <c r="AJ487" t="s">
        <v>24621</v>
      </c>
      <c r="AK487" t="s">
        <v>24627</v>
      </c>
      <c r="AL487" t="s">
        <v>5011</v>
      </c>
      <c r="AM487">
        <v>600000</v>
      </c>
      <c r="AS487">
        <v>0.3</v>
      </c>
      <c r="AT487" t="s">
        <v>604</v>
      </c>
      <c r="AU487" t="s">
        <v>25230</v>
      </c>
      <c r="AV487" t="s">
        <v>11459</v>
      </c>
      <c r="AW487" t="s">
        <v>11447</v>
      </c>
    </row>
    <row r="488" spans="1:49">
      <c r="A488" s="1">
        <f>HYPERLINK("https://lsnyc.legalserver.org/matter/dynamic-profile/view/1910521","19-1910521")</f>
        <v>0</v>
      </c>
      <c r="B488" t="s">
        <v>137</v>
      </c>
      <c r="C488" t="s">
        <v>602</v>
      </c>
      <c r="D488" t="s">
        <v>477</v>
      </c>
      <c r="E488" t="s">
        <v>1055</v>
      </c>
      <c r="F488" t="s">
        <v>3912</v>
      </c>
      <c r="G488" t="s">
        <v>6745</v>
      </c>
      <c r="H488">
        <v>11</v>
      </c>
      <c r="I488" t="s">
        <v>11386</v>
      </c>
      <c r="J488">
        <v>10028</v>
      </c>
      <c r="K488" t="s">
        <v>11446</v>
      </c>
      <c r="N488" t="s">
        <v>14778</v>
      </c>
      <c r="O488" t="s">
        <v>14786</v>
      </c>
      <c r="P488" t="s">
        <v>14796</v>
      </c>
      <c r="Q488" t="s">
        <v>11448</v>
      </c>
      <c r="S488" t="s">
        <v>14827</v>
      </c>
      <c r="U488" t="s">
        <v>467</v>
      </c>
      <c r="V488">
        <v>1438.6</v>
      </c>
      <c r="W488" t="s">
        <v>14860</v>
      </c>
      <c r="X488" t="s">
        <v>14875</v>
      </c>
      <c r="Y488" t="s">
        <v>14883</v>
      </c>
      <c r="Z488" t="s">
        <v>15376</v>
      </c>
      <c r="AB488" t="s">
        <v>20516</v>
      </c>
      <c r="AC488">
        <v>33</v>
      </c>
      <c r="AD488" t="s">
        <v>24595</v>
      </c>
      <c r="AE488" t="s">
        <v>11459</v>
      </c>
      <c r="AF488">
        <v>24</v>
      </c>
      <c r="AG488">
        <v>1</v>
      </c>
      <c r="AH488">
        <v>1</v>
      </c>
      <c r="AI488">
        <v>0</v>
      </c>
      <c r="AJ488" t="s">
        <v>24621</v>
      </c>
      <c r="AK488" t="s">
        <v>24627</v>
      </c>
      <c r="AL488" t="s">
        <v>5011</v>
      </c>
      <c r="AM488">
        <v>0</v>
      </c>
      <c r="AS488">
        <v>0.5</v>
      </c>
      <c r="AT488" t="s">
        <v>505</v>
      </c>
      <c r="AU488" t="s">
        <v>137</v>
      </c>
      <c r="AV488" t="s">
        <v>25335</v>
      </c>
      <c r="AW488" t="s">
        <v>11447</v>
      </c>
    </row>
    <row r="489" spans="1:49">
      <c r="A489" s="1">
        <f>HYPERLINK("https://lsnyc.legalserver.org/matter/dynamic-profile/view/1913056","19-1913056")</f>
        <v>0</v>
      </c>
      <c r="B489" t="s">
        <v>137</v>
      </c>
      <c r="C489" t="s">
        <v>603</v>
      </c>
      <c r="D489" t="s">
        <v>476</v>
      </c>
      <c r="E489" t="s">
        <v>1421</v>
      </c>
      <c r="F489" t="s">
        <v>3913</v>
      </c>
      <c r="G489" t="s">
        <v>6746</v>
      </c>
      <c r="H489" t="s">
        <v>10569</v>
      </c>
      <c r="I489" t="s">
        <v>11386</v>
      </c>
      <c r="J489">
        <v>10002</v>
      </c>
      <c r="K489" t="s">
        <v>11446</v>
      </c>
      <c r="M489" t="s">
        <v>11601</v>
      </c>
      <c r="N489" t="s">
        <v>14778</v>
      </c>
      <c r="O489" t="s">
        <v>14786</v>
      </c>
      <c r="P489" t="s">
        <v>14796</v>
      </c>
      <c r="Q489" t="s">
        <v>11448</v>
      </c>
      <c r="S489" t="s">
        <v>14827</v>
      </c>
      <c r="U489" t="s">
        <v>603</v>
      </c>
      <c r="V489">
        <v>1250</v>
      </c>
      <c r="W489" t="s">
        <v>14860</v>
      </c>
      <c r="X489" t="s">
        <v>14875</v>
      </c>
      <c r="Y489" t="s">
        <v>14883</v>
      </c>
      <c r="Z489" t="s">
        <v>15377</v>
      </c>
      <c r="AC489">
        <v>0</v>
      </c>
      <c r="AD489" t="s">
        <v>24595</v>
      </c>
      <c r="AE489" t="s">
        <v>11459</v>
      </c>
      <c r="AF489">
        <v>5</v>
      </c>
      <c r="AG489">
        <v>1</v>
      </c>
      <c r="AH489">
        <v>0</v>
      </c>
      <c r="AI489">
        <v>600.48</v>
      </c>
      <c r="AJ489" t="s">
        <v>24621</v>
      </c>
      <c r="AK489" t="s">
        <v>24627</v>
      </c>
      <c r="AL489" t="s">
        <v>5011</v>
      </c>
      <c r="AM489">
        <v>75000</v>
      </c>
      <c r="AS489">
        <v>2</v>
      </c>
      <c r="AT489" t="s">
        <v>476</v>
      </c>
      <c r="AU489" t="s">
        <v>137</v>
      </c>
      <c r="AV489" t="s">
        <v>25335</v>
      </c>
      <c r="AW489" t="s">
        <v>11447</v>
      </c>
    </row>
    <row r="490" spans="1:49">
      <c r="A490" s="1">
        <f>HYPERLINK("https://lsnyc.legalserver.org/matter/dynamic-profile/view/1913477","19-1913477")</f>
        <v>0</v>
      </c>
      <c r="B490" t="s">
        <v>137</v>
      </c>
      <c r="C490" t="s">
        <v>484</v>
      </c>
      <c r="D490" t="s">
        <v>495</v>
      </c>
      <c r="E490" t="s">
        <v>1218</v>
      </c>
      <c r="F490" t="s">
        <v>3914</v>
      </c>
      <c r="G490" t="s">
        <v>6747</v>
      </c>
      <c r="H490">
        <v>11</v>
      </c>
      <c r="I490" t="s">
        <v>11386</v>
      </c>
      <c r="J490">
        <v>10029</v>
      </c>
      <c r="K490" t="s">
        <v>11446</v>
      </c>
      <c r="M490" t="s">
        <v>14747</v>
      </c>
      <c r="N490" t="s">
        <v>14778</v>
      </c>
      <c r="O490" t="s">
        <v>14786</v>
      </c>
      <c r="P490" t="s">
        <v>14796</v>
      </c>
      <c r="Q490" t="s">
        <v>11448</v>
      </c>
      <c r="S490" t="s">
        <v>14827</v>
      </c>
      <c r="U490" t="s">
        <v>537</v>
      </c>
      <c r="V490">
        <v>1008</v>
      </c>
      <c r="W490" t="s">
        <v>14860</v>
      </c>
      <c r="X490" t="s">
        <v>14875</v>
      </c>
      <c r="Y490" t="s">
        <v>14883</v>
      </c>
      <c r="Z490" t="s">
        <v>15378</v>
      </c>
      <c r="AC490">
        <v>36</v>
      </c>
      <c r="AD490" t="s">
        <v>24595</v>
      </c>
      <c r="AE490" t="s">
        <v>11459</v>
      </c>
      <c r="AF490">
        <v>1</v>
      </c>
      <c r="AG490">
        <v>1</v>
      </c>
      <c r="AH490">
        <v>1</v>
      </c>
      <c r="AI490">
        <v>53.22</v>
      </c>
      <c r="AJ490" t="s">
        <v>24621</v>
      </c>
      <c r="AK490" t="s">
        <v>24627</v>
      </c>
      <c r="AL490" t="s">
        <v>24632</v>
      </c>
      <c r="AM490">
        <v>9000</v>
      </c>
      <c r="AQ490" t="s">
        <v>24986</v>
      </c>
      <c r="AR490" t="s">
        <v>24999</v>
      </c>
      <c r="AS490">
        <v>1.5</v>
      </c>
      <c r="AT490" t="s">
        <v>495</v>
      </c>
      <c r="AU490" t="s">
        <v>137</v>
      </c>
      <c r="AV490" t="s">
        <v>25335</v>
      </c>
      <c r="AW490" t="s">
        <v>11447</v>
      </c>
    </row>
    <row r="491" spans="1:49">
      <c r="A491" s="1">
        <f>HYPERLINK("https://lsnyc.legalserver.org/matter/dynamic-profile/view/1904151","19-1904151")</f>
        <v>0</v>
      </c>
      <c r="B491" t="s">
        <v>167</v>
      </c>
      <c r="C491" t="s">
        <v>338</v>
      </c>
      <c r="E491" t="s">
        <v>1422</v>
      </c>
      <c r="F491" t="s">
        <v>3915</v>
      </c>
      <c r="G491" t="s">
        <v>6748</v>
      </c>
      <c r="H491" t="s">
        <v>10481</v>
      </c>
      <c r="I491" t="s">
        <v>11396</v>
      </c>
      <c r="J491">
        <v>11365</v>
      </c>
      <c r="K491" t="s">
        <v>11446</v>
      </c>
      <c r="L491" t="s">
        <v>11579</v>
      </c>
      <c r="M491" t="s">
        <v>14743</v>
      </c>
      <c r="N491" t="s">
        <v>14781</v>
      </c>
      <c r="P491" t="s">
        <v>14796</v>
      </c>
      <c r="Q491" t="s">
        <v>11448</v>
      </c>
      <c r="S491" t="s">
        <v>14828</v>
      </c>
      <c r="T491" t="s">
        <v>14832</v>
      </c>
      <c r="U491" t="s">
        <v>338</v>
      </c>
      <c r="V491">
        <v>532</v>
      </c>
      <c r="W491" t="s">
        <v>14861</v>
      </c>
      <c r="X491" t="s">
        <v>14875</v>
      </c>
      <c r="Z491" t="s">
        <v>15379</v>
      </c>
      <c r="AA491" t="s">
        <v>19341</v>
      </c>
      <c r="AB491" t="s">
        <v>20517</v>
      </c>
      <c r="AC491">
        <v>701</v>
      </c>
      <c r="AD491" t="s">
        <v>24597</v>
      </c>
      <c r="AE491" t="s">
        <v>11459</v>
      </c>
      <c r="AF491">
        <v>13</v>
      </c>
      <c r="AG491">
        <v>1</v>
      </c>
      <c r="AH491">
        <v>2</v>
      </c>
      <c r="AI491">
        <v>36.4</v>
      </c>
      <c r="AJ491" t="s">
        <v>24621</v>
      </c>
      <c r="AK491" t="s">
        <v>24627</v>
      </c>
      <c r="AL491" t="s">
        <v>5011</v>
      </c>
      <c r="AM491">
        <v>7764</v>
      </c>
      <c r="AP491" t="s">
        <v>14755</v>
      </c>
      <c r="AS491">
        <v>46.72</v>
      </c>
      <c r="AT491" t="s">
        <v>491</v>
      </c>
      <c r="AU491" t="s">
        <v>167</v>
      </c>
      <c r="AV491" t="s">
        <v>25334</v>
      </c>
      <c r="AW491" t="s">
        <v>11447</v>
      </c>
    </row>
    <row r="492" spans="1:49">
      <c r="A492" s="1">
        <f>HYPERLINK("https://lsnyc.legalserver.org/matter/dynamic-profile/view/1904898","19-1904898")</f>
        <v>0</v>
      </c>
      <c r="B492" t="s">
        <v>167</v>
      </c>
      <c r="C492" t="s">
        <v>593</v>
      </c>
      <c r="E492" t="s">
        <v>1423</v>
      </c>
      <c r="F492" t="s">
        <v>1983</v>
      </c>
      <c r="G492" t="s">
        <v>6749</v>
      </c>
      <c r="H492" t="s">
        <v>10648</v>
      </c>
      <c r="I492" t="s">
        <v>11418</v>
      </c>
      <c r="J492">
        <v>11412</v>
      </c>
      <c r="K492" t="s">
        <v>11446</v>
      </c>
      <c r="L492" t="s">
        <v>11580</v>
      </c>
      <c r="M492" t="s">
        <v>14743</v>
      </c>
      <c r="N492" t="s">
        <v>14781</v>
      </c>
      <c r="P492" t="s">
        <v>14796</v>
      </c>
      <c r="Q492" t="s">
        <v>11448</v>
      </c>
      <c r="S492" t="s">
        <v>14827</v>
      </c>
      <c r="T492" t="s">
        <v>14834</v>
      </c>
      <c r="U492" t="s">
        <v>593</v>
      </c>
      <c r="V492">
        <v>1488.5</v>
      </c>
      <c r="W492" t="s">
        <v>14861</v>
      </c>
      <c r="X492" t="s">
        <v>14875</v>
      </c>
      <c r="Z492" t="s">
        <v>15380</v>
      </c>
      <c r="AA492" t="s">
        <v>19342</v>
      </c>
      <c r="AC492">
        <v>3</v>
      </c>
      <c r="AD492" t="s">
        <v>24607</v>
      </c>
      <c r="AE492" t="s">
        <v>24615</v>
      </c>
      <c r="AF492">
        <v>2</v>
      </c>
      <c r="AG492">
        <v>1</v>
      </c>
      <c r="AH492">
        <v>2</v>
      </c>
      <c r="AI492">
        <v>43.38</v>
      </c>
      <c r="AJ492" t="s">
        <v>24621</v>
      </c>
      <c r="AK492" t="s">
        <v>24627</v>
      </c>
      <c r="AL492" t="s">
        <v>5011</v>
      </c>
      <c r="AM492">
        <v>9252</v>
      </c>
      <c r="AP492" t="s">
        <v>14755</v>
      </c>
      <c r="AS492">
        <v>14.16</v>
      </c>
      <c r="AT492" t="s">
        <v>604</v>
      </c>
      <c r="AU492" t="s">
        <v>167</v>
      </c>
      <c r="AV492" t="s">
        <v>25335</v>
      </c>
      <c r="AW492" t="s">
        <v>11447</v>
      </c>
    </row>
    <row r="493" spans="1:49">
      <c r="A493" s="1">
        <f>HYPERLINK("https://lsnyc.legalserver.org/matter/dynamic-profile/view/1904943","19-1904943")</f>
        <v>0</v>
      </c>
      <c r="B493" t="s">
        <v>167</v>
      </c>
      <c r="C493" t="s">
        <v>593</v>
      </c>
      <c r="E493" t="s">
        <v>1424</v>
      </c>
      <c r="F493" t="s">
        <v>1336</v>
      </c>
      <c r="G493" t="s">
        <v>6750</v>
      </c>
      <c r="H493" t="s">
        <v>10579</v>
      </c>
      <c r="I493" t="s">
        <v>11409</v>
      </c>
      <c r="J493">
        <v>11377</v>
      </c>
      <c r="K493" t="s">
        <v>11446</v>
      </c>
      <c r="M493" t="s">
        <v>11601</v>
      </c>
      <c r="N493" t="s">
        <v>14779</v>
      </c>
      <c r="P493" t="s">
        <v>14796</v>
      </c>
      <c r="Q493" t="s">
        <v>11448</v>
      </c>
      <c r="S493" t="s">
        <v>14828</v>
      </c>
      <c r="T493" t="s">
        <v>14832</v>
      </c>
      <c r="U493" t="s">
        <v>593</v>
      </c>
      <c r="V493">
        <v>400</v>
      </c>
      <c r="W493" t="s">
        <v>14861</v>
      </c>
      <c r="X493" t="s">
        <v>14875</v>
      </c>
      <c r="Z493" t="s">
        <v>15381</v>
      </c>
      <c r="AB493" t="s">
        <v>20518</v>
      </c>
      <c r="AC493">
        <v>72</v>
      </c>
      <c r="AD493" t="s">
        <v>24597</v>
      </c>
      <c r="AE493" t="s">
        <v>11459</v>
      </c>
      <c r="AF493">
        <v>-1</v>
      </c>
      <c r="AG493">
        <v>1</v>
      </c>
      <c r="AH493">
        <v>2</v>
      </c>
      <c r="AI493">
        <v>124.67</v>
      </c>
      <c r="AJ493" t="s">
        <v>24621</v>
      </c>
      <c r="AK493" t="s">
        <v>24627</v>
      </c>
      <c r="AL493" t="s">
        <v>5011</v>
      </c>
      <c r="AM493">
        <v>26592</v>
      </c>
      <c r="AS493">
        <v>5.25</v>
      </c>
      <c r="AT493" t="s">
        <v>585</v>
      </c>
      <c r="AU493" t="s">
        <v>167</v>
      </c>
      <c r="AV493" t="s">
        <v>25335</v>
      </c>
      <c r="AW493" t="s">
        <v>11447</v>
      </c>
    </row>
    <row r="494" spans="1:49">
      <c r="A494" s="1">
        <f>HYPERLINK("https://lsnyc.legalserver.org/matter/dynamic-profile/view/1905719","19-1905719")</f>
        <v>0</v>
      </c>
      <c r="B494" t="s">
        <v>165</v>
      </c>
      <c r="C494" t="s">
        <v>461</v>
      </c>
      <c r="E494" t="s">
        <v>1425</v>
      </c>
      <c r="F494" t="s">
        <v>3916</v>
      </c>
      <c r="G494" t="s">
        <v>6751</v>
      </c>
      <c r="H494" t="s">
        <v>10497</v>
      </c>
      <c r="I494" t="s">
        <v>11384</v>
      </c>
      <c r="J494">
        <v>10306</v>
      </c>
      <c r="K494" t="s">
        <v>11446</v>
      </c>
      <c r="L494" t="s">
        <v>11581</v>
      </c>
      <c r="M494" t="s">
        <v>14744</v>
      </c>
      <c r="N494" t="s">
        <v>14781</v>
      </c>
      <c r="P494" t="s">
        <v>14796</v>
      </c>
      <c r="Q494" t="s">
        <v>11448</v>
      </c>
      <c r="S494" t="s">
        <v>14828</v>
      </c>
      <c r="T494" t="s">
        <v>14832</v>
      </c>
      <c r="U494" t="s">
        <v>496</v>
      </c>
      <c r="V494">
        <v>400</v>
      </c>
      <c r="W494" t="s">
        <v>14862</v>
      </c>
      <c r="X494" t="s">
        <v>14875</v>
      </c>
      <c r="Z494" t="s">
        <v>15382</v>
      </c>
      <c r="AB494" t="s">
        <v>20519</v>
      </c>
      <c r="AC494">
        <v>2</v>
      </c>
      <c r="AD494" t="s">
        <v>24597</v>
      </c>
      <c r="AE494" t="s">
        <v>24610</v>
      </c>
      <c r="AF494">
        <v>1</v>
      </c>
      <c r="AG494">
        <v>1</v>
      </c>
      <c r="AH494">
        <v>2</v>
      </c>
      <c r="AI494">
        <v>144.64</v>
      </c>
      <c r="AJ494" t="s">
        <v>24621</v>
      </c>
      <c r="AK494" t="s">
        <v>24627</v>
      </c>
      <c r="AL494" t="s">
        <v>5011</v>
      </c>
      <c r="AM494">
        <v>30852</v>
      </c>
      <c r="AS494">
        <v>14.35</v>
      </c>
      <c r="AT494" t="s">
        <v>509</v>
      </c>
      <c r="AU494" t="s">
        <v>165</v>
      </c>
      <c r="AV494" t="s">
        <v>25335</v>
      </c>
      <c r="AW494" t="s">
        <v>11447</v>
      </c>
    </row>
    <row r="495" spans="1:49">
      <c r="A495" s="1">
        <f>HYPERLINK("https://lsnyc.legalserver.org/matter/dynamic-profile/view/1905584","19-1905584")</f>
        <v>0</v>
      </c>
      <c r="B495" t="s">
        <v>59</v>
      </c>
      <c r="C495" t="s">
        <v>555</v>
      </c>
      <c r="E495" t="s">
        <v>1426</v>
      </c>
      <c r="F495" t="s">
        <v>3682</v>
      </c>
      <c r="G495" t="s">
        <v>6752</v>
      </c>
      <c r="H495" t="s">
        <v>10513</v>
      </c>
      <c r="I495" t="s">
        <v>11396</v>
      </c>
      <c r="J495">
        <v>11365</v>
      </c>
      <c r="K495" t="s">
        <v>11446</v>
      </c>
      <c r="L495" t="s">
        <v>11582</v>
      </c>
      <c r="M495" t="s">
        <v>14743</v>
      </c>
      <c r="N495" t="s">
        <v>14781</v>
      </c>
      <c r="P495" t="s">
        <v>14796</v>
      </c>
      <c r="Q495" t="s">
        <v>11448</v>
      </c>
      <c r="S495" t="s">
        <v>14827</v>
      </c>
      <c r="T495" t="s">
        <v>14837</v>
      </c>
      <c r="U495" t="s">
        <v>496</v>
      </c>
      <c r="V495">
        <v>1350</v>
      </c>
      <c r="W495" t="s">
        <v>14861</v>
      </c>
      <c r="X495" t="s">
        <v>14875</v>
      </c>
      <c r="Z495" t="s">
        <v>15383</v>
      </c>
      <c r="AA495" t="s">
        <v>11459</v>
      </c>
      <c r="AB495" t="s">
        <v>20520</v>
      </c>
      <c r="AC495">
        <v>5</v>
      </c>
      <c r="AD495" t="s">
        <v>24600</v>
      </c>
      <c r="AE495" t="s">
        <v>11459</v>
      </c>
      <c r="AF495">
        <v>9</v>
      </c>
      <c r="AG495">
        <v>1</v>
      </c>
      <c r="AH495">
        <v>0</v>
      </c>
      <c r="AI495">
        <v>163.33</v>
      </c>
      <c r="AJ495" t="s">
        <v>24621</v>
      </c>
      <c r="AK495" t="s">
        <v>24627</v>
      </c>
      <c r="AL495" t="s">
        <v>5011</v>
      </c>
      <c r="AM495">
        <v>20400</v>
      </c>
      <c r="AP495" t="s">
        <v>14755</v>
      </c>
      <c r="AS495">
        <v>33.51</v>
      </c>
      <c r="AT495" t="s">
        <v>516</v>
      </c>
      <c r="AU495" t="s">
        <v>59</v>
      </c>
      <c r="AV495" t="s">
        <v>25335</v>
      </c>
      <c r="AW495" t="s">
        <v>11447</v>
      </c>
    </row>
    <row r="496" spans="1:49">
      <c r="A496" s="1">
        <f>HYPERLINK("https://lsnyc.legalserver.org/matter/dynamic-profile/view/1905159","19-1905159")</f>
        <v>0</v>
      </c>
      <c r="B496" t="s">
        <v>165</v>
      </c>
      <c r="C496" t="s">
        <v>380</v>
      </c>
      <c r="E496" t="s">
        <v>1427</v>
      </c>
      <c r="F496" t="s">
        <v>3917</v>
      </c>
      <c r="G496" t="s">
        <v>6753</v>
      </c>
      <c r="H496" t="s">
        <v>10655</v>
      </c>
      <c r="I496" t="s">
        <v>11384</v>
      </c>
      <c r="J496">
        <v>10303</v>
      </c>
      <c r="K496" t="s">
        <v>11446</v>
      </c>
      <c r="L496" t="s">
        <v>11583</v>
      </c>
      <c r="M496" t="s">
        <v>14759</v>
      </c>
      <c r="N496" t="s">
        <v>14781</v>
      </c>
      <c r="P496" t="s">
        <v>14796</v>
      </c>
      <c r="Q496" t="s">
        <v>11448</v>
      </c>
      <c r="S496" t="s">
        <v>14829</v>
      </c>
      <c r="T496" t="s">
        <v>14832</v>
      </c>
      <c r="U496" t="s">
        <v>496</v>
      </c>
      <c r="V496">
        <v>0</v>
      </c>
      <c r="W496" t="s">
        <v>14862</v>
      </c>
      <c r="X496" t="s">
        <v>14875</v>
      </c>
      <c r="Z496" t="s">
        <v>15384</v>
      </c>
      <c r="AB496" t="s">
        <v>20521</v>
      </c>
      <c r="AC496">
        <v>6</v>
      </c>
      <c r="AD496" t="s">
        <v>24600</v>
      </c>
      <c r="AE496" t="s">
        <v>11459</v>
      </c>
      <c r="AF496">
        <v>3</v>
      </c>
      <c r="AG496">
        <v>1</v>
      </c>
      <c r="AH496">
        <v>2</v>
      </c>
      <c r="AI496">
        <v>247.54</v>
      </c>
      <c r="AJ496" t="s">
        <v>24621</v>
      </c>
      <c r="AK496" t="s">
        <v>24627</v>
      </c>
      <c r="AL496" t="s">
        <v>5011</v>
      </c>
      <c r="AM496">
        <v>52800</v>
      </c>
      <c r="AS496">
        <v>8.15</v>
      </c>
      <c r="AT496" t="s">
        <v>509</v>
      </c>
      <c r="AU496" t="s">
        <v>25265</v>
      </c>
      <c r="AV496" t="s">
        <v>25335</v>
      </c>
      <c r="AW496" t="s">
        <v>11447</v>
      </c>
    </row>
    <row r="497" spans="1:49">
      <c r="A497" s="1">
        <f>HYPERLINK("https://lsnyc.legalserver.org/matter/dynamic-profile/view/1906143","19-1906143")</f>
        <v>0</v>
      </c>
      <c r="B497" t="s">
        <v>167</v>
      </c>
      <c r="C497" t="s">
        <v>461</v>
      </c>
      <c r="E497" t="s">
        <v>1428</v>
      </c>
      <c r="F497" t="s">
        <v>3918</v>
      </c>
      <c r="G497" t="s">
        <v>6754</v>
      </c>
      <c r="H497" t="s">
        <v>10656</v>
      </c>
      <c r="I497" t="s">
        <v>11419</v>
      </c>
      <c r="J497">
        <v>11420</v>
      </c>
      <c r="K497" t="s">
        <v>11446</v>
      </c>
      <c r="L497" t="s">
        <v>11584</v>
      </c>
      <c r="M497" t="s">
        <v>14743</v>
      </c>
      <c r="N497" t="s">
        <v>14778</v>
      </c>
      <c r="P497" t="s">
        <v>14796</v>
      </c>
      <c r="Q497" t="s">
        <v>11448</v>
      </c>
      <c r="S497" t="s">
        <v>14827</v>
      </c>
      <c r="T497" t="s">
        <v>14832</v>
      </c>
      <c r="U497" t="s">
        <v>461</v>
      </c>
      <c r="V497">
        <v>0.01</v>
      </c>
      <c r="W497" t="s">
        <v>14861</v>
      </c>
      <c r="X497" t="s">
        <v>14875</v>
      </c>
      <c r="Z497" t="s">
        <v>15385</v>
      </c>
      <c r="AB497" t="s">
        <v>20522</v>
      </c>
      <c r="AC497">
        <v>2</v>
      </c>
      <c r="AD497" t="s">
        <v>24600</v>
      </c>
      <c r="AE497" t="s">
        <v>11459</v>
      </c>
      <c r="AF497">
        <v>2</v>
      </c>
      <c r="AG497">
        <v>2</v>
      </c>
      <c r="AH497">
        <v>0</v>
      </c>
      <c r="AI497">
        <v>98.40000000000001</v>
      </c>
      <c r="AJ497" t="s">
        <v>24621</v>
      </c>
      <c r="AK497" t="s">
        <v>24627</v>
      </c>
      <c r="AL497" t="s">
        <v>24632</v>
      </c>
      <c r="AM497">
        <v>16640</v>
      </c>
      <c r="AS497">
        <v>4.56</v>
      </c>
      <c r="AT497" t="s">
        <v>516</v>
      </c>
      <c r="AU497" t="s">
        <v>167</v>
      </c>
      <c r="AV497" t="s">
        <v>25335</v>
      </c>
      <c r="AW497" t="s">
        <v>11447</v>
      </c>
    </row>
    <row r="498" spans="1:49">
      <c r="A498" s="1">
        <f>HYPERLINK("https://lsnyc.legalserver.org/matter/dynamic-profile/view/1906436","19-1906436")</f>
        <v>0</v>
      </c>
      <c r="B498" t="s">
        <v>167</v>
      </c>
      <c r="C498" t="s">
        <v>553</v>
      </c>
      <c r="E498" t="s">
        <v>1429</v>
      </c>
      <c r="F498" t="s">
        <v>3919</v>
      </c>
      <c r="G498" t="s">
        <v>6755</v>
      </c>
      <c r="I498" t="s">
        <v>11419</v>
      </c>
      <c r="J498">
        <v>11420</v>
      </c>
      <c r="K498" t="s">
        <v>11446</v>
      </c>
      <c r="L498" t="s">
        <v>11585</v>
      </c>
      <c r="M498" t="s">
        <v>14743</v>
      </c>
      <c r="N498" t="s">
        <v>14781</v>
      </c>
      <c r="P498" t="s">
        <v>14796</v>
      </c>
      <c r="Q498" t="s">
        <v>11448</v>
      </c>
      <c r="S498" t="s">
        <v>14827</v>
      </c>
      <c r="T498" t="s">
        <v>14832</v>
      </c>
      <c r="U498" t="s">
        <v>553</v>
      </c>
      <c r="V498">
        <v>0.01</v>
      </c>
      <c r="W498" t="s">
        <v>14861</v>
      </c>
      <c r="X498" t="s">
        <v>14875</v>
      </c>
      <c r="Z498" t="s">
        <v>15386</v>
      </c>
      <c r="AB498" t="s">
        <v>20523</v>
      </c>
      <c r="AC498">
        <v>3</v>
      </c>
      <c r="AD498" t="s">
        <v>24600</v>
      </c>
      <c r="AE498" t="s">
        <v>11459</v>
      </c>
      <c r="AF498">
        <v>9</v>
      </c>
      <c r="AG498">
        <v>1</v>
      </c>
      <c r="AH498">
        <v>2</v>
      </c>
      <c r="AI498">
        <v>0</v>
      </c>
      <c r="AJ498" t="s">
        <v>24621</v>
      </c>
      <c r="AK498" t="s">
        <v>24627</v>
      </c>
      <c r="AL498" t="s">
        <v>24632</v>
      </c>
      <c r="AM498">
        <v>0</v>
      </c>
      <c r="AP498" t="s">
        <v>14755</v>
      </c>
      <c r="AS498">
        <v>10.66</v>
      </c>
      <c r="AT498" t="s">
        <v>509</v>
      </c>
      <c r="AU498" t="s">
        <v>167</v>
      </c>
      <c r="AV498" t="s">
        <v>25335</v>
      </c>
      <c r="AW498" t="s">
        <v>11447</v>
      </c>
    </row>
    <row r="499" spans="1:49">
      <c r="A499" s="1">
        <f>HYPERLINK("https://lsnyc.legalserver.org/matter/dynamic-profile/view/1907285","19-1907285")</f>
        <v>0</v>
      </c>
      <c r="B499" t="s">
        <v>167</v>
      </c>
      <c r="C499" t="s">
        <v>366</v>
      </c>
      <c r="E499" t="s">
        <v>1353</v>
      </c>
      <c r="F499" t="s">
        <v>3920</v>
      </c>
      <c r="G499" t="s">
        <v>6756</v>
      </c>
      <c r="H499" t="s">
        <v>10465</v>
      </c>
      <c r="I499" t="s">
        <v>11404</v>
      </c>
      <c r="J499">
        <v>11106</v>
      </c>
      <c r="K499" t="s">
        <v>11446</v>
      </c>
      <c r="L499" t="s">
        <v>11586</v>
      </c>
      <c r="M499" t="s">
        <v>14744</v>
      </c>
      <c r="N499" t="s">
        <v>14778</v>
      </c>
      <c r="P499" t="s">
        <v>14796</v>
      </c>
      <c r="Q499" t="s">
        <v>11448</v>
      </c>
      <c r="S499" t="s">
        <v>14827</v>
      </c>
      <c r="T499" t="s">
        <v>14832</v>
      </c>
      <c r="U499" t="s">
        <v>366</v>
      </c>
      <c r="V499">
        <v>474</v>
      </c>
      <c r="W499" t="s">
        <v>14861</v>
      </c>
      <c r="X499" t="s">
        <v>14875</v>
      </c>
      <c r="Z499" t="s">
        <v>15387</v>
      </c>
      <c r="AA499" t="s">
        <v>19343</v>
      </c>
      <c r="AB499" t="s">
        <v>20524</v>
      </c>
      <c r="AC499">
        <v>6</v>
      </c>
      <c r="AD499" t="s">
        <v>24595</v>
      </c>
      <c r="AE499" t="s">
        <v>11459</v>
      </c>
      <c r="AF499">
        <v>1</v>
      </c>
      <c r="AG499">
        <v>1</v>
      </c>
      <c r="AH499">
        <v>1</v>
      </c>
      <c r="AI499">
        <v>0</v>
      </c>
      <c r="AJ499" t="s">
        <v>24621</v>
      </c>
      <c r="AK499" t="s">
        <v>24627</v>
      </c>
      <c r="AL499" t="s">
        <v>5011</v>
      </c>
      <c r="AM499">
        <v>0</v>
      </c>
      <c r="AS499">
        <v>3.65</v>
      </c>
      <c r="AT499" t="s">
        <v>663</v>
      </c>
      <c r="AU499" t="s">
        <v>167</v>
      </c>
      <c r="AV499" t="s">
        <v>25334</v>
      </c>
      <c r="AW499" t="s">
        <v>11447</v>
      </c>
    </row>
    <row r="500" spans="1:49">
      <c r="A500" s="1">
        <f>HYPERLINK("https://lsnyc.legalserver.org/matter/dynamic-profile/view/1907318","19-1907318")</f>
        <v>0</v>
      </c>
      <c r="B500" t="s">
        <v>167</v>
      </c>
      <c r="C500" t="s">
        <v>366</v>
      </c>
      <c r="E500" t="s">
        <v>1025</v>
      </c>
      <c r="F500" t="s">
        <v>3561</v>
      </c>
      <c r="G500" t="s">
        <v>6757</v>
      </c>
      <c r="H500" t="s">
        <v>10562</v>
      </c>
      <c r="I500" t="s">
        <v>11388</v>
      </c>
      <c r="J500">
        <v>11385</v>
      </c>
      <c r="K500" t="s">
        <v>11446</v>
      </c>
      <c r="L500" t="s">
        <v>11587</v>
      </c>
      <c r="M500" t="s">
        <v>14760</v>
      </c>
      <c r="N500" t="s">
        <v>14779</v>
      </c>
      <c r="P500" t="s">
        <v>14796</v>
      </c>
      <c r="Q500" t="s">
        <v>11448</v>
      </c>
      <c r="S500" t="s">
        <v>14827</v>
      </c>
      <c r="T500" t="s">
        <v>14836</v>
      </c>
      <c r="U500" t="s">
        <v>366</v>
      </c>
      <c r="V500">
        <v>1734</v>
      </c>
      <c r="W500" t="s">
        <v>14861</v>
      </c>
      <c r="X500" t="s">
        <v>14875</v>
      </c>
      <c r="Z500" t="s">
        <v>15388</v>
      </c>
      <c r="AA500" t="s">
        <v>19344</v>
      </c>
      <c r="AB500" t="s">
        <v>19344</v>
      </c>
      <c r="AC500">
        <v>6</v>
      </c>
      <c r="AD500" t="s">
        <v>24595</v>
      </c>
      <c r="AE500" t="s">
        <v>11459</v>
      </c>
      <c r="AF500">
        <v>4</v>
      </c>
      <c r="AG500">
        <v>1</v>
      </c>
      <c r="AH500">
        <v>3</v>
      </c>
      <c r="AI500">
        <v>96.93000000000001</v>
      </c>
      <c r="AJ500" t="s">
        <v>24621</v>
      </c>
      <c r="AK500" t="s">
        <v>24627</v>
      </c>
      <c r="AL500" t="s">
        <v>24632</v>
      </c>
      <c r="AM500">
        <v>24960</v>
      </c>
      <c r="AS500">
        <v>2.4</v>
      </c>
      <c r="AT500" t="s">
        <v>509</v>
      </c>
      <c r="AU500" t="s">
        <v>167</v>
      </c>
      <c r="AV500" t="s">
        <v>25335</v>
      </c>
      <c r="AW500" t="s">
        <v>11447</v>
      </c>
    </row>
    <row r="501" spans="1:49">
      <c r="A501" s="1">
        <f>HYPERLINK("https://lsnyc.legalserver.org/matter/dynamic-profile/view/1908679","19-1908679")</f>
        <v>0</v>
      </c>
      <c r="B501" t="s">
        <v>167</v>
      </c>
      <c r="C501" t="s">
        <v>410</v>
      </c>
      <c r="E501" t="s">
        <v>1430</v>
      </c>
      <c r="F501" t="s">
        <v>3921</v>
      </c>
      <c r="G501" t="s">
        <v>6758</v>
      </c>
      <c r="I501" t="s">
        <v>11405</v>
      </c>
      <c r="J501">
        <v>11416</v>
      </c>
      <c r="K501" t="s">
        <v>11446</v>
      </c>
      <c r="M501" t="s">
        <v>11601</v>
      </c>
      <c r="N501" t="s">
        <v>14778</v>
      </c>
      <c r="P501" t="s">
        <v>14796</v>
      </c>
      <c r="Q501" t="s">
        <v>11448</v>
      </c>
      <c r="S501" t="s">
        <v>14827</v>
      </c>
      <c r="T501" t="s">
        <v>14832</v>
      </c>
      <c r="U501" t="s">
        <v>375</v>
      </c>
      <c r="V501">
        <v>880</v>
      </c>
      <c r="W501" t="s">
        <v>14861</v>
      </c>
      <c r="X501" t="s">
        <v>14875</v>
      </c>
      <c r="Z501" t="s">
        <v>15389</v>
      </c>
      <c r="AB501" t="s">
        <v>20525</v>
      </c>
      <c r="AC501">
        <v>1</v>
      </c>
      <c r="AD501" t="s">
        <v>24600</v>
      </c>
      <c r="AE501" t="s">
        <v>11459</v>
      </c>
      <c r="AF501">
        <v>20</v>
      </c>
      <c r="AG501">
        <v>3</v>
      </c>
      <c r="AH501">
        <v>0</v>
      </c>
      <c r="AI501">
        <v>82.36</v>
      </c>
      <c r="AJ501" t="s">
        <v>24621</v>
      </c>
      <c r="AK501" t="s">
        <v>24627</v>
      </c>
      <c r="AL501" t="s">
        <v>5011</v>
      </c>
      <c r="AM501">
        <v>17568</v>
      </c>
      <c r="AS501">
        <v>1.6</v>
      </c>
      <c r="AT501" t="s">
        <v>559</v>
      </c>
      <c r="AU501" t="s">
        <v>167</v>
      </c>
      <c r="AV501" t="s">
        <v>25335</v>
      </c>
      <c r="AW501" t="s">
        <v>11447</v>
      </c>
    </row>
    <row r="502" spans="1:49">
      <c r="A502" s="1">
        <f>HYPERLINK("https://lsnyc.legalserver.org/matter/dynamic-profile/view/1908348","19-1908348")</f>
        <v>0</v>
      </c>
      <c r="B502" t="s">
        <v>168</v>
      </c>
      <c r="C502" t="s">
        <v>410</v>
      </c>
      <c r="E502" t="s">
        <v>1431</v>
      </c>
      <c r="F502" t="s">
        <v>3922</v>
      </c>
      <c r="G502" t="s">
        <v>6759</v>
      </c>
      <c r="H502" t="s">
        <v>10657</v>
      </c>
      <c r="I502" t="s">
        <v>11384</v>
      </c>
      <c r="J502">
        <v>10301</v>
      </c>
      <c r="K502" t="s">
        <v>11446</v>
      </c>
      <c r="M502" t="s">
        <v>14743</v>
      </c>
      <c r="N502" t="s">
        <v>14782</v>
      </c>
      <c r="P502" t="s">
        <v>14796</v>
      </c>
      <c r="Q502" t="s">
        <v>11448</v>
      </c>
      <c r="S502" t="s">
        <v>14827</v>
      </c>
      <c r="T502" t="s">
        <v>14832</v>
      </c>
      <c r="U502" t="s">
        <v>464</v>
      </c>
      <c r="V502">
        <v>1348</v>
      </c>
      <c r="W502" t="s">
        <v>14862</v>
      </c>
      <c r="X502" t="s">
        <v>14875</v>
      </c>
      <c r="Z502" t="s">
        <v>15390</v>
      </c>
      <c r="AB502" t="s">
        <v>20526</v>
      </c>
      <c r="AC502">
        <v>4</v>
      </c>
      <c r="AE502" t="s">
        <v>24616</v>
      </c>
      <c r="AF502">
        <v>4</v>
      </c>
      <c r="AG502">
        <v>1</v>
      </c>
      <c r="AH502">
        <v>2</v>
      </c>
      <c r="AI502">
        <v>52.21</v>
      </c>
      <c r="AJ502" t="s">
        <v>24621</v>
      </c>
      <c r="AK502" t="s">
        <v>24627</v>
      </c>
      <c r="AL502" t="s">
        <v>5011</v>
      </c>
      <c r="AM502">
        <v>11136</v>
      </c>
      <c r="AN502" t="s">
        <v>24710</v>
      </c>
      <c r="AS502">
        <v>6.45</v>
      </c>
      <c r="AT502" t="s">
        <v>586</v>
      </c>
      <c r="AU502" t="s">
        <v>168</v>
      </c>
      <c r="AV502" t="s">
        <v>25335</v>
      </c>
      <c r="AW502" t="s">
        <v>11447</v>
      </c>
    </row>
    <row r="503" spans="1:49">
      <c r="A503" s="1">
        <f>HYPERLINK("https://lsnyc.legalserver.org/matter/dynamic-profile/view/1908713","19-1908713")</f>
        <v>0</v>
      </c>
      <c r="B503" t="s">
        <v>167</v>
      </c>
      <c r="C503" t="s">
        <v>410</v>
      </c>
      <c r="E503" t="s">
        <v>1432</v>
      </c>
      <c r="F503" t="s">
        <v>3769</v>
      </c>
      <c r="G503" t="s">
        <v>6760</v>
      </c>
      <c r="H503" t="s">
        <v>10450</v>
      </c>
      <c r="I503" t="s">
        <v>11409</v>
      </c>
      <c r="J503">
        <v>11377</v>
      </c>
      <c r="K503" t="s">
        <v>11446</v>
      </c>
      <c r="L503" t="s">
        <v>11588</v>
      </c>
      <c r="M503" t="s">
        <v>14743</v>
      </c>
      <c r="N503" t="s">
        <v>14778</v>
      </c>
      <c r="P503" t="s">
        <v>14796</v>
      </c>
      <c r="Q503" t="s">
        <v>11448</v>
      </c>
      <c r="S503" t="s">
        <v>14827</v>
      </c>
      <c r="T503" t="s">
        <v>14832</v>
      </c>
      <c r="U503" t="s">
        <v>1014</v>
      </c>
      <c r="V503">
        <v>720</v>
      </c>
      <c r="W503" t="s">
        <v>14861</v>
      </c>
      <c r="X503" t="s">
        <v>14875</v>
      </c>
      <c r="Z503" t="s">
        <v>15391</v>
      </c>
      <c r="AA503" t="s">
        <v>19345</v>
      </c>
      <c r="AC503">
        <v>6</v>
      </c>
      <c r="AD503" t="s">
        <v>24595</v>
      </c>
      <c r="AF503">
        <v>9</v>
      </c>
      <c r="AG503">
        <v>1</v>
      </c>
      <c r="AH503">
        <v>3</v>
      </c>
      <c r="AI503">
        <v>30.29</v>
      </c>
      <c r="AJ503" t="s">
        <v>24621</v>
      </c>
      <c r="AK503" t="s">
        <v>24627</v>
      </c>
      <c r="AL503" t="s">
        <v>24632</v>
      </c>
      <c r="AM503">
        <v>7800</v>
      </c>
      <c r="AS503">
        <v>1.75</v>
      </c>
      <c r="AT503" t="s">
        <v>509</v>
      </c>
      <c r="AU503" t="s">
        <v>167</v>
      </c>
      <c r="AV503" t="s">
        <v>25334</v>
      </c>
      <c r="AW503" t="s">
        <v>11447</v>
      </c>
    </row>
    <row r="504" spans="1:49">
      <c r="A504" s="1">
        <f>HYPERLINK("https://lsnyc.legalserver.org/matter/dynamic-profile/view/1908743","19-1908743")</f>
        <v>0</v>
      </c>
      <c r="B504" t="s">
        <v>167</v>
      </c>
      <c r="C504" t="s">
        <v>410</v>
      </c>
      <c r="E504" t="s">
        <v>1111</v>
      </c>
      <c r="F504" t="s">
        <v>3923</v>
      </c>
      <c r="G504" t="s">
        <v>6761</v>
      </c>
      <c r="H504" t="s">
        <v>10585</v>
      </c>
      <c r="I504" t="s">
        <v>11420</v>
      </c>
      <c r="J504">
        <v>11104</v>
      </c>
      <c r="K504" t="s">
        <v>11446</v>
      </c>
      <c r="M504" t="s">
        <v>11601</v>
      </c>
      <c r="N504" t="s">
        <v>14778</v>
      </c>
      <c r="P504" t="s">
        <v>14796</v>
      </c>
      <c r="Q504" t="s">
        <v>11448</v>
      </c>
      <c r="S504" t="s">
        <v>14827</v>
      </c>
      <c r="U504" t="s">
        <v>410</v>
      </c>
      <c r="V504">
        <v>2015</v>
      </c>
      <c r="W504" t="s">
        <v>14861</v>
      </c>
      <c r="X504" t="s">
        <v>14875</v>
      </c>
      <c r="Z504" t="s">
        <v>15392</v>
      </c>
      <c r="AB504" t="s">
        <v>20527</v>
      </c>
      <c r="AC504">
        <v>95</v>
      </c>
      <c r="AD504" t="s">
        <v>24595</v>
      </c>
      <c r="AF504">
        <v>-1</v>
      </c>
      <c r="AG504">
        <v>1</v>
      </c>
      <c r="AH504">
        <v>0</v>
      </c>
      <c r="AI504">
        <v>560.45</v>
      </c>
      <c r="AJ504" t="s">
        <v>24621</v>
      </c>
      <c r="AK504" t="s">
        <v>24627</v>
      </c>
      <c r="AL504" t="s">
        <v>5011</v>
      </c>
      <c r="AM504">
        <v>70000</v>
      </c>
      <c r="AS504">
        <v>1.5</v>
      </c>
      <c r="AT504" t="s">
        <v>559</v>
      </c>
      <c r="AU504" t="s">
        <v>167</v>
      </c>
      <c r="AV504" t="s">
        <v>25335</v>
      </c>
      <c r="AW504" t="s">
        <v>11447</v>
      </c>
    </row>
    <row r="505" spans="1:49">
      <c r="A505" s="1">
        <f>HYPERLINK("https://lsnyc.legalserver.org/matter/dynamic-profile/view/1909603","19-1909603")</f>
        <v>0</v>
      </c>
      <c r="B505" t="s">
        <v>104</v>
      </c>
      <c r="C505" t="s">
        <v>463</v>
      </c>
      <c r="E505" t="s">
        <v>1111</v>
      </c>
      <c r="F505" t="s">
        <v>3924</v>
      </c>
      <c r="G505" t="s">
        <v>6762</v>
      </c>
      <c r="H505" t="s">
        <v>10658</v>
      </c>
      <c r="I505" t="s">
        <v>11386</v>
      </c>
      <c r="J505">
        <v>10039</v>
      </c>
      <c r="K505" t="s">
        <v>11446</v>
      </c>
      <c r="L505" t="s">
        <v>11589</v>
      </c>
      <c r="M505" t="s">
        <v>14761</v>
      </c>
      <c r="N505" t="s">
        <v>14781</v>
      </c>
      <c r="P505" t="s">
        <v>14796</v>
      </c>
      <c r="Q505" t="s">
        <v>11448</v>
      </c>
      <c r="S505" t="s">
        <v>14828</v>
      </c>
      <c r="T505" t="s">
        <v>14832</v>
      </c>
      <c r="U505" t="s">
        <v>463</v>
      </c>
      <c r="V505">
        <v>844</v>
      </c>
      <c r="W505" t="s">
        <v>14860</v>
      </c>
      <c r="X505" t="s">
        <v>14875</v>
      </c>
      <c r="Z505" t="s">
        <v>15393</v>
      </c>
      <c r="AB505" t="s">
        <v>20528</v>
      </c>
      <c r="AC505">
        <v>360</v>
      </c>
      <c r="AD505" t="s">
        <v>24602</v>
      </c>
      <c r="AE505" t="s">
        <v>11459</v>
      </c>
      <c r="AF505">
        <v>12</v>
      </c>
      <c r="AG505">
        <v>1</v>
      </c>
      <c r="AH505">
        <v>3</v>
      </c>
      <c r="AI505">
        <v>71.86</v>
      </c>
      <c r="AJ505" t="s">
        <v>24621</v>
      </c>
      <c r="AK505" t="s">
        <v>24627</v>
      </c>
      <c r="AL505" t="s">
        <v>5011</v>
      </c>
      <c r="AM505">
        <v>18504</v>
      </c>
      <c r="AS505">
        <v>0.2</v>
      </c>
      <c r="AT505" t="s">
        <v>580</v>
      </c>
      <c r="AU505" t="s">
        <v>25266</v>
      </c>
      <c r="AV505" t="s">
        <v>25335</v>
      </c>
      <c r="AW505" t="s">
        <v>11447</v>
      </c>
    </row>
    <row r="506" spans="1:49">
      <c r="A506" s="1">
        <f>HYPERLINK("https://lsnyc.legalserver.org/matter/dynamic-profile/view/1909942","19-1909942")</f>
        <v>0</v>
      </c>
      <c r="B506" t="s">
        <v>169</v>
      </c>
      <c r="C506" t="s">
        <v>601</v>
      </c>
      <c r="E506" t="s">
        <v>1433</v>
      </c>
      <c r="F506" t="s">
        <v>3925</v>
      </c>
      <c r="G506" t="s">
        <v>6763</v>
      </c>
      <c r="I506" t="s">
        <v>11384</v>
      </c>
      <c r="J506">
        <v>10310</v>
      </c>
      <c r="K506" t="s">
        <v>11446</v>
      </c>
      <c r="L506" t="s">
        <v>11456</v>
      </c>
      <c r="M506" t="s">
        <v>11601</v>
      </c>
      <c r="N506" t="s">
        <v>14778</v>
      </c>
      <c r="P506" t="s">
        <v>14796</v>
      </c>
      <c r="Q506" t="s">
        <v>11448</v>
      </c>
      <c r="S506" t="s">
        <v>14827</v>
      </c>
      <c r="T506" t="s">
        <v>14832</v>
      </c>
      <c r="U506" t="s">
        <v>468</v>
      </c>
      <c r="V506">
        <v>1500</v>
      </c>
      <c r="W506" t="s">
        <v>14862</v>
      </c>
      <c r="X506" t="s">
        <v>14875</v>
      </c>
      <c r="Z506" t="s">
        <v>15394</v>
      </c>
      <c r="AB506" t="s">
        <v>20529</v>
      </c>
      <c r="AC506">
        <v>2</v>
      </c>
      <c r="AD506" t="s">
        <v>24600</v>
      </c>
      <c r="AE506" t="s">
        <v>24615</v>
      </c>
      <c r="AF506">
        <v>0</v>
      </c>
      <c r="AG506">
        <v>1</v>
      </c>
      <c r="AH506">
        <v>0</v>
      </c>
      <c r="AI506">
        <v>200.16</v>
      </c>
      <c r="AJ506" t="s">
        <v>24621</v>
      </c>
      <c r="AK506" t="s">
        <v>24627</v>
      </c>
      <c r="AL506" t="s">
        <v>5011</v>
      </c>
      <c r="AM506">
        <v>25000</v>
      </c>
      <c r="AS506">
        <v>2.3</v>
      </c>
      <c r="AT506" t="s">
        <v>578</v>
      </c>
      <c r="AU506" t="s">
        <v>169</v>
      </c>
      <c r="AV506" t="s">
        <v>25335</v>
      </c>
      <c r="AW506" t="s">
        <v>11447</v>
      </c>
    </row>
    <row r="507" spans="1:49">
      <c r="A507" s="1">
        <f>HYPERLINK("https://lsnyc.legalserver.org/matter/dynamic-profile/view/1910156","19-1910156")</f>
        <v>0</v>
      </c>
      <c r="B507" t="s">
        <v>63</v>
      </c>
      <c r="C507" t="s">
        <v>528</v>
      </c>
      <c r="E507" t="s">
        <v>1434</v>
      </c>
      <c r="F507" t="s">
        <v>3926</v>
      </c>
      <c r="G507" t="s">
        <v>6764</v>
      </c>
      <c r="I507" t="s">
        <v>11403</v>
      </c>
      <c r="J507">
        <v>11357</v>
      </c>
      <c r="K507" t="s">
        <v>11446</v>
      </c>
      <c r="L507" t="s">
        <v>11590</v>
      </c>
      <c r="M507" t="s">
        <v>14743</v>
      </c>
      <c r="N507" t="s">
        <v>14781</v>
      </c>
      <c r="P507" t="s">
        <v>14796</v>
      </c>
      <c r="Q507" t="s">
        <v>11448</v>
      </c>
      <c r="S507" t="s">
        <v>14827</v>
      </c>
      <c r="T507" t="s">
        <v>14835</v>
      </c>
      <c r="U507" t="s">
        <v>528</v>
      </c>
      <c r="V507">
        <v>0.01</v>
      </c>
      <c r="W507" t="s">
        <v>14861</v>
      </c>
      <c r="X507" t="s">
        <v>14875</v>
      </c>
      <c r="Z507" t="s">
        <v>15395</v>
      </c>
      <c r="AB507" t="s">
        <v>20530</v>
      </c>
      <c r="AC507">
        <v>2</v>
      </c>
      <c r="AD507" t="s">
        <v>24600</v>
      </c>
      <c r="AE507" t="s">
        <v>11459</v>
      </c>
      <c r="AF507">
        <v>4</v>
      </c>
      <c r="AG507">
        <v>1</v>
      </c>
      <c r="AH507">
        <v>0</v>
      </c>
      <c r="AI507">
        <v>75.8</v>
      </c>
      <c r="AJ507" t="s">
        <v>24621</v>
      </c>
      <c r="AK507" t="s">
        <v>24627</v>
      </c>
      <c r="AL507" t="s">
        <v>5011</v>
      </c>
      <c r="AM507">
        <v>9468</v>
      </c>
      <c r="AP507" t="s">
        <v>24943</v>
      </c>
      <c r="AS507">
        <v>15.25</v>
      </c>
      <c r="AT507" t="s">
        <v>654</v>
      </c>
      <c r="AU507" t="s">
        <v>63</v>
      </c>
      <c r="AV507" t="s">
        <v>25335</v>
      </c>
      <c r="AW507" t="s">
        <v>11447</v>
      </c>
    </row>
    <row r="508" spans="1:49">
      <c r="A508" s="1">
        <f>HYPERLINK("https://lsnyc.legalserver.org/matter/dynamic-profile/view/1910966","19-1910966")</f>
        <v>0</v>
      </c>
      <c r="B508" t="s">
        <v>167</v>
      </c>
      <c r="C508" t="s">
        <v>604</v>
      </c>
      <c r="E508" t="s">
        <v>1435</v>
      </c>
      <c r="F508" t="s">
        <v>3552</v>
      </c>
      <c r="G508" t="s">
        <v>6765</v>
      </c>
      <c r="H508" t="s">
        <v>10659</v>
      </c>
      <c r="I508" t="s">
        <v>11387</v>
      </c>
      <c r="J508">
        <v>11435</v>
      </c>
      <c r="K508" t="s">
        <v>11446</v>
      </c>
      <c r="M508" t="s">
        <v>11601</v>
      </c>
      <c r="N508" t="s">
        <v>14778</v>
      </c>
      <c r="P508" t="s">
        <v>14796</v>
      </c>
      <c r="Q508" t="s">
        <v>11448</v>
      </c>
      <c r="S508" t="s">
        <v>14827</v>
      </c>
      <c r="U508" t="s">
        <v>508</v>
      </c>
      <c r="V508">
        <v>1800</v>
      </c>
      <c r="W508" t="s">
        <v>14861</v>
      </c>
      <c r="X508" t="s">
        <v>14875</v>
      </c>
      <c r="Z508" t="s">
        <v>15396</v>
      </c>
      <c r="AB508" t="s">
        <v>20531</v>
      </c>
      <c r="AC508">
        <v>2</v>
      </c>
      <c r="AD508" t="s">
        <v>24600</v>
      </c>
      <c r="AF508">
        <v>1</v>
      </c>
      <c r="AG508">
        <v>1</v>
      </c>
      <c r="AH508">
        <v>0</v>
      </c>
      <c r="AI508">
        <v>69.58</v>
      </c>
      <c r="AJ508" t="s">
        <v>24621</v>
      </c>
      <c r="AK508" t="s">
        <v>24627</v>
      </c>
      <c r="AL508" t="s">
        <v>5011</v>
      </c>
      <c r="AM508">
        <v>8690</v>
      </c>
      <c r="AS508">
        <v>1</v>
      </c>
      <c r="AT508" t="s">
        <v>645</v>
      </c>
      <c r="AU508" t="s">
        <v>167</v>
      </c>
      <c r="AV508" t="s">
        <v>25335</v>
      </c>
      <c r="AW508" t="s">
        <v>11447</v>
      </c>
    </row>
    <row r="509" spans="1:49">
      <c r="A509" s="1">
        <f>HYPERLINK("https://lsnyc.legalserver.org/matter/dynamic-profile/view/1910900","19-1910900")</f>
        <v>0</v>
      </c>
      <c r="B509" t="s">
        <v>167</v>
      </c>
      <c r="C509" t="s">
        <v>604</v>
      </c>
      <c r="E509" t="s">
        <v>1436</v>
      </c>
      <c r="F509" t="s">
        <v>3769</v>
      </c>
      <c r="G509" t="s">
        <v>6766</v>
      </c>
      <c r="H509" t="s">
        <v>10575</v>
      </c>
      <c r="I509" t="s">
        <v>11390</v>
      </c>
      <c r="J509">
        <v>11368</v>
      </c>
      <c r="K509" t="s">
        <v>11446</v>
      </c>
      <c r="M509" t="s">
        <v>11601</v>
      </c>
      <c r="N509" t="s">
        <v>14782</v>
      </c>
      <c r="P509" t="s">
        <v>14796</v>
      </c>
      <c r="Q509" t="s">
        <v>11448</v>
      </c>
      <c r="S509" t="s">
        <v>14827</v>
      </c>
      <c r="U509" t="s">
        <v>604</v>
      </c>
      <c r="V509">
        <v>2000</v>
      </c>
      <c r="W509" t="s">
        <v>14861</v>
      </c>
      <c r="X509" t="s">
        <v>14875</v>
      </c>
      <c r="Z509" t="s">
        <v>15397</v>
      </c>
      <c r="AB509" t="s">
        <v>20532</v>
      </c>
      <c r="AC509">
        <v>11</v>
      </c>
      <c r="AF509">
        <v>1</v>
      </c>
      <c r="AG509">
        <v>1</v>
      </c>
      <c r="AH509">
        <v>4</v>
      </c>
      <c r="AI509">
        <v>0</v>
      </c>
      <c r="AJ509" t="s">
        <v>24621</v>
      </c>
      <c r="AK509" t="s">
        <v>24627</v>
      </c>
      <c r="AL509" t="s">
        <v>24632</v>
      </c>
      <c r="AM509">
        <v>0</v>
      </c>
      <c r="AS509">
        <v>2.6</v>
      </c>
      <c r="AT509" t="s">
        <v>539</v>
      </c>
      <c r="AU509" t="s">
        <v>167</v>
      </c>
      <c r="AV509" t="s">
        <v>11459</v>
      </c>
      <c r="AW509" t="s">
        <v>11447</v>
      </c>
    </row>
    <row r="510" spans="1:49">
      <c r="A510" s="1">
        <f>HYPERLINK("https://lsnyc.legalserver.org/matter/dynamic-profile/view/1911427","19-1911427")</f>
        <v>0</v>
      </c>
      <c r="B510" t="s">
        <v>167</v>
      </c>
      <c r="C510" t="s">
        <v>467</v>
      </c>
      <c r="E510" t="s">
        <v>1436</v>
      </c>
      <c r="F510" t="s">
        <v>3927</v>
      </c>
      <c r="G510" t="s">
        <v>6767</v>
      </c>
      <c r="H510" t="s">
        <v>10660</v>
      </c>
      <c r="I510" t="s">
        <v>11405</v>
      </c>
      <c r="J510">
        <v>11416</v>
      </c>
      <c r="K510" t="s">
        <v>11448</v>
      </c>
      <c r="L510" t="s">
        <v>11591</v>
      </c>
      <c r="M510" t="s">
        <v>14743</v>
      </c>
      <c r="N510" t="s">
        <v>14781</v>
      </c>
      <c r="P510" t="s">
        <v>14796</v>
      </c>
      <c r="Q510" t="s">
        <v>11448</v>
      </c>
      <c r="S510" t="s">
        <v>14827</v>
      </c>
      <c r="T510" t="s">
        <v>14832</v>
      </c>
      <c r="U510" t="s">
        <v>467</v>
      </c>
      <c r="V510">
        <v>2300</v>
      </c>
      <c r="W510" t="s">
        <v>14861</v>
      </c>
      <c r="X510" t="s">
        <v>14875</v>
      </c>
      <c r="Z510" t="s">
        <v>15398</v>
      </c>
      <c r="AC510">
        <v>3</v>
      </c>
      <c r="AD510" t="s">
        <v>24600</v>
      </c>
      <c r="AF510">
        <v>1</v>
      </c>
      <c r="AG510">
        <v>1</v>
      </c>
      <c r="AH510">
        <v>1</v>
      </c>
      <c r="AI510">
        <v>153.76</v>
      </c>
      <c r="AJ510" t="s">
        <v>24621</v>
      </c>
      <c r="AK510" t="s">
        <v>24627</v>
      </c>
      <c r="AL510" t="s">
        <v>24632</v>
      </c>
      <c r="AM510">
        <v>26000</v>
      </c>
      <c r="AN510" t="s">
        <v>24711</v>
      </c>
      <c r="AP510" t="s">
        <v>14755</v>
      </c>
      <c r="AS510">
        <v>6.3</v>
      </c>
      <c r="AT510" t="s">
        <v>509</v>
      </c>
      <c r="AU510" t="s">
        <v>167</v>
      </c>
      <c r="AV510" t="s">
        <v>25335</v>
      </c>
      <c r="AW510" t="s">
        <v>11447</v>
      </c>
    </row>
    <row r="511" spans="1:49">
      <c r="A511" s="1">
        <f>HYPERLINK("https://lsnyc.legalserver.org/matter/dynamic-profile/view/1912132","19-1912132")</f>
        <v>0</v>
      </c>
      <c r="B511" t="s">
        <v>166</v>
      </c>
      <c r="C511" t="s">
        <v>483</v>
      </c>
      <c r="E511" t="s">
        <v>1437</v>
      </c>
      <c r="F511" t="s">
        <v>3928</v>
      </c>
      <c r="G511" t="s">
        <v>6768</v>
      </c>
      <c r="H511" t="s">
        <v>10481</v>
      </c>
      <c r="I511" t="s">
        <v>11384</v>
      </c>
      <c r="J511">
        <v>10304</v>
      </c>
      <c r="K511" t="s">
        <v>11446</v>
      </c>
      <c r="L511" t="s">
        <v>11592</v>
      </c>
      <c r="M511" t="s">
        <v>14744</v>
      </c>
      <c r="N511" t="s">
        <v>14782</v>
      </c>
      <c r="P511" t="s">
        <v>14796</v>
      </c>
      <c r="Q511" t="s">
        <v>11448</v>
      </c>
      <c r="S511" t="s">
        <v>14830</v>
      </c>
      <c r="U511" t="s">
        <v>551</v>
      </c>
      <c r="V511">
        <v>888.08</v>
      </c>
      <c r="W511" t="s">
        <v>14862</v>
      </c>
      <c r="X511" t="s">
        <v>14875</v>
      </c>
      <c r="Z511" t="s">
        <v>15399</v>
      </c>
      <c r="AC511">
        <v>67</v>
      </c>
      <c r="AD511" t="s">
        <v>24600</v>
      </c>
      <c r="AE511" t="s">
        <v>24610</v>
      </c>
      <c r="AF511">
        <v>2</v>
      </c>
      <c r="AG511">
        <v>1</v>
      </c>
      <c r="AH511">
        <v>0</v>
      </c>
      <c r="AI511">
        <v>249.8</v>
      </c>
      <c r="AJ511" t="s">
        <v>24621</v>
      </c>
      <c r="AK511" t="s">
        <v>24627</v>
      </c>
      <c r="AL511" t="s">
        <v>5011</v>
      </c>
      <c r="AM511">
        <v>31200</v>
      </c>
      <c r="AS511">
        <v>13.8</v>
      </c>
      <c r="AT511" t="s">
        <v>495</v>
      </c>
      <c r="AU511" t="s">
        <v>168</v>
      </c>
      <c r="AV511" t="s">
        <v>25335</v>
      </c>
      <c r="AW511" t="s">
        <v>11447</v>
      </c>
    </row>
    <row r="512" spans="1:49">
      <c r="A512" s="1">
        <f>HYPERLINK("https://lsnyc.legalserver.org/matter/dynamic-profile/view/1910321","19-1910321")</f>
        <v>0</v>
      </c>
      <c r="B512" t="s">
        <v>119</v>
      </c>
      <c r="C512" t="s">
        <v>540</v>
      </c>
      <c r="E512" t="s">
        <v>1215</v>
      </c>
      <c r="F512" t="s">
        <v>3929</v>
      </c>
      <c r="G512" t="s">
        <v>6769</v>
      </c>
      <c r="H512">
        <v>23</v>
      </c>
      <c r="I512" t="s">
        <v>11383</v>
      </c>
      <c r="J512">
        <v>10455</v>
      </c>
      <c r="K512" t="s">
        <v>11446</v>
      </c>
      <c r="L512" t="s">
        <v>11593</v>
      </c>
      <c r="M512" t="s">
        <v>14744</v>
      </c>
      <c r="N512" t="s">
        <v>14781</v>
      </c>
      <c r="P512" t="s">
        <v>14796</v>
      </c>
      <c r="Q512" t="s">
        <v>11448</v>
      </c>
      <c r="S512" t="s">
        <v>14827</v>
      </c>
      <c r="T512" t="s">
        <v>14832</v>
      </c>
      <c r="U512" t="s">
        <v>603</v>
      </c>
      <c r="V512">
        <v>1272</v>
      </c>
      <c r="W512" t="s">
        <v>14858</v>
      </c>
      <c r="X512" t="s">
        <v>14875</v>
      </c>
      <c r="Z512" t="s">
        <v>15400</v>
      </c>
      <c r="AB512" t="s">
        <v>20533</v>
      </c>
      <c r="AC512">
        <v>41</v>
      </c>
      <c r="AD512" t="s">
        <v>24595</v>
      </c>
      <c r="AF512">
        <v>13</v>
      </c>
      <c r="AG512">
        <v>2</v>
      </c>
      <c r="AH512">
        <v>1</v>
      </c>
      <c r="AI512">
        <v>0</v>
      </c>
      <c r="AJ512" t="s">
        <v>24621</v>
      </c>
      <c r="AK512" t="s">
        <v>24627</v>
      </c>
      <c r="AL512" t="s">
        <v>24632</v>
      </c>
      <c r="AM512">
        <v>0</v>
      </c>
      <c r="AS512">
        <v>15.8</v>
      </c>
      <c r="AT512" t="s">
        <v>495</v>
      </c>
      <c r="AU512" t="s">
        <v>245</v>
      </c>
      <c r="AV512" t="s">
        <v>25335</v>
      </c>
      <c r="AW512" t="s">
        <v>11447</v>
      </c>
    </row>
    <row r="513" spans="1:49">
      <c r="A513" s="1">
        <f>HYPERLINK("https://lsnyc.legalserver.org/matter/dynamic-profile/view/1913156","19-1913156")</f>
        <v>0</v>
      </c>
      <c r="B513" t="s">
        <v>167</v>
      </c>
      <c r="C513" t="s">
        <v>571</v>
      </c>
      <c r="E513" t="s">
        <v>1438</v>
      </c>
      <c r="F513" t="s">
        <v>3930</v>
      </c>
      <c r="G513" t="s">
        <v>6770</v>
      </c>
      <c r="I513" t="s">
        <v>11387</v>
      </c>
      <c r="J513">
        <v>11434</v>
      </c>
      <c r="K513" t="s">
        <v>11446</v>
      </c>
      <c r="L513" t="s">
        <v>11594</v>
      </c>
      <c r="M513" t="s">
        <v>14743</v>
      </c>
      <c r="N513" t="s">
        <v>14778</v>
      </c>
      <c r="P513" t="s">
        <v>14796</v>
      </c>
      <c r="Q513" t="s">
        <v>11448</v>
      </c>
      <c r="S513" t="s">
        <v>14827</v>
      </c>
      <c r="T513" t="s">
        <v>14836</v>
      </c>
      <c r="U513" t="s">
        <v>571</v>
      </c>
      <c r="V513">
        <v>0</v>
      </c>
      <c r="W513" t="s">
        <v>14861</v>
      </c>
      <c r="X513" t="s">
        <v>14875</v>
      </c>
      <c r="Z513" t="s">
        <v>15401</v>
      </c>
      <c r="AB513" t="s">
        <v>20534</v>
      </c>
      <c r="AC513">
        <v>2</v>
      </c>
      <c r="AE513" t="s">
        <v>24610</v>
      </c>
      <c r="AF513">
        <v>0</v>
      </c>
      <c r="AG513">
        <v>1</v>
      </c>
      <c r="AH513">
        <v>0</v>
      </c>
      <c r="AI513">
        <v>0</v>
      </c>
      <c r="AJ513" t="s">
        <v>24621</v>
      </c>
      <c r="AK513" t="s">
        <v>24627</v>
      </c>
      <c r="AL513" t="s">
        <v>5011</v>
      </c>
      <c r="AM513">
        <v>0</v>
      </c>
      <c r="AS513">
        <v>1.2</v>
      </c>
      <c r="AT513" t="s">
        <v>495</v>
      </c>
      <c r="AU513" t="s">
        <v>167</v>
      </c>
      <c r="AV513" t="s">
        <v>11459</v>
      </c>
      <c r="AW513" t="s">
        <v>11447</v>
      </c>
    </row>
    <row r="514" spans="1:49">
      <c r="A514" s="1">
        <f>HYPERLINK("https://lsnyc.legalserver.org/matter/dynamic-profile/view/1913165","19-1913165")</f>
        <v>0</v>
      </c>
      <c r="B514" t="s">
        <v>167</v>
      </c>
      <c r="C514" t="s">
        <v>571</v>
      </c>
      <c r="E514" t="s">
        <v>1439</v>
      </c>
      <c r="F514" t="s">
        <v>3931</v>
      </c>
      <c r="G514" t="s">
        <v>6771</v>
      </c>
      <c r="I514" t="s">
        <v>11397</v>
      </c>
      <c r="J514">
        <v>11378</v>
      </c>
      <c r="K514" t="s">
        <v>11446</v>
      </c>
      <c r="L514" t="s">
        <v>11595</v>
      </c>
      <c r="M514" t="s">
        <v>14743</v>
      </c>
      <c r="N514" t="s">
        <v>14779</v>
      </c>
      <c r="P514" t="s">
        <v>14796</v>
      </c>
      <c r="Q514" t="s">
        <v>11448</v>
      </c>
      <c r="S514" t="s">
        <v>14827</v>
      </c>
      <c r="T514" t="s">
        <v>14832</v>
      </c>
      <c r="U514" t="s">
        <v>571</v>
      </c>
      <c r="V514">
        <v>800</v>
      </c>
      <c r="W514" t="s">
        <v>14861</v>
      </c>
      <c r="X514" t="s">
        <v>14875</v>
      </c>
      <c r="Z514" t="s">
        <v>15402</v>
      </c>
      <c r="AB514" t="s">
        <v>20535</v>
      </c>
      <c r="AC514">
        <v>3</v>
      </c>
      <c r="AF514">
        <v>5</v>
      </c>
      <c r="AG514">
        <v>1</v>
      </c>
      <c r="AH514">
        <v>1</v>
      </c>
      <c r="AI514">
        <v>63.87</v>
      </c>
      <c r="AJ514" t="s">
        <v>24621</v>
      </c>
      <c r="AK514" t="s">
        <v>24627</v>
      </c>
      <c r="AL514" t="s">
        <v>5011</v>
      </c>
      <c r="AM514">
        <v>10800</v>
      </c>
      <c r="AS514">
        <v>3.15</v>
      </c>
      <c r="AT514" t="s">
        <v>491</v>
      </c>
      <c r="AU514" t="s">
        <v>167</v>
      </c>
      <c r="AV514" t="s">
        <v>11459</v>
      </c>
      <c r="AW514" t="s">
        <v>11447</v>
      </c>
    </row>
    <row r="515" spans="1:49">
      <c r="A515" s="1">
        <f>HYPERLINK("https://lsnyc.legalserver.org/matter/dynamic-profile/view/1912414","19-1912414")</f>
        <v>0</v>
      </c>
      <c r="B515" t="s">
        <v>169</v>
      </c>
      <c r="C515" t="s">
        <v>484</v>
      </c>
      <c r="E515" t="s">
        <v>1440</v>
      </c>
      <c r="F515" t="s">
        <v>3932</v>
      </c>
      <c r="G515" t="s">
        <v>6772</v>
      </c>
      <c r="I515" t="s">
        <v>11384</v>
      </c>
      <c r="J515">
        <v>10309</v>
      </c>
      <c r="K515" t="s">
        <v>11446</v>
      </c>
      <c r="L515" t="s">
        <v>11596</v>
      </c>
      <c r="M515" t="s">
        <v>14743</v>
      </c>
      <c r="N515" t="s">
        <v>14778</v>
      </c>
      <c r="P515" t="s">
        <v>14796</v>
      </c>
      <c r="Q515" t="s">
        <v>11448</v>
      </c>
      <c r="S515" t="s">
        <v>14827</v>
      </c>
      <c r="U515" t="s">
        <v>515</v>
      </c>
      <c r="V515">
        <v>0</v>
      </c>
      <c r="W515" t="s">
        <v>14862</v>
      </c>
      <c r="X515" t="s">
        <v>14875</v>
      </c>
      <c r="Z515" t="s">
        <v>15403</v>
      </c>
      <c r="AC515">
        <v>1</v>
      </c>
      <c r="AD515" t="s">
        <v>24600</v>
      </c>
      <c r="AE515" t="s">
        <v>11459</v>
      </c>
      <c r="AF515">
        <v>6</v>
      </c>
      <c r="AG515">
        <v>1</v>
      </c>
      <c r="AH515">
        <v>1</v>
      </c>
      <c r="AI515">
        <v>0</v>
      </c>
      <c r="AJ515" t="s">
        <v>24621</v>
      </c>
      <c r="AK515" t="s">
        <v>24627</v>
      </c>
      <c r="AL515" t="s">
        <v>5011</v>
      </c>
      <c r="AM515">
        <v>0</v>
      </c>
      <c r="AS515">
        <v>6.25</v>
      </c>
      <c r="AT515" t="s">
        <v>592</v>
      </c>
      <c r="AU515" t="s">
        <v>169</v>
      </c>
      <c r="AV515" t="s">
        <v>25335</v>
      </c>
      <c r="AW515" t="s">
        <v>11447</v>
      </c>
    </row>
    <row r="516" spans="1:49">
      <c r="A516" s="1">
        <f>HYPERLINK("https://lsnyc.legalserver.org/matter/dynamic-profile/view/1913275","19-1913275")</f>
        <v>0</v>
      </c>
      <c r="B516" t="s">
        <v>170</v>
      </c>
      <c r="C516" t="s">
        <v>515</v>
      </c>
      <c r="E516" t="s">
        <v>1441</v>
      </c>
      <c r="F516" t="s">
        <v>3933</v>
      </c>
      <c r="G516" t="s">
        <v>6773</v>
      </c>
      <c r="H516">
        <v>204</v>
      </c>
      <c r="I516" t="s">
        <v>11386</v>
      </c>
      <c r="J516">
        <v>10019</v>
      </c>
      <c r="K516" t="s">
        <v>11446</v>
      </c>
      <c r="M516" t="s">
        <v>11601</v>
      </c>
      <c r="N516" t="s">
        <v>14782</v>
      </c>
      <c r="P516" t="s">
        <v>14796</v>
      </c>
      <c r="Q516" t="s">
        <v>11448</v>
      </c>
      <c r="S516" t="s">
        <v>14827</v>
      </c>
      <c r="T516" t="s">
        <v>14832</v>
      </c>
      <c r="U516" t="s">
        <v>515</v>
      </c>
      <c r="V516">
        <v>3300</v>
      </c>
      <c r="W516" t="s">
        <v>14860</v>
      </c>
      <c r="X516" t="s">
        <v>14875</v>
      </c>
      <c r="Z516" t="s">
        <v>15404</v>
      </c>
      <c r="AB516" t="s">
        <v>20536</v>
      </c>
      <c r="AC516">
        <v>0</v>
      </c>
      <c r="AD516" t="s">
        <v>24600</v>
      </c>
      <c r="AE516" t="s">
        <v>11459</v>
      </c>
      <c r="AF516">
        <v>1</v>
      </c>
      <c r="AG516">
        <v>2</v>
      </c>
      <c r="AH516">
        <v>0</v>
      </c>
      <c r="AI516">
        <v>425.78</v>
      </c>
      <c r="AJ516" t="s">
        <v>24621</v>
      </c>
      <c r="AK516" t="s">
        <v>24627</v>
      </c>
      <c r="AL516" t="s">
        <v>5011</v>
      </c>
      <c r="AM516">
        <v>72000</v>
      </c>
      <c r="AS516">
        <v>5</v>
      </c>
      <c r="AT516" t="s">
        <v>515</v>
      </c>
      <c r="AU516" t="s">
        <v>25266</v>
      </c>
      <c r="AV516" t="s">
        <v>25335</v>
      </c>
      <c r="AW516" t="s">
        <v>11447</v>
      </c>
    </row>
    <row r="517" spans="1:49">
      <c r="A517" s="1">
        <f>HYPERLINK("https://lsnyc.legalserver.org/matter/dynamic-profile/view/1914073","19-1914073")</f>
        <v>0</v>
      </c>
      <c r="B517" t="s">
        <v>137</v>
      </c>
      <c r="C517" t="s">
        <v>580</v>
      </c>
      <c r="E517" t="s">
        <v>1423</v>
      </c>
      <c r="F517" t="s">
        <v>3934</v>
      </c>
      <c r="G517" t="s">
        <v>6774</v>
      </c>
      <c r="H517" t="s">
        <v>10520</v>
      </c>
      <c r="I517" t="s">
        <v>11386</v>
      </c>
      <c r="J517">
        <v>10128</v>
      </c>
      <c r="K517" t="s">
        <v>11446</v>
      </c>
      <c r="N517" t="s">
        <v>14782</v>
      </c>
      <c r="P517" t="s">
        <v>14796</v>
      </c>
      <c r="Q517" t="s">
        <v>11448</v>
      </c>
      <c r="S517" t="s">
        <v>14827</v>
      </c>
      <c r="U517" t="s">
        <v>537</v>
      </c>
      <c r="V517">
        <v>581.6</v>
      </c>
      <c r="W517" t="s">
        <v>14860</v>
      </c>
      <c r="X517" t="s">
        <v>14875</v>
      </c>
      <c r="Z517" t="s">
        <v>15405</v>
      </c>
      <c r="AA517" t="s">
        <v>19346</v>
      </c>
      <c r="AB517" t="s">
        <v>20537</v>
      </c>
      <c r="AC517">
        <v>0</v>
      </c>
      <c r="AD517" t="s">
        <v>24597</v>
      </c>
      <c r="AE517" t="s">
        <v>11459</v>
      </c>
      <c r="AF517">
        <v>4</v>
      </c>
      <c r="AG517">
        <v>1</v>
      </c>
      <c r="AH517">
        <v>2</v>
      </c>
      <c r="AI517">
        <v>0</v>
      </c>
      <c r="AJ517" t="s">
        <v>24621</v>
      </c>
      <c r="AK517" t="s">
        <v>24627</v>
      </c>
      <c r="AL517" t="s">
        <v>5011</v>
      </c>
      <c r="AM517">
        <v>0</v>
      </c>
      <c r="AS517">
        <v>0.25</v>
      </c>
      <c r="AT517" t="s">
        <v>580</v>
      </c>
      <c r="AU517" t="s">
        <v>137</v>
      </c>
      <c r="AV517" t="s">
        <v>25335</v>
      </c>
      <c r="AW517" t="s">
        <v>11447</v>
      </c>
    </row>
    <row r="518" spans="1:49">
      <c r="A518" s="1">
        <f>HYPERLINK("https://lsnyc.legalserver.org/matter/dynamic-profile/view/1911999","19-1911999")</f>
        <v>0</v>
      </c>
      <c r="B518" t="s">
        <v>171</v>
      </c>
      <c r="C518" t="s">
        <v>586</v>
      </c>
      <c r="E518" t="s">
        <v>1442</v>
      </c>
      <c r="F518" t="s">
        <v>3935</v>
      </c>
      <c r="G518" t="s">
        <v>6775</v>
      </c>
      <c r="I518" t="s">
        <v>11395</v>
      </c>
      <c r="J518">
        <v>11373</v>
      </c>
      <c r="K518" t="s">
        <v>11448</v>
      </c>
      <c r="L518" t="s">
        <v>11474</v>
      </c>
      <c r="M518" t="s">
        <v>11601</v>
      </c>
      <c r="N518" t="s">
        <v>14778</v>
      </c>
      <c r="P518" t="s">
        <v>14796</v>
      </c>
      <c r="Q518" t="s">
        <v>11448</v>
      </c>
      <c r="S518" t="s">
        <v>14827</v>
      </c>
      <c r="V518">
        <v>1300</v>
      </c>
      <c r="W518" t="s">
        <v>14861</v>
      </c>
      <c r="X518" t="s">
        <v>14875</v>
      </c>
      <c r="Z518" t="s">
        <v>15162</v>
      </c>
      <c r="AB518" t="s">
        <v>20538</v>
      </c>
      <c r="AC518">
        <v>3</v>
      </c>
      <c r="AD518" t="s">
        <v>24600</v>
      </c>
      <c r="AF518">
        <v>0</v>
      </c>
      <c r="AG518">
        <v>1</v>
      </c>
      <c r="AH518">
        <v>2</v>
      </c>
      <c r="AI518">
        <v>0</v>
      </c>
      <c r="AJ518" t="s">
        <v>24621</v>
      </c>
      <c r="AK518" t="s">
        <v>24627</v>
      </c>
      <c r="AL518" t="s">
        <v>5011</v>
      </c>
      <c r="AM518">
        <v>0</v>
      </c>
      <c r="AS518">
        <v>0.5</v>
      </c>
      <c r="AT518" t="s">
        <v>586</v>
      </c>
      <c r="AU518" t="s">
        <v>171</v>
      </c>
      <c r="AV518" t="s">
        <v>11459</v>
      </c>
      <c r="AW518" t="s">
        <v>11447</v>
      </c>
    </row>
    <row r="519" spans="1:49">
      <c r="A519" s="1">
        <f>HYPERLINK("https://lsnyc.legalserver.org/matter/dynamic-profile/view/1903259","19-1903259")</f>
        <v>0</v>
      </c>
      <c r="B519" t="s">
        <v>116</v>
      </c>
      <c r="C519" t="s">
        <v>469</v>
      </c>
      <c r="E519" t="s">
        <v>1443</v>
      </c>
      <c r="F519" t="s">
        <v>3682</v>
      </c>
      <c r="G519" t="s">
        <v>6776</v>
      </c>
      <c r="H519" t="s">
        <v>10450</v>
      </c>
      <c r="I519" t="s">
        <v>11383</v>
      </c>
      <c r="J519">
        <v>10462</v>
      </c>
      <c r="K519" t="s">
        <v>11446</v>
      </c>
      <c r="L519" t="s">
        <v>11597</v>
      </c>
      <c r="M519" t="s">
        <v>14744</v>
      </c>
      <c r="N519" t="s">
        <v>14782</v>
      </c>
      <c r="P519" t="s">
        <v>14796</v>
      </c>
      <c r="Q519" t="s">
        <v>11448</v>
      </c>
      <c r="S519" t="s">
        <v>14827</v>
      </c>
      <c r="T519" t="s">
        <v>14832</v>
      </c>
      <c r="V519">
        <v>1700</v>
      </c>
      <c r="W519" t="s">
        <v>14858</v>
      </c>
      <c r="X519" t="s">
        <v>14863</v>
      </c>
      <c r="Z519" t="s">
        <v>15406</v>
      </c>
      <c r="AA519" t="s">
        <v>19347</v>
      </c>
      <c r="AB519" t="s">
        <v>20539</v>
      </c>
      <c r="AC519">
        <v>4</v>
      </c>
      <c r="AD519" t="s">
        <v>11479</v>
      </c>
      <c r="AE519" t="s">
        <v>11459</v>
      </c>
      <c r="AF519">
        <v>3</v>
      </c>
      <c r="AG519">
        <v>1</v>
      </c>
      <c r="AH519">
        <v>1</v>
      </c>
      <c r="AI519">
        <v>0</v>
      </c>
      <c r="AJ519" t="s">
        <v>24621</v>
      </c>
      <c r="AK519" t="s">
        <v>24627</v>
      </c>
      <c r="AL519" t="s">
        <v>24632</v>
      </c>
      <c r="AM519">
        <v>0</v>
      </c>
      <c r="AS519">
        <v>1.1</v>
      </c>
      <c r="AT519" t="s">
        <v>469</v>
      </c>
      <c r="AU519" t="s">
        <v>245</v>
      </c>
      <c r="AV519" t="s">
        <v>25334</v>
      </c>
      <c r="AW519" t="s">
        <v>11447</v>
      </c>
    </row>
    <row r="520" spans="1:49">
      <c r="A520" s="1">
        <f>HYPERLINK("https://lsnyc.legalserver.org/matter/dynamic-profile/view/1912758","19-1912758")</f>
        <v>0</v>
      </c>
      <c r="B520" t="s">
        <v>166</v>
      </c>
      <c r="C520" t="s">
        <v>578</v>
      </c>
      <c r="E520" t="s">
        <v>1444</v>
      </c>
      <c r="F520" t="s">
        <v>3936</v>
      </c>
      <c r="G520" t="s">
        <v>6777</v>
      </c>
      <c r="H520" t="s">
        <v>10661</v>
      </c>
      <c r="I520" t="s">
        <v>11384</v>
      </c>
      <c r="J520">
        <v>10304</v>
      </c>
      <c r="K520" t="s">
        <v>11448</v>
      </c>
      <c r="L520" t="s">
        <v>11474</v>
      </c>
      <c r="M520" t="s">
        <v>11601</v>
      </c>
      <c r="N520" t="s">
        <v>14778</v>
      </c>
      <c r="P520" t="s">
        <v>14796</v>
      </c>
      <c r="Q520" t="s">
        <v>11448</v>
      </c>
      <c r="S520" t="s">
        <v>14827</v>
      </c>
      <c r="T520" t="s">
        <v>14832</v>
      </c>
      <c r="V520">
        <v>1100</v>
      </c>
      <c r="W520" t="s">
        <v>14862</v>
      </c>
      <c r="X520" t="s">
        <v>14875</v>
      </c>
      <c r="Z520" t="s">
        <v>15407</v>
      </c>
      <c r="AB520" t="s">
        <v>19344</v>
      </c>
      <c r="AC520">
        <v>1</v>
      </c>
      <c r="AE520" t="s">
        <v>11459</v>
      </c>
      <c r="AF520">
        <v>3</v>
      </c>
      <c r="AG520">
        <v>1</v>
      </c>
      <c r="AH520">
        <v>2</v>
      </c>
      <c r="AI520">
        <v>0</v>
      </c>
      <c r="AJ520" t="s">
        <v>24621</v>
      </c>
      <c r="AK520" t="s">
        <v>24627</v>
      </c>
      <c r="AL520" t="s">
        <v>5011</v>
      </c>
      <c r="AM520">
        <v>0</v>
      </c>
      <c r="AS520">
        <v>0.2</v>
      </c>
      <c r="AT520" t="s">
        <v>603</v>
      </c>
      <c r="AU520" t="s">
        <v>166</v>
      </c>
      <c r="AV520" t="s">
        <v>11459</v>
      </c>
      <c r="AW520" t="s">
        <v>11447</v>
      </c>
    </row>
    <row r="521" spans="1:49">
      <c r="A521" s="1">
        <f>HYPERLINK("https://lsnyc.legalserver.org/matter/dynamic-profile/view/1883713","18-1883713")</f>
        <v>0</v>
      </c>
      <c r="B521" t="s">
        <v>148</v>
      </c>
      <c r="C521" t="s">
        <v>417</v>
      </c>
      <c r="E521" t="s">
        <v>1437</v>
      </c>
      <c r="F521" t="s">
        <v>3928</v>
      </c>
      <c r="G521" t="s">
        <v>6768</v>
      </c>
      <c r="H521" t="s">
        <v>10481</v>
      </c>
      <c r="I521" t="s">
        <v>11384</v>
      </c>
      <c r="J521">
        <v>10304</v>
      </c>
      <c r="K521" t="s">
        <v>11446</v>
      </c>
      <c r="P521" t="s">
        <v>14796</v>
      </c>
      <c r="Q521" t="s">
        <v>11448</v>
      </c>
      <c r="S521" t="s">
        <v>14827</v>
      </c>
      <c r="T521" t="s">
        <v>14832</v>
      </c>
      <c r="V521">
        <v>0</v>
      </c>
      <c r="W521" t="s">
        <v>14862</v>
      </c>
      <c r="X521" t="s">
        <v>14875</v>
      </c>
      <c r="Z521" t="s">
        <v>15399</v>
      </c>
      <c r="AB521" t="s">
        <v>20540</v>
      </c>
      <c r="AC521">
        <v>0</v>
      </c>
      <c r="AD521" t="s">
        <v>11479</v>
      </c>
      <c r="AE521" t="s">
        <v>24610</v>
      </c>
      <c r="AF521">
        <v>0</v>
      </c>
      <c r="AG521">
        <v>1</v>
      </c>
      <c r="AH521">
        <v>0</v>
      </c>
      <c r="AI521">
        <v>0</v>
      </c>
      <c r="AJ521" t="s">
        <v>24621</v>
      </c>
      <c r="AK521" t="s">
        <v>24627</v>
      </c>
      <c r="AM521">
        <v>0</v>
      </c>
      <c r="AS521">
        <v>1.5</v>
      </c>
      <c r="AT521" t="s">
        <v>600</v>
      </c>
      <c r="AU521" t="s">
        <v>25265</v>
      </c>
      <c r="AW521" t="s">
        <v>11446</v>
      </c>
    </row>
    <row r="522" spans="1:49">
      <c r="A522" s="1">
        <f>HYPERLINK("https://lsnyc.legalserver.org/matter/dynamic-profile/view/1912596","19-1912596")</f>
        <v>0</v>
      </c>
      <c r="B522" t="s">
        <v>137</v>
      </c>
      <c r="C522" t="s">
        <v>472</v>
      </c>
      <c r="E522" t="s">
        <v>1445</v>
      </c>
      <c r="F522" t="s">
        <v>3937</v>
      </c>
      <c r="G522" t="s">
        <v>6778</v>
      </c>
      <c r="H522">
        <v>1004</v>
      </c>
      <c r="I522" t="s">
        <v>11386</v>
      </c>
      <c r="J522">
        <v>10016</v>
      </c>
      <c r="K522" t="s">
        <v>11448</v>
      </c>
      <c r="N522" t="s">
        <v>14782</v>
      </c>
      <c r="P522" t="s">
        <v>14796</v>
      </c>
      <c r="Q522" t="s">
        <v>11448</v>
      </c>
      <c r="S522" t="s">
        <v>14827</v>
      </c>
      <c r="V522">
        <v>0</v>
      </c>
      <c r="W522" t="s">
        <v>14860</v>
      </c>
      <c r="X522" t="s">
        <v>14875</v>
      </c>
      <c r="Z522" t="s">
        <v>15408</v>
      </c>
      <c r="AB522" t="s">
        <v>20541</v>
      </c>
      <c r="AC522">
        <v>0</v>
      </c>
      <c r="AD522" t="s">
        <v>24603</v>
      </c>
      <c r="AE522" t="s">
        <v>11459</v>
      </c>
      <c r="AF522">
        <v>1</v>
      </c>
      <c r="AG522">
        <v>1</v>
      </c>
      <c r="AH522">
        <v>2</v>
      </c>
      <c r="AI522">
        <v>0</v>
      </c>
      <c r="AJ522" t="s">
        <v>24621</v>
      </c>
      <c r="AK522" t="s">
        <v>24627</v>
      </c>
      <c r="AL522" t="s">
        <v>5011</v>
      </c>
      <c r="AM522">
        <v>0</v>
      </c>
      <c r="AS522">
        <v>0</v>
      </c>
      <c r="AU522" t="s">
        <v>137</v>
      </c>
      <c r="AV522" t="s">
        <v>11459</v>
      </c>
      <c r="AW522" t="s">
        <v>11447</v>
      </c>
    </row>
    <row r="523" spans="1:49">
      <c r="A523" s="1">
        <f>HYPERLINK("https://lsnyc.legalserver.org/matter/dynamic-profile/view/1914026","19-1914026")</f>
        <v>0</v>
      </c>
      <c r="B523" t="s">
        <v>117</v>
      </c>
      <c r="C523" t="s">
        <v>490</v>
      </c>
      <c r="E523" t="s">
        <v>1444</v>
      </c>
      <c r="F523" t="s">
        <v>3936</v>
      </c>
      <c r="G523" t="s">
        <v>6777</v>
      </c>
      <c r="I523" t="s">
        <v>11384</v>
      </c>
      <c r="J523">
        <v>10304</v>
      </c>
      <c r="K523" t="s">
        <v>11447</v>
      </c>
      <c r="L523" t="s">
        <v>11474</v>
      </c>
      <c r="M523" t="s">
        <v>11601</v>
      </c>
      <c r="P523" t="s">
        <v>14796</v>
      </c>
      <c r="Q523" t="s">
        <v>11448</v>
      </c>
      <c r="S523" t="s">
        <v>14827</v>
      </c>
      <c r="V523">
        <v>1100</v>
      </c>
      <c r="W523" t="s">
        <v>14862</v>
      </c>
      <c r="X523" t="s">
        <v>14875</v>
      </c>
      <c r="Z523" t="s">
        <v>15407</v>
      </c>
      <c r="AB523" t="s">
        <v>20542</v>
      </c>
      <c r="AC523">
        <v>4</v>
      </c>
      <c r="AD523" t="s">
        <v>24600</v>
      </c>
      <c r="AE523" t="s">
        <v>11459</v>
      </c>
      <c r="AF523">
        <v>3</v>
      </c>
      <c r="AG523">
        <v>1</v>
      </c>
      <c r="AH523">
        <v>2</v>
      </c>
      <c r="AI523">
        <v>14.51</v>
      </c>
      <c r="AL523" t="s">
        <v>5011</v>
      </c>
      <c r="AM523">
        <v>3096</v>
      </c>
      <c r="AS523">
        <v>0</v>
      </c>
      <c r="AU523" t="s">
        <v>117</v>
      </c>
      <c r="AW523" t="s">
        <v>11447</v>
      </c>
    </row>
    <row r="524" spans="1:49">
      <c r="A524" s="1">
        <f>HYPERLINK("https://lsnyc.legalserver.org/matter/dynamic-profile/view/1883760","18-1883760")</f>
        <v>0</v>
      </c>
      <c r="B524" t="s">
        <v>148</v>
      </c>
      <c r="C524" t="s">
        <v>417</v>
      </c>
      <c r="E524" t="s">
        <v>1247</v>
      </c>
      <c r="F524" t="s">
        <v>3761</v>
      </c>
      <c r="G524" t="s">
        <v>6779</v>
      </c>
      <c r="H524" t="s">
        <v>10574</v>
      </c>
      <c r="I524" t="s">
        <v>11384</v>
      </c>
      <c r="J524">
        <v>10304</v>
      </c>
      <c r="K524" t="s">
        <v>11446</v>
      </c>
      <c r="P524" t="s">
        <v>14796</v>
      </c>
      <c r="Q524" t="s">
        <v>11448</v>
      </c>
      <c r="S524" t="s">
        <v>14830</v>
      </c>
      <c r="T524" t="s">
        <v>14832</v>
      </c>
      <c r="V524">
        <v>116</v>
      </c>
      <c r="W524" t="s">
        <v>14862</v>
      </c>
      <c r="X524" t="s">
        <v>14875</v>
      </c>
      <c r="Z524" t="s">
        <v>15409</v>
      </c>
      <c r="AB524" t="s">
        <v>20543</v>
      </c>
      <c r="AC524">
        <v>0</v>
      </c>
      <c r="AD524" t="s">
        <v>24596</v>
      </c>
      <c r="AE524" t="s">
        <v>24610</v>
      </c>
      <c r="AF524">
        <v>12</v>
      </c>
      <c r="AG524">
        <v>1</v>
      </c>
      <c r="AH524">
        <v>2</v>
      </c>
      <c r="AI524">
        <v>16.8</v>
      </c>
      <c r="AJ524" t="s">
        <v>24621</v>
      </c>
      <c r="AK524" t="s">
        <v>24627</v>
      </c>
      <c r="AL524" t="s">
        <v>24632</v>
      </c>
      <c r="AM524">
        <v>3492</v>
      </c>
      <c r="AS524">
        <v>0.1</v>
      </c>
      <c r="AT524" t="s">
        <v>538</v>
      </c>
      <c r="AU524" t="s">
        <v>25265</v>
      </c>
      <c r="AW524" t="s">
        <v>11446</v>
      </c>
    </row>
    <row r="525" spans="1:49">
      <c r="A525" s="1">
        <f>HYPERLINK("https://lsnyc.legalserver.org/matter/dynamic-profile/view/1901574","19-1901574")</f>
        <v>0</v>
      </c>
      <c r="B525" t="s">
        <v>168</v>
      </c>
      <c r="C525" t="s">
        <v>347</v>
      </c>
      <c r="E525" t="s">
        <v>1415</v>
      </c>
      <c r="F525" t="s">
        <v>2002</v>
      </c>
      <c r="G525" t="s">
        <v>6739</v>
      </c>
      <c r="H525">
        <v>1</v>
      </c>
      <c r="I525" t="s">
        <v>11384</v>
      </c>
      <c r="J525">
        <v>10302</v>
      </c>
      <c r="K525" t="s">
        <v>11446</v>
      </c>
      <c r="M525" t="s">
        <v>14743</v>
      </c>
      <c r="N525" t="s">
        <v>14782</v>
      </c>
      <c r="P525" t="s">
        <v>14796</v>
      </c>
      <c r="S525" t="s">
        <v>14827</v>
      </c>
      <c r="V525">
        <v>1300</v>
      </c>
      <c r="W525" t="s">
        <v>14862</v>
      </c>
      <c r="X525" t="s">
        <v>14868</v>
      </c>
      <c r="Z525" t="s">
        <v>15410</v>
      </c>
      <c r="AC525">
        <v>0</v>
      </c>
      <c r="AF525">
        <v>6</v>
      </c>
      <c r="AG525">
        <v>4</v>
      </c>
      <c r="AH525">
        <v>2</v>
      </c>
      <c r="AI525">
        <v>38.16</v>
      </c>
      <c r="AJ525" t="s">
        <v>24621</v>
      </c>
      <c r="AK525" t="s">
        <v>24627</v>
      </c>
      <c r="AL525" t="s">
        <v>24632</v>
      </c>
      <c r="AM525">
        <v>13200</v>
      </c>
      <c r="AS525">
        <v>1</v>
      </c>
      <c r="AT525" t="s">
        <v>459</v>
      </c>
      <c r="AU525" t="s">
        <v>168</v>
      </c>
      <c r="AW525" t="s">
        <v>11447</v>
      </c>
    </row>
    <row r="526" spans="1:49">
      <c r="A526" s="1">
        <f>HYPERLINK("https://lsnyc.legalserver.org/matter/dynamic-profile/view/1914090","19-1914090")</f>
        <v>0</v>
      </c>
      <c r="B526" t="s">
        <v>137</v>
      </c>
      <c r="C526" t="s">
        <v>580</v>
      </c>
      <c r="E526" t="s">
        <v>1407</v>
      </c>
      <c r="F526" t="s">
        <v>3938</v>
      </c>
      <c r="G526" t="s">
        <v>6780</v>
      </c>
      <c r="H526" t="s">
        <v>10662</v>
      </c>
      <c r="I526" t="s">
        <v>11386</v>
      </c>
      <c r="J526">
        <v>10001</v>
      </c>
      <c r="K526" t="s">
        <v>11447</v>
      </c>
      <c r="N526" t="s">
        <v>14782</v>
      </c>
      <c r="P526" t="s">
        <v>14796</v>
      </c>
      <c r="Q526" t="s">
        <v>11448</v>
      </c>
      <c r="S526" t="s">
        <v>14827</v>
      </c>
      <c r="V526">
        <v>2800</v>
      </c>
      <c r="W526" t="s">
        <v>14860</v>
      </c>
      <c r="X526" t="s">
        <v>14875</v>
      </c>
      <c r="Z526" t="s">
        <v>15411</v>
      </c>
      <c r="AB526" t="s">
        <v>20544</v>
      </c>
      <c r="AC526">
        <v>0</v>
      </c>
      <c r="AF526">
        <v>4</v>
      </c>
      <c r="AG526">
        <v>1</v>
      </c>
      <c r="AH526">
        <v>0</v>
      </c>
      <c r="AI526">
        <v>57.07</v>
      </c>
      <c r="AL526" t="s">
        <v>5011</v>
      </c>
      <c r="AM526">
        <v>7128</v>
      </c>
      <c r="AS526">
        <v>0.25</v>
      </c>
      <c r="AT526" t="s">
        <v>580</v>
      </c>
      <c r="AU526" t="s">
        <v>137</v>
      </c>
      <c r="AW526" t="s">
        <v>11447</v>
      </c>
    </row>
    <row r="527" spans="1:49">
      <c r="A527" s="1">
        <f>HYPERLINK("https://lsnyc.legalserver.org/matter/dynamic-profile/view/1875941","18-1875941")</f>
        <v>0</v>
      </c>
      <c r="B527" t="s">
        <v>172</v>
      </c>
      <c r="C527" t="s">
        <v>605</v>
      </c>
      <c r="E527" t="s">
        <v>1446</v>
      </c>
      <c r="F527" t="s">
        <v>3939</v>
      </c>
      <c r="G527" t="s">
        <v>6781</v>
      </c>
      <c r="H527" t="s">
        <v>10542</v>
      </c>
      <c r="I527" t="s">
        <v>11386</v>
      </c>
      <c r="J527">
        <v>10033</v>
      </c>
      <c r="K527" t="s">
        <v>11447</v>
      </c>
      <c r="N527" t="s">
        <v>14779</v>
      </c>
      <c r="P527" t="s">
        <v>14796</v>
      </c>
      <c r="Q527" t="s">
        <v>11448</v>
      </c>
      <c r="S527" t="s">
        <v>14827</v>
      </c>
      <c r="V527">
        <v>0</v>
      </c>
      <c r="W527" t="s">
        <v>14860</v>
      </c>
      <c r="Z527" t="s">
        <v>15412</v>
      </c>
      <c r="AC527">
        <v>0</v>
      </c>
      <c r="AD527" t="s">
        <v>24595</v>
      </c>
      <c r="AF527">
        <v>15</v>
      </c>
      <c r="AG527">
        <v>2</v>
      </c>
      <c r="AH527">
        <v>1</v>
      </c>
      <c r="AI527">
        <v>62.56</v>
      </c>
      <c r="AJ527" t="s">
        <v>24621</v>
      </c>
      <c r="AK527" t="s">
        <v>24627</v>
      </c>
      <c r="AL527" t="s">
        <v>24632</v>
      </c>
      <c r="AM527">
        <v>13000</v>
      </c>
      <c r="AS527">
        <v>10.6</v>
      </c>
      <c r="AT527" t="s">
        <v>629</v>
      </c>
      <c r="AU527" t="s">
        <v>25267</v>
      </c>
      <c r="AW527" t="s">
        <v>11447</v>
      </c>
    </row>
    <row r="528" spans="1:49">
      <c r="A528" s="1">
        <f>HYPERLINK("https://lsnyc.legalserver.org/matter/dynamic-profile/view/1915024","19-1915024")</f>
        <v>0</v>
      </c>
      <c r="B528" t="s">
        <v>78</v>
      </c>
      <c r="C528" t="s">
        <v>521</v>
      </c>
      <c r="E528" t="s">
        <v>1372</v>
      </c>
      <c r="F528" t="s">
        <v>3699</v>
      </c>
      <c r="G528" t="s">
        <v>6782</v>
      </c>
      <c r="H528" t="s">
        <v>10448</v>
      </c>
      <c r="I528" t="s">
        <v>11383</v>
      </c>
      <c r="J528">
        <v>10454</v>
      </c>
      <c r="K528" t="s">
        <v>11446</v>
      </c>
      <c r="M528" t="s">
        <v>14745</v>
      </c>
      <c r="N528" t="s">
        <v>14778</v>
      </c>
      <c r="P528" t="s">
        <v>14796</v>
      </c>
      <c r="S528" t="s">
        <v>14828</v>
      </c>
      <c r="T528" t="s">
        <v>14832</v>
      </c>
      <c r="V528">
        <v>1500</v>
      </c>
      <c r="W528" t="s">
        <v>14858</v>
      </c>
      <c r="X528" t="s">
        <v>14873</v>
      </c>
      <c r="Z528" t="s">
        <v>15413</v>
      </c>
      <c r="AB528" t="s">
        <v>20545</v>
      </c>
      <c r="AC528">
        <v>24</v>
      </c>
      <c r="AD528" t="s">
        <v>24597</v>
      </c>
      <c r="AE528" t="s">
        <v>24610</v>
      </c>
      <c r="AF528">
        <v>-1</v>
      </c>
      <c r="AG528">
        <v>3</v>
      </c>
      <c r="AH528">
        <v>0</v>
      </c>
      <c r="AI528">
        <v>103.14</v>
      </c>
      <c r="AL528" t="s">
        <v>5011</v>
      </c>
      <c r="AM528">
        <v>22000</v>
      </c>
      <c r="AS528">
        <v>1</v>
      </c>
      <c r="AT528" t="s">
        <v>521</v>
      </c>
      <c r="AU528" t="s">
        <v>78</v>
      </c>
      <c r="AW528" t="s">
        <v>11447</v>
      </c>
    </row>
    <row r="529" spans="1:49">
      <c r="A529" s="1">
        <f>HYPERLINK("https://lsnyc.legalserver.org/matter/dynamic-profile/view/1899801","19-1899801")</f>
        <v>0</v>
      </c>
      <c r="B529" t="s">
        <v>165</v>
      </c>
      <c r="C529" t="s">
        <v>370</v>
      </c>
      <c r="E529" t="s">
        <v>1447</v>
      </c>
      <c r="F529" t="s">
        <v>3940</v>
      </c>
      <c r="G529" t="s">
        <v>6783</v>
      </c>
      <c r="I529" t="s">
        <v>11384</v>
      </c>
      <c r="J529">
        <v>10303</v>
      </c>
      <c r="K529" t="s">
        <v>11447</v>
      </c>
      <c r="L529" t="s">
        <v>11598</v>
      </c>
      <c r="N529" t="s">
        <v>14781</v>
      </c>
      <c r="P529" t="s">
        <v>14796</v>
      </c>
      <c r="S529" t="s">
        <v>14829</v>
      </c>
      <c r="V529">
        <v>0</v>
      </c>
      <c r="W529" t="s">
        <v>14862</v>
      </c>
      <c r="Z529" t="s">
        <v>15414</v>
      </c>
      <c r="AC529">
        <v>0</v>
      </c>
      <c r="AF529">
        <v>0</v>
      </c>
      <c r="AG529">
        <v>4</v>
      </c>
      <c r="AH529">
        <v>3</v>
      </c>
      <c r="AI529">
        <v>113.82</v>
      </c>
      <c r="AJ529" t="s">
        <v>24621</v>
      </c>
      <c r="AK529" t="s">
        <v>24627</v>
      </c>
      <c r="AL529" t="s">
        <v>5011</v>
      </c>
      <c r="AM529">
        <v>44400</v>
      </c>
      <c r="AS529">
        <v>27.6</v>
      </c>
      <c r="AT529" t="s">
        <v>472</v>
      </c>
      <c r="AU529" t="s">
        <v>165</v>
      </c>
      <c r="AV529" t="s">
        <v>25335</v>
      </c>
      <c r="AW529" t="s">
        <v>11447</v>
      </c>
    </row>
    <row r="530" spans="1:49">
      <c r="A530" s="1">
        <f>HYPERLINK("https://lsnyc.legalserver.org/matter/dynamic-profile/view/1912300","19-1912300")</f>
        <v>0</v>
      </c>
      <c r="B530" t="s">
        <v>137</v>
      </c>
      <c r="C530" t="s">
        <v>473</v>
      </c>
      <c r="E530" t="s">
        <v>1441</v>
      </c>
      <c r="F530" t="s">
        <v>3941</v>
      </c>
      <c r="G530" t="s">
        <v>6773</v>
      </c>
      <c r="H530">
        <v>204</v>
      </c>
      <c r="I530" t="s">
        <v>11386</v>
      </c>
      <c r="J530">
        <v>10019</v>
      </c>
      <c r="K530" t="s">
        <v>11447</v>
      </c>
      <c r="P530" t="s">
        <v>14796</v>
      </c>
      <c r="Q530" t="s">
        <v>11448</v>
      </c>
      <c r="S530" t="s">
        <v>14827</v>
      </c>
      <c r="V530">
        <v>0</v>
      </c>
      <c r="W530" t="s">
        <v>14860</v>
      </c>
      <c r="Z530" t="s">
        <v>15404</v>
      </c>
      <c r="AB530" t="s">
        <v>20536</v>
      </c>
      <c r="AC530">
        <v>0</v>
      </c>
      <c r="AF530">
        <v>0</v>
      </c>
      <c r="AG530">
        <v>1</v>
      </c>
      <c r="AH530">
        <v>1</v>
      </c>
      <c r="AI530">
        <v>141.93</v>
      </c>
      <c r="AJ530" t="s">
        <v>24621</v>
      </c>
      <c r="AK530" t="s">
        <v>24627</v>
      </c>
      <c r="AL530" t="s">
        <v>5011</v>
      </c>
      <c r="AM530">
        <v>24000</v>
      </c>
      <c r="AS530">
        <v>0</v>
      </c>
      <c r="AU530" t="s">
        <v>137</v>
      </c>
      <c r="AW530" t="s">
        <v>11447</v>
      </c>
    </row>
    <row r="531" spans="1:49">
      <c r="A531" s="1">
        <f>HYPERLINK("https://lsnyc.legalserver.org/matter/dynamic-profile/view/1907479","19-1907479")</f>
        <v>0</v>
      </c>
      <c r="B531" t="s">
        <v>100</v>
      </c>
      <c r="C531" t="s">
        <v>564</v>
      </c>
      <c r="E531" t="s">
        <v>1139</v>
      </c>
      <c r="F531" t="s">
        <v>3942</v>
      </c>
      <c r="G531" t="s">
        <v>6784</v>
      </c>
      <c r="H531" t="s">
        <v>10509</v>
      </c>
      <c r="I531" t="s">
        <v>11383</v>
      </c>
      <c r="J531">
        <v>10452</v>
      </c>
      <c r="K531" t="s">
        <v>11446</v>
      </c>
      <c r="P531" t="s">
        <v>14796</v>
      </c>
      <c r="Q531" t="s">
        <v>11448</v>
      </c>
      <c r="S531" t="s">
        <v>14827</v>
      </c>
      <c r="V531">
        <v>1400</v>
      </c>
      <c r="W531" t="s">
        <v>14858</v>
      </c>
      <c r="X531" t="s">
        <v>14875</v>
      </c>
      <c r="Z531" t="s">
        <v>15415</v>
      </c>
      <c r="AB531" t="s">
        <v>20546</v>
      </c>
      <c r="AC531">
        <v>0</v>
      </c>
      <c r="AD531" t="s">
        <v>24595</v>
      </c>
      <c r="AE531" t="s">
        <v>11459</v>
      </c>
      <c r="AF531">
        <v>9</v>
      </c>
      <c r="AG531">
        <v>3</v>
      </c>
      <c r="AH531">
        <v>0</v>
      </c>
      <c r="AI531">
        <v>301.23</v>
      </c>
      <c r="AJ531" t="s">
        <v>24621</v>
      </c>
      <c r="AK531" t="s">
        <v>24627</v>
      </c>
      <c r="AL531" t="s">
        <v>5011</v>
      </c>
      <c r="AM531">
        <v>64252</v>
      </c>
      <c r="AS531">
        <v>0</v>
      </c>
      <c r="AU531" t="s">
        <v>25268</v>
      </c>
      <c r="AV531" t="s">
        <v>25335</v>
      </c>
      <c r="AW531" t="s">
        <v>11447</v>
      </c>
    </row>
    <row r="532" spans="1:49">
      <c r="A532" s="1">
        <f>HYPERLINK("https://lsnyc.legalserver.org/matter/dynamic-profile/view/0806528","16-0806528")</f>
        <v>0</v>
      </c>
      <c r="B532" t="s">
        <v>170</v>
      </c>
      <c r="C532" t="s">
        <v>606</v>
      </c>
      <c r="D532" t="s">
        <v>378</v>
      </c>
      <c r="G532" t="s">
        <v>6785</v>
      </c>
      <c r="I532" t="s">
        <v>11386</v>
      </c>
      <c r="J532">
        <v>10035</v>
      </c>
      <c r="K532" t="s">
        <v>11447</v>
      </c>
      <c r="O532" t="s">
        <v>14788</v>
      </c>
      <c r="P532" t="s">
        <v>14797</v>
      </c>
      <c r="S532" t="s">
        <v>14827</v>
      </c>
      <c r="V532">
        <v>0</v>
      </c>
      <c r="W532" t="s">
        <v>14860</v>
      </c>
      <c r="Y532" t="s">
        <v>14886</v>
      </c>
      <c r="AC532">
        <v>0</v>
      </c>
      <c r="AF532">
        <v>0</v>
      </c>
      <c r="AG532">
        <v>0</v>
      </c>
      <c r="AH532">
        <v>0</v>
      </c>
      <c r="AI532">
        <v>0</v>
      </c>
      <c r="AM532">
        <v>0</v>
      </c>
      <c r="AS532">
        <v>128.43</v>
      </c>
      <c r="AT532" t="s">
        <v>25134</v>
      </c>
      <c r="AU532" t="s">
        <v>25269</v>
      </c>
      <c r="AW532" t="s">
        <v>11447</v>
      </c>
    </row>
    <row r="533" spans="1:49">
      <c r="A533" s="1">
        <f>HYPERLINK("https://lsnyc.legalserver.org/matter/dynamic-profile/view/1900040","19-1900040")</f>
        <v>0</v>
      </c>
      <c r="B533" t="s">
        <v>173</v>
      </c>
      <c r="C533" t="s">
        <v>421</v>
      </c>
      <c r="D533" t="s">
        <v>474</v>
      </c>
      <c r="E533" t="s">
        <v>1114</v>
      </c>
      <c r="F533" t="s">
        <v>3943</v>
      </c>
      <c r="G533" t="s">
        <v>6786</v>
      </c>
      <c r="H533" t="s">
        <v>10663</v>
      </c>
      <c r="I533" t="s">
        <v>11384</v>
      </c>
      <c r="J533">
        <v>10301</v>
      </c>
      <c r="K533" t="s">
        <v>11446</v>
      </c>
      <c r="L533" t="s">
        <v>11599</v>
      </c>
      <c r="M533" t="s">
        <v>14743</v>
      </c>
      <c r="N533" t="s">
        <v>14781</v>
      </c>
      <c r="O533" t="s">
        <v>14788</v>
      </c>
      <c r="P533" t="s">
        <v>14797</v>
      </c>
      <c r="Q533" t="s">
        <v>11448</v>
      </c>
      <c r="S533" t="s">
        <v>14827</v>
      </c>
      <c r="T533" t="s">
        <v>14832</v>
      </c>
      <c r="V533">
        <v>0</v>
      </c>
      <c r="W533" t="s">
        <v>14862</v>
      </c>
      <c r="X533" t="s">
        <v>14863</v>
      </c>
      <c r="Y533" t="s">
        <v>14883</v>
      </c>
      <c r="Z533" t="s">
        <v>15416</v>
      </c>
      <c r="AB533" t="s">
        <v>20547</v>
      </c>
      <c r="AC533">
        <v>2</v>
      </c>
      <c r="AD533" t="s">
        <v>24600</v>
      </c>
      <c r="AE533" t="s">
        <v>11459</v>
      </c>
      <c r="AF533">
        <v>25</v>
      </c>
      <c r="AG533">
        <v>1</v>
      </c>
      <c r="AH533">
        <v>0</v>
      </c>
      <c r="AI533">
        <v>86.47</v>
      </c>
      <c r="AL533" t="s">
        <v>5011</v>
      </c>
      <c r="AM533">
        <v>10800</v>
      </c>
      <c r="AS533">
        <v>16</v>
      </c>
      <c r="AT533" t="s">
        <v>338</v>
      </c>
      <c r="AU533" t="s">
        <v>25270</v>
      </c>
      <c r="AV533" t="s">
        <v>25335</v>
      </c>
      <c r="AW533" t="s">
        <v>11447</v>
      </c>
    </row>
    <row r="534" spans="1:49">
      <c r="A534" s="1">
        <f>HYPERLINK("https://lsnyc.legalserver.org/matter/dynamic-profile/view/1904129","19-1904129")</f>
        <v>0</v>
      </c>
      <c r="B534" t="s">
        <v>119</v>
      </c>
      <c r="C534" t="s">
        <v>338</v>
      </c>
      <c r="D534" t="s">
        <v>338</v>
      </c>
      <c r="E534" t="s">
        <v>1448</v>
      </c>
      <c r="F534" t="s">
        <v>1866</v>
      </c>
      <c r="G534" t="s">
        <v>6787</v>
      </c>
      <c r="H534">
        <v>614</v>
      </c>
      <c r="I534" t="s">
        <v>11383</v>
      </c>
      <c r="J534">
        <v>10457</v>
      </c>
      <c r="K534" t="s">
        <v>11446</v>
      </c>
      <c r="L534" t="s">
        <v>11600</v>
      </c>
      <c r="M534" t="s">
        <v>14744</v>
      </c>
      <c r="N534" t="s">
        <v>14779</v>
      </c>
      <c r="O534" t="s">
        <v>14787</v>
      </c>
      <c r="P534" t="s">
        <v>14797</v>
      </c>
      <c r="Q534" t="s">
        <v>11448</v>
      </c>
      <c r="S534" t="s">
        <v>14827</v>
      </c>
      <c r="T534" t="s">
        <v>14832</v>
      </c>
      <c r="U534" t="s">
        <v>545</v>
      </c>
      <c r="V534">
        <v>1268</v>
      </c>
      <c r="W534" t="s">
        <v>14858</v>
      </c>
      <c r="X534" t="s">
        <v>14868</v>
      </c>
      <c r="Y534" t="s">
        <v>14893</v>
      </c>
      <c r="Z534" t="s">
        <v>15417</v>
      </c>
      <c r="AA534" t="s">
        <v>19348</v>
      </c>
      <c r="AB534" t="s">
        <v>20548</v>
      </c>
      <c r="AC534">
        <v>99</v>
      </c>
      <c r="AD534" t="s">
        <v>24604</v>
      </c>
      <c r="AE534" t="s">
        <v>24615</v>
      </c>
      <c r="AF534">
        <v>1</v>
      </c>
      <c r="AG534">
        <v>1</v>
      </c>
      <c r="AH534">
        <v>1</v>
      </c>
      <c r="AI534">
        <v>52.66</v>
      </c>
      <c r="AL534" t="s">
        <v>5011</v>
      </c>
      <c r="AM534">
        <v>8904</v>
      </c>
      <c r="AS534">
        <v>0.5</v>
      </c>
      <c r="AT534" t="s">
        <v>338</v>
      </c>
      <c r="AU534" t="s">
        <v>245</v>
      </c>
      <c r="AV534" t="s">
        <v>25335</v>
      </c>
      <c r="AW534" t="s">
        <v>11447</v>
      </c>
    </row>
    <row r="535" spans="1:49">
      <c r="A535" s="1">
        <f>HYPERLINK("https://lsnyc.legalserver.org/matter/dynamic-profile/view/1901547","19-1901547")</f>
        <v>0</v>
      </c>
      <c r="B535" t="s">
        <v>98</v>
      </c>
      <c r="C535" t="s">
        <v>330</v>
      </c>
      <c r="D535" t="s">
        <v>338</v>
      </c>
      <c r="E535" t="s">
        <v>1449</v>
      </c>
      <c r="F535" t="s">
        <v>3944</v>
      </c>
      <c r="G535" t="s">
        <v>6788</v>
      </c>
      <c r="H535" t="s">
        <v>10522</v>
      </c>
      <c r="I535" t="s">
        <v>11385</v>
      </c>
      <c r="J535">
        <v>11233</v>
      </c>
      <c r="K535" t="s">
        <v>11446</v>
      </c>
      <c r="M535" t="s">
        <v>11601</v>
      </c>
      <c r="N535" t="s">
        <v>14778</v>
      </c>
      <c r="O535" t="s">
        <v>14786</v>
      </c>
      <c r="P535" t="s">
        <v>14797</v>
      </c>
      <c r="Q535" t="s">
        <v>11448</v>
      </c>
      <c r="S535" t="s">
        <v>14827</v>
      </c>
      <c r="T535" t="s">
        <v>14832</v>
      </c>
      <c r="U535" t="s">
        <v>338</v>
      </c>
      <c r="V535">
        <v>1879.2</v>
      </c>
      <c r="W535" t="s">
        <v>14859</v>
      </c>
      <c r="X535" t="s">
        <v>14867</v>
      </c>
      <c r="Y535" t="s">
        <v>14883</v>
      </c>
      <c r="Z535" t="s">
        <v>15418</v>
      </c>
      <c r="AA535" t="s">
        <v>19349</v>
      </c>
      <c r="AB535" t="s">
        <v>20549</v>
      </c>
      <c r="AC535">
        <v>13</v>
      </c>
      <c r="AD535" t="s">
        <v>24595</v>
      </c>
      <c r="AE535" t="s">
        <v>24616</v>
      </c>
      <c r="AF535">
        <v>5</v>
      </c>
      <c r="AG535">
        <v>3</v>
      </c>
      <c r="AH535">
        <v>2</v>
      </c>
      <c r="AI535">
        <v>122.98</v>
      </c>
      <c r="AL535" t="s">
        <v>5011</v>
      </c>
      <c r="AM535">
        <v>37104</v>
      </c>
      <c r="AS535">
        <v>1</v>
      </c>
      <c r="AT535" t="s">
        <v>338</v>
      </c>
      <c r="AU535" t="s">
        <v>66</v>
      </c>
      <c r="AV535" t="s">
        <v>25334</v>
      </c>
      <c r="AW535" t="s">
        <v>11447</v>
      </c>
    </row>
    <row r="536" spans="1:49">
      <c r="A536" s="1">
        <f>HYPERLINK("https://lsnyc.legalserver.org/matter/dynamic-profile/view/1904398","19-1904398")</f>
        <v>0</v>
      </c>
      <c r="B536" t="s">
        <v>174</v>
      </c>
      <c r="C536" t="s">
        <v>607</v>
      </c>
      <c r="D536" t="s">
        <v>607</v>
      </c>
      <c r="E536" t="s">
        <v>1450</v>
      </c>
      <c r="F536" t="s">
        <v>3758</v>
      </c>
      <c r="G536" t="s">
        <v>6789</v>
      </c>
      <c r="H536" t="s">
        <v>10559</v>
      </c>
      <c r="I536" t="s">
        <v>11385</v>
      </c>
      <c r="J536">
        <v>11212</v>
      </c>
      <c r="K536" t="s">
        <v>11446</v>
      </c>
      <c r="L536" t="s">
        <v>11459</v>
      </c>
      <c r="M536" t="s">
        <v>11601</v>
      </c>
      <c r="N536" t="s">
        <v>14779</v>
      </c>
      <c r="O536" t="s">
        <v>14787</v>
      </c>
      <c r="P536" t="s">
        <v>14797</v>
      </c>
      <c r="Q536" t="s">
        <v>11446</v>
      </c>
      <c r="S536" t="s">
        <v>14827</v>
      </c>
      <c r="T536" t="s">
        <v>14832</v>
      </c>
      <c r="U536" t="s">
        <v>378</v>
      </c>
      <c r="V536">
        <v>755</v>
      </c>
      <c r="W536" t="s">
        <v>14859</v>
      </c>
      <c r="X536" t="s">
        <v>14755</v>
      </c>
      <c r="Y536" t="s">
        <v>14886</v>
      </c>
      <c r="Z536" t="s">
        <v>15419</v>
      </c>
      <c r="AA536" t="s">
        <v>11459</v>
      </c>
      <c r="AB536" t="s">
        <v>20550</v>
      </c>
      <c r="AC536">
        <v>32</v>
      </c>
      <c r="AD536" t="s">
        <v>24595</v>
      </c>
      <c r="AE536" t="s">
        <v>11459</v>
      </c>
      <c r="AF536">
        <v>30</v>
      </c>
      <c r="AG536">
        <v>2</v>
      </c>
      <c r="AH536">
        <v>0</v>
      </c>
      <c r="AI536">
        <v>89.13</v>
      </c>
      <c r="AL536" t="s">
        <v>5011</v>
      </c>
      <c r="AM536">
        <v>15072</v>
      </c>
      <c r="AS536">
        <v>1.5</v>
      </c>
      <c r="AT536" t="s">
        <v>378</v>
      </c>
      <c r="AU536" t="s">
        <v>66</v>
      </c>
      <c r="AV536" t="s">
        <v>25335</v>
      </c>
      <c r="AW536" t="s">
        <v>11447</v>
      </c>
    </row>
    <row r="537" spans="1:49">
      <c r="A537" s="1">
        <f>HYPERLINK("https://lsnyc.legalserver.org/matter/dynamic-profile/view/1898247","19-1898247")</f>
        <v>0</v>
      </c>
      <c r="B537" t="s">
        <v>173</v>
      </c>
      <c r="C537" t="s">
        <v>370</v>
      </c>
      <c r="D537" t="s">
        <v>607</v>
      </c>
      <c r="E537" t="s">
        <v>1451</v>
      </c>
      <c r="F537" t="s">
        <v>3901</v>
      </c>
      <c r="G537" t="s">
        <v>6790</v>
      </c>
      <c r="H537" t="s">
        <v>10664</v>
      </c>
      <c r="I537" t="s">
        <v>11384</v>
      </c>
      <c r="J537">
        <v>10304</v>
      </c>
      <c r="K537" t="s">
        <v>11447</v>
      </c>
      <c r="N537" t="s">
        <v>14781</v>
      </c>
      <c r="O537" t="s">
        <v>14788</v>
      </c>
      <c r="P537" t="s">
        <v>14797</v>
      </c>
      <c r="S537" t="s">
        <v>14827</v>
      </c>
      <c r="T537" t="s">
        <v>14832</v>
      </c>
      <c r="V537">
        <v>372</v>
      </c>
      <c r="W537" t="s">
        <v>14862</v>
      </c>
      <c r="X537" t="s">
        <v>14868</v>
      </c>
      <c r="Y537" t="s">
        <v>14887</v>
      </c>
      <c r="Z537" t="s">
        <v>15420</v>
      </c>
      <c r="AB537" t="s">
        <v>20551</v>
      </c>
      <c r="AC537">
        <v>403</v>
      </c>
      <c r="AD537" t="s">
        <v>24596</v>
      </c>
      <c r="AE537" t="s">
        <v>24610</v>
      </c>
      <c r="AF537">
        <v>449</v>
      </c>
      <c r="AG537">
        <v>1</v>
      </c>
      <c r="AH537">
        <v>0</v>
      </c>
      <c r="AI537">
        <v>79.26000000000001</v>
      </c>
      <c r="AL537" t="s">
        <v>5011</v>
      </c>
      <c r="AM537">
        <v>9900</v>
      </c>
      <c r="AS537">
        <v>5.6</v>
      </c>
      <c r="AT537" t="s">
        <v>607</v>
      </c>
      <c r="AU537" t="s">
        <v>25270</v>
      </c>
      <c r="AW537" t="s">
        <v>11447</v>
      </c>
    </row>
    <row r="538" spans="1:49">
      <c r="A538" s="1">
        <f>HYPERLINK("https://lsnyc.legalserver.org/matter/dynamic-profile/view/1902675","19-1902675")</f>
        <v>0</v>
      </c>
      <c r="B538" t="s">
        <v>120</v>
      </c>
      <c r="C538" t="s">
        <v>371</v>
      </c>
      <c r="D538" t="s">
        <v>493</v>
      </c>
      <c r="E538" t="s">
        <v>1170</v>
      </c>
      <c r="F538" t="s">
        <v>3945</v>
      </c>
      <c r="G538" t="s">
        <v>6791</v>
      </c>
      <c r="H538">
        <v>2</v>
      </c>
      <c r="I538" t="s">
        <v>11385</v>
      </c>
      <c r="J538">
        <v>11208</v>
      </c>
      <c r="K538" t="s">
        <v>11448</v>
      </c>
      <c r="L538" t="s">
        <v>11456</v>
      </c>
      <c r="M538" t="s">
        <v>11601</v>
      </c>
      <c r="N538" t="s">
        <v>14778</v>
      </c>
      <c r="O538" t="s">
        <v>14786</v>
      </c>
      <c r="P538" t="s">
        <v>14797</v>
      </c>
      <c r="Q538" t="s">
        <v>11448</v>
      </c>
      <c r="S538" t="s">
        <v>14827</v>
      </c>
      <c r="V538">
        <v>900</v>
      </c>
      <c r="W538" t="s">
        <v>14859</v>
      </c>
      <c r="X538" t="s">
        <v>14755</v>
      </c>
      <c r="Y538" t="s">
        <v>14883</v>
      </c>
      <c r="Z538" t="s">
        <v>15421</v>
      </c>
      <c r="AB538" t="s">
        <v>20552</v>
      </c>
      <c r="AC538">
        <v>0</v>
      </c>
      <c r="AD538" t="s">
        <v>24600</v>
      </c>
      <c r="AE538" t="s">
        <v>11459</v>
      </c>
      <c r="AF538">
        <v>3</v>
      </c>
      <c r="AG538">
        <v>1</v>
      </c>
      <c r="AH538">
        <v>2</v>
      </c>
      <c r="AI538">
        <v>33.76</v>
      </c>
      <c r="AL538" t="s">
        <v>5011</v>
      </c>
      <c r="AM538">
        <v>7200</v>
      </c>
      <c r="AN538" t="s">
        <v>24712</v>
      </c>
      <c r="AS538">
        <v>1</v>
      </c>
      <c r="AT538" t="s">
        <v>371</v>
      </c>
      <c r="AU538" t="s">
        <v>25231</v>
      </c>
      <c r="AV538" t="s">
        <v>11459</v>
      </c>
      <c r="AW538" t="s">
        <v>11447</v>
      </c>
    </row>
    <row r="539" spans="1:49">
      <c r="A539" s="1">
        <f>HYPERLINK("https://lsnyc.legalserver.org/matter/dynamic-profile/view/1904488","19-1904488")</f>
        <v>0</v>
      </c>
      <c r="B539" t="s">
        <v>120</v>
      </c>
      <c r="C539" t="s">
        <v>493</v>
      </c>
      <c r="D539" t="s">
        <v>493</v>
      </c>
      <c r="E539" t="s">
        <v>1452</v>
      </c>
      <c r="F539" t="s">
        <v>3946</v>
      </c>
      <c r="G539" t="s">
        <v>6792</v>
      </c>
      <c r="H539" t="s">
        <v>10665</v>
      </c>
      <c r="I539" t="s">
        <v>11385</v>
      </c>
      <c r="J539">
        <v>11233</v>
      </c>
      <c r="K539" t="s">
        <v>11448</v>
      </c>
      <c r="L539" t="s">
        <v>11456</v>
      </c>
      <c r="M539" t="s">
        <v>11601</v>
      </c>
      <c r="N539" t="s">
        <v>14778</v>
      </c>
      <c r="O539" t="s">
        <v>14786</v>
      </c>
      <c r="P539" t="s">
        <v>14797</v>
      </c>
      <c r="Q539" t="s">
        <v>11448</v>
      </c>
      <c r="S539" t="s">
        <v>14827</v>
      </c>
      <c r="V539">
        <v>783</v>
      </c>
      <c r="W539" t="s">
        <v>14859</v>
      </c>
      <c r="Y539" t="s">
        <v>14883</v>
      </c>
      <c r="Z539" t="s">
        <v>15422</v>
      </c>
      <c r="AC539">
        <v>42</v>
      </c>
      <c r="AD539" t="s">
        <v>24599</v>
      </c>
      <c r="AE539" t="s">
        <v>11459</v>
      </c>
      <c r="AF539">
        <v>7</v>
      </c>
      <c r="AG539">
        <v>1</v>
      </c>
      <c r="AH539">
        <v>4</v>
      </c>
      <c r="AI539">
        <v>106.07</v>
      </c>
      <c r="AL539" t="s">
        <v>5011</v>
      </c>
      <c r="AM539">
        <v>32000</v>
      </c>
      <c r="AN539" t="s">
        <v>24712</v>
      </c>
      <c r="AS539">
        <v>0.5</v>
      </c>
      <c r="AT539" t="s">
        <v>493</v>
      </c>
      <c r="AU539" t="s">
        <v>25236</v>
      </c>
      <c r="AV539" t="s">
        <v>11459</v>
      </c>
      <c r="AW539" t="s">
        <v>11447</v>
      </c>
    </row>
    <row r="540" spans="1:49">
      <c r="A540" s="1">
        <f>HYPERLINK("https://lsnyc.legalserver.org/matter/dynamic-profile/view/1903399","19-1903399")</f>
        <v>0</v>
      </c>
      <c r="B540" t="s">
        <v>120</v>
      </c>
      <c r="C540" t="s">
        <v>608</v>
      </c>
      <c r="D540" t="s">
        <v>493</v>
      </c>
      <c r="E540" t="s">
        <v>1453</v>
      </c>
      <c r="F540" t="s">
        <v>3947</v>
      </c>
      <c r="G540" t="s">
        <v>6793</v>
      </c>
      <c r="I540" t="s">
        <v>11385</v>
      </c>
      <c r="J540">
        <v>11208</v>
      </c>
      <c r="K540" t="s">
        <v>11448</v>
      </c>
      <c r="L540" t="s">
        <v>11601</v>
      </c>
      <c r="M540" t="s">
        <v>11601</v>
      </c>
      <c r="N540" t="s">
        <v>14778</v>
      </c>
      <c r="O540" t="s">
        <v>14786</v>
      </c>
      <c r="P540" t="s">
        <v>14797</v>
      </c>
      <c r="Q540" t="s">
        <v>11448</v>
      </c>
      <c r="S540" t="s">
        <v>14827</v>
      </c>
      <c r="V540">
        <v>710</v>
      </c>
      <c r="W540" t="s">
        <v>14859</v>
      </c>
      <c r="X540" t="s">
        <v>14868</v>
      </c>
      <c r="Y540" t="s">
        <v>14883</v>
      </c>
      <c r="Z540" t="s">
        <v>15423</v>
      </c>
      <c r="AB540" t="s">
        <v>20553</v>
      </c>
      <c r="AC540">
        <v>2</v>
      </c>
      <c r="AD540" t="s">
        <v>24600</v>
      </c>
      <c r="AE540" t="s">
        <v>11459</v>
      </c>
      <c r="AF540">
        <v>3</v>
      </c>
      <c r="AG540">
        <v>1</v>
      </c>
      <c r="AH540">
        <v>0</v>
      </c>
      <c r="AI540">
        <v>124.9</v>
      </c>
      <c r="AL540" t="s">
        <v>5011</v>
      </c>
      <c r="AM540">
        <v>15600</v>
      </c>
      <c r="AN540" t="s">
        <v>24713</v>
      </c>
      <c r="AS540">
        <v>0.5</v>
      </c>
      <c r="AT540" t="s">
        <v>608</v>
      </c>
      <c r="AU540" t="s">
        <v>25244</v>
      </c>
      <c r="AV540" t="s">
        <v>11459</v>
      </c>
      <c r="AW540" t="s">
        <v>11447</v>
      </c>
    </row>
    <row r="541" spans="1:49">
      <c r="A541" s="1">
        <f>HYPERLINK("https://lsnyc.legalserver.org/matter/dynamic-profile/view/1904528","19-1904528")</f>
        <v>0</v>
      </c>
      <c r="B541" t="s">
        <v>119</v>
      </c>
      <c r="C541" t="s">
        <v>493</v>
      </c>
      <c r="D541" t="s">
        <v>365</v>
      </c>
      <c r="E541" t="s">
        <v>1454</v>
      </c>
      <c r="F541" t="s">
        <v>3948</v>
      </c>
      <c r="G541" t="s">
        <v>6794</v>
      </c>
      <c r="H541" t="s">
        <v>10666</v>
      </c>
      <c r="I541" t="s">
        <v>11383</v>
      </c>
      <c r="J541">
        <v>10467</v>
      </c>
      <c r="K541" t="s">
        <v>11446</v>
      </c>
      <c r="L541" t="s">
        <v>11602</v>
      </c>
      <c r="M541" t="s">
        <v>14748</v>
      </c>
      <c r="N541" t="s">
        <v>14779</v>
      </c>
      <c r="O541" t="s">
        <v>14787</v>
      </c>
      <c r="P541" t="s">
        <v>14797</v>
      </c>
      <c r="Q541" t="s">
        <v>11448</v>
      </c>
      <c r="S541" t="s">
        <v>14829</v>
      </c>
      <c r="U541" t="s">
        <v>545</v>
      </c>
      <c r="V541">
        <v>811</v>
      </c>
      <c r="W541" t="s">
        <v>14858</v>
      </c>
      <c r="X541" t="s">
        <v>14868</v>
      </c>
      <c r="Y541" t="s">
        <v>14885</v>
      </c>
      <c r="Z541" t="s">
        <v>15424</v>
      </c>
      <c r="AB541" t="s">
        <v>20554</v>
      </c>
      <c r="AC541">
        <v>53</v>
      </c>
      <c r="AD541" t="s">
        <v>24595</v>
      </c>
      <c r="AE541" t="s">
        <v>24613</v>
      </c>
      <c r="AF541">
        <v>42</v>
      </c>
      <c r="AG541">
        <v>1</v>
      </c>
      <c r="AH541">
        <v>0</v>
      </c>
      <c r="AI541">
        <v>73.02</v>
      </c>
      <c r="AL541" t="s">
        <v>24632</v>
      </c>
      <c r="AM541">
        <v>9120</v>
      </c>
      <c r="AS541">
        <v>1.5</v>
      </c>
      <c r="AT541" t="s">
        <v>365</v>
      </c>
      <c r="AU541" t="s">
        <v>245</v>
      </c>
      <c r="AV541" t="s">
        <v>25335</v>
      </c>
      <c r="AW541" t="s">
        <v>11447</v>
      </c>
    </row>
    <row r="542" spans="1:49">
      <c r="A542" s="1">
        <f>HYPERLINK("https://lsnyc.legalserver.org/matter/dynamic-profile/view/1904289","19-1904289")</f>
        <v>0</v>
      </c>
      <c r="B542" t="s">
        <v>175</v>
      </c>
      <c r="C542" t="s">
        <v>332</v>
      </c>
      <c r="D542" t="s">
        <v>365</v>
      </c>
      <c r="E542" t="s">
        <v>1455</v>
      </c>
      <c r="F542" t="s">
        <v>3949</v>
      </c>
      <c r="G542" t="s">
        <v>6795</v>
      </c>
      <c r="H542" t="s">
        <v>10667</v>
      </c>
      <c r="I542" t="s">
        <v>11386</v>
      </c>
      <c r="J542">
        <v>10040</v>
      </c>
      <c r="K542" t="s">
        <v>11446</v>
      </c>
      <c r="M542" t="s">
        <v>14747</v>
      </c>
      <c r="N542" t="s">
        <v>14779</v>
      </c>
      <c r="O542" t="s">
        <v>14787</v>
      </c>
      <c r="P542" t="s">
        <v>14797</v>
      </c>
      <c r="Q542" t="s">
        <v>11448</v>
      </c>
      <c r="S542" t="s">
        <v>14827</v>
      </c>
      <c r="U542" t="s">
        <v>332</v>
      </c>
      <c r="V542">
        <v>1400</v>
      </c>
      <c r="W542" t="s">
        <v>14860</v>
      </c>
      <c r="X542" t="s">
        <v>14867</v>
      </c>
      <c r="Y542" t="s">
        <v>14885</v>
      </c>
      <c r="Z542" t="s">
        <v>15425</v>
      </c>
      <c r="AB542" t="s">
        <v>20555</v>
      </c>
      <c r="AC542">
        <v>47</v>
      </c>
      <c r="AD542" t="s">
        <v>24595</v>
      </c>
      <c r="AE542" t="s">
        <v>11459</v>
      </c>
      <c r="AF542">
        <v>5</v>
      </c>
      <c r="AG542">
        <v>2</v>
      </c>
      <c r="AH542">
        <v>0</v>
      </c>
      <c r="AI542">
        <v>139.8</v>
      </c>
      <c r="AL542" t="s">
        <v>5011</v>
      </c>
      <c r="AM542">
        <v>23640</v>
      </c>
      <c r="AS542">
        <v>2.1</v>
      </c>
      <c r="AT542" t="s">
        <v>365</v>
      </c>
      <c r="AU542" t="s">
        <v>137</v>
      </c>
      <c r="AV542" t="s">
        <v>25335</v>
      </c>
      <c r="AW542" t="s">
        <v>11447</v>
      </c>
    </row>
    <row r="543" spans="1:49">
      <c r="A543" s="1">
        <f>HYPERLINK("https://lsnyc.legalserver.org/matter/dynamic-profile/view/1904267","19-1904267")</f>
        <v>0</v>
      </c>
      <c r="B543" t="s">
        <v>175</v>
      </c>
      <c r="C543" t="s">
        <v>332</v>
      </c>
      <c r="D543" t="s">
        <v>365</v>
      </c>
      <c r="E543" t="s">
        <v>1201</v>
      </c>
      <c r="F543" t="s">
        <v>3728</v>
      </c>
      <c r="G543" t="s">
        <v>6796</v>
      </c>
      <c r="H543" t="s">
        <v>10450</v>
      </c>
      <c r="I543" t="s">
        <v>11386</v>
      </c>
      <c r="J543">
        <v>10032</v>
      </c>
      <c r="K543" t="s">
        <v>11446</v>
      </c>
      <c r="M543" t="s">
        <v>14747</v>
      </c>
      <c r="N543" t="s">
        <v>14778</v>
      </c>
      <c r="O543" t="s">
        <v>14786</v>
      </c>
      <c r="P543" t="s">
        <v>14797</v>
      </c>
      <c r="Q543" t="s">
        <v>11448</v>
      </c>
      <c r="S543" t="s">
        <v>14827</v>
      </c>
      <c r="U543" t="s">
        <v>332</v>
      </c>
      <c r="V543">
        <v>606</v>
      </c>
      <c r="W543" t="s">
        <v>14860</v>
      </c>
      <c r="X543" t="s">
        <v>14867</v>
      </c>
      <c r="Y543" t="s">
        <v>14883</v>
      </c>
      <c r="Z543" t="s">
        <v>15426</v>
      </c>
      <c r="AB543" t="s">
        <v>20556</v>
      </c>
      <c r="AC543">
        <v>42</v>
      </c>
      <c r="AD543" t="s">
        <v>24606</v>
      </c>
      <c r="AE543" t="s">
        <v>11459</v>
      </c>
      <c r="AF543">
        <v>53</v>
      </c>
      <c r="AG543">
        <v>1</v>
      </c>
      <c r="AH543">
        <v>0</v>
      </c>
      <c r="AI543">
        <v>249.8</v>
      </c>
      <c r="AL543" t="s">
        <v>5011</v>
      </c>
      <c r="AM543">
        <v>31200</v>
      </c>
      <c r="AS543">
        <v>1.5</v>
      </c>
      <c r="AT543" t="s">
        <v>365</v>
      </c>
      <c r="AU543" t="s">
        <v>137</v>
      </c>
      <c r="AV543" t="s">
        <v>25335</v>
      </c>
      <c r="AW543" t="s">
        <v>11447</v>
      </c>
    </row>
    <row r="544" spans="1:49">
      <c r="A544" s="1">
        <f>HYPERLINK("https://lsnyc.legalserver.org/matter/dynamic-profile/view/1900863","19-1900863")</f>
        <v>0</v>
      </c>
      <c r="B544" t="s">
        <v>91</v>
      </c>
      <c r="C544" t="s">
        <v>351</v>
      </c>
      <c r="D544" t="s">
        <v>345</v>
      </c>
      <c r="E544" t="s">
        <v>1456</v>
      </c>
      <c r="F544" t="s">
        <v>3769</v>
      </c>
      <c r="G544" t="s">
        <v>6797</v>
      </c>
      <c r="H544">
        <v>303</v>
      </c>
      <c r="I544" t="s">
        <v>11385</v>
      </c>
      <c r="J544">
        <v>11212</v>
      </c>
      <c r="K544" t="s">
        <v>11447</v>
      </c>
      <c r="M544" t="s">
        <v>11601</v>
      </c>
      <c r="O544" t="s">
        <v>14786</v>
      </c>
      <c r="P544" t="s">
        <v>14797</v>
      </c>
      <c r="S544" t="s">
        <v>14827</v>
      </c>
      <c r="V544">
        <v>3000</v>
      </c>
      <c r="W544" t="s">
        <v>14859</v>
      </c>
      <c r="Y544" t="s">
        <v>14883</v>
      </c>
      <c r="Z544" t="s">
        <v>15427</v>
      </c>
      <c r="AB544" t="s">
        <v>20557</v>
      </c>
      <c r="AC544">
        <v>0</v>
      </c>
      <c r="AE544" t="s">
        <v>24611</v>
      </c>
      <c r="AF544">
        <v>3</v>
      </c>
      <c r="AG544">
        <v>1</v>
      </c>
      <c r="AH544">
        <v>3</v>
      </c>
      <c r="AI544">
        <v>64.87</v>
      </c>
      <c r="AL544" t="s">
        <v>5011</v>
      </c>
      <c r="AM544">
        <v>16704</v>
      </c>
      <c r="AS544">
        <v>3</v>
      </c>
      <c r="AT544" t="s">
        <v>345</v>
      </c>
      <c r="AU544" t="s">
        <v>25231</v>
      </c>
      <c r="AW544" t="s">
        <v>11447</v>
      </c>
    </row>
    <row r="545" spans="1:49">
      <c r="A545" s="1">
        <f>HYPERLINK("https://lsnyc.legalserver.org/matter/dynamic-profile/view/1885189","18-1885189")</f>
        <v>0</v>
      </c>
      <c r="B545" t="s">
        <v>176</v>
      </c>
      <c r="C545" t="s">
        <v>398</v>
      </c>
      <c r="D545" t="s">
        <v>593</v>
      </c>
      <c r="E545" t="s">
        <v>1240</v>
      </c>
      <c r="F545" t="s">
        <v>3950</v>
      </c>
      <c r="G545" t="s">
        <v>6798</v>
      </c>
      <c r="H545" t="s">
        <v>10668</v>
      </c>
      <c r="I545" t="s">
        <v>11385</v>
      </c>
      <c r="J545">
        <v>11206</v>
      </c>
      <c r="K545" t="s">
        <v>11447</v>
      </c>
      <c r="M545" t="s">
        <v>11601</v>
      </c>
      <c r="N545" t="s">
        <v>14779</v>
      </c>
      <c r="O545" t="s">
        <v>14787</v>
      </c>
      <c r="P545" t="s">
        <v>14797</v>
      </c>
      <c r="Q545" t="s">
        <v>11448</v>
      </c>
      <c r="S545" t="s">
        <v>14827</v>
      </c>
      <c r="V545">
        <v>1375</v>
      </c>
      <c r="W545" t="s">
        <v>14859</v>
      </c>
      <c r="X545" t="s">
        <v>14868</v>
      </c>
      <c r="Y545" t="s">
        <v>14884</v>
      </c>
      <c r="Z545" t="s">
        <v>15428</v>
      </c>
      <c r="AB545" t="s">
        <v>20558</v>
      </c>
      <c r="AC545">
        <v>0</v>
      </c>
      <c r="AF545">
        <v>11</v>
      </c>
      <c r="AG545">
        <v>1</v>
      </c>
      <c r="AH545">
        <v>0</v>
      </c>
      <c r="AI545">
        <v>168.53</v>
      </c>
      <c r="AL545" t="s">
        <v>5011</v>
      </c>
      <c r="AM545">
        <v>20460</v>
      </c>
      <c r="AS545">
        <v>16.25</v>
      </c>
      <c r="AT545" t="s">
        <v>593</v>
      </c>
      <c r="AU545" t="s">
        <v>91</v>
      </c>
      <c r="AW545" t="s">
        <v>11447</v>
      </c>
    </row>
    <row r="546" spans="1:49">
      <c r="A546" s="1">
        <f>HYPERLINK("https://lsnyc.legalserver.org/matter/dynamic-profile/view/1883440","18-1883440")</f>
        <v>0</v>
      </c>
      <c r="B546" t="s">
        <v>177</v>
      </c>
      <c r="C546" t="s">
        <v>609</v>
      </c>
      <c r="D546" t="s">
        <v>480</v>
      </c>
      <c r="E546" t="s">
        <v>1457</v>
      </c>
      <c r="F546" t="s">
        <v>1114</v>
      </c>
      <c r="G546" t="s">
        <v>6799</v>
      </c>
      <c r="H546">
        <v>1</v>
      </c>
      <c r="I546" t="s">
        <v>11385</v>
      </c>
      <c r="J546">
        <v>11203</v>
      </c>
      <c r="K546" t="s">
        <v>11447</v>
      </c>
      <c r="O546" t="s">
        <v>14786</v>
      </c>
      <c r="P546" t="s">
        <v>14797</v>
      </c>
      <c r="S546" t="s">
        <v>14827</v>
      </c>
      <c r="V546">
        <v>0</v>
      </c>
      <c r="W546" t="s">
        <v>14859</v>
      </c>
      <c r="Y546" t="s">
        <v>14883</v>
      </c>
      <c r="Z546" t="s">
        <v>15429</v>
      </c>
      <c r="AC546">
        <v>0</v>
      </c>
      <c r="AF546">
        <v>0</v>
      </c>
      <c r="AG546">
        <v>5</v>
      </c>
      <c r="AH546">
        <v>1</v>
      </c>
      <c r="AI546">
        <v>106.7</v>
      </c>
      <c r="AL546" t="s">
        <v>24643</v>
      </c>
      <c r="AM546">
        <v>36000</v>
      </c>
      <c r="AS546">
        <v>0.9</v>
      </c>
      <c r="AT546" t="s">
        <v>480</v>
      </c>
      <c r="AU546" t="s">
        <v>177</v>
      </c>
      <c r="AW546" t="s">
        <v>11447</v>
      </c>
    </row>
    <row r="547" spans="1:49">
      <c r="A547" s="1">
        <f>HYPERLINK("https://lsnyc.legalserver.org/matter/dynamic-profile/view/1898702","19-1898702")</f>
        <v>0</v>
      </c>
      <c r="B547" t="s">
        <v>56</v>
      </c>
      <c r="C547" t="s">
        <v>518</v>
      </c>
      <c r="D547" t="s">
        <v>555</v>
      </c>
      <c r="E547" t="s">
        <v>1458</v>
      </c>
      <c r="F547" t="s">
        <v>3682</v>
      </c>
      <c r="G547" t="s">
        <v>6800</v>
      </c>
      <c r="H547">
        <v>1</v>
      </c>
      <c r="I547" t="s">
        <v>11385</v>
      </c>
      <c r="J547">
        <v>11207</v>
      </c>
      <c r="K547" t="s">
        <v>11446</v>
      </c>
      <c r="L547" t="s">
        <v>11601</v>
      </c>
      <c r="M547" t="s">
        <v>14747</v>
      </c>
      <c r="N547" t="s">
        <v>14778</v>
      </c>
      <c r="O547" t="s">
        <v>14786</v>
      </c>
      <c r="P547" t="s">
        <v>14797</v>
      </c>
      <c r="Q547" t="s">
        <v>11448</v>
      </c>
      <c r="S547" t="s">
        <v>14827</v>
      </c>
      <c r="T547" t="s">
        <v>14832</v>
      </c>
      <c r="U547" t="s">
        <v>545</v>
      </c>
      <c r="V547">
        <v>870</v>
      </c>
      <c r="W547" t="s">
        <v>14859</v>
      </c>
      <c r="X547" t="s">
        <v>14864</v>
      </c>
      <c r="Y547" t="s">
        <v>14883</v>
      </c>
      <c r="Z547" t="s">
        <v>15430</v>
      </c>
      <c r="AC547">
        <v>2</v>
      </c>
      <c r="AD547" t="s">
        <v>24600</v>
      </c>
      <c r="AF547">
        <v>2</v>
      </c>
      <c r="AG547">
        <v>3</v>
      </c>
      <c r="AH547">
        <v>1</v>
      </c>
      <c r="AI547">
        <v>149.44</v>
      </c>
      <c r="AL547" t="s">
        <v>24632</v>
      </c>
      <c r="AM547">
        <v>38480</v>
      </c>
      <c r="AS547">
        <v>0.5</v>
      </c>
      <c r="AT547" t="s">
        <v>555</v>
      </c>
      <c r="AU547" t="s">
        <v>66</v>
      </c>
      <c r="AV547" t="s">
        <v>25335</v>
      </c>
      <c r="AW547" t="s">
        <v>11446</v>
      </c>
    </row>
    <row r="548" spans="1:49">
      <c r="A548" s="1">
        <f>HYPERLINK("https://lsnyc.legalserver.org/matter/dynamic-profile/view/1904250","19-1904250")</f>
        <v>0</v>
      </c>
      <c r="B548" t="s">
        <v>63</v>
      </c>
      <c r="C548" t="s">
        <v>338</v>
      </c>
      <c r="D548" t="s">
        <v>555</v>
      </c>
      <c r="E548" t="s">
        <v>1459</v>
      </c>
      <c r="F548" t="s">
        <v>3951</v>
      </c>
      <c r="G548" t="s">
        <v>6801</v>
      </c>
      <c r="H548" t="s">
        <v>10450</v>
      </c>
      <c r="I548" t="s">
        <v>11391</v>
      </c>
      <c r="J548">
        <v>11691</v>
      </c>
      <c r="K548" t="s">
        <v>11446</v>
      </c>
      <c r="L548" t="s">
        <v>11603</v>
      </c>
      <c r="M548" t="s">
        <v>14744</v>
      </c>
      <c r="N548" t="s">
        <v>14781</v>
      </c>
      <c r="O548" t="s">
        <v>14788</v>
      </c>
      <c r="P548" t="s">
        <v>14797</v>
      </c>
      <c r="Q548" t="s">
        <v>11448</v>
      </c>
      <c r="S548" t="s">
        <v>14827</v>
      </c>
      <c r="T548" t="s">
        <v>14836</v>
      </c>
      <c r="U548" t="s">
        <v>338</v>
      </c>
      <c r="V548">
        <v>208</v>
      </c>
      <c r="W548" t="s">
        <v>14861</v>
      </c>
      <c r="X548" t="s">
        <v>14873</v>
      </c>
      <c r="Y548" t="s">
        <v>14887</v>
      </c>
      <c r="Z548" t="s">
        <v>15431</v>
      </c>
      <c r="AB548" t="s">
        <v>20559</v>
      </c>
      <c r="AC548">
        <v>53</v>
      </c>
      <c r="AD548" t="s">
        <v>11479</v>
      </c>
      <c r="AE548" t="s">
        <v>24610</v>
      </c>
      <c r="AF548">
        <v>30</v>
      </c>
      <c r="AG548">
        <v>2</v>
      </c>
      <c r="AH548">
        <v>2</v>
      </c>
      <c r="AI548">
        <v>35.42</v>
      </c>
      <c r="AL548" t="s">
        <v>5011</v>
      </c>
      <c r="AM548">
        <v>9120</v>
      </c>
      <c r="AO548" t="s">
        <v>24931</v>
      </c>
      <c r="AP548" t="s">
        <v>24944</v>
      </c>
      <c r="AQ548" t="s">
        <v>24986</v>
      </c>
      <c r="AR548" t="s">
        <v>25000</v>
      </c>
      <c r="AS548">
        <v>5.5</v>
      </c>
      <c r="AT548" t="s">
        <v>461</v>
      </c>
      <c r="AU548" t="s">
        <v>63</v>
      </c>
      <c r="AV548" t="s">
        <v>25335</v>
      </c>
      <c r="AW548" t="s">
        <v>11447</v>
      </c>
    </row>
    <row r="549" spans="1:49">
      <c r="A549" s="1">
        <f>HYPERLINK("https://lsnyc.legalserver.org/matter/dynamic-profile/view/1890310","19-1890310")</f>
        <v>0</v>
      </c>
      <c r="B549" t="s">
        <v>168</v>
      </c>
      <c r="C549" t="s">
        <v>575</v>
      </c>
      <c r="D549" t="s">
        <v>555</v>
      </c>
      <c r="E549" t="s">
        <v>1460</v>
      </c>
      <c r="F549" t="s">
        <v>3952</v>
      </c>
      <c r="G549" t="s">
        <v>6802</v>
      </c>
      <c r="H549" t="s">
        <v>10485</v>
      </c>
      <c r="I549" t="s">
        <v>11384</v>
      </c>
      <c r="J549">
        <v>10304</v>
      </c>
      <c r="K549" t="s">
        <v>11446</v>
      </c>
      <c r="M549" t="s">
        <v>14745</v>
      </c>
      <c r="N549" t="s">
        <v>14779</v>
      </c>
      <c r="O549" t="s">
        <v>14787</v>
      </c>
      <c r="P549" t="s">
        <v>14797</v>
      </c>
      <c r="Q549" t="s">
        <v>11448</v>
      </c>
      <c r="S549" t="s">
        <v>14827</v>
      </c>
      <c r="T549" t="s">
        <v>14832</v>
      </c>
      <c r="U549" t="s">
        <v>555</v>
      </c>
      <c r="V549">
        <v>0</v>
      </c>
      <c r="W549" t="s">
        <v>14862</v>
      </c>
      <c r="Y549" t="s">
        <v>14883</v>
      </c>
      <c r="Z549" t="s">
        <v>15432</v>
      </c>
      <c r="AB549" t="s">
        <v>20560</v>
      </c>
      <c r="AC549">
        <v>403</v>
      </c>
      <c r="AF549">
        <v>0</v>
      </c>
      <c r="AG549">
        <v>2</v>
      </c>
      <c r="AH549">
        <v>0</v>
      </c>
      <c r="AI549">
        <v>134.07</v>
      </c>
      <c r="AL549" t="s">
        <v>5011</v>
      </c>
      <c r="AM549">
        <v>22672</v>
      </c>
      <c r="AP549" t="s">
        <v>14755</v>
      </c>
      <c r="AS549">
        <v>3.5</v>
      </c>
      <c r="AT549" t="s">
        <v>555</v>
      </c>
      <c r="AU549" t="s">
        <v>25271</v>
      </c>
      <c r="AV549" t="s">
        <v>25335</v>
      </c>
      <c r="AW549" t="s">
        <v>11447</v>
      </c>
    </row>
    <row r="550" spans="1:49">
      <c r="A550" s="1">
        <f>HYPERLINK("https://lsnyc.legalserver.org/matter/dynamic-profile/view/1905547","19-1905547")</f>
        <v>0</v>
      </c>
      <c r="B550" t="s">
        <v>105</v>
      </c>
      <c r="C550" t="s">
        <v>555</v>
      </c>
      <c r="D550" t="s">
        <v>555</v>
      </c>
      <c r="E550" t="s">
        <v>1461</v>
      </c>
      <c r="F550" t="s">
        <v>3577</v>
      </c>
      <c r="G550" t="s">
        <v>6803</v>
      </c>
      <c r="H550" t="s">
        <v>10522</v>
      </c>
      <c r="I550" t="s">
        <v>11386</v>
      </c>
      <c r="J550">
        <v>10035</v>
      </c>
      <c r="K550" t="s">
        <v>11446</v>
      </c>
      <c r="L550" t="s">
        <v>11604</v>
      </c>
      <c r="M550" t="s">
        <v>14762</v>
      </c>
      <c r="N550" t="s">
        <v>14783</v>
      </c>
      <c r="O550" t="s">
        <v>14790</v>
      </c>
      <c r="P550" t="s">
        <v>14797</v>
      </c>
      <c r="Q550" t="s">
        <v>11448</v>
      </c>
      <c r="S550" t="s">
        <v>14827</v>
      </c>
      <c r="U550" t="s">
        <v>555</v>
      </c>
      <c r="V550">
        <v>1575</v>
      </c>
      <c r="W550" t="s">
        <v>14860</v>
      </c>
      <c r="X550" t="s">
        <v>14868</v>
      </c>
      <c r="Y550" t="s">
        <v>14885</v>
      </c>
      <c r="Z550" t="s">
        <v>15433</v>
      </c>
      <c r="AB550" t="s">
        <v>20561</v>
      </c>
      <c r="AC550">
        <v>10</v>
      </c>
      <c r="AD550" t="s">
        <v>24595</v>
      </c>
      <c r="AE550" t="s">
        <v>11459</v>
      </c>
      <c r="AF550">
        <v>0</v>
      </c>
      <c r="AG550">
        <v>3</v>
      </c>
      <c r="AH550">
        <v>1</v>
      </c>
      <c r="AI550">
        <v>166.99</v>
      </c>
      <c r="AL550" t="s">
        <v>5011</v>
      </c>
      <c r="AM550">
        <v>43000</v>
      </c>
      <c r="AS550">
        <v>0.1</v>
      </c>
      <c r="AT550" t="s">
        <v>555</v>
      </c>
      <c r="AU550" t="s">
        <v>137</v>
      </c>
      <c r="AV550" t="s">
        <v>25335</v>
      </c>
      <c r="AW550" t="s">
        <v>11447</v>
      </c>
    </row>
    <row r="551" spans="1:49">
      <c r="A551" s="1">
        <f>HYPERLINK("https://lsnyc.legalserver.org/matter/dynamic-profile/view/1897698","19-1897698")</f>
        <v>0</v>
      </c>
      <c r="B551" t="s">
        <v>168</v>
      </c>
      <c r="C551" t="s">
        <v>610</v>
      </c>
      <c r="D551" t="s">
        <v>555</v>
      </c>
      <c r="E551" t="s">
        <v>1353</v>
      </c>
      <c r="F551" t="s">
        <v>3727</v>
      </c>
      <c r="G551" t="s">
        <v>6804</v>
      </c>
      <c r="I551" t="s">
        <v>11384</v>
      </c>
      <c r="J551">
        <v>10305</v>
      </c>
      <c r="K551" t="s">
        <v>11446</v>
      </c>
      <c r="L551" t="s">
        <v>11605</v>
      </c>
      <c r="M551" t="s">
        <v>14743</v>
      </c>
      <c r="N551" t="s">
        <v>14778</v>
      </c>
      <c r="O551" t="s">
        <v>14786</v>
      </c>
      <c r="P551" t="s">
        <v>14797</v>
      </c>
      <c r="Q551" t="s">
        <v>11448</v>
      </c>
      <c r="S551" t="s">
        <v>14827</v>
      </c>
      <c r="T551" t="s">
        <v>14832</v>
      </c>
      <c r="V551">
        <v>0</v>
      </c>
      <c r="W551" t="s">
        <v>14862</v>
      </c>
      <c r="X551" t="s">
        <v>14863</v>
      </c>
      <c r="Y551" t="s">
        <v>14883</v>
      </c>
      <c r="Z551" t="s">
        <v>15434</v>
      </c>
      <c r="AB551" t="s">
        <v>20562</v>
      </c>
      <c r="AC551">
        <v>3</v>
      </c>
      <c r="AD551" t="s">
        <v>24600</v>
      </c>
      <c r="AE551" t="s">
        <v>11459</v>
      </c>
      <c r="AF551">
        <v>1</v>
      </c>
      <c r="AG551">
        <v>2</v>
      </c>
      <c r="AH551">
        <v>0</v>
      </c>
      <c r="AI551">
        <v>42.58</v>
      </c>
      <c r="AL551" t="s">
        <v>5011</v>
      </c>
      <c r="AM551">
        <v>7200</v>
      </c>
      <c r="AP551" t="s">
        <v>14755</v>
      </c>
      <c r="AQ551" t="s">
        <v>24987</v>
      </c>
      <c r="AS551">
        <v>3</v>
      </c>
      <c r="AT551" t="s">
        <v>555</v>
      </c>
      <c r="AU551" t="s">
        <v>25270</v>
      </c>
      <c r="AV551" t="s">
        <v>25335</v>
      </c>
      <c r="AW551" t="s">
        <v>11447</v>
      </c>
    </row>
    <row r="552" spans="1:49">
      <c r="A552" s="1">
        <f>HYPERLINK("https://lsnyc.legalserver.org/matter/dynamic-profile/view/1897258","19-1897258")</f>
        <v>0</v>
      </c>
      <c r="B552" t="s">
        <v>168</v>
      </c>
      <c r="C552" t="s">
        <v>611</v>
      </c>
      <c r="D552" t="s">
        <v>555</v>
      </c>
      <c r="E552" t="s">
        <v>1462</v>
      </c>
      <c r="F552" t="s">
        <v>3953</v>
      </c>
      <c r="G552" t="s">
        <v>6805</v>
      </c>
      <c r="H552" t="s">
        <v>10669</v>
      </c>
      <c r="I552" t="s">
        <v>11384</v>
      </c>
      <c r="J552">
        <v>10304</v>
      </c>
      <c r="K552" t="s">
        <v>11446</v>
      </c>
      <c r="L552" t="s">
        <v>11606</v>
      </c>
      <c r="M552" t="s">
        <v>14744</v>
      </c>
      <c r="N552" t="s">
        <v>14781</v>
      </c>
      <c r="O552" t="s">
        <v>14788</v>
      </c>
      <c r="P552" t="s">
        <v>14797</v>
      </c>
      <c r="Q552" t="s">
        <v>11448</v>
      </c>
      <c r="S552" t="s">
        <v>14827</v>
      </c>
      <c r="T552" t="s">
        <v>14832</v>
      </c>
      <c r="V552">
        <v>2900</v>
      </c>
      <c r="W552" t="s">
        <v>14862</v>
      </c>
      <c r="X552" t="s">
        <v>14870</v>
      </c>
      <c r="Y552" t="s">
        <v>14883</v>
      </c>
      <c r="Z552" t="s">
        <v>15435</v>
      </c>
      <c r="AB552" t="s">
        <v>20563</v>
      </c>
      <c r="AC552">
        <v>900</v>
      </c>
      <c r="AD552" t="s">
        <v>24595</v>
      </c>
      <c r="AE552" t="s">
        <v>11459</v>
      </c>
      <c r="AF552">
        <v>-1</v>
      </c>
      <c r="AG552">
        <v>2</v>
      </c>
      <c r="AH552">
        <v>0</v>
      </c>
      <c r="AI552">
        <v>70.95999999999999</v>
      </c>
      <c r="AL552" t="s">
        <v>5011</v>
      </c>
      <c r="AM552">
        <v>12000</v>
      </c>
      <c r="AP552" t="s">
        <v>14755</v>
      </c>
      <c r="AQ552" t="s">
        <v>24987</v>
      </c>
      <c r="AS552">
        <v>14.5</v>
      </c>
      <c r="AT552" t="s">
        <v>555</v>
      </c>
      <c r="AU552" t="s">
        <v>25270</v>
      </c>
      <c r="AV552" t="s">
        <v>25335</v>
      </c>
      <c r="AW552" t="s">
        <v>11447</v>
      </c>
    </row>
    <row r="553" spans="1:49">
      <c r="A553" s="1">
        <f>HYPERLINK("https://lsnyc.legalserver.org/matter/dynamic-profile/view/1898467","19-1898467")</f>
        <v>0</v>
      </c>
      <c r="B553" t="s">
        <v>168</v>
      </c>
      <c r="C553" t="s">
        <v>411</v>
      </c>
      <c r="D553" t="s">
        <v>555</v>
      </c>
      <c r="E553" t="s">
        <v>1463</v>
      </c>
      <c r="F553" t="s">
        <v>1114</v>
      </c>
      <c r="G553" t="s">
        <v>6806</v>
      </c>
      <c r="H553">
        <v>1</v>
      </c>
      <c r="I553" t="s">
        <v>11384</v>
      </c>
      <c r="J553">
        <v>10301</v>
      </c>
      <c r="K553" t="s">
        <v>11446</v>
      </c>
      <c r="L553" t="s">
        <v>11607</v>
      </c>
      <c r="M553" t="s">
        <v>14743</v>
      </c>
      <c r="N553" t="s">
        <v>14778</v>
      </c>
      <c r="O553" t="s">
        <v>14786</v>
      </c>
      <c r="P553" t="s">
        <v>14797</v>
      </c>
      <c r="Q553" t="s">
        <v>11448</v>
      </c>
      <c r="S553" t="s">
        <v>14827</v>
      </c>
      <c r="T553" t="s">
        <v>14833</v>
      </c>
      <c r="V553">
        <v>1305</v>
      </c>
      <c r="W553" t="s">
        <v>14862</v>
      </c>
      <c r="X553" t="s">
        <v>14863</v>
      </c>
      <c r="Y553" t="s">
        <v>14883</v>
      </c>
      <c r="Z553" t="s">
        <v>15436</v>
      </c>
      <c r="AB553" t="s">
        <v>20564</v>
      </c>
      <c r="AC553">
        <v>2</v>
      </c>
      <c r="AD553" t="s">
        <v>24600</v>
      </c>
      <c r="AE553" t="s">
        <v>24610</v>
      </c>
      <c r="AF553">
        <v>9</v>
      </c>
      <c r="AG553">
        <v>1</v>
      </c>
      <c r="AH553">
        <v>0</v>
      </c>
      <c r="AI553">
        <v>74.08</v>
      </c>
      <c r="AL553" t="s">
        <v>5011</v>
      </c>
      <c r="AM553">
        <v>9252</v>
      </c>
      <c r="AP553" t="s">
        <v>14755</v>
      </c>
      <c r="AS553">
        <v>0.5</v>
      </c>
      <c r="AT553" t="s">
        <v>555</v>
      </c>
      <c r="AU553" t="s">
        <v>25270</v>
      </c>
      <c r="AV553" t="s">
        <v>25335</v>
      </c>
      <c r="AW553" t="s">
        <v>11447</v>
      </c>
    </row>
    <row r="554" spans="1:49">
      <c r="A554" s="1">
        <f>HYPERLINK("https://lsnyc.legalserver.org/matter/dynamic-profile/view/1898558","19-1898558")</f>
        <v>0</v>
      </c>
      <c r="B554" t="s">
        <v>168</v>
      </c>
      <c r="C554" t="s">
        <v>612</v>
      </c>
      <c r="D554" t="s">
        <v>555</v>
      </c>
      <c r="E554" t="s">
        <v>1281</v>
      </c>
      <c r="F554" t="s">
        <v>3954</v>
      </c>
      <c r="G554" t="s">
        <v>6807</v>
      </c>
      <c r="H554" t="s">
        <v>10542</v>
      </c>
      <c r="I554" t="s">
        <v>11384</v>
      </c>
      <c r="J554">
        <v>10304</v>
      </c>
      <c r="K554" t="s">
        <v>11446</v>
      </c>
      <c r="L554" t="s">
        <v>11608</v>
      </c>
      <c r="M554" t="s">
        <v>14744</v>
      </c>
      <c r="N554" t="s">
        <v>14781</v>
      </c>
      <c r="O554" t="s">
        <v>14788</v>
      </c>
      <c r="P554" t="s">
        <v>14797</v>
      </c>
      <c r="Q554" t="s">
        <v>11448</v>
      </c>
      <c r="S554" t="s">
        <v>14827</v>
      </c>
      <c r="V554">
        <v>183</v>
      </c>
      <c r="W554" t="s">
        <v>14862</v>
      </c>
      <c r="X554" t="s">
        <v>14863</v>
      </c>
      <c r="Y554" t="s">
        <v>14887</v>
      </c>
      <c r="Z554" t="s">
        <v>15437</v>
      </c>
      <c r="AB554" t="s">
        <v>20565</v>
      </c>
      <c r="AC554">
        <v>305</v>
      </c>
      <c r="AD554" t="s">
        <v>24596</v>
      </c>
      <c r="AE554" t="s">
        <v>11459</v>
      </c>
      <c r="AF554">
        <v>20</v>
      </c>
      <c r="AG554">
        <v>1</v>
      </c>
      <c r="AH554">
        <v>0</v>
      </c>
      <c r="AI554">
        <v>91.27</v>
      </c>
      <c r="AL554" t="s">
        <v>5011</v>
      </c>
      <c r="AM554">
        <v>11400</v>
      </c>
      <c r="AO554" t="s">
        <v>24930</v>
      </c>
      <c r="AP554" t="s">
        <v>24942</v>
      </c>
      <c r="AQ554" t="s">
        <v>24986</v>
      </c>
      <c r="AS554">
        <v>12</v>
      </c>
      <c r="AT554" t="s">
        <v>555</v>
      </c>
      <c r="AU554" t="s">
        <v>25270</v>
      </c>
      <c r="AV554" t="s">
        <v>25335</v>
      </c>
      <c r="AW554" t="s">
        <v>11447</v>
      </c>
    </row>
    <row r="555" spans="1:49">
      <c r="A555" s="1">
        <f>HYPERLINK("https://lsnyc.legalserver.org/matter/dynamic-profile/view/1893501","19-1893501")</f>
        <v>0</v>
      </c>
      <c r="B555" t="s">
        <v>168</v>
      </c>
      <c r="C555" t="s">
        <v>613</v>
      </c>
      <c r="D555" t="s">
        <v>555</v>
      </c>
      <c r="E555" t="s">
        <v>1464</v>
      </c>
      <c r="F555" t="s">
        <v>3955</v>
      </c>
      <c r="G555" t="s">
        <v>6808</v>
      </c>
      <c r="H555" t="s">
        <v>10604</v>
      </c>
      <c r="I555" t="s">
        <v>11384</v>
      </c>
      <c r="J555">
        <v>10304</v>
      </c>
      <c r="K555" t="s">
        <v>11446</v>
      </c>
      <c r="L555" t="s">
        <v>11609</v>
      </c>
      <c r="M555" t="s">
        <v>14743</v>
      </c>
      <c r="N555" t="s">
        <v>14784</v>
      </c>
      <c r="O555" t="s">
        <v>14788</v>
      </c>
      <c r="P555" t="s">
        <v>14797</v>
      </c>
      <c r="Q555" t="s">
        <v>11448</v>
      </c>
      <c r="S555" t="s">
        <v>14827</v>
      </c>
      <c r="T555" t="s">
        <v>14832</v>
      </c>
      <c r="V555">
        <v>1515</v>
      </c>
      <c r="W555" t="s">
        <v>14862</v>
      </c>
      <c r="X555" t="s">
        <v>14863</v>
      </c>
      <c r="Y555" t="s">
        <v>14888</v>
      </c>
      <c r="Z555" t="s">
        <v>15438</v>
      </c>
      <c r="AB555" t="s">
        <v>20566</v>
      </c>
      <c r="AC555">
        <v>2</v>
      </c>
      <c r="AD555" t="s">
        <v>24600</v>
      </c>
      <c r="AE555" t="s">
        <v>24615</v>
      </c>
      <c r="AF555">
        <v>1</v>
      </c>
      <c r="AG555">
        <v>1</v>
      </c>
      <c r="AH555">
        <v>2</v>
      </c>
      <c r="AI555">
        <v>156.02</v>
      </c>
      <c r="AL555" t="s">
        <v>5011</v>
      </c>
      <c r="AM555">
        <v>33280</v>
      </c>
      <c r="AO555" t="s">
        <v>24930</v>
      </c>
      <c r="AP555" t="s">
        <v>14755</v>
      </c>
      <c r="AQ555" t="s">
        <v>24987</v>
      </c>
      <c r="AS555">
        <v>9.25</v>
      </c>
      <c r="AT555" t="s">
        <v>619</v>
      </c>
      <c r="AU555" t="s">
        <v>25270</v>
      </c>
      <c r="AV555" t="s">
        <v>25335</v>
      </c>
      <c r="AW555" t="s">
        <v>11448</v>
      </c>
    </row>
    <row r="556" spans="1:49">
      <c r="A556" s="1">
        <f>HYPERLINK("https://lsnyc.legalserver.org/matter/dynamic-profile/view/1904525","19-1904525")</f>
        <v>0</v>
      </c>
      <c r="B556" t="s">
        <v>119</v>
      </c>
      <c r="C556" t="s">
        <v>493</v>
      </c>
      <c r="D556" t="s">
        <v>496</v>
      </c>
      <c r="E556" t="s">
        <v>1454</v>
      </c>
      <c r="F556" t="s">
        <v>3948</v>
      </c>
      <c r="G556" t="s">
        <v>6794</v>
      </c>
      <c r="H556" t="s">
        <v>10666</v>
      </c>
      <c r="I556" t="s">
        <v>11383</v>
      </c>
      <c r="J556">
        <v>10467</v>
      </c>
      <c r="K556" t="s">
        <v>11446</v>
      </c>
      <c r="L556" t="s">
        <v>11602</v>
      </c>
      <c r="M556" t="s">
        <v>14743</v>
      </c>
      <c r="N556" t="s">
        <v>14781</v>
      </c>
      <c r="O556" t="s">
        <v>14788</v>
      </c>
      <c r="P556" t="s">
        <v>14797</v>
      </c>
      <c r="Q556" t="s">
        <v>11448</v>
      </c>
      <c r="S556" t="s">
        <v>14827</v>
      </c>
      <c r="T556" t="s">
        <v>14832</v>
      </c>
      <c r="U556" t="s">
        <v>545</v>
      </c>
      <c r="V556">
        <v>811</v>
      </c>
      <c r="W556" t="s">
        <v>14858</v>
      </c>
      <c r="X556" t="s">
        <v>14868</v>
      </c>
      <c r="Y556" t="s">
        <v>14887</v>
      </c>
      <c r="Z556" t="s">
        <v>15424</v>
      </c>
      <c r="AB556" t="s">
        <v>20554</v>
      </c>
      <c r="AC556">
        <v>53</v>
      </c>
      <c r="AD556" t="s">
        <v>24595</v>
      </c>
      <c r="AE556" t="s">
        <v>24613</v>
      </c>
      <c r="AF556">
        <v>42</v>
      </c>
      <c r="AG556">
        <v>1</v>
      </c>
      <c r="AH556">
        <v>0</v>
      </c>
      <c r="AI556">
        <v>73.02</v>
      </c>
      <c r="AL556" t="s">
        <v>24632</v>
      </c>
      <c r="AM556">
        <v>9120</v>
      </c>
      <c r="AP556" t="s">
        <v>24941</v>
      </c>
      <c r="AQ556" t="s">
        <v>24986</v>
      </c>
      <c r="AR556" t="s">
        <v>25000</v>
      </c>
      <c r="AS556">
        <v>3.5</v>
      </c>
      <c r="AT556" t="s">
        <v>619</v>
      </c>
      <c r="AU556" t="s">
        <v>245</v>
      </c>
      <c r="AV556" t="s">
        <v>25335</v>
      </c>
      <c r="AW556" t="s">
        <v>11447</v>
      </c>
    </row>
    <row r="557" spans="1:49">
      <c r="A557" s="1">
        <f>HYPERLINK("https://lsnyc.legalserver.org/matter/dynamic-profile/view/1905412","19-1905412")</f>
        <v>0</v>
      </c>
      <c r="B557" t="s">
        <v>67</v>
      </c>
      <c r="C557" t="s">
        <v>520</v>
      </c>
      <c r="D557" t="s">
        <v>496</v>
      </c>
      <c r="E557" t="s">
        <v>1465</v>
      </c>
      <c r="F557" t="s">
        <v>3951</v>
      </c>
      <c r="G557" t="s">
        <v>6809</v>
      </c>
      <c r="H557" t="s">
        <v>10594</v>
      </c>
      <c r="I557" t="s">
        <v>11383</v>
      </c>
      <c r="J557">
        <v>10457</v>
      </c>
      <c r="K557" t="s">
        <v>11446</v>
      </c>
      <c r="L557" t="s">
        <v>11465</v>
      </c>
      <c r="M557" t="s">
        <v>14762</v>
      </c>
      <c r="N557" t="s">
        <v>14778</v>
      </c>
      <c r="O557" t="s">
        <v>14786</v>
      </c>
      <c r="P557" t="s">
        <v>14797</v>
      </c>
      <c r="Q557" t="s">
        <v>11448</v>
      </c>
      <c r="S557" t="s">
        <v>14827</v>
      </c>
      <c r="U557" t="s">
        <v>14839</v>
      </c>
      <c r="V557">
        <v>885.9299999999999</v>
      </c>
      <c r="W557" t="s">
        <v>14858</v>
      </c>
      <c r="X557" t="s">
        <v>14864</v>
      </c>
      <c r="Y557" t="s">
        <v>14883</v>
      </c>
      <c r="Z557" t="s">
        <v>15439</v>
      </c>
      <c r="AC557">
        <v>73</v>
      </c>
      <c r="AD557" t="s">
        <v>24595</v>
      </c>
      <c r="AE557" t="s">
        <v>11459</v>
      </c>
      <c r="AF557">
        <v>43</v>
      </c>
      <c r="AG557">
        <v>1</v>
      </c>
      <c r="AH557">
        <v>0</v>
      </c>
      <c r="AI557">
        <v>480.38</v>
      </c>
      <c r="AL557" t="s">
        <v>5011</v>
      </c>
      <c r="AM557">
        <v>60000</v>
      </c>
      <c r="AS557">
        <v>1.25</v>
      </c>
      <c r="AT557" t="s">
        <v>496</v>
      </c>
      <c r="AU557" t="s">
        <v>25242</v>
      </c>
      <c r="AV557" t="s">
        <v>25335</v>
      </c>
      <c r="AW557" t="s">
        <v>11447</v>
      </c>
    </row>
    <row r="558" spans="1:49">
      <c r="A558" s="1">
        <f>HYPERLINK("https://lsnyc.legalserver.org/matter/dynamic-profile/view/1905416","19-1905416")</f>
        <v>0</v>
      </c>
      <c r="B558" t="s">
        <v>67</v>
      </c>
      <c r="C558" t="s">
        <v>520</v>
      </c>
      <c r="D558" t="s">
        <v>496</v>
      </c>
      <c r="E558" t="s">
        <v>1321</v>
      </c>
      <c r="F558" t="s">
        <v>3956</v>
      </c>
      <c r="G558" t="s">
        <v>6810</v>
      </c>
      <c r="H558" t="s">
        <v>10670</v>
      </c>
      <c r="I558" t="s">
        <v>11383</v>
      </c>
      <c r="J558">
        <v>10458</v>
      </c>
      <c r="K558" t="s">
        <v>11446</v>
      </c>
      <c r="N558" t="s">
        <v>14778</v>
      </c>
      <c r="O558" t="s">
        <v>14786</v>
      </c>
      <c r="P558" t="s">
        <v>14797</v>
      </c>
      <c r="Q558" t="s">
        <v>11448</v>
      </c>
      <c r="S558" t="s">
        <v>14827</v>
      </c>
      <c r="V558">
        <v>2000</v>
      </c>
      <c r="W558" t="s">
        <v>14858</v>
      </c>
      <c r="X558" t="s">
        <v>14864</v>
      </c>
      <c r="Y558" t="s">
        <v>14883</v>
      </c>
      <c r="Z558" t="s">
        <v>15440</v>
      </c>
      <c r="AB558" t="s">
        <v>20567</v>
      </c>
      <c r="AC558">
        <v>36</v>
      </c>
      <c r="AD558" t="s">
        <v>24595</v>
      </c>
      <c r="AE558" t="s">
        <v>11459</v>
      </c>
      <c r="AF558">
        <v>1</v>
      </c>
      <c r="AG558">
        <v>1</v>
      </c>
      <c r="AH558">
        <v>0</v>
      </c>
      <c r="AI558">
        <v>112.09</v>
      </c>
      <c r="AM558">
        <v>14000</v>
      </c>
      <c r="AS558">
        <v>1</v>
      </c>
      <c r="AT558" t="s">
        <v>555</v>
      </c>
      <c r="AU558" t="s">
        <v>25242</v>
      </c>
      <c r="AV558" t="s">
        <v>25335</v>
      </c>
      <c r="AW558" t="s">
        <v>11447</v>
      </c>
    </row>
    <row r="559" spans="1:49">
      <c r="A559" s="1">
        <f>HYPERLINK("https://lsnyc.legalserver.org/matter/dynamic-profile/view/0826416","17-0826416")</f>
        <v>0</v>
      </c>
      <c r="B559" t="s">
        <v>107</v>
      </c>
      <c r="C559" t="s">
        <v>614</v>
      </c>
      <c r="D559" t="s">
        <v>496</v>
      </c>
      <c r="E559" t="s">
        <v>1104</v>
      </c>
      <c r="F559" t="s">
        <v>3957</v>
      </c>
      <c r="G559" t="s">
        <v>6811</v>
      </c>
      <c r="H559" t="s">
        <v>10562</v>
      </c>
      <c r="I559" t="s">
        <v>11385</v>
      </c>
      <c r="J559">
        <v>11207</v>
      </c>
      <c r="K559" t="s">
        <v>11446</v>
      </c>
      <c r="M559" t="s">
        <v>14745</v>
      </c>
      <c r="N559" t="s">
        <v>14779</v>
      </c>
      <c r="O559" t="s">
        <v>14786</v>
      </c>
      <c r="P559" t="s">
        <v>14797</v>
      </c>
      <c r="Q559" t="s">
        <v>11448</v>
      </c>
      <c r="S559" t="s">
        <v>14827</v>
      </c>
      <c r="V559">
        <v>900</v>
      </c>
      <c r="W559" t="s">
        <v>14859</v>
      </c>
      <c r="X559" t="s">
        <v>14876</v>
      </c>
      <c r="Y559" t="s">
        <v>14883</v>
      </c>
      <c r="Z559" t="s">
        <v>15441</v>
      </c>
      <c r="AA559">
        <v>6515564</v>
      </c>
      <c r="AB559" t="s">
        <v>20568</v>
      </c>
      <c r="AC559">
        <v>6</v>
      </c>
      <c r="AE559" t="s">
        <v>24615</v>
      </c>
      <c r="AF559">
        <v>6</v>
      </c>
      <c r="AG559">
        <v>1</v>
      </c>
      <c r="AH559">
        <v>1</v>
      </c>
      <c r="AI559">
        <v>136.01</v>
      </c>
      <c r="AL559" t="s">
        <v>5011</v>
      </c>
      <c r="AM559">
        <v>22088</v>
      </c>
      <c r="AN559" t="s">
        <v>24714</v>
      </c>
      <c r="AS559">
        <v>1</v>
      </c>
      <c r="AT559" t="s">
        <v>614</v>
      </c>
      <c r="AU559" t="s">
        <v>316</v>
      </c>
      <c r="AV559" t="s">
        <v>25334</v>
      </c>
      <c r="AW559" t="s">
        <v>11447</v>
      </c>
    </row>
    <row r="560" spans="1:49">
      <c r="A560" s="1">
        <f>HYPERLINK("https://lsnyc.legalserver.org/matter/dynamic-profile/view/1904892","19-1904892")</f>
        <v>0</v>
      </c>
      <c r="B560" t="s">
        <v>178</v>
      </c>
      <c r="C560" t="s">
        <v>593</v>
      </c>
      <c r="D560" t="s">
        <v>500</v>
      </c>
      <c r="E560" t="s">
        <v>1034</v>
      </c>
      <c r="F560" t="s">
        <v>3958</v>
      </c>
      <c r="G560" t="s">
        <v>6812</v>
      </c>
      <c r="H560" t="s">
        <v>10524</v>
      </c>
      <c r="I560" t="s">
        <v>11386</v>
      </c>
      <c r="J560">
        <v>10033</v>
      </c>
      <c r="K560" t="s">
        <v>11446</v>
      </c>
      <c r="M560" t="s">
        <v>14747</v>
      </c>
      <c r="N560" t="s">
        <v>14778</v>
      </c>
      <c r="O560" t="s">
        <v>14786</v>
      </c>
      <c r="P560" t="s">
        <v>14797</v>
      </c>
      <c r="Q560" t="s">
        <v>11448</v>
      </c>
      <c r="S560" t="s">
        <v>14827</v>
      </c>
      <c r="U560" t="s">
        <v>593</v>
      </c>
      <c r="V560">
        <v>2100</v>
      </c>
      <c r="W560" t="s">
        <v>14860</v>
      </c>
      <c r="X560" t="s">
        <v>14867</v>
      </c>
      <c r="Y560" t="s">
        <v>14883</v>
      </c>
      <c r="Z560" t="s">
        <v>15442</v>
      </c>
      <c r="AB560" t="s">
        <v>20569</v>
      </c>
      <c r="AC560">
        <v>95</v>
      </c>
      <c r="AD560" t="s">
        <v>24595</v>
      </c>
      <c r="AE560" t="s">
        <v>11459</v>
      </c>
      <c r="AF560">
        <v>2</v>
      </c>
      <c r="AG560">
        <v>2</v>
      </c>
      <c r="AH560">
        <v>0</v>
      </c>
      <c r="AI560">
        <v>709.64</v>
      </c>
      <c r="AL560" t="s">
        <v>5011</v>
      </c>
      <c r="AM560">
        <v>120000</v>
      </c>
      <c r="AS560">
        <v>1.1</v>
      </c>
      <c r="AT560" t="s">
        <v>607</v>
      </c>
      <c r="AU560" t="s">
        <v>137</v>
      </c>
      <c r="AV560" t="s">
        <v>25335</v>
      </c>
      <c r="AW560" t="s">
        <v>11447</v>
      </c>
    </row>
    <row r="561" spans="1:49">
      <c r="A561" s="1">
        <f>HYPERLINK("https://lsnyc.legalserver.org/matter/dynamic-profile/view/1865239","18-1865239")</f>
        <v>0</v>
      </c>
      <c r="B561" t="s">
        <v>179</v>
      </c>
      <c r="C561" t="s">
        <v>615</v>
      </c>
      <c r="D561" t="s">
        <v>500</v>
      </c>
      <c r="E561" t="s">
        <v>1466</v>
      </c>
      <c r="F561" t="s">
        <v>3959</v>
      </c>
      <c r="G561" t="s">
        <v>6813</v>
      </c>
      <c r="H561" t="s">
        <v>10522</v>
      </c>
      <c r="I561" t="s">
        <v>11421</v>
      </c>
      <c r="J561">
        <v>11427</v>
      </c>
      <c r="K561" t="s">
        <v>11446</v>
      </c>
      <c r="L561" t="s">
        <v>11610</v>
      </c>
      <c r="M561" t="s">
        <v>14744</v>
      </c>
      <c r="N561" t="s">
        <v>14778</v>
      </c>
      <c r="O561" t="s">
        <v>14786</v>
      </c>
      <c r="P561" t="s">
        <v>14797</v>
      </c>
      <c r="Q561" t="s">
        <v>11448</v>
      </c>
      <c r="S561" t="s">
        <v>14827</v>
      </c>
      <c r="T561" t="s">
        <v>14832</v>
      </c>
      <c r="U561" t="s">
        <v>500</v>
      </c>
      <c r="V561">
        <v>1044</v>
      </c>
      <c r="W561" t="s">
        <v>14861</v>
      </c>
      <c r="X561" t="s">
        <v>14755</v>
      </c>
      <c r="Y561" t="s">
        <v>14883</v>
      </c>
      <c r="Z561" t="s">
        <v>15443</v>
      </c>
      <c r="AB561" t="s">
        <v>20570</v>
      </c>
      <c r="AC561">
        <v>21</v>
      </c>
      <c r="AD561" t="s">
        <v>24595</v>
      </c>
      <c r="AE561" t="s">
        <v>14755</v>
      </c>
      <c r="AF561">
        <v>40</v>
      </c>
      <c r="AG561">
        <v>2</v>
      </c>
      <c r="AH561">
        <v>0</v>
      </c>
      <c r="AI561">
        <v>482.93</v>
      </c>
      <c r="AL561" t="s">
        <v>5011</v>
      </c>
      <c r="AM561">
        <v>79490.05</v>
      </c>
      <c r="AS561">
        <v>1.1</v>
      </c>
      <c r="AT561" t="s">
        <v>14857</v>
      </c>
      <c r="AU561" t="s">
        <v>179</v>
      </c>
      <c r="AV561" t="s">
        <v>25335</v>
      </c>
      <c r="AW561" t="s">
        <v>11447</v>
      </c>
    </row>
    <row r="562" spans="1:49">
      <c r="A562" s="1">
        <f>HYPERLINK("https://lsnyc.legalserver.org/matter/dynamic-profile/view/1866220","18-1866220")</f>
        <v>0</v>
      </c>
      <c r="B562" t="s">
        <v>107</v>
      </c>
      <c r="C562" t="s">
        <v>616</v>
      </c>
      <c r="D562" t="s">
        <v>500</v>
      </c>
      <c r="E562" t="s">
        <v>1467</v>
      </c>
      <c r="F562" t="s">
        <v>3960</v>
      </c>
      <c r="G562" t="s">
        <v>6814</v>
      </c>
      <c r="I562" t="s">
        <v>11385</v>
      </c>
      <c r="J562">
        <v>11207</v>
      </c>
      <c r="K562" t="s">
        <v>11448</v>
      </c>
      <c r="L562" t="s">
        <v>11601</v>
      </c>
      <c r="M562" t="s">
        <v>11601</v>
      </c>
      <c r="N562" t="s">
        <v>14778</v>
      </c>
      <c r="O562" t="s">
        <v>14786</v>
      </c>
      <c r="P562" t="s">
        <v>14797</v>
      </c>
      <c r="Q562" t="s">
        <v>11448</v>
      </c>
      <c r="S562" t="s">
        <v>14827</v>
      </c>
      <c r="V562">
        <v>930</v>
      </c>
      <c r="W562" t="s">
        <v>14859</v>
      </c>
      <c r="Y562" t="s">
        <v>14883</v>
      </c>
      <c r="Z562" t="s">
        <v>15444</v>
      </c>
      <c r="AB562" t="s">
        <v>20571</v>
      </c>
      <c r="AC562">
        <v>7</v>
      </c>
      <c r="AD562" t="s">
        <v>11479</v>
      </c>
      <c r="AE562" t="s">
        <v>11459</v>
      </c>
      <c r="AF562">
        <v>0</v>
      </c>
      <c r="AG562">
        <v>1</v>
      </c>
      <c r="AH562">
        <v>0</v>
      </c>
      <c r="AI562">
        <v>257</v>
      </c>
      <c r="AL562" t="s">
        <v>5011</v>
      </c>
      <c r="AM562">
        <v>31200</v>
      </c>
      <c r="AS562">
        <v>0.5</v>
      </c>
      <c r="AT562" t="s">
        <v>616</v>
      </c>
      <c r="AU562" t="s">
        <v>25229</v>
      </c>
      <c r="AW562" t="s">
        <v>11447</v>
      </c>
    </row>
    <row r="563" spans="1:49">
      <c r="A563" s="1">
        <f>HYPERLINK("https://lsnyc.legalserver.org/matter/dynamic-profile/view/1897018","19-1897018")</f>
        <v>0</v>
      </c>
      <c r="B563" t="s">
        <v>103</v>
      </c>
      <c r="C563" t="s">
        <v>617</v>
      </c>
      <c r="D563" t="s">
        <v>461</v>
      </c>
      <c r="E563" t="s">
        <v>1468</v>
      </c>
      <c r="F563" t="s">
        <v>3823</v>
      </c>
      <c r="G563" t="s">
        <v>6815</v>
      </c>
      <c r="H563" t="s">
        <v>10662</v>
      </c>
      <c r="I563" t="s">
        <v>11385</v>
      </c>
      <c r="J563">
        <v>11217</v>
      </c>
      <c r="K563" t="s">
        <v>11446</v>
      </c>
      <c r="L563" t="s">
        <v>11456</v>
      </c>
      <c r="M563" t="s">
        <v>14747</v>
      </c>
      <c r="N563" t="s">
        <v>14779</v>
      </c>
      <c r="O563" t="s">
        <v>14786</v>
      </c>
      <c r="P563" t="s">
        <v>14797</v>
      </c>
      <c r="Q563" t="s">
        <v>11448</v>
      </c>
      <c r="S563" t="s">
        <v>14827</v>
      </c>
      <c r="T563" t="s">
        <v>14832</v>
      </c>
      <c r="U563" t="s">
        <v>485</v>
      </c>
      <c r="V563">
        <v>2019.37</v>
      </c>
      <c r="W563" t="s">
        <v>14859</v>
      </c>
      <c r="X563" t="s">
        <v>14875</v>
      </c>
      <c r="Y563" t="s">
        <v>14883</v>
      </c>
      <c r="Z563" t="s">
        <v>15445</v>
      </c>
      <c r="AB563" t="s">
        <v>20572</v>
      </c>
      <c r="AC563">
        <v>363</v>
      </c>
      <c r="AD563" t="s">
        <v>24595</v>
      </c>
      <c r="AE563" t="s">
        <v>24617</v>
      </c>
      <c r="AF563">
        <v>2</v>
      </c>
      <c r="AG563">
        <v>1</v>
      </c>
      <c r="AH563">
        <v>0</v>
      </c>
      <c r="AI563">
        <v>67.25</v>
      </c>
      <c r="AL563" t="s">
        <v>5011</v>
      </c>
      <c r="AM563">
        <v>8400</v>
      </c>
      <c r="AS563">
        <v>5.45</v>
      </c>
      <c r="AT563" t="s">
        <v>461</v>
      </c>
      <c r="AU563" t="s">
        <v>66</v>
      </c>
      <c r="AV563" t="s">
        <v>25335</v>
      </c>
      <c r="AW563" t="s">
        <v>11448</v>
      </c>
    </row>
    <row r="564" spans="1:49">
      <c r="A564" s="1">
        <f>HYPERLINK("https://lsnyc.legalserver.org/matter/dynamic-profile/view/0826586","17-0826586")</f>
        <v>0</v>
      </c>
      <c r="B564" t="s">
        <v>180</v>
      </c>
      <c r="C564" t="s">
        <v>561</v>
      </c>
      <c r="D564" t="s">
        <v>461</v>
      </c>
      <c r="E564" t="s">
        <v>1319</v>
      </c>
      <c r="F564" t="s">
        <v>3761</v>
      </c>
      <c r="G564" t="s">
        <v>6816</v>
      </c>
      <c r="H564" t="s">
        <v>10569</v>
      </c>
      <c r="I564" t="s">
        <v>11385</v>
      </c>
      <c r="J564">
        <v>11216</v>
      </c>
      <c r="K564" t="s">
        <v>11448</v>
      </c>
      <c r="M564" t="s">
        <v>14744</v>
      </c>
      <c r="N564" t="s">
        <v>14781</v>
      </c>
      <c r="O564" t="s">
        <v>14789</v>
      </c>
      <c r="P564" t="s">
        <v>14797</v>
      </c>
      <c r="R564" t="s">
        <v>14812</v>
      </c>
      <c r="S564" t="s">
        <v>14827</v>
      </c>
      <c r="V564">
        <v>1106</v>
      </c>
      <c r="W564" t="s">
        <v>14859</v>
      </c>
      <c r="X564" t="s">
        <v>14868</v>
      </c>
      <c r="Y564" t="s">
        <v>14887</v>
      </c>
      <c r="Z564" t="s">
        <v>15446</v>
      </c>
      <c r="AB564" t="s">
        <v>20573</v>
      </c>
      <c r="AC564">
        <v>25</v>
      </c>
      <c r="AD564" t="s">
        <v>24595</v>
      </c>
      <c r="AE564" t="s">
        <v>24610</v>
      </c>
      <c r="AF564">
        <v>17</v>
      </c>
      <c r="AG564">
        <v>2</v>
      </c>
      <c r="AH564">
        <v>0</v>
      </c>
      <c r="AI564">
        <v>128.08</v>
      </c>
      <c r="AL564" t="s">
        <v>5011</v>
      </c>
      <c r="AM564">
        <v>20800</v>
      </c>
      <c r="AS564">
        <v>158.2</v>
      </c>
      <c r="AT564" t="s">
        <v>537</v>
      </c>
      <c r="AU564" t="s">
        <v>25272</v>
      </c>
      <c r="AW564" t="s">
        <v>11447</v>
      </c>
    </row>
    <row r="565" spans="1:49">
      <c r="A565" s="1">
        <f>HYPERLINK("https://lsnyc.legalserver.org/matter/dynamic-profile/view/1905259","19-1905259")</f>
        <v>0</v>
      </c>
      <c r="B565" t="s">
        <v>67</v>
      </c>
      <c r="C565" t="s">
        <v>480</v>
      </c>
      <c r="D565" t="s">
        <v>618</v>
      </c>
      <c r="E565" t="s">
        <v>1469</v>
      </c>
      <c r="F565" t="s">
        <v>3961</v>
      </c>
      <c r="G565" t="s">
        <v>6817</v>
      </c>
      <c r="H565" t="s">
        <v>10542</v>
      </c>
      <c r="I565" t="s">
        <v>11383</v>
      </c>
      <c r="J565">
        <v>10452</v>
      </c>
      <c r="K565" t="s">
        <v>11446</v>
      </c>
      <c r="M565" t="s">
        <v>14748</v>
      </c>
      <c r="N565" t="s">
        <v>14779</v>
      </c>
      <c r="O565" t="s">
        <v>14787</v>
      </c>
      <c r="P565" t="s">
        <v>14797</v>
      </c>
      <c r="Q565" t="s">
        <v>11448</v>
      </c>
      <c r="S565" t="s">
        <v>14827</v>
      </c>
      <c r="T565" t="s">
        <v>14832</v>
      </c>
      <c r="U565" t="s">
        <v>485</v>
      </c>
      <c r="V565">
        <v>1085</v>
      </c>
      <c r="W565" t="s">
        <v>14858</v>
      </c>
      <c r="X565" t="s">
        <v>14868</v>
      </c>
      <c r="Y565" t="s">
        <v>14885</v>
      </c>
      <c r="Z565" t="s">
        <v>15447</v>
      </c>
      <c r="AB565" t="s">
        <v>20574</v>
      </c>
      <c r="AC565">
        <v>39</v>
      </c>
      <c r="AD565" t="s">
        <v>24595</v>
      </c>
      <c r="AE565" t="s">
        <v>11459</v>
      </c>
      <c r="AF565">
        <v>20</v>
      </c>
      <c r="AG565">
        <v>1</v>
      </c>
      <c r="AH565">
        <v>0</v>
      </c>
      <c r="AI565">
        <v>195.11</v>
      </c>
      <c r="AL565" t="s">
        <v>5011</v>
      </c>
      <c r="AM565">
        <v>24369</v>
      </c>
      <c r="AS565">
        <v>1.75</v>
      </c>
      <c r="AT565" t="s">
        <v>505</v>
      </c>
      <c r="AU565" t="s">
        <v>230</v>
      </c>
      <c r="AV565" t="s">
        <v>25335</v>
      </c>
      <c r="AW565" t="s">
        <v>11447</v>
      </c>
    </row>
    <row r="566" spans="1:49">
      <c r="A566" s="1">
        <f>HYPERLINK("https://lsnyc.legalserver.org/matter/dynamic-profile/view/1906045","19-1906045")</f>
        <v>0</v>
      </c>
      <c r="B566" t="s">
        <v>119</v>
      </c>
      <c r="C566" t="s">
        <v>618</v>
      </c>
      <c r="D566" t="s">
        <v>553</v>
      </c>
      <c r="E566" t="s">
        <v>1470</v>
      </c>
      <c r="F566" t="s">
        <v>3948</v>
      </c>
      <c r="G566" t="s">
        <v>6794</v>
      </c>
      <c r="H566" t="s">
        <v>10666</v>
      </c>
      <c r="I566" t="s">
        <v>11383</v>
      </c>
      <c r="J566">
        <v>10467</v>
      </c>
      <c r="K566" t="s">
        <v>11446</v>
      </c>
      <c r="L566" t="s">
        <v>11602</v>
      </c>
      <c r="M566" t="s">
        <v>14762</v>
      </c>
      <c r="N566" t="s">
        <v>14779</v>
      </c>
      <c r="O566" t="s">
        <v>14787</v>
      </c>
      <c r="P566" t="s">
        <v>14797</v>
      </c>
      <c r="Q566" t="s">
        <v>11448</v>
      </c>
      <c r="S566" t="s">
        <v>14829</v>
      </c>
      <c r="U566" t="s">
        <v>485</v>
      </c>
      <c r="V566">
        <v>811</v>
      </c>
      <c r="W566" t="s">
        <v>14858</v>
      </c>
      <c r="X566" t="s">
        <v>14868</v>
      </c>
      <c r="Y566" t="s">
        <v>14883</v>
      </c>
      <c r="Z566" t="s">
        <v>15424</v>
      </c>
      <c r="AB566" t="s">
        <v>20554</v>
      </c>
      <c r="AC566">
        <v>53</v>
      </c>
      <c r="AD566" t="s">
        <v>24595</v>
      </c>
      <c r="AE566" t="s">
        <v>24613</v>
      </c>
      <c r="AF566">
        <v>42</v>
      </c>
      <c r="AG566">
        <v>1</v>
      </c>
      <c r="AH566">
        <v>0</v>
      </c>
      <c r="AI566">
        <v>73.02</v>
      </c>
      <c r="AL566" t="s">
        <v>24632</v>
      </c>
      <c r="AM566">
        <v>9120</v>
      </c>
      <c r="AS566">
        <v>0.6</v>
      </c>
      <c r="AT566" t="s">
        <v>618</v>
      </c>
      <c r="AU566" t="s">
        <v>245</v>
      </c>
      <c r="AV566" t="s">
        <v>25335</v>
      </c>
      <c r="AW566" t="s">
        <v>11447</v>
      </c>
    </row>
    <row r="567" spans="1:49">
      <c r="A567" s="1">
        <f>HYPERLINK("https://lsnyc.legalserver.org/matter/dynamic-profile/view/1902334","19-1902334")</f>
        <v>0</v>
      </c>
      <c r="B567" t="s">
        <v>87</v>
      </c>
      <c r="C567" t="s">
        <v>607</v>
      </c>
      <c r="D567" t="s">
        <v>553</v>
      </c>
      <c r="E567" t="s">
        <v>1337</v>
      </c>
      <c r="F567" t="s">
        <v>3962</v>
      </c>
      <c r="G567" t="s">
        <v>6818</v>
      </c>
      <c r="I567" t="s">
        <v>11384</v>
      </c>
      <c r="J567">
        <v>10301</v>
      </c>
      <c r="K567" t="s">
        <v>11446</v>
      </c>
      <c r="L567" t="s">
        <v>11601</v>
      </c>
      <c r="M567" t="s">
        <v>11601</v>
      </c>
      <c r="N567" t="s">
        <v>14778</v>
      </c>
      <c r="O567" t="s">
        <v>14786</v>
      </c>
      <c r="P567" t="s">
        <v>14797</v>
      </c>
      <c r="Q567" t="s">
        <v>11448</v>
      </c>
      <c r="S567" t="s">
        <v>14827</v>
      </c>
      <c r="V567">
        <v>200</v>
      </c>
      <c r="W567" t="s">
        <v>14862</v>
      </c>
      <c r="X567" t="s">
        <v>14870</v>
      </c>
      <c r="Y567" t="s">
        <v>14883</v>
      </c>
      <c r="Z567" t="s">
        <v>15448</v>
      </c>
      <c r="AB567" t="s">
        <v>20575</v>
      </c>
      <c r="AC567">
        <v>0</v>
      </c>
      <c r="AE567" t="s">
        <v>11459</v>
      </c>
      <c r="AF567">
        <v>10</v>
      </c>
      <c r="AG567">
        <v>1</v>
      </c>
      <c r="AH567">
        <v>0</v>
      </c>
      <c r="AI567">
        <v>80.7</v>
      </c>
      <c r="AL567" t="s">
        <v>24644</v>
      </c>
      <c r="AM567">
        <v>10080</v>
      </c>
      <c r="AP567" t="s">
        <v>14755</v>
      </c>
      <c r="AS567">
        <v>2.1</v>
      </c>
      <c r="AT567" t="s">
        <v>555</v>
      </c>
      <c r="AU567" t="s">
        <v>25270</v>
      </c>
      <c r="AV567" t="s">
        <v>25335</v>
      </c>
      <c r="AW567" t="s">
        <v>11447</v>
      </c>
    </row>
    <row r="568" spans="1:49">
      <c r="A568" s="1">
        <f>HYPERLINK("https://lsnyc.legalserver.org/matter/dynamic-profile/view/1905438","19-1905438")</f>
        <v>0</v>
      </c>
      <c r="B568" t="s">
        <v>67</v>
      </c>
      <c r="C568" t="s">
        <v>520</v>
      </c>
      <c r="D568" t="s">
        <v>355</v>
      </c>
      <c r="E568" t="s">
        <v>1471</v>
      </c>
      <c r="F568" t="s">
        <v>3963</v>
      </c>
      <c r="G568" t="s">
        <v>6699</v>
      </c>
      <c r="H568" t="s">
        <v>10522</v>
      </c>
      <c r="I568" t="s">
        <v>11383</v>
      </c>
      <c r="J568">
        <v>10452</v>
      </c>
      <c r="K568" t="s">
        <v>11446</v>
      </c>
      <c r="L568" t="s">
        <v>11465</v>
      </c>
      <c r="M568" t="s">
        <v>11601</v>
      </c>
      <c r="N568" t="s">
        <v>14779</v>
      </c>
      <c r="O568" t="s">
        <v>14787</v>
      </c>
      <c r="P568" t="s">
        <v>14797</v>
      </c>
      <c r="Q568" t="s">
        <v>11448</v>
      </c>
      <c r="S568" t="s">
        <v>14827</v>
      </c>
      <c r="U568" t="s">
        <v>485</v>
      </c>
      <c r="V568">
        <v>718.41</v>
      </c>
      <c r="W568" t="s">
        <v>14858</v>
      </c>
      <c r="X568" t="s">
        <v>14864</v>
      </c>
      <c r="Y568" t="s">
        <v>14886</v>
      </c>
      <c r="Z568" t="s">
        <v>15420</v>
      </c>
      <c r="AB568" t="s">
        <v>20576</v>
      </c>
      <c r="AC568">
        <v>61</v>
      </c>
      <c r="AD568" t="s">
        <v>24595</v>
      </c>
      <c r="AE568" t="s">
        <v>24613</v>
      </c>
      <c r="AF568">
        <v>30</v>
      </c>
      <c r="AG568">
        <v>1</v>
      </c>
      <c r="AH568">
        <v>0</v>
      </c>
      <c r="AI568">
        <v>131.43</v>
      </c>
      <c r="AL568" t="s">
        <v>5011</v>
      </c>
      <c r="AM568">
        <v>16416</v>
      </c>
      <c r="AS568">
        <v>1</v>
      </c>
      <c r="AT568" t="s">
        <v>461</v>
      </c>
      <c r="AU568" t="s">
        <v>25242</v>
      </c>
      <c r="AV568" t="s">
        <v>25335</v>
      </c>
      <c r="AW568" t="s">
        <v>11447</v>
      </c>
    </row>
    <row r="569" spans="1:49">
      <c r="A569" s="1">
        <f>HYPERLINK("https://lsnyc.legalserver.org/matter/dynamic-profile/view/1905440","19-1905440")</f>
        <v>0</v>
      </c>
      <c r="B569" t="s">
        <v>67</v>
      </c>
      <c r="C569" t="s">
        <v>520</v>
      </c>
      <c r="D569" t="s">
        <v>355</v>
      </c>
      <c r="E569" t="s">
        <v>1472</v>
      </c>
      <c r="F569" t="s">
        <v>1839</v>
      </c>
      <c r="G569" t="s">
        <v>6819</v>
      </c>
      <c r="H569" t="s">
        <v>10448</v>
      </c>
      <c r="I569" t="s">
        <v>11383</v>
      </c>
      <c r="J569">
        <v>10456</v>
      </c>
      <c r="K569" t="s">
        <v>11446</v>
      </c>
      <c r="N569" t="s">
        <v>14778</v>
      </c>
      <c r="O569" t="s">
        <v>14786</v>
      </c>
      <c r="P569" t="s">
        <v>14797</v>
      </c>
      <c r="Q569" t="s">
        <v>11448</v>
      </c>
      <c r="S569" t="s">
        <v>14827</v>
      </c>
      <c r="V569">
        <v>255</v>
      </c>
      <c r="W569" t="s">
        <v>14858</v>
      </c>
      <c r="X569" t="s">
        <v>14864</v>
      </c>
      <c r="Y569" t="s">
        <v>14883</v>
      </c>
      <c r="Z569" t="s">
        <v>15449</v>
      </c>
      <c r="AB569" t="s">
        <v>20577</v>
      </c>
      <c r="AC569">
        <v>65</v>
      </c>
      <c r="AD569" t="s">
        <v>11479</v>
      </c>
      <c r="AE569" t="s">
        <v>11459</v>
      </c>
      <c r="AF569">
        <v>6</v>
      </c>
      <c r="AG569">
        <v>1</v>
      </c>
      <c r="AH569">
        <v>0</v>
      </c>
      <c r="AI569">
        <v>76.86</v>
      </c>
      <c r="AM569">
        <v>9600</v>
      </c>
      <c r="AS569">
        <v>1</v>
      </c>
      <c r="AT569" t="s">
        <v>461</v>
      </c>
      <c r="AU569" t="s">
        <v>25242</v>
      </c>
      <c r="AV569" t="s">
        <v>25335</v>
      </c>
      <c r="AW569" t="s">
        <v>11447</v>
      </c>
    </row>
    <row r="570" spans="1:49">
      <c r="A570" s="1">
        <f>HYPERLINK("https://lsnyc.legalserver.org/matter/dynamic-profile/view/1895291","19-1895291")</f>
        <v>0</v>
      </c>
      <c r="B570" t="s">
        <v>168</v>
      </c>
      <c r="C570" t="s">
        <v>492</v>
      </c>
      <c r="D570" t="s">
        <v>355</v>
      </c>
      <c r="E570" t="s">
        <v>1274</v>
      </c>
      <c r="F570" t="s">
        <v>3742</v>
      </c>
      <c r="G570" t="s">
        <v>6820</v>
      </c>
      <c r="I570" t="s">
        <v>11384</v>
      </c>
      <c r="J570">
        <v>10312</v>
      </c>
      <c r="K570" t="s">
        <v>11446</v>
      </c>
      <c r="L570" t="s">
        <v>11611</v>
      </c>
      <c r="M570" t="s">
        <v>14743</v>
      </c>
      <c r="N570" t="s">
        <v>14781</v>
      </c>
      <c r="O570" t="s">
        <v>14788</v>
      </c>
      <c r="P570" t="s">
        <v>14797</v>
      </c>
      <c r="Q570" t="s">
        <v>11448</v>
      </c>
      <c r="S570" t="s">
        <v>14827</v>
      </c>
      <c r="T570" t="s">
        <v>14832</v>
      </c>
      <c r="V570">
        <v>1400</v>
      </c>
      <c r="W570" t="s">
        <v>14862</v>
      </c>
      <c r="X570" t="s">
        <v>14755</v>
      </c>
      <c r="Y570" t="s">
        <v>14888</v>
      </c>
      <c r="Z570" t="s">
        <v>15450</v>
      </c>
      <c r="AB570" t="s">
        <v>20578</v>
      </c>
      <c r="AC570">
        <v>2</v>
      </c>
      <c r="AD570" t="s">
        <v>24600</v>
      </c>
      <c r="AE570" t="s">
        <v>24610</v>
      </c>
      <c r="AF570">
        <v>1</v>
      </c>
      <c r="AG570">
        <v>1</v>
      </c>
      <c r="AH570">
        <v>0</v>
      </c>
      <c r="AI570">
        <v>76.86</v>
      </c>
      <c r="AL570" t="s">
        <v>5011</v>
      </c>
      <c r="AM570">
        <v>9600</v>
      </c>
      <c r="AO570" t="s">
        <v>24932</v>
      </c>
      <c r="AP570" t="s">
        <v>14755</v>
      </c>
      <c r="AQ570" t="s">
        <v>24987</v>
      </c>
      <c r="AS570">
        <v>10.5</v>
      </c>
      <c r="AT570" t="s">
        <v>555</v>
      </c>
      <c r="AU570" t="s">
        <v>25270</v>
      </c>
      <c r="AV570" t="s">
        <v>25335</v>
      </c>
      <c r="AW570" t="s">
        <v>11447</v>
      </c>
    </row>
    <row r="571" spans="1:49">
      <c r="A571" s="1">
        <f>HYPERLINK("https://lsnyc.legalserver.org/matter/dynamic-profile/view/1906127","19-1906127")</f>
        <v>0</v>
      </c>
      <c r="B571" t="s">
        <v>66</v>
      </c>
      <c r="C571" t="s">
        <v>618</v>
      </c>
      <c r="D571" t="s">
        <v>355</v>
      </c>
      <c r="E571" t="s">
        <v>1473</v>
      </c>
      <c r="F571" t="s">
        <v>3964</v>
      </c>
      <c r="G571" t="s">
        <v>6821</v>
      </c>
      <c r="H571">
        <v>1</v>
      </c>
      <c r="I571" t="s">
        <v>11385</v>
      </c>
      <c r="J571">
        <v>11233</v>
      </c>
      <c r="K571" t="s">
        <v>11448</v>
      </c>
      <c r="L571" t="s">
        <v>11474</v>
      </c>
      <c r="M571" t="s">
        <v>11601</v>
      </c>
      <c r="N571" t="s">
        <v>14778</v>
      </c>
      <c r="O571" t="s">
        <v>14786</v>
      </c>
      <c r="P571" t="s">
        <v>14797</v>
      </c>
      <c r="Q571" t="s">
        <v>11448</v>
      </c>
      <c r="S571" t="s">
        <v>14827</v>
      </c>
      <c r="T571" t="s">
        <v>14832</v>
      </c>
      <c r="V571">
        <v>1284</v>
      </c>
      <c r="W571" t="s">
        <v>14859</v>
      </c>
      <c r="X571" t="s">
        <v>14755</v>
      </c>
      <c r="Y571" t="s">
        <v>14883</v>
      </c>
      <c r="Z571" t="s">
        <v>15451</v>
      </c>
      <c r="AA571" t="s">
        <v>19350</v>
      </c>
      <c r="AC571">
        <v>3</v>
      </c>
      <c r="AD571" t="s">
        <v>24600</v>
      </c>
      <c r="AE571" t="s">
        <v>24615</v>
      </c>
      <c r="AF571">
        <v>1</v>
      </c>
      <c r="AG571">
        <v>1</v>
      </c>
      <c r="AH571">
        <v>1</v>
      </c>
      <c r="AI571">
        <v>106.52</v>
      </c>
      <c r="AL571" t="s">
        <v>5011</v>
      </c>
      <c r="AM571">
        <v>18012</v>
      </c>
      <c r="AS571">
        <v>0.5</v>
      </c>
      <c r="AT571" t="s">
        <v>618</v>
      </c>
      <c r="AU571" t="s">
        <v>25244</v>
      </c>
      <c r="AV571" t="s">
        <v>11459</v>
      </c>
      <c r="AW571" t="s">
        <v>11447</v>
      </c>
    </row>
    <row r="572" spans="1:49">
      <c r="A572" s="1">
        <f>HYPERLINK("https://lsnyc.legalserver.org/matter/dynamic-profile/view/1905408","19-1905408")</f>
        <v>0</v>
      </c>
      <c r="B572" t="s">
        <v>67</v>
      </c>
      <c r="C572" t="s">
        <v>520</v>
      </c>
      <c r="D572" t="s">
        <v>355</v>
      </c>
      <c r="E572" t="s">
        <v>1144</v>
      </c>
      <c r="F572" t="s">
        <v>3965</v>
      </c>
      <c r="G572" t="s">
        <v>6822</v>
      </c>
      <c r="H572" t="s">
        <v>10478</v>
      </c>
      <c r="I572" t="s">
        <v>11383</v>
      </c>
      <c r="J572">
        <v>10468</v>
      </c>
      <c r="K572" t="s">
        <v>11446</v>
      </c>
      <c r="N572" t="s">
        <v>14778</v>
      </c>
      <c r="O572" t="s">
        <v>14786</v>
      </c>
      <c r="P572" t="s">
        <v>14797</v>
      </c>
      <c r="Q572" t="s">
        <v>11448</v>
      </c>
      <c r="S572" t="s">
        <v>14827</v>
      </c>
      <c r="V572">
        <v>795.78</v>
      </c>
      <c r="W572" t="s">
        <v>14858</v>
      </c>
      <c r="X572" t="s">
        <v>14864</v>
      </c>
      <c r="Y572" t="s">
        <v>14883</v>
      </c>
      <c r="Z572" t="s">
        <v>15452</v>
      </c>
      <c r="AB572" t="s">
        <v>20579</v>
      </c>
      <c r="AC572">
        <v>83</v>
      </c>
      <c r="AD572" t="s">
        <v>24595</v>
      </c>
      <c r="AE572" t="s">
        <v>11459</v>
      </c>
      <c r="AF572">
        <v>33</v>
      </c>
      <c r="AG572">
        <v>2</v>
      </c>
      <c r="AH572">
        <v>0</v>
      </c>
      <c r="AI572">
        <v>236.55</v>
      </c>
      <c r="AL572" t="s">
        <v>5011</v>
      </c>
      <c r="AM572">
        <v>40000</v>
      </c>
      <c r="AS572">
        <v>1</v>
      </c>
      <c r="AT572" t="s">
        <v>461</v>
      </c>
      <c r="AU572" t="s">
        <v>25242</v>
      </c>
      <c r="AV572" t="s">
        <v>25335</v>
      </c>
      <c r="AW572" t="s">
        <v>11447</v>
      </c>
    </row>
    <row r="573" spans="1:49">
      <c r="A573" s="1">
        <f>HYPERLINK("https://lsnyc.legalserver.org/matter/dynamic-profile/view/1905415","19-1905415")</f>
        <v>0</v>
      </c>
      <c r="B573" t="s">
        <v>67</v>
      </c>
      <c r="C573" t="s">
        <v>520</v>
      </c>
      <c r="D573" t="s">
        <v>355</v>
      </c>
      <c r="E573" t="s">
        <v>1328</v>
      </c>
      <c r="F573" t="s">
        <v>3696</v>
      </c>
      <c r="G573" t="s">
        <v>6823</v>
      </c>
      <c r="H573" t="s">
        <v>10451</v>
      </c>
      <c r="I573" t="s">
        <v>11383</v>
      </c>
      <c r="J573">
        <v>10458</v>
      </c>
      <c r="K573" t="s">
        <v>11446</v>
      </c>
      <c r="M573" t="s">
        <v>14745</v>
      </c>
      <c r="N573" t="s">
        <v>14779</v>
      </c>
      <c r="O573" t="s">
        <v>14787</v>
      </c>
      <c r="P573" t="s">
        <v>14797</v>
      </c>
      <c r="Q573" t="s">
        <v>11448</v>
      </c>
      <c r="S573" t="s">
        <v>14827</v>
      </c>
      <c r="V573">
        <v>814.0599999999999</v>
      </c>
      <c r="W573" t="s">
        <v>14858</v>
      </c>
      <c r="X573" t="s">
        <v>14864</v>
      </c>
      <c r="Y573" t="s">
        <v>14884</v>
      </c>
      <c r="Z573" t="s">
        <v>15453</v>
      </c>
      <c r="AB573" t="s">
        <v>20580</v>
      </c>
      <c r="AC573">
        <v>54</v>
      </c>
      <c r="AD573" t="s">
        <v>24595</v>
      </c>
      <c r="AE573" t="s">
        <v>11459</v>
      </c>
      <c r="AF573">
        <v>40</v>
      </c>
      <c r="AG573">
        <v>1</v>
      </c>
      <c r="AH573">
        <v>0</v>
      </c>
      <c r="AI573">
        <v>360.29</v>
      </c>
      <c r="AL573" t="s">
        <v>24632</v>
      </c>
      <c r="AM573">
        <v>45000</v>
      </c>
      <c r="AS573">
        <v>2.5</v>
      </c>
      <c r="AT573" t="s">
        <v>496</v>
      </c>
      <c r="AU573" t="s">
        <v>25242</v>
      </c>
      <c r="AV573" t="s">
        <v>25335</v>
      </c>
      <c r="AW573" t="s">
        <v>11447</v>
      </c>
    </row>
    <row r="574" spans="1:49">
      <c r="A574" s="1">
        <f>HYPERLINK("https://lsnyc.legalserver.org/matter/dynamic-profile/view/1905375","19-1905375")</f>
        <v>0</v>
      </c>
      <c r="B574" t="s">
        <v>103</v>
      </c>
      <c r="C574" t="s">
        <v>619</v>
      </c>
      <c r="D574" t="s">
        <v>380</v>
      </c>
      <c r="E574" t="s">
        <v>1372</v>
      </c>
      <c r="F574" t="s">
        <v>3966</v>
      </c>
      <c r="G574" t="s">
        <v>6824</v>
      </c>
      <c r="H574" t="s">
        <v>10493</v>
      </c>
      <c r="I574" t="s">
        <v>11385</v>
      </c>
      <c r="J574">
        <v>11233</v>
      </c>
      <c r="K574" t="s">
        <v>11446</v>
      </c>
      <c r="L574" t="s">
        <v>11456</v>
      </c>
      <c r="M574" t="s">
        <v>11601</v>
      </c>
      <c r="N574" t="s">
        <v>14778</v>
      </c>
      <c r="O574" t="s">
        <v>14786</v>
      </c>
      <c r="P574" t="s">
        <v>14797</v>
      </c>
      <c r="Q574" t="s">
        <v>11448</v>
      </c>
      <c r="S574" t="s">
        <v>14827</v>
      </c>
      <c r="T574" t="s">
        <v>14832</v>
      </c>
      <c r="U574" t="s">
        <v>619</v>
      </c>
      <c r="V574">
        <v>550</v>
      </c>
      <c r="W574" t="s">
        <v>14859</v>
      </c>
      <c r="Y574" t="s">
        <v>14883</v>
      </c>
      <c r="Z574" t="s">
        <v>15454</v>
      </c>
      <c r="AA574" t="s">
        <v>19351</v>
      </c>
      <c r="AB574" t="s">
        <v>20581</v>
      </c>
      <c r="AC574">
        <v>6</v>
      </c>
      <c r="AD574" t="s">
        <v>24595</v>
      </c>
      <c r="AE574" t="s">
        <v>11459</v>
      </c>
      <c r="AF574">
        <v>44</v>
      </c>
      <c r="AG574">
        <v>1</v>
      </c>
      <c r="AH574">
        <v>0</v>
      </c>
      <c r="AI574">
        <v>72.15000000000001</v>
      </c>
      <c r="AL574" t="s">
        <v>24632</v>
      </c>
      <c r="AM574">
        <v>9012</v>
      </c>
      <c r="AS574">
        <v>2.85</v>
      </c>
      <c r="AT574" t="s">
        <v>516</v>
      </c>
      <c r="AU574" t="s">
        <v>66</v>
      </c>
      <c r="AV574" t="s">
        <v>25335</v>
      </c>
      <c r="AW574" t="s">
        <v>11447</v>
      </c>
    </row>
    <row r="575" spans="1:49">
      <c r="A575" s="1">
        <f>HYPERLINK("https://lsnyc.legalserver.org/matter/dynamic-profile/view/1905377","19-1905377")</f>
        <v>0</v>
      </c>
      <c r="B575" t="s">
        <v>63</v>
      </c>
      <c r="C575" t="s">
        <v>619</v>
      </c>
      <c r="D575" t="s">
        <v>767</v>
      </c>
      <c r="E575" t="s">
        <v>1474</v>
      </c>
      <c r="F575" t="s">
        <v>3547</v>
      </c>
      <c r="G575" t="s">
        <v>6825</v>
      </c>
      <c r="H575" t="s">
        <v>10486</v>
      </c>
      <c r="I575" t="s">
        <v>11419</v>
      </c>
      <c r="J575">
        <v>11420</v>
      </c>
      <c r="K575" t="s">
        <v>11446</v>
      </c>
      <c r="L575" t="s">
        <v>11612</v>
      </c>
      <c r="M575" t="s">
        <v>14743</v>
      </c>
      <c r="N575" t="s">
        <v>14778</v>
      </c>
      <c r="O575" t="s">
        <v>14786</v>
      </c>
      <c r="P575" t="s">
        <v>14797</v>
      </c>
      <c r="Q575" t="s">
        <v>11448</v>
      </c>
      <c r="S575" t="s">
        <v>14827</v>
      </c>
      <c r="T575" t="s">
        <v>14833</v>
      </c>
      <c r="U575" t="s">
        <v>619</v>
      </c>
      <c r="V575">
        <v>2000</v>
      </c>
      <c r="W575" t="s">
        <v>14861</v>
      </c>
      <c r="X575" t="s">
        <v>14865</v>
      </c>
      <c r="Y575" t="s">
        <v>14883</v>
      </c>
      <c r="Z575" t="s">
        <v>15455</v>
      </c>
      <c r="AA575" t="s">
        <v>19352</v>
      </c>
      <c r="AB575" t="s">
        <v>20582</v>
      </c>
      <c r="AC575">
        <v>1</v>
      </c>
      <c r="AD575" t="s">
        <v>24600</v>
      </c>
      <c r="AE575" t="s">
        <v>14755</v>
      </c>
      <c r="AF575">
        <v>1</v>
      </c>
      <c r="AG575">
        <v>2</v>
      </c>
      <c r="AH575">
        <v>3</v>
      </c>
      <c r="AI575">
        <v>23.86</v>
      </c>
      <c r="AL575" t="s">
        <v>5011</v>
      </c>
      <c r="AM575">
        <v>7200</v>
      </c>
      <c r="AS575">
        <v>2.5</v>
      </c>
      <c r="AT575" t="s">
        <v>586</v>
      </c>
      <c r="AU575" t="s">
        <v>167</v>
      </c>
      <c r="AV575" t="s">
        <v>25335</v>
      </c>
      <c r="AW575" t="s">
        <v>11447</v>
      </c>
    </row>
    <row r="576" spans="1:49">
      <c r="A576" s="1">
        <f>HYPERLINK("https://lsnyc.legalserver.org/matter/dynamic-profile/view/1906688","19-1906688")</f>
        <v>0</v>
      </c>
      <c r="B576" t="s">
        <v>120</v>
      </c>
      <c r="C576" t="s">
        <v>373</v>
      </c>
      <c r="D576" t="s">
        <v>373</v>
      </c>
      <c r="E576" t="s">
        <v>1475</v>
      </c>
      <c r="F576" t="s">
        <v>3639</v>
      </c>
      <c r="G576" t="s">
        <v>6826</v>
      </c>
      <c r="I576" t="s">
        <v>11385</v>
      </c>
      <c r="J576">
        <v>11208</v>
      </c>
      <c r="K576" t="s">
        <v>11448</v>
      </c>
      <c r="L576" t="s">
        <v>11465</v>
      </c>
      <c r="M576" t="s">
        <v>11601</v>
      </c>
      <c r="N576" t="s">
        <v>14778</v>
      </c>
      <c r="O576" t="s">
        <v>14786</v>
      </c>
      <c r="P576" t="s">
        <v>14797</v>
      </c>
      <c r="Q576" t="s">
        <v>11448</v>
      </c>
      <c r="S576" t="s">
        <v>14827</v>
      </c>
      <c r="V576">
        <v>0</v>
      </c>
      <c r="W576" t="s">
        <v>14859</v>
      </c>
      <c r="Y576" t="s">
        <v>14883</v>
      </c>
      <c r="Z576" t="s">
        <v>15456</v>
      </c>
      <c r="AC576">
        <v>2</v>
      </c>
      <c r="AD576" t="s">
        <v>24600</v>
      </c>
      <c r="AF576">
        <v>42</v>
      </c>
      <c r="AG576">
        <v>1</v>
      </c>
      <c r="AH576">
        <v>0</v>
      </c>
      <c r="AI576">
        <v>0</v>
      </c>
      <c r="AL576" t="s">
        <v>5011</v>
      </c>
      <c r="AM576">
        <v>0</v>
      </c>
      <c r="AN576" t="s">
        <v>24715</v>
      </c>
      <c r="AS576">
        <v>0.9</v>
      </c>
      <c r="AT576" t="s">
        <v>373</v>
      </c>
      <c r="AU576" t="s">
        <v>25227</v>
      </c>
      <c r="AV576" t="s">
        <v>11459</v>
      </c>
      <c r="AW576" t="s">
        <v>11447</v>
      </c>
    </row>
    <row r="577" spans="1:49">
      <c r="A577" s="1">
        <f>HYPERLINK("https://lsnyc.legalserver.org/matter/dynamic-profile/view/1903853","19-1903853")</f>
        <v>0</v>
      </c>
      <c r="B577" t="s">
        <v>181</v>
      </c>
      <c r="C577" t="s">
        <v>378</v>
      </c>
      <c r="D577" t="s">
        <v>620</v>
      </c>
      <c r="E577" t="s">
        <v>1139</v>
      </c>
      <c r="F577" t="s">
        <v>3967</v>
      </c>
      <c r="G577" t="s">
        <v>6827</v>
      </c>
      <c r="H577">
        <v>1</v>
      </c>
      <c r="I577" t="s">
        <v>11385</v>
      </c>
      <c r="J577">
        <v>11233</v>
      </c>
      <c r="K577" t="s">
        <v>11446</v>
      </c>
      <c r="L577" t="s">
        <v>11613</v>
      </c>
      <c r="M577" t="s">
        <v>14743</v>
      </c>
      <c r="N577" t="s">
        <v>14779</v>
      </c>
      <c r="O577" t="s">
        <v>14787</v>
      </c>
      <c r="P577" t="s">
        <v>14797</v>
      </c>
      <c r="Q577" t="s">
        <v>11448</v>
      </c>
      <c r="S577" t="s">
        <v>14829</v>
      </c>
      <c r="T577" t="s">
        <v>14834</v>
      </c>
      <c r="U577" t="s">
        <v>474</v>
      </c>
      <c r="V577">
        <v>650</v>
      </c>
      <c r="W577" t="s">
        <v>14859</v>
      </c>
      <c r="X577" t="s">
        <v>14868</v>
      </c>
      <c r="Y577" t="s">
        <v>14885</v>
      </c>
      <c r="Z577" t="s">
        <v>15457</v>
      </c>
      <c r="AB577" t="s">
        <v>20583</v>
      </c>
      <c r="AC577">
        <v>3</v>
      </c>
      <c r="AD577" t="s">
        <v>24600</v>
      </c>
      <c r="AE577" t="s">
        <v>11459</v>
      </c>
      <c r="AF577">
        <v>4</v>
      </c>
      <c r="AG577">
        <v>2</v>
      </c>
      <c r="AH577">
        <v>0</v>
      </c>
      <c r="AI577">
        <v>59.04</v>
      </c>
      <c r="AL577" t="s">
        <v>5011</v>
      </c>
      <c r="AM577">
        <v>9984</v>
      </c>
      <c r="AP577" t="s">
        <v>14755</v>
      </c>
      <c r="AQ577" t="s">
        <v>24987</v>
      </c>
      <c r="AR577" t="s">
        <v>25001</v>
      </c>
      <c r="AS577">
        <v>1.2</v>
      </c>
      <c r="AT577" t="s">
        <v>620</v>
      </c>
      <c r="AU577" t="s">
        <v>25237</v>
      </c>
      <c r="AV577" t="s">
        <v>25335</v>
      </c>
      <c r="AW577" t="s">
        <v>11447</v>
      </c>
    </row>
    <row r="578" spans="1:49">
      <c r="A578" s="1">
        <f>HYPERLINK("https://lsnyc.legalserver.org/matter/dynamic-profile/view/1906773","19-1906773")</f>
        <v>0</v>
      </c>
      <c r="B578" t="s">
        <v>175</v>
      </c>
      <c r="C578" t="s">
        <v>620</v>
      </c>
      <c r="D578" t="s">
        <v>620</v>
      </c>
      <c r="E578" t="s">
        <v>1127</v>
      </c>
      <c r="F578" t="s">
        <v>3968</v>
      </c>
      <c r="G578" t="s">
        <v>6828</v>
      </c>
      <c r="H578" t="s">
        <v>10568</v>
      </c>
      <c r="I578" t="s">
        <v>11386</v>
      </c>
      <c r="J578">
        <v>10033</v>
      </c>
      <c r="K578" t="s">
        <v>11446</v>
      </c>
      <c r="L578" t="s">
        <v>11614</v>
      </c>
      <c r="M578" t="s">
        <v>14747</v>
      </c>
      <c r="N578" t="s">
        <v>14778</v>
      </c>
      <c r="O578" t="s">
        <v>14786</v>
      </c>
      <c r="P578" t="s">
        <v>14797</v>
      </c>
      <c r="Q578" t="s">
        <v>11448</v>
      </c>
      <c r="S578" t="s">
        <v>14827</v>
      </c>
      <c r="U578" t="s">
        <v>620</v>
      </c>
      <c r="V578">
        <v>474.35</v>
      </c>
      <c r="W578" t="s">
        <v>14860</v>
      </c>
      <c r="X578" t="s">
        <v>14867</v>
      </c>
      <c r="Y578" t="s">
        <v>14883</v>
      </c>
      <c r="Z578" t="s">
        <v>15458</v>
      </c>
      <c r="AB578" t="s">
        <v>20584</v>
      </c>
      <c r="AC578">
        <v>54</v>
      </c>
      <c r="AD578" t="s">
        <v>24595</v>
      </c>
      <c r="AE578" t="s">
        <v>24613</v>
      </c>
      <c r="AF578">
        <v>24</v>
      </c>
      <c r="AG578">
        <v>1</v>
      </c>
      <c r="AH578">
        <v>0</v>
      </c>
      <c r="AI578">
        <v>81.67</v>
      </c>
      <c r="AL578" t="s">
        <v>24632</v>
      </c>
      <c r="AM578">
        <v>10200</v>
      </c>
      <c r="AS578">
        <v>1</v>
      </c>
      <c r="AT578" t="s">
        <v>620</v>
      </c>
      <c r="AU578" t="s">
        <v>137</v>
      </c>
      <c r="AV578" t="s">
        <v>25335</v>
      </c>
      <c r="AW578" t="s">
        <v>11447</v>
      </c>
    </row>
    <row r="579" spans="1:49">
      <c r="A579" s="1">
        <f>HYPERLINK("https://lsnyc.legalserver.org/matter/dynamic-profile/view/1906128","19-1906128")</f>
        <v>0</v>
      </c>
      <c r="B579" t="s">
        <v>63</v>
      </c>
      <c r="C579" t="s">
        <v>618</v>
      </c>
      <c r="D579" t="s">
        <v>620</v>
      </c>
      <c r="E579" t="s">
        <v>1241</v>
      </c>
      <c r="F579" t="s">
        <v>3969</v>
      </c>
      <c r="G579" t="s">
        <v>6829</v>
      </c>
      <c r="H579" t="s">
        <v>10671</v>
      </c>
      <c r="I579" t="s">
        <v>11389</v>
      </c>
      <c r="J579">
        <v>11354</v>
      </c>
      <c r="K579" t="s">
        <v>11446</v>
      </c>
      <c r="L579" t="s">
        <v>11474</v>
      </c>
      <c r="M579" t="s">
        <v>14747</v>
      </c>
      <c r="N579" t="s">
        <v>14778</v>
      </c>
      <c r="O579" t="s">
        <v>14786</v>
      </c>
      <c r="P579" t="s">
        <v>14797</v>
      </c>
      <c r="Q579" t="s">
        <v>11448</v>
      </c>
      <c r="S579" t="s">
        <v>14827</v>
      </c>
      <c r="T579" t="s">
        <v>14832</v>
      </c>
      <c r="U579" t="s">
        <v>620</v>
      </c>
      <c r="V579">
        <v>1050</v>
      </c>
      <c r="W579" t="s">
        <v>14861</v>
      </c>
      <c r="X579" t="s">
        <v>14867</v>
      </c>
      <c r="Y579" t="s">
        <v>14883</v>
      </c>
      <c r="Z579" t="s">
        <v>15459</v>
      </c>
      <c r="AA579" t="s">
        <v>19344</v>
      </c>
      <c r="AB579" t="s">
        <v>20585</v>
      </c>
      <c r="AC579">
        <v>10</v>
      </c>
      <c r="AD579" t="s">
        <v>24595</v>
      </c>
      <c r="AE579" t="s">
        <v>11459</v>
      </c>
      <c r="AF579">
        <v>1</v>
      </c>
      <c r="AG579">
        <v>2</v>
      </c>
      <c r="AH579">
        <v>0</v>
      </c>
      <c r="AI579">
        <v>102.11</v>
      </c>
      <c r="AL579" t="s">
        <v>5011</v>
      </c>
      <c r="AM579">
        <v>17267.52</v>
      </c>
      <c r="AS579">
        <v>2.4</v>
      </c>
      <c r="AT579" t="s">
        <v>620</v>
      </c>
      <c r="AU579" t="s">
        <v>25226</v>
      </c>
      <c r="AV579" t="s">
        <v>25335</v>
      </c>
      <c r="AW579" t="s">
        <v>11447</v>
      </c>
    </row>
    <row r="580" spans="1:49">
      <c r="A580" s="1">
        <f>HYPERLINK("https://lsnyc.legalserver.org/matter/dynamic-profile/view/1906747","19-1906747")</f>
        <v>0</v>
      </c>
      <c r="B580" t="s">
        <v>175</v>
      </c>
      <c r="C580" t="s">
        <v>620</v>
      </c>
      <c r="D580" t="s">
        <v>620</v>
      </c>
      <c r="E580" t="s">
        <v>1241</v>
      </c>
      <c r="F580" t="s">
        <v>3970</v>
      </c>
      <c r="G580" t="s">
        <v>6830</v>
      </c>
      <c r="H580" t="s">
        <v>10672</v>
      </c>
      <c r="I580" t="s">
        <v>11386</v>
      </c>
      <c r="J580">
        <v>10034</v>
      </c>
      <c r="K580" t="s">
        <v>11446</v>
      </c>
      <c r="L580" t="s">
        <v>11615</v>
      </c>
      <c r="M580" t="s">
        <v>14743</v>
      </c>
      <c r="N580" t="s">
        <v>14778</v>
      </c>
      <c r="O580" t="s">
        <v>14786</v>
      </c>
      <c r="P580" t="s">
        <v>14797</v>
      </c>
      <c r="Q580" t="s">
        <v>11448</v>
      </c>
      <c r="S580" t="s">
        <v>14827</v>
      </c>
      <c r="U580" t="s">
        <v>620</v>
      </c>
      <c r="V580">
        <v>965.02</v>
      </c>
      <c r="W580" t="s">
        <v>14860</v>
      </c>
      <c r="X580" t="s">
        <v>14877</v>
      </c>
      <c r="Y580" t="s">
        <v>14883</v>
      </c>
      <c r="Z580" t="s">
        <v>15460</v>
      </c>
      <c r="AB580" t="s">
        <v>20586</v>
      </c>
      <c r="AC580">
        <v>61</v>
      </c>
      <c r="AD580" t="s">
        <v>24595</v>
      </c>
      <c r="AE580" t="s">
        <v>11459</v>
      </c>
      <c r="AF580">
        <v>45</v>
      </c>
      <c r="AG580">
        <v>2</v>
      </c>
      <c r="AH580">
        <v>2</v>
      </c>
      <c r="AI580">
        <v>221.36</v>
      </c>
      <c r="AL580" t="s">
        <v>5011</v>
      </c>
      <c r="AM580">
        <v>57000</v>
      </c>
      <c r="AS580">
        <v>1.7</v>
      </c>
      <c r="AT580" t="s">
        <v>468</v>
      </c>
      <c r="AU580" t="s">
        <v>137</v>
      </c>
      <c r="AV580" t="s">
        <v>25335</v>
      </c>
      <c r="AW580" t="s">
        <v>11447</v>
      </c>
    </row>
    <row r="581" spans="1:49">
      <c r="A581" s="1">
        <f>HYPERLINK("https://lsnyc.legalserver.org/matter/dynamic-profile/view/0831293","17-0831293")</f>
        <v>0</v>
      </c>
      <c r="B581" t="s">
        <v>181</v>
      </c>
      <c r="C581" t="s">
        <v>531</v>
      </c>
      <c r="D581" t="s">
        <v>354</v>
      </c>
      <c r="E581" t="s">
        <v>1476</v>
      </c>
      <c r="F581" t="s">
        <v>3971</v>
      </c>
      <c r="G581" t="s">
        <v>6831</v>
      </c>
      <c r="H581">
        <v>14</v>
      </c>
      <c r="I581" t="s">
        <v>11385</v>
      </c>
      <c r="J581">
        <v>11219</v>
      </c>
      <c r="K581" t="s">
        <v>11446</v>
      </c>
      <c r="L581" t="s">
        <v>11616</v>
      </c>
      <c r="M581" t="s">
        <v>14744</v>
      </c>
      <c r="N581" t="s">
        <v>14779</v>
      </c>
      <c r="O581" t="s">
        <v>14786</v>
      </c>
      <c r="P581" t="s">
        <v>14797</v>
      </c>
      <c r="Q581" t="s">
        <v>11448</v>
      </c>
      <c r="R581" t="s">
        <v>14812</v>
      </c>
      <c r="S581" t="s">
        <v>14827</v>
      </c>
      <c r="T581" t="s">
        <v>14833</v>
      </c>
      <c r="U581" t="s">
        <v>545</v>
      </c>
      <c r="V581">
        <v>1065</v>
      </c>
      <c r="W581" t="s">
        <v>14859</v>
      </c>
      <c r="X581" t="s">
        <v>14873</v>
      </c>
      <c r="Y581" t="s">
        <v>14887</v>
      </c>
      <c r="Z581" t="s">
        <v>15461</v>
      </c>
      <c r="AB581" t="s">
        <v>20587</v>
      </c>
      <c r="AC581">
        <v>14</v>
      </c>
      <c r="AD581" t="s">
        <v>24595</v>
      </c>
      <c r="AE581" t="s">
        <v>11459</v>
      </c>
      <c r="AF581">
        <v>12</v>
      </c>
      <c r="AG581">
        <v>3</v>
      </c>
      <c r="AH581">
        <v>0</v>
      </c>
      <c r="AI581">
        <v>32.32</v>
      </c>
      <c r="AL581" t="s">
        <v>24639</v>
      </c>
      <c r="AM581">
        <v>6600</v>
      </c>
      <c r="AQ581" t="s">
        <v>24986</v>
      </c>
      <c r="AR581" t="s">
        <v>25002</v>
      </c>
      <c r="AS581">
        <v>95.65000000000001</v>
      </c>
      <c r="AT581" t="s">
        <v>354</v>
      </c>
      <c r="AU581" t="s">
        <v>139</v>
      </c>
      <c r="AV581" t="s">
        <v>25335</v>
      </c>
      <c r="AW581" t="s">
        <v>11447</v>
      </c>
    </row>
    <row r="582" spans="1:49">
      <c r="A582" s="1">
        <f>HYPERLINK("https://lsnyc.legalserver.org/matter/dynamic-profile/view/1906737","19-1906737")</f>
        <v>0</v>
      </c>
      <c r="B582" t="s">
        <v>67</v>
      </c>
      <c r="C582" t="s">
        <v>620</v>
      </c>
      <c r="D582" t="s">
        <v>354</v>
      </c>
      <c r="E582" t="s">
        <v>1477</v>
      </c>
      <c r="F582" t="s">
        <v>3965</v>
      </c>
      <c r="G582" t="s">
        <v>6832</v>
      </c>
      <c r="I582" t="s">
        <v>11383</v>
      </c>
      <c r="J582">
        <v>10452</v>
      </c>
      <c r="K582" t="s">
        <v>11446</v>
      </c>
      <c r="L582" t="s">
        <v>11617</v>
      </c>
      <c r="M582" t="s">
        <v>14744</v>
      </c>
      <c r="N582" t="s">
        <v>14778</v>
      </c>
      <c r="O582" t="s">
        <v>14786</v>
      </c>
      <c r="P582" t="s">
        <v>14797</v>
      </c>
      <c r="Q582" t="s">
        <v>11448</v>
      </c>
      <c r="S582" t="s">
        <v>14827</v>
      </c>
      <c r="T582" t="s">
        <v>14832</v>
      </c>
      <c r="U582" t="s">
        <v>354</v>
      </c>
      <c r="V582">
        <v>705.35</v>
      </c>
      <c r="W582" t="s">
        <v>14858</v>
      </c>
      <c r="X582" t="s">
        <v>14868</v>
      </c>
      <c r="Y582" t="s">
        <v>14883</v>
      </c>
      <c r="Z582" t="s">
        <v>15462</v>
      </c>
      <c r="AC582">
        <v>55</v>
      </c>
      <c r="AD582" t="s">
        <v>24595</v>
      </c>
      <c r="AF582">
        <v>28</v>
      </c>
      <c r="AG582">
        <v>1</v>
      </c>
      <c r="AH582">
        <v>0</v>
      </c>
      <c r="AI582">
        <v>0</v>
      </c>
      <c r="AL582" t="s">
        <v>5011</v>
      </c>
      <c r="AM582">
        <v>0</v>
      </c>
      <c r="AS582">
        <v>1</v>
      </c>
      <c r="AT582" t="s">
        <v>380</v>
      </c>
      <c r="AU582" t="s">
        <v>67</v>
      </c>
      <c r="AV582" t="s">
        <v>25335</v>
      </c>
      <c r="AW582" t="s">
        <v>11447</v>
      </c>
    </row>
    <row r="583" spans="1:49">
      <c r="A583" s="1">
        <f>HYPERLINK("https://lsnyc.legalserver.org/matter/dynamic-profile/view/1906836","19-1906836")</f>
        <v>0</v>
      </c>
      <c r="B583" t="s">
        <v>120</v>
      </c>
      <c r="C583" t="s">
        <v>564</v>
      </c>
      <c r="D583" t="s">
        <v>354</v>
      </c>
      <c r="E583" t="s">
        <v>1478</v>
      </c>
      <c r="F583" t="s">
        <v>3972</v>
      </c>
      <c r="G583" t="s">
        <v>6833</v>
      </c>
      <c r="H583">
        <v>1</v>
      </c>
      <c r="I583" t="s">
        <v>11385</v>
      </c>
      <c r="J583">
        <v>11208</v>
      </c>
      <c r="K583" t="s">
        <v>11448</v>
      </c>
      <c r="L583" t="s">
        <v>11459</v>
      </c>
      <c r="M583" t="s">
        <v>11601</v>
      </c>
      <c r="N583" t="s">
        <v>14778</v>
      </c>
      <c r="O583" t="s">
        <v>14786</v>
      </c>
      <c r="P583" t="s">
        <v>14797</v>
      </c>
      <c r="Q583" t="s">
        <v>11448</v>
      </c>
      <c r="S583" t="s">
        <v>14827</v>
      </c>
      <c r="V583">
        <v>1400</v>
      </c>
      <c r="W583" t="s">
        <v>14859</v>
      </c>
      <c r="X583" t="s">
        <v>14873</v>
      </c>
      <c r="Y583" t="s">
        <v>14883</v>
      </c>
      <c r="Z583" t="s">
        <v>15463</v>
      </c>
      <c r="AC583">
        <v>2</v>
      </c>
      <c r="AD583" t="s">
        <v>24600</v>
      </c>
      <c r="AE583" t="s">
        <v>11459</v>
      </c>
      <c r="AF583">
        <v>9</v>
      </c>
      <c r="AG583">
        <v>1</v>
      </c>
      <c r="AH583">
        <v>1</v>
      </c>
      <c r="AI583">
        <v>83.34</v>
      </c>
      <c r="AL583" t="s">
        <v>5011</v>
      </c>
      <c r="AM583">
        <v>14092</v>
      </c>
      <c r="AN583" t="s">
        <v>24712</v>
      </c>
      <c r="AS583">
        <v>0.5</v>
      </c>
      <c r="AT583" t="s">
        <v>564</v>
      </c>
      <c r="AU583" t="s">
        <v>25240</v>
      </c>
      <c r="AV583" t="s">
        <v>11459</v>
      </c>
      <c r="AW583" t="s">
        <v>11447</v>
      </c>
    </row>
    <row r="584" spans="1:49">
      <c r="A584" s="1">
        <f>HYPERLINK("https://lsnyc.legalserver.org/matter/dynamic-profile/view/1903338","19-1903338")</f>
        <v>0</v>
      </c>
      <c r="B584" t="s">
        <v>165</v>
      </c>
      <c r="C584" t="s">
        <v>621</v>
      </c>
      <c r="D584" t="s">
        <v>354</v>
      </c>
      <c r="E584" t="s">
        <v>1479</v>
      </c>
      <c r="F584" t="s">
        <v>3973</v>
      </c>
      <c r="G584" t="s">
        <v>6834</v>
      </c>
      <c r="I584" t="s">
        <v>11384</v>
      </c>
      <c r="J584">
        <v>10304</v>
      </c>
      <c r="K584" t="s">
        <v>11447</v>
      </c>
      <c r="M584" t="s">
        <v>14743</v>
      </c>
      <c r="N584" t="s">
        <v>14778</v>
      </c>
      <c r="O584" t="s">
        <v>14786</v>
      </c>
      <c r="P584" t="s">
        <v>14797</v>
      </c>
      <c r="Q584" t="s">
        <v>11448</v>
      </c>
      <c r="S584" t="s">
        <v>14827</v>
      </c>
      <c r="T584" t="s">
        <v>14834</v>
      </c>
      <c r="V584">
        <v>2200</v>
      </c>
      <c r="W584" t="s">
        <v>14862</v>
      </c>
      <c r="X584" t="s">
        <v>14863</v>
      </c>
      <c r="Y584" t="s">
        <v>14883</v>
      </c>
      <c r="Z584" t="s">
        <v>15464</v>
      </c>
      <c r="AB584" t="s">
        <v>20588</v>
      </c>
      <c r="AC584">
        <v>0</v>
      </c>
      <c r="AD584" t="s">
        <v>24600</v>
      </c>
      <c r="AE584" t="s">
        <v>11459</v>
      </c>
      <c r="AF584">
        <v>2</v>
      </c>
      <c r="AG584">
        <v>4</v>
      </c>
      <c r="AH584">
        <v>2</v>
      </c>
      <c r="AI584">
        <v>147.44</v>
      </c>
      <c r="AL584" t="s">
        <v>5011</v>
      </c>
      <c r="AM584">
        <v>51000</v>
      </c>
      <c r="AS584">
        <v>2.6</v>
      </c>
      <c r="AT584" t="s">
        <v>520</v>
      </c>
      <c r="AU584" t="s">
        <v>25270</v>
      </c>
      <c r="AW584" t="s">
        <v>11447</v>
      </c>
    </row>
    <row r="585" spans="1:49">
      <c r="A585" s="1">
        <f>HYPERLINK("https://lsnyc.legalserver.org/matter/dynamic-profile/view/1904514","19-1904514")</f>
        <v>0</v>
      </c>
      <c r="B585" t="s">
        <v>120</v>
      </c>
      <c r="C585" t="s">
        <v>493</v>
      </c>
      <c r="D585" t="s">
        <v>354</v>
      </c>
      <c r="E585" t="s">
        <v>1480</v>
      </c>
      <c r="F585" t="s">
        <v>2005</v>
      </c>
      <c r="G585" t="s">
        <v>6835</v>
      </c>
      <c r="H585">
        <v>2</v>
      </c>
      <c r="I585" t="s">
        <v>11385</v>
      </c>
      <c r="J585">
        <v>11208</v>
      </c>
      <c r="K585" t="s">
        <v>11448</v>
      </c>
      <c r="L585" t="s">
        <v>11601</v>
      </c>
      <c r="M585" t="s">
        <v>11601</v>
      </c>
      <c r="N585" t="s">
        <v>14778</v>
      </c>
      <c r="O585" t="s">
        <v>14786</v>
      </c>
      <c r="P585" t="s">
        <v>14797</v>
      </c>
      <c r="Q585" t="s">
        <v>11448</v>
      </c>
      <c r="S585" t="s">
        <v>14827</v>
      </c>
      <c r="V585">
        <v>1500</v>
      </c>
      <c r="W585" t="s">
        <v>14859</v>
      </c>
      <c r="Y585" t="s">
        <v>14883</v>
      </c>
      <c r="Z585" t="s">
        <v>15465</v>
      </c>
      <c r="AC585">
        <v>2</v>
      </c>
      <c r="AF585">
        <v>4</v>
      </c>
      <c r="AG585">
        <v>1</v>
      </c>
      <c r="AH585">
        <v>0</v>
      </c>
      <c r="AI585">
        <v>168.13</v>
      </c>
      <c r="AL585" t="s">
        <v>5011</v>
      </c>
      <c r="AM585">
        <v>21000</v>
      </c>
      <c r="AN585" t="s">
        <v>24716</v>
      </c>
      <c r="AS585">
        <v>1</v>
      </c>
      <c r="AT585" t="s">
        <v>493</v>
      </c>
      <c r="AU585" t="s">
        <v>25227</v>
      </c>
      <c r="AV585" t="s">
        <v>11459</v>
      </c>
      <c r="AW585" t="s">
        <v>11447</v>
      </c>
    </row>
    <row r="586" spans="1:49">
      <c r="A586" s="1">
        <f>HYPERLINK("https://lsnyc.legalserver.org/matter/dynamic-profile/view/1904640","19-1904640")</f>
        <v>0</v>
      </c>
      <c r="B586" t="s">
        <v>120</v>
      </c>
      <c r="C586" t="s">
        <v>365</v>
      </c>
      <c r="D586" t="s">
        <v>354</v>
      </c>
      <c r="E586" t="s">
        <v>1481</v>
      </c>
      <c r="F586" t="s">
        <v>3974</v>
      </c>
      <c r="G586" t="s">
        <v>6836</v>
      </c>
      <c r="H586" t="s">
        <v>10673</v>
      </c>
      <c r="I586" t="s">
        <v>11385</v>
      </c>
      <c r="J586">
        <v>11212</v>
      </c>
      <c r="K586" t="s">
        <v>11448</v>
      </c>
      <c r="L586" t="s">
        <v>11459</v>
      </c>
      <c r="M586" t="s">
        <v>11601</v>
      </c>
      <c r="N586" t="s">
        <v>14778</v>
      </c>
      <c r="O586" t="s">
        <v>14786</v>
      </c>
      <c r="P586" t="s">
        <v>14797</v>
      </c>
      <c r="Q586" t="s">
        <v>11448</v>
      </c>
      <c r="S586" t="s">
        <v>14827</v>
      </c>
      <c r="V586">
        <v>557</v>
      </c>
      <c r="W586" t="s">
        <v>14859</v>
      </c>
      <c r="Y586" t="s">
        <v>14883</v>
      </c>
      <c r="Z586" t="s">
        <v>15466</v>
      </c>
      <c r="AB586" t="s">
        <v>20589</v>
      </c>
      <c r="AC586">
        <v>0</v>
      </c>
      <c r="AD586" t="s">
        <v>24598</v>
      </c>
      <c r="AE586" t="s">
        <v>11459</v>
      </c>
      <c r="AF586">
        <v>3</v>
      </c>
      <c r="AG586">
        <v>1</v>
      </c>
      <c r="AH586">
        <v>0</v>
      </c>
      <c r="AI586">
        <v>234.81</v>
      </c>
      <c r="AL586" t="s">
        <v>5011</v>
      </c>
      <c r="AM586">
        <v>29328</v>
      </c>
      <c r="AN586" t="s">
        <v>24717</v>
      </c>
      <c r="AS586">
        <v>1</v>
      </c>
      <c r="AT586" t="s">
        <v>365</v>
      </c>
      <c r="AU586" t="s">
        <v>25231</v>
      </c>
      <c r="AV586" t="s">
        <v>11459</v>
      </c>
      <c r="AW586" t="s">
        <v>11447</v>
      </c>
    </row>
    <row r="587" spans="1:49">
      <c r="A587" s="1">
        <f>HYPERLINK("https://lsnyc.legalserver.org/matter/dynamic-profile/view/1904720","19-1904720")</f>
        <v>0</v>
      </c>
      <c r="B587" t="s">
        <v>63</v>
      </c>
      <c r="C587" t="s">
        <v>365</v>
      </c>
      <c r="D587" t="s">
        <v>661</v>
      </c>
      <c r="E587" t="s">
        <v>1089</v>
      </c>
      <c r="F587" t="s">
        <v>3975</v>
      </c>
      <c r="G587" t="s">
        <v>6837</v>
      </c>
      <c r="H587" t="s">
        <v>10542</v>
      </c>
      <c r="I587" t="s">
        <v>11391</v>
      </c>
      <c r="J587">
        <v>11691</v>
      </c>
      <c r="K587" t="s">
        <v>11446</v>
      </c>
      <c r="L587" t="s">
        <v>11618</v>
      </c>
      <c r="M587" t="s">
        <v>14744</v>
      </c>
      <c r="N587" t="s">
        <v>14781</v>
      </c>
      <c r="O587" t="s">
        <v>14788</v>
      </c>
      <c r="P587" t="s">
        <v>14797</v>
      </c>
      <c r="Q587" t="s">
        <v>11448</v>
      </c>
      <c r="S587" t="s">
        <v>14827</v>
      </c>
      <c r="T587" t="s">
        <v>14834</v>
      </c>
      <c r="U587" t="s">
        <v>365</v>
      </c>
      <c r="V587">
        <v>327</v>
      </c>
      <c r="W587" t="s">
        <v>14861</v>
      </c>
      <c r="X587" t="s">
        <v>14868</v>
      </c>
      <c r="Y587" t="s">
        <v>14887</v>
      </c>
      <c r="Z587" t="s">
        <v>15467</v>
      </c>
      <c r="AA587" t="s">
        <v>19353</v>
      </c>
      <c r="AB587" t="s">
        <v>20590</v>
      </c>
      <c r="AC587">
        <v>462</v>
      </c>
      <c r="AD587" t="s">
        <v>24601</v>
      </c>
      <c r="AE587" t="s">
        <v>11459</v>
      </c>
      <c r="AF587">
        <v>20</v>
      </c>
      <c r="AG587">
        <v>1</v>
      </c>
      <c r="AH587">
        <v>0</v>
      </c>
      <c r="AI587">
        <v>114.24</v>
      </c>
      <c r="AL587" t="s">
        <v>5011</v>
      </c>
      <c r="AM587">
        <v>14268</v>
      </c>
      <c r="AO587" t="s">
        <v>24932</v>
      </c>
      <c r="AP587" t="s">
        <v>24942</v>
      </c>
      <c r="AQ587" t="s">
        <v>24986</v>
      </c>
      <c r="AR587" t="s">
        <v>25003</v>
      </c>
      <c r="AS587">
        <v>1</v>
      </c>
      <c r="AT587" t="s">
        <v>661</v>
      </c>
      <c r="AU587" t="s">
        <v>292</v>
      </c>
      <c r="AV587" t="s">
        <v>25334</v>
      </c>
      <c r="AW587" t="s">
        <v>11447</v>
      </c>
    </row>
    <row r="588" spans="1:49">
      <c r="A588" s="1">
        <f>HYPERLINK("https://lsnyc.legalserver.org/matter/dynamic-profile/view/1906376","19-1906376")</f>
        <v>0</v>
      </c>
      <c r="B588" t="s">
        <v>120</v>
      </c>
      <c r="C588" t="s">
        <v>485</v>
      </c>
      <c r="D588" t="s">
        <v>379</v>
      </c>
      <c r="E588" t="s">
        <v>1482</v>
      </c>
      <c r="F588" t="s">
        <v>3976</v>
      </c>
      <c r="G588" t="s">
        <v>6838</v>
      </c>
      <c r="H588" t="s">
        <v>10638</v>
      </c>
      <c r="I588" t="s">
        <v>11385</v>
      </c>
      <c r="J588">
        <v>11207</v>
      </c>
      <c r="K588" t="s">
        <v>11448</v>
      </c>
      <c r="L588" t="s">
        <v>11601</v>
      </c>
      <c r="M588" t="s">
        <v>11601</v>
      </c>
      <c r="N588" t="s">
        <v>14778</v>
      </c>
      <c r="O588" t="s">
        <v>14786</v>
      </c>
      <c r="P588" t="s">
        <v>14797</v>
      </c>
      <c r="Q588" t="s">
        <v>11448</v>
      </c>
      <c r="S588" t="s">
        <v>14827</v>
      </c>
      <c r="V588">
        <v>2400</v>
      </c>
      <c r="W588" t="s">
        <v>14859</v>
      </c>
      <c r="Y588" t="s">
        <v>14883</v>
      </c>
      <c r="Z588" t="s">
        <v>15468</v>
      </c>
      <c r="AB588" t="s">
        <v>20591</v>
      </c>
      <c r="AC588">
        <v>8</v>
      </c>
      <c r="AD588" t="s">
        <v>24595</v>
      </c>
      <c r="AE588" t="s">
        <v>11459</v>
      </c>
      <c r="AF588">
        <v>4</v>
      </c>
      <c r="AG588">
        <v>1</v>
      </c>
      <c r="AH588">
        <v>0</v>
      </c>
      <c r="AI588">
        <v>74.94</v>
      </c>
      <c r="AL588" t="s">
        <v>24632</v>
      </c>
      <c r="AM588">
        <v>9360</v>
      </c>
      <c r="AN588" t="s">
        <v>24718</v>
      </c>
      <c r="AS588">
        <v>1</v>
      </c>
      <c r="AT588" t="s">
        <v>485</v>
      </c>
      <c r="AU588" t="s">
        <v>25227</v>
      </c>
      <c r="AV588" t="s">
        <v>11459</v>
      </c>
      <c r="AW588" t="s">
        <v>11447</v>
      </c>
    </row>
    <row r="589" spans="1:49">
      <c r="A589" s="1">
        <f>HYPERLINK("https://lsnyc.legalserver.org/matter/dynamic-profile/view/1904660","19-1904660")</f>
        <v>0</v>
      </c>
      <c r="B589" t="s">
        <v>182</v>
      </c>
      <c r="C589" t="s">
        <v>365</v>
      </c>
      <c r="D589" t="s">
        <v>366</v>
      </c>
      <c r="E589" t="s">
        <v>1029</v>
      </c>
      <c r="F589" t="s">
        <v>3977</v>
      </c>
      <c r="G589" t="s">
        <v>6839</v>
      </c>
      <c r="H589" t="s">
        <v>10476</v>
      </c>
      <c r="I589" t="s">
        <v>11386</v>
      </c>
      <c r="J589">
        <v>10030</v>
      </c>
      <c r="K589" t="s">
        <v>11446</v>
      </c>
      <c r="L589" t="s">
        <v>11619</v>
      </c>
      <c r="M589" t="s">
        <v>14743</v>
      </c>
      <c r="N589" t="s">
        <v>14778</v>
      </c>
      <c r="O589" t="s">
        <v>14786</v>
      </c>
      <c r="P589" t="s">
        <v>14797</v>
      </c>
      <c r="Q589" t="s">
        <v>11448</v>
      </c>
      <c r="S589" t="s">
        <v>14827</v>
      </c>
      <c r="T589" t="s">
        <v>14832</v>
      </c>
      <c r="U589" t="s">
        <v>365</v>
      </c>
      <c r="V589">
        <v>0</v>
      </c>
      <c r="W589" t="s">
        <v>14860</v>
      </c>
      <c r="X589" t="s">
        <v>14865</v>
      </c>
      <c r="Y589" t="s">
        <v>14883</v>
      </c>
      <c r="Z589" t="s">
        <v>15469</v>
      </c>
      <c r="AB589" t="s">
        <v>20592</v>
      </c>
      <c r="AC589">
        <v>18</v>
      </c>
      <c r="AD589" t="s">
        <v>24595</v>
      </c>
      <c r="AE589" t="s">
        <v>11459</v>
      </c>
      <c r="AF589">
        <v>8</v>
      </c>
      <c r="AG589">
        <v>1</v>
      </c>
      <c r="AH589">
        <v>0</v>
      </c>
      <c r="AI589">
        <v>80.90000000000001</v>
      </c>
      <c r="AL589" t="s">
        <v>5011</v>
      </c>
      <c r="AM589">
        <v>10104</v>
      </c>
      <c r="AS589">
        <v>1.75</v>
      </c>
      <c r="AT589" t="s">
        <v>355</v>
      </c>
      <c r="AU589" t="s">
        <v>25266</v>
      </c>
      <c r="AV589" t="s">
        <v>25335</v>
      </c>
      <c r="AW589" t="s">
        <v>11447</v>
      </c>
    </row>
    <row r="590" spans="1:49">
      <c r="A590" s="1">
        <f>HYPERLINK("https://lsnyc.legalserver.org/matter/dynamic-profile/view/1904682","19-1904682")</f>
        <v>0</v>
      </c>
      <c r="B590" t="s">
        <v>182</v>
      </c>
      <c r="C590" t="s">
        <v>365</v>
      </c>
      <c r="D590" t="s">
        <v>366</v>
      </c>
      <c r="E590" t="s">
        <v>1483</v>
      </c>
      <c r="F590" t="s">
        <v>3978</v>
      </c>
      <c r="G590" t="s">
        <v>6840</v>
      </c>
      <c r="H590" t="s">
        <v>10573</v>
      </c>
      <c r="I590" t="s">
        <v>11386</v>
      </c>
      <c r="J590">
        <v>10035</v>
      </c>
      <c r="K590" t="s">
        <v>11446</v>
      </c>
      <c r="M590" t="s">
        <v>11601</v>
      </c>
      <c r="N590" t="s">
        <v>14778</v>
      </c>
      <c r="O590" t="s">
        <v>14786</v>
      </c>
      <c r="P590" t="s">
        <v>14797</v>
      </c>
      <c r="Q590" t="s">
        <v>11448</v>
      </c>
      <c r="S590" t="s">
        <v>14827</v>
      </c>
      <c r="T590" t="s">
        <v>14832</v>
      </c>
      <c r="U590" t="s">
        <v>365</v>
      </c>
      <c r="V590">
        <v>215</v>
      </c>
      <c r="W590" t="s">
        <v>14860</v>
      </c>
      <c r="X590" t="s">
        <v>14864</v>
      </c>
      <c r="Y590" t="s">
        <v>14883</v>
      </c>
      <c r="Z590" t="s">
        <v>15470</v>
      </c>
      <c r="AB590" t="s">
        <v>20593</v>
      </c>
      <c r="AC590">
        <v>100</v>
      </c>
      <c r="AD590" t="s">
        <v>24595</v>
      </c>
      <c r="AE590" t="s">
        <v>11459</v>
      </c>
      <c r="AF590">
        <v>6</v>
      </c>
      <c r="AG590">
        <v>1</v>
      </c>
      <c r="AH590">
        <v>0</v>
      </c>
      <c r="AI590">
        <v>392.31</v>
      </c>
      <c r="AL590" t="s">
        <v>5011</v>
      </c>
      <c r="AM590">
        <v>49000</v>
      </c>
      <c r="AS590">
        <v>0.75</v>
      </c>
      <c r="AT590" t="s">
        <v>461</v>
      </c>
      <c r="AU590" t="s">
        <v>25266</v>
      </c>
      <c r="AV590" t="s">
        <v>25335</v>
      </c>
      <c r="AW590" t="s">
        <v>11447</v>
      </c>
    </row>
    <row r="591" spans="1:49">
      <c r="A591" s="1">
        <f>HYPERLINK("https://lsnyc.legalserver.org/matter/dynamic-profile/view/1903871","19-1903871")</f>
        <v>0</v>
      </c>
      <c r="B591" t="s">
        <v>98</v>
      </c>
      <c r="C591" t="s">
        <v>378</v>
      </c>
      <c r="D591" t="s">
        <v>366</v>
      </c>
      <c r="E591" t="s">
        <v>1232</v>
      </c>
      <c r="F591" t="s">
        <v>3587</v>
      </c>
      <c r="G591" t="s">
        <v>6841</v>
      </c>
      <c r="H591" t="s">
        <v>10674</v>
      </c>
      <c r="I591" t="s">
        <v>11385</v>
      </c>
      <c r="J591">
        <v>11212</v>
      </c>
      <c r="K591" t="s">
        <v>11446</v>
      </c>
      <c r="L591" t="s">
        <v>11459</v>
      </c>
      <c r="M591" t="s">
        <v>11601</v>
      </c>
      <c r="N591" t="s">
        <v>14778</v>
      </c>
      <c r="O591" t="s">
        <v>14786</v>
      </c>
      <c r="P591" t="s">
        <v>14797</v>
      </c>
      <c r="Q591" t="s">
        <v>11448</v>
      </c>
      <c r="S591" t="s">
        <v>14827</v>
      </c>
      <c r="T591" t="s">
        <v>14832</v>
      </c>
      <c r="U591" t="s">
        <v>485</v>
      </c>
      <c r="V591">
        <v>1600</v>
      </c>
      <c r="W591" t="s">
        <v>14859</v>
      </c>
      <c r="Y591" t="s">
        <v>14883</v>
      </c>
      <c r="Z591" t="s">
        <v>15471</v>
      </c>
      <c r="AA591" t="s">
        <v>11459</v>
      </c>
      <c r="AB591" t="s">
        <v>20594</v>
      </c>
      <c r="AC591">
        <v>6</v>
      </c>
      <c r="AD591" t="s">
        <v>24595</v>
      </c>
      <c r="AE591" t="s">
        <v>11459</v>
      </c>
      <c r="AF591">
        <v>0</v>
      </c>
      <c r="AG591">
        <v>1</v>
      </c>
      <c r="AH591">
        <v>0</v>
      </c>
      <c r="AI591">
        <v>229.43</v>
      </c>
      <c r="AL591" t="s">
        <v>5011</v>
      </c>
      <c r="AM591">
        <v>28656</v>
      </c>
      <c r="AS591">
        <v>4.25</v>
      </c>
      <c r="AT591" t="s">
        <v>355</v>
      </c>
      <c r="AU591" t="s">
        <v>25236</v>
      </c>
      <c r="AV591" t="s">
        <v>25335</v>
      </c>
      <c r="AW591" t="s">
        <v>11447</v>
      </c>
    </row>
    <row r="592" spans="1:49">
      <c r="A592" s="1">
        <f>HYPERLINK("https://lsnyc.legalserver.org/matter/dynamic-profile/view/1906776","19-1906776")</f>
        <v>0</v>
      </c>
      <c r="B592" t="s">
        <v>177</v>
      </c>
      <c r="C592" t="s">
        <v>620</v>
      </c>
      <c r="D592" t="s">
        <v>366</v>
      </c>
      <c r="E592" t="s">
        <v>1484</v>
      </c>
      <c r="F592" t="s">
        <v>3979</v>
      </c>
      <c r="G592" t="s">
        <v>6842</v>
      </c>
      <c r="H592" t="s">
        <v>10498</v>
      </c>
      <c r="I592" t="s">
        <v>11385</v>
      </c>
      <c r="J592">
        <v>11206</v>
      </c>
      <c r="K592" t="s">
        <v>11446</v>
      </c>
      <c r="M592" t="s">
        <v>14753</v>
      </c>
      <c r="N592" t="s">
        <v>14783</v>
      </c>
      <c r="O592" t="s">
        <v>14790</v>
      </c>
      <c r="P592" t="s">
        <v>14797</v>
      </c>
      <c r="Q592" t="s">
        <v>11448</v>
      </c>
      <c r="S592" t="s">
        <v>14827</v>
      </c>
      <c r="U592" t="s">
        <v>620</v>
      </c>
      <c r="V592">
        <v>0</v>
      </c>
      <c r="W592" t="s">
        <v>14859</v>
      </c>
      <c r="Y592" t="s">
        <v>14887</v>
      </c>
      <c r="Z592" t="s">
        <v>15472</v>
      </c>
      <c r="AB592" t="s">
        <v>20595</v>
      </c>
      <c r="AC592">
        <v>774</v>
      </c>
      <c r="AF592">
        <v>0</v>
      </c>
      <c r="AG592">
        <v>1</v>
      </c>
      <c r="AH592">
        <v>0</v>
      </c>
      <c r="AI592">
        <v>76.86</v>
      </c>
      <c r="AL592" t="s">
        <v>24645</v>
      </c>
      <c r="AM592">
        <v>9600</v>
      </c>
      <c r="AQ592" t="s">
        <v>24986</v>
      </c>
      <c r="AR592" t="s">
        <v>25004</v>
      </c>
      <c r="AS592">
        <v>7.6</v>
      </c>
      <c r="AT592" t="s">
        <v>630</v>
      </c>
      <c r="AU592" t="s">
        <v>177</v>
      </c>
      <c r="AV592" t="s">
        <v>25335</v>
      </c>
      <c r="AW592" t="s">
        <v>11447</v>
      </c>
    </row>
    <row r="593" spans="1:49">
      <c r="A593" s="1">
        <f>HYPERLINK("https://lsnyc.legalserver.org/matter/dynamic-profile/view/0828584","17-0828584")</f>
        <v>0</v>
      </c>
      <c r="B593" t="s">
        <v>65</v>
      </c>
      <c r="C593" t="s">
        <v>622</v>
      </c>
      <c r="D593" t="s">
        <v>366</v>
      </c>
      <c r="E593" t="s">
        <v>1485</v>
      </c>
      <c r="F593" t="s">
        <v>3980</v>
      </c>
      <c r="G593" t="s">
        <v>6843</v>
      </c>
      <c r="H593" t="s">
        <v>10675</v>
      </c>
      <c r="I593" t="s">
        <v>11385</v>
      </c>
      <c r="J593">
        <v>11205</v>
      </c>
      <c r="K593" t="s">
        <v>11448</v>
      </c>
      <c r="N593" t="s">
        <v>14781</v>
      </c>
      <c r="O593" t="s">
        <v>14788</v>
      </c>
      <c r="P593" t="s">
        <v>14797</v>
      </c>
      <c r="R593" t="s">
        <v>14812</v>
      </c>
      <c r="S593" t="s">
        <v>14827</v>
      </c>
      <c r="V593">
        <v>0</v>
      </c>
      <c r="W593" t="s">
        <v>14859</v>
      </c>
      <c r="Y593" t="s">
        <v>14887</v>
      </c>
      <c r="Z593" t="s">
        <v>15473</v>
      </c>
      <c r="AB593" t="s">
        <v>20596</v>
      </c>
      <c r="AC593">
        <v>0</v>
      </c>
      <c r="AF593">
        <v>0</v>
      </c>
      <c r="AG593">
        <v>1</v>
      </c>
      <c r="AH593">
        <v>0</v>
      </c>
      <c r="AI593">
        <v>18.71</v>
      </c>
      <c r="AL593" t="s">
        <v>5011</v>
      </c>
      <c r="AM593">
        <v>2256</v>
      </c>
      <c r="AS593">
        <v>20.15</v>
      </c>
      <c r="AT593" t="s">
        <v>564</v>
      </c>
      <c r="AU593" t="s">
        <v>287</v>
      </c>
      <c r="AW593" t="s">
        <v>11447</v>
      </c>
    </row>
    <row r="594" spans="1:49">
      <c r="A594" s="1">
        <f>HYPERLINK("https://lsnyc.legalserver.org/matter/dynamic-profile/view/1907266","19-1907266")</f>
        <v>0</v>
      </c>
      <c r="B594" t="s">
        <v>120</v>
      </c>
      <c r="C594" t="s">
        <v>366</v>
      </c>
      <c r="D594" t="s">
        <v>368</v>
      </c>
      <c r="E594" t="s">
        <v>1486</v>
      </c>
      <c r="F594" t="s">
        <v>3981</v>
      </c>
      <c r="G594" t="s">
        <v>6844</v>
      </c>
      <c r="H594" t="s">
        <v>10649</v>
      </c>
      <c r="I594" t="s">
        <v>11385</v>
      </c>
      <c r="J594">
        <v>11212</v>
      </c>
      <c r="K594" t="s">
        <v>11448</v>
      </c>
      <c r="L594" t="s">
        <v>11459</v>
      </c>
      <c r="M594" t="s">
        <v>11601</v>
      </c>
      <c r="N594" t="s">
        <v>14778</v>
      </c>
      <c r="O594" t="s">
        <v>14786</v>
      </c>
      <c r="P594" t="s">
        <v>14797</v>
      </c>
      <c r="Q594" t="s">
        <v>11448</v>
      </c>
      <c r="S594" t="s">
        <v>14827</v>
      </c>
      <c r="V594">
        <v>1627</v>
      </c>
      <c r="W594" t="s">
        <v>14859</v>
      </c>
      <c r="X594" t="s">
        <v>14870</v>
      </c>
      <c r="Y594" t="s">
        <v>14883</v>
      </c>
      <c r="Z594" t="s">
        <v>15474</v>
      </c>
      <c r="AC594">
        <v>109</v>
      </c>
      <c r="AD594" t="s">
        <v>24604</v>
      </c>
      <c r="AE594" t="s">
        <v>11459</v>
      </c>
      <c r="AF594">
        <v>1</v>
      </c>
      <c r="AG594">
        <v>2</v>
      </c>
      <c r="AH594">
        <v>1</v>
      </c>
      <c r="AI594">
        <v>304.74</v>
      </c>
      <c r="AL594" t="s">
        <v>5011</v>
      </c>
      <c r="AM594">
        <v>65000</v>
      </c>
      <c r="AN594" t="s">
        <v>24712</v>
      </c>
      <c r="AS594">
        <v>0.6</v>
      </c>
      <c r="AT594" t="s">
        <v>366</v>
      </c>
      <c r="AU594" t="s">
        <v>25225</v>
      </c>
      <c r="AV594" t="s">
        <v>11459</v>
      </c>
      <c r="AW594" t="s">
        <v>11447</v>
      </c>
    </row>
    <row r="595" spans="1:49">
      <c r="A595" s="1">
        <f>HYPERLINK("https://lsnyc.legalserver.org/matter/dynamic-profile/view/1903680","19-1903680")</f>
        <v>0</v>
      </c>
      <c r="B595" t="s">
        <v>183</v>
      </c>
      <c r="C595" t="s">
        <v>522</v>
      </c>
      <c r="D595" t="s">
        <v>630</v>
      </c>
      <c r="E595" t="s">
        <v>1487</v>
      </c>
      <c r="F595" t="s">
        <v>3982</v>
      </c>
      <c r="G595" t="s">
        <v>6845</v>
      </c>
      <c r="H595" t="s">
        <v>10676</v>
      </c>
      <c r="I595" t="s">
        <v>11385</v>
      </c>
      <c r="J595">
        <v>11208</v>
      </c>
      <c r="K595" t="s">
        <v>11446</v>
      </c>
      <c r="L595" t="s">
        <v>11620</v>
      </c>
      <c r="M595" t="s">
        <v>14744</v>
      </c>
      <c r="N595" t="s">
        <v>14779</v>
      </c>
      <c r="O595" t="s">
        <v>14787</v>
      </c>
      <c r="P595" t="s">
        <v>14797</v>
      </c>
      <c r="Q595" t="s">
        <v>11448</v>
      </c>
      <c r="S595" t="s">
        <v>14827</v>
      </c>
      <c r="T595" t="s">
        <v>14833</v>
      </c>
      <c r="U595" t="s">
        <v>338</v>
      </c>
      <c r="V595">
        <v>1700</v>
      </c>
      <c r="W595" t="s">
        <v>14859</v>
      </c>
      <c r="X595" t="s">
        <v>14865</v>
      </c>
      <c r="Y595" t="s">
        <v>14883</v>
      </c>
      <c r="Z595" t="s">
        <v>15475</v>
      </c>
      <c r="AA595" t="s">
        <v>11459</v>
      </c>
      <c r="AC595">
        <v>20</v>
      </c>
      <c r="AD595" t="s">
        <v>24595</v>
      </c>
      <c r="AE595" t="s">
        <v>11459</v>
      </c>
      <c r="AF595">
        <v>2</v>
      </c>
      <c r="AG595">
        <v>2</v>
      </c>
      <c r="AH595">
        <v>1</v>
      </c>
      <c r="AI595">
        <v>266.43</v>
      </c>
      <c r="AL595" t="s">
        <v>5011</v>
      </c>
      <c r="AM595">
        <v>56830</v>
      </c>
      <c r="AS595">
        <v>2.3</v>
      </c>
      <c r="AT595" t="s">
        <v>626</v>
      </c>
      <c r="AU595" t="s">
        <v>66</v>
      </c>
      <c r="AV595" t="s">
        <v>25335</v>
      </c>
      <c r="AW595" t="s">
        <v>11447</v>
      </c>
    </row>
    <row r="596" spans="1:49">
      <c r="A596" s="1">
        <f>HYPERLINK("https://lsnyc.legalserver.org/matter/dynamic-profile/view/1905313","19-1905313")</f>
        <v>0</v>
      </c>
      <c r="B596" t="s">
        <v>96</v>
      </c>
      <c r="C596" t="s">
        <v>480</v>
      </c>
      <c r="D596" t="s">
        <v>630</v>
      </c>
      <c r="E596" t="s">
        <v>1087</v>
      </c>
      <c r="F596" t="s">
        <v>3675</v>
      </c>
      <c r="G596" t="s">
        <v>6846</v>
      </c>
      <c r="H596">
        <v>404</v>
      </c>
      <c r="I596" t="s">
        <v>11383</v>
      </c>
      <c r="J596">
        <v>10460</v>
      </c>
      <c r="K596" t="s">
        <v>11446</v>
      </c>
      <c r="L596" t="s">
        <v>11621</v>
      </c>
      <c r="M596" t="s">
        <v>14744</v>
      </c>
      <c r="N596" t="s">
        <v>14781</v>
      </c>
      <c r="O596" t="s">
        <v>14788</v>
      </c>
      <c r="P596" t="s">
        <v>14797</v>
      </c>
      <c r="Q596" t="s">
        <v>11448</v>
      </c>
      <c r="S596" t="s">
        <v>14827</v>
      </c>
      <c r="T596" t="s">
        <v>14836</v>
      </c>
      <c r="U596" t="s">
        <v>456</v>
      </c>
      <c r="V596">
        <v>1269</v>
      </c>
      <c r="W596" t="s">
        <v>14858</v>
      </c>
      <c r="X596" t="s">
        <v>14863</v>
      </c>
      <c r="Y596" t="s">
        <v>14894</v>
      </c>
      <c r="Z596" t="s">
        <v>15476</v>
      </c>
      <c r="AB596" t="s">
        <v>20597</v>
      </c>
      <c r="AC596">
        <v>27</v>
      </c>
      <c r="AD596" t="s">
        <v>24595</v>
      </c>
      <c r="AE596" t="s">
        <v>24610</v>
      </c>
      <c r="AF596">
        <v>13</v>
      </c>
      <c r="AG596">
        <v>3</v>
      </c>
      <c r="AH596">
        <v>0</v>
      </c>
      <c r="AI596">
        <v>24.19</v>
      </c>
      <c r="AL596" t="s">
        <v>5011</v>
      </c>
      <c r="AM596">
        <v>5160</v>
      </c>
      <c r="AO596" t="s">
        <v>24933</v>
      </c>
      <c r="AP596" t="s">
        <v>24942</v>
      </c>
      <c r="AQ596" t="s">
        <v>24986</v>
      </c>
      <c r="AR596" t="s">
        <v>25005</v>
      </c>
      <c r="AS596">
        <v>10.8</v>
      </c>
      <c r="AT596" t="s">
        <v>630</v>
      </c>
      <c r="AU596" t="s">
        <v>237</v>
      </c>
      <c r="AV596" t="s">
        <v>11459</v>
      </c>
      <c r="AW596" t="s">
        <v>11447</v>
      </c>
    </row>
    <row r="597" spans="1:49">
      <c r="A597" s="1">
        <f>HYPERLINK("https://lsnyc.legalserver.org/matter/dynamic-profile/view/1906893","19-1906893")</f>
        <v>0</v>
      </c>
      <c r="B597" t="s">
        <v>183</v>
      </c>
      <c r="C597" t="s">
        <v>354</v>
      </c>
      <c r="D597" t="s">
        <v>630</v>
      </c>
      <c r="E597" t="s">
        <v>1240</v>
      </c>
      <c r="F597" t="s">
        <v>3983</v>
      </c>
      <c r="G597" t="s">
        <v>6847</v>
      </c>
      <c r="I597" t="s">
        <v>11385</v>
      </c>
      <c r="J597">
        <v>11233</v>
      </c>
      <c r="K597" t="s">
        <v>11446</v>
      </c>
      <c r="L597" t="s">
        <v>11622</v>
      </c>
      <c r="M597" t="s">
        <v>14744</v>
      </c>
      <c r="N597" t="s">
        <v>14778</v>
      </c>
      <c r="O597" t="s">
        <v>14786</v>
      </c>
      <c r="P597" t="s">
        <v>14797</v>
      </c>
      <c r="Q597" t="s">
        <v>11448</v>
      </c>
      <c r="S597" t="s">
        <v>14827</v>
      </c>
      <c r="T597" t="s">
        <v>14833</v>
      </c>
      <c r="U597" t="s">
        <v>564</v>
      </c>
      <c r="V597">
        <v>0</v>
      </c>
      <c r="W597" t="s">
        <v>14859</v>
      </c>
      <c r="X597" t="s">
        <v>14877</v>
      </c>
      <c r="Y597" t="s">
        <v>14883</v>
      </c>
      <c r="Z597" t="s">
        <v>15477</v>
      </c>
      <c r="AC597">
        <v>2</v>
      </c>
      <c r="AF597">
        <v>0</v>
      </c>
      <c r="AG597">
        <v>2</v>
      </c>
      <c r="AH597">
        <v>2</v>
      </c>
      <c r="AI597">
        <v>252.43</v>
      </c>
      <c r="AL597" t="s">
        <v>5011</v>
      </c>
      <c r="AM597">
        <v>65000</v>
      </c>
      <c r="AS597">
        <v>2</v>
      </c>
      <c r="AT597" t="s">
        <v>564</v>
      </c>
      <c r="AU597" t="s">
        <v>120</v>
      </c>
      <c r="AV597" t="s">
        <v>25335</v>
      </c>
      <c r="AW597" t="s">
        <v>11447</v>
      </c>
    </row>
    <row r="598" spans="1:49">
      <c r="A598" s="1">
        <f>HYPERLINK("https://lsnyc.legalserver.org/matter/dynamic-profile/view/1899388","19-1899388")</f>
        <v>0</v>
      </c>
      <c r="B598" t="s">
        <v>87</v>
      </c>
      <c r="C598" t="s">
        <v>361</v>
      </c>
      <c r="D598" t="s">
        <v>633</v>
      </c>
      <c r="E598" t="s">
        <v>1488</v>
      </c>
      <c r="F598" t="s">
        <v>3901</v>
      </c>
      <c r="G598" t="s">
        <v>6848</v>
      </c>
      <c r="H598" t="s">
        <v>10486</v>
      </c>
      <c r="I598" t="s">
        <v>11384</v>
      </c>
      <c r="J598">
        <v>10301</v>
      </c>
      <c r="K598" t="s">
        <v>11446</v>
      </c>
      <c r="M598" t="s">
        <v>14743</v>
      </c>
      <c r="N598" t="s">
        <v>14778</v>
      </c>
      <c r="O598" t="s">
        <v>14786</v>
      </c>
      <c r="P598" t="s">
        <v>14797</v>
      </c>
      <c r="Q598" t="s">
        <v>11448</v>
      </c>
      <c r="S598" t="s">
        <v>14827</v>
      </c>
      <c r="T598" t="s">
        <v>14832</v>
      </c>
      <c r="U598" t="s">
        <v>380</v>
      </c>
      <c r="V598">
        <v>433</v>
      </c>
      <c r="W598" t="s">
        <v>14862</v>
      </c>
      <c r="X598" t="s">
        <v>14868</v>
      </c>
      <c r="Y598" t="s">
        <v>14883</v>
      </c>
      <c r="Z598" t="s">
        <v>15478</v>
      </c>
      <c r="AB598" t="s">
        <v>20598</v>
      </c>
      <c r="AC598">
        <v>2</v>
      </c>
      <c r="AD598" t="s">
        <v>24600</v>
      </c>
      <c r="AE598" t="s">
        <v>11459</v>
      </c>
      <c r="AF598">
        <v>1</v>
      </c>
      <c r="AG598">
        <v>1</v>
      </c>
      <c r="AH598">
        <v>2</v>
      </c>
      <c r="AI598">
        <v>86.75</v>
      </c>
      <c r="AL598" t="s">
        <v>5011</v>
      </c>
      <c r="AM598">
        <v>18504</v>
      </c>
      <c r="AO598" t="s">
        <v>24934</v>
      </c>
      <c r="AP598" t="s">
        <v>24942</v>
      </c>
      <c r="AQ598" t="s">
        <v>24987</v>
      </c>
      <c r="AR598" t="s">
        <v>25006</v>
      </c>
      <c r="AS598">
        <v>0.2</v>
      </c>
      <c r="AT598" t="s">
        <v>380</v>
      </c>
      <c r="AU598" t="s">
        <v>25270</v>
      </c>
      <c r="AV598" t="s">
        <v>25335</v>
      </c>
      <c r="AW598" t="s">
        <v>11447</v>
      </c>
    </row>
    <row r="599" spans="1:49">
      <c r="A599" s="1">
        <f>HYPERLINK("https://lsnyc.legalserver.org/matter/dynamic-profile/view/1903827","19-1903827")</f>
        <v>0</v>
      </c>
      <c r="B599" t="s">
        <v>166</v>
      </c>
      <c r="C599" t="s">
        <v>378</v>
      </c>
      <c r="D599" t="s">
        <v>377</v>
      </c>
      <c r="E599" t="s">
        <v>1489</v>
      </c>
      <c r="F599" t="s">
        <v>3984</v>
      </c>
      <c r="G599" t="s">
        <v>6849</v>
      </c>
      <c r="H599" t="s">
        <v>10677</v>
      </c>
      <c r="I599" t="s">
        <v>11384</v>
      </c>
      <c r="J599">
        <v>10301</v>
      </c>
      <c r="K599" t="s">
        <v>11446</v>
      </c>
      <c r="L599" t="s">
        <v>11623</v>
      </c>
      <c r="M599" t="s">
        <v>14744</v>
      </c>
      <c r="N599" t="s">
        <v>14781</v>
      </c>
      <c r="O599" t="s">
        <v>14788</v>
      </c>
      <c r="P599" t="s">
        <v>14797</v>
      </c>
      <c r="Q599" t="s">
        <v>11448</v>
      </c>
      <c r="S599" t="s">
        <v>14827</v>
      </c>
      <c r="T599" t="s">
        <v>14832</v>
      </c>
      <c r="U599" t="s">
        <v>378</v>
      </c>
      <c r="V599">
        <v>1250</v>
      </c>
      <c r="W599" t="s">
        <v>14862</v>
      </c>
      <c r="X599" t="s">
        <v>14865</v>
      </c>
      <c r="Y599" t="s">
        <v>14887</v>
      </c>
      <c r="Z599" t="s">
        <v>15479</v>
      </c>
      <c r="AB599" t="s">
        <v>20599</v>
      </c>
      <c r="AC599">
        <v>48</v>
      </c>
      <c r="AD599" t="s">
        <v>24600</v>
      </c>
      <c r="AE599" t="s">
        <v>11459</v>
      </c>
      <c r="AF599">
        <v>4</v>
      </c>
      <c r="AG599">
        <v>2</v>
      </c>
      <c r="AH599">
        <v>2</v>
      </c>
      <c r="AI599">
        <v>81.79000000000001</v>
      </c>
      <c r="AL599" t="s">
        <v>5011</v>
      </c>
      <c r="AM599">
        <v>21060</v>
      </c>
      <c r="AO599" t="s">
        <v>24930</v>
      </c>
      <c r="AP599" t="s">
        <v>24945</v>
      </c>
      <c r="AQ599" t="s">
        <v>24986</v>
      </c>
      <c r="AR599" t="s">
        <v>25007</v>
      </c>
      <c r="AS599">
        <v>19.75</v>
      </c>
      <c r="AT599" t="s">
        <v>372</v>
      </c>
      <c r="AU599" t="s">
        <v>25270</v>
      </c>
      <c r="AV599" t="s">
        <v>25335</v>
      </c>
      <c r="AW599" t="s">
        <v>11447</v>
      </c>
    </row>
    <row r="600" spans="1:49">
      <c r="A600" s="1">
        <f>HYPERLINK("https://lsnyc.legalserver.org/matter/dynamic-profile/view/1906643","19-1906643")</f>
        <v>0</v>
      </c>
      <c r="B600" t="s">
        <v>120</v>
      </c>
      <c r="C600" t="s">
        <v>373</v>
      </c>
      <c r="D600" t="s">
        <v>377</v>
      </c>
      <c r="E600" t="s">
        <v>1490</v>
      </c>
      <c r="F600" t="s">
        <v>3709</v>
      </c>
      <c r="G600" t="s">
        <v>6850</v>
      </c>
      <c r="H600" t="s">
        <v>10678</v>
      </c>
      <c r="I600" t="s">
        <v>11385</v>
      </c>
      <c r="J600">
        <v>11233</v>
      </c>
      <c r="K600" t="s">
        <v>11448</v>
      </c>
      <c r="L600" t="s">
        <v>11624</v>
      </c>
      <c r="M600" t="s">
        <v>14744</v>
      </c>
      <c r="N600" t="s">
        <v>14778</v>
      </c>
      <c r="O600" t="s">
        <v>14786</v>
      </c>
      <c r="P600" t="s">
        <v>14797</v>
      </c>
      <c r="Q600" t="s">
        <v>11448</v>
      </c>
      <c r="S600" t="s">
        <v>14827</v>
      </c>
      <c r="V600">
        <v>1592</v>
      </c>
      <c r="W600" t="s">
        <v>14859</v>
      </c>
      <c r="Y600" t="s">
        <v>14883</v>
      </c>
      <c r="Z600" t="s">
        <v>15480</v>
      </c>
      <c r="AA600" t="s">
        <v>11459</v>
      </c>
      <c r="AB600" t="s">
        <v>20600</v>
      </c>
      <c r="AC600">
        <v>43</v>
      </c>
      <c r="AD600" t="s">
        <v>24595</v>
      </c>
      <c r="AE600" t="s">
        <v>11459</v>
      </c>
      <c r="AF600">
        <v>2</v>
      </c>
      <c r="AG600">
        <v>1</v>
      </c>
      <c r="AH600">
        <v>2</v>
      </c>
      <c r="AI600">
        <v>0</v>
      </c>
      <c r="AL600" t="s">
        <v>5011</v>
      </c>
      <c r="AM600">
        <v>0</v>
      </c>
      <c r="AN600" t="s">
        <v>24717</v>
      </c>
      <c r="AS600">
        <v>0.1</v>
      </c>
      <c r="AT600" t="s">
        <v>377</v>
      </c>
      <c r="AU600" t="s">
        <v>120</v>
      </c>
      <c r="AV600" t="s">
        <v>11459</v>
      </c>
      <c r="AW600" t="s">
        <v>11447</v>
      </c>
    </row>
    <row r="601" spans="1:49">
      <c r="A601" s="1">
        <f>HYPERLINK("https://lsnyc.legalserver.org/matter/dynamic-profile/view/1905490","19-1905490")</f>
        <v>0</v>
      </c>
      <c r="B601" t="s">
        <v>120</v>
      </c>
      <c r="C601" t="s">
        <v>520</v>
      </c>
      <c r="D601" t="s">
        <v>377</v>
      </c>
      <c r="E601" t="s">
        <v>1097</v>
      </c>
      <c r="F601" t="s">
        <v>3547</v>
      </c>
      <c r="G601" t="s">
        <v>6851</v>
      </c>
      <c r="H601">
        <v>2</v>
      </c>
      <c r="I601" t="s">
        <v>11385</v>
      </c>
      <c r="J601">
        <v>11207</v>
      </c>
      <c r="K601" t="s">
        <v>11448</v>
      </c>
      <c r="L601" t="s">
        <v>11459</v>
      </c>
      <c r="M601" t="s">
        <v>11601</v>
      </c>
      <c r="N601" t="s">
        <v>14778</v>
      </c>
      <c r="O601" t="s">
        <v>14786</v>
      </c>
      <c r="P601" t="s">
        <v>14797</v>
      </c>
      <c r="Q601" t="s">
        <v>11448</v>
      </c>
      <c r="S601" t="s">
        <v>14827</v>
      </c>
      <c r="V601">
        <v>0</v>
      </c>
      <c r="W601" t="s">
        <v>14859</v>
      </c>
      <c r="X601" t="s">
        <v>14755</v>
      </c>
      <c r="Y601" t="s">
        <v>14883</v>
      </c>
      <c r="Z601" t="s">
        <v>15481</v>
      </c>
      <c r="AB601" t="s">
        <v>20601</v>
      </c>
      <c r="AC601">
        <v>16</v>
      </c>
      <c r="AD601" t="s">
        <v>24595</v>
      </c>
      <c r="AE601" t="s">
        <v>11459</v>
      </c>
      <c r="AF601">
        <v>1</v>
      </c>
      <c r="AG601">
        <v>1</v>
      </c>
      <c r="AH601">
        <v>0</v>
      </c>
      <c r="AI601">
        <v>0</v>
      </c>
      <c r="AL601" t="s">
        <v>24632</v>
      </c>
      <c r="AM601">
        <v>0</v>
      </c>
      <c r="AN601" t="s">
        <v>24713</v>
      </c>
      <c r="AS601">
        <v>1</v>
      </c>
      <c r="AT601" t="s">
        <v>520</v>
      </c>
      <c r="AU601" t="s">
        <v>25241</v>
      </c>
      <c r="AV601" t="s">
        <v>11459</v>
      </c>
      <c r="AW601" t="s">
        <v>11447</v>
      </c>
    </row>
    <row r="602" spans="1:49">
      <c r="A602" s="1">
        <f>HYPERLINK("https://lsnyc.legalserver.org/matter/dynamic-profile/view/1907249","19-1907249")</f>
        <v>0</v>
      </c>
      <c r="B602" t="s">
        <v>98</v>
      </c>
      <c r="C602" t="s">
        <v>366</v>
      </c>
      <c r="D602" t="s">
        <v>377</v>
      </c>
      <c r="E602" t="s">
        <v>1491</v>
      </c>
      <c r="F602" t="s">
        <v>3985</v>
      </c>
      <c r="G602" t="s">
        <v>6852</v>
      </c>
      <c r="H602" t="s">
        <v>10486</v>
      </c>
      <c r="I602" t="s">
        <v>11385</v>
      </c>
      <c r="J602">
        <v>11233</v>
      </c>
      <c r="K602" t="s">
        <v>11448</v>
      </c>
      <c r="L602" t="s">
        <v>11459</v>
      </c>
      <c r="M602" t="s">
        <v>11601</v>
      </c>
      <c r="N602" t="s">
        <v>14778</v>
      </c>
      <c r="O602" t="s">
        <v>14786</v>
      </c>
      <c r="P602" t="s">
        <v>14797</v>
      </c>
      <c r="Q602" t="s">
        <v>11448</v>
      </c>
      <c r="S602" t="s">
        <v>14827</v>
      </c>
      <c r="V602">
        <v>2400</v>
      </c>
      <c r="W602" t="s">
        <v>14859</v>
      </c>
      <c r="X602" t="s">
        <v>14755</v>
      </c>
      <c r="Y602" t="s">
        <v>14883</v>
      </c>
      <c r="Z602" t="s">
        <v>15482</v>
      </c>
      <c r="AB602" t="s">
        <v>20602</v>
      </c>
      <c r="AC602">
        <v>2</v>
      </c>
      <c r="AD602" t="s">
        <v>11479</v>
      </c>
      <c r="AE602" t="s">
        <v>11459</v>
      </c>
      <c r="AF602">
        <v>1</v>
      </c>
      <c r="AG602">
        <v>2</v>
      </c>
      <c r="AH602">
        <v>2</v>
      </c>
      <c r="AI602">
        <v>25.17</v>
      </c>
      <c r="AL602" t="s">
        <v>5011</v>
      </c>
      <c r="AM602">
        <v>6480</v>
      </c>
      <c r="AS602">
        <v>1.41</v>
      </c>
      <c r="AT602" t="s">
        <v>377</v>
      </c>
      <c r="AU602" t="s">
        <v>25240</v>
      </c>
      <c r="AW602" t="s">
        <v>11447</v>
      </c>
    </row>
    <row r="603" spans="1:49">
      <c r="A603" s="1">
        <f>HYPERLINK("https://lsnyc.legalserver.org/matter/dynamic-profile/view/1907458","19-1907458")</f>
        <v>0</v>
      </c>
      <c r="B603" t="s">
        <v>98</v>
      </c>
      <c r="C603" t="s">
        <v>465</v>
      </c>
      <c r="D603" t="s">
        <v>377</v>
      </c>
      <c r="E603" t="s">
        <v>1492</v>
      </c>
      <c r="F603" t="s">
        <v>3986</v>
      </c>
      <c r="G603" t="s">
        <v>6853</v>
      </c>
      <c r="H603">
        <v>2</v>
      </c>
      <c r="I603" t="s">
        <v>11385</v>
      </c>
      <c r="J603">
        <v>11208</v>
      </c>
      <c r="K603" t="s">
        <v>11448</v>
      </c>
      <c r="L603" t="s">
        <v>11459</v>
      </c>
      <c r="M603" t="s">
        <v>11601</v>
      </c>
      <c r="N603" t="s">
        <v>14778</v>
      </c>
      <c r="O603" t="s">
        <v>14786</v>
      </c>
      <c r="P603" t="s">
        <v>14797</v>
      </c>
      <c r="Q603" t="s">
        <v>11448</v>
      </c>
      <c r="S603" t="s">
        <v>14827</v>
      </c>
      <c r="V603">
        <v>1442</v>
      </c>
      <c r="W603" t="s">
        <v>14859</v>
      </c>
      <c r="X603" t="s">
        <v>14755</v>
      </c>
      <c r="Y603" t="s">
        <v>14883</v>
      </c>
      <c r="Z603" t="s">
        <v>15483</v>
      </c>
      <c r="AB603" t="s">
        <v>20603</v>
      </c>
      <c r="AC603">
        <v>2</v>
      </c>
      <c r="AD603" t="s">
        <v>24600</v>
      </c>
      <c r="AE603" t="s">
        <v>24610</v>
      </c>
      <c r="AF603">
        <v>12</v>
      </c>
      <c r="AG603">
        <v>1</v>
      </c>
      <c r="AH603">
        <v>0</v>
      </c>
      <c r="AI603">
        <v>74.08</v>
      </c>
      <c r="AL603" t="s">
        <v>24632</v>
      </c>
      <c r="AM603">
        <v>9252</v>
      </c>
      <c r="AS603">
        <v>1.4</v>
      </c>
      <c r="AT603" t="s">
        <v>377</v>
      </c>
      <c r="AU603" t="s">
        <v>25229</v>
      </c>
      <c r="AW603" t="s">
        <v>11447</v>
      </c>
    </row>
    <row r="604" spans="1:49">
      <c r="A604" s="1">
        <f>HYPERLINK("https://lsnyc.legalserver.org/matter/dynamic-profile/view/1906982","19-1906982")</f>
        <v>0</v>
      </c>
      <c r="B604" t="s">
        <v>184</v>
      </c>
      <c r="C604" t="s">
        <v>354</v>
      </c>
      <c r="D604" t="s">
        <v>524</v>
      </c>
      <c r="E604" t="s">
        <v>1372</v>
      </c>
      <c r="F604" t="s">
        <v>3799</v>
      </c>
      <c r="G604" t="s">
        <v>6854</v>
      </c>
      <c r="H604" t="s">
        <v>10620</v>
      </c>
      <c r="I604" t="s">
        <v>11383</v>
      </c>
      <c r="J604">
        <v>10452</v>
      </c>
      <c r="K604" t="s">
        <v>11446</v>
      </c>
      <c r="M604" t="s">
        <v>11601</v>
      </c>
      <c r="N604" t="s">
        <v>14778</v>
      </c>
      <c r="O604" t="s">
        <v>14786</v>
      </c>
      <c r="P604" t="s">
        <v>14797</v>
      </c>
      <c r="Q604" t="s">
        <v>11448</v>
      </c>
      <c r="S604" t="s">
        <v>14827</v>
      </c>
      <c r="U604" t="s">
        <v>377</v>
      </c>
      <c r="V604">
        <v>811.24</v>
      </c>
      <c r="W604" t="s">
        <v>14858</v>
      </c>
      <c r="X604" t="s">
        <v>14864</v>
      </c>
      <c r="Y604" t="s">
        <v>14883</v>
      </c>
      <c r="Z604" t="s">
        <v>15484</v>
      </c>
      <c r="AB604" t="s">
        <v>20604</v>
      </c>
      <c r="AC604">
        <v>53</v>
      </c>
      <c r="AD604" t="s">
        <v>24595</v>
      </c>
      <c r="AE604" t="s">
        <v>24615</v>
      </c>
      <c r="AF604">
        <v>34</v>
      </c>
      <c r="AG604">
        <v>1</v>
      </c>
      <c r="AH604">
        <v>2</v>
      </c>
      <c r="AI604">
        <v>41.24</v>
      </c>
      <c r="AL604" t="s">
        <v>24632</v>
      </c>
      <c r="AM604">
        <v>8796</v>
      </c>
      <c r="AS604">
        <v>1.4</v>
      </c>
      <c r="AT604" t="s">
        <v>524</v>
      </c>
      <c r="AU604" t="s">
        <v>184</v>
      </c>
      <c r="AV604" t="s">
        <v>25335</v>
      </c>
      <c r="AW604" t="s">
        <v>11447</v>
      </c>
    </row>
    <row r="605" spans="1:49">
      <c r="A605" s="1">
        <f>HYPERLINK("https://lsnyc.legalserver.org/matter/dynamic-profile/view/1906917","19-1906917")</f>
        <v>0</v>
      </c>
      <c r="B605" t="s">
        <v>184</v>
      </c>
      <c r="C605" t="s">
        <v>354</v>
      </c>
      <c r="D605" t="s">
        <v>524</v>
      </c>
      <c r="E605" t="s">
        <v>1025</v>
      </c>
      <c r="F605" t="s">
        <v>3987</v>
      </c>
      <c r="G605" t="s">
        <v>6855</v>
      </c>
      <c r="H605" t="s">
        <v>10679</v>
      </c>
      <c r="I605" t="s">
        <v>11383</v>
      </c>
      <c r="J605">
        <v>10452</v>
      </c>
      <c r="K605" t="s">
        <v>11446</v>
      </c>
      <c r="M605" t="s">
        <v>11601</v>
      </c>
      <c r="N605" t="s">
        <v>14779</v>
      </c>
      <c r="O605" t="s">
        <v>14787</v>
      </c>
      <c r="P605" t="s">
        <v>14797</v>
      </c>
      <c r="Q605" t="s">
        <v>11448</v>
      </c>
      <c r="S605" t="s">
        <v>14827</v>
      </c>
      <c r="U605" t="s">
        <v>377</v>
      </c>
      <c r="V605">
        <v>422.23</v>
      </c>
      <c r="W605" t="s">
        <v>14858</v>
      </c>
      <c r="X605" t="s">
        <v>14864</v>
      </c>
      <c r="Y605" t="s">
        <v>14884</v>
      </c>
      <c r="Z605" t="s">
        <v>15485</v>
      </c>
      <c r="AB605" t="s">
        <v>20605</v>
      </c>
      <c r="AC605">
        <v>60</v>
      </c>
      <c r="AD605" t="s">
        <v>24599</v>
      </c>
      <c r="AE605" t="s">
        <v>24613</v>
      </c>
      <c r="AF605">
        <v>0</v>
      </c>
      <c r="AG605">
        <v>1</v>
      </c>
      <c r="AH605">
        <v>0</v>
      </c>
      <c r="AI605">
        <v>79.06999999999999</v>
      </c>
      <c r="AL605" t="s">
        <v>24632</v>
      </c>
      <c r="AM605">
        <v>9876</v>
      </c>
      <c r="AS605">
        <v>1.4</v>
      </c>
      <c r="AT605" t="s">
        <v>524</v>
      </c>
      <c r="AU605" t="s">
        <v>184</v>
      </c>
      <c r="AV605" t="s">
        <v>25335</v>
      </c>
      <c r="AW605" t="s">
        <v>11447</v>
      </c>
    </row>
    <row r="606" spans="1:49">
      <c r="A606" s="1">
        <f>HYPERLINK("https://lsnyc.legalserver.org/matter/dynamic-profile/view/1906984","19-1906984")</f>
        <v>0</v>
      </c>
      <c r="B606" t="s">
        <v>184</v>
      </c>
      <c r="C606" t="s">
        <v>354</v>
      </c>
      <c r="D606" t="s">
        <v>524</v>
      </c>
      <c r="E606" t="s">
        <v>1144</v>
      </c>
      <c r="F606" t="s">
        <v>1210</v>
      </c>
      <c r="G606" t="s">
        <v>6856</v>
      </c>
      <c r="H606" t="s">
        <v>10470</v>
      </c>
      <c r="I606" t="s">
        <v>11383</v>
      </c>
      <c r="J606">
        <v>10475</v>
      </c>
      <c r="K606" t="s">
        <v>11446</v>
      </c>
      <c r="M606" t="s">
        <v>14748</v>
      </c>
      <c r="N606" t="s">
        <v>14779</v>
      </c>
      <c r="O606" t="s">
        <v>14787</v>
      </c>
      <c r="P606" t="s">
        <v>14797</v>
      </c>
      <c r="Q606" t="s">
        <v>11448</v>
      </c>
      <c r="S606" t="s">
        <v>14827</v>
      </c>
      <c r="U606" t="s">
        <v>377</v>
      </c>
      <c r="V606">
        <v>801.79</v>
      </c>
      <c r="W606" t="s">
        <v>14858</v>
      </c>
      <c r="X606" t="s">
        <v>14864</v>
      </c>
      <c r="Y606" t="s">
        <v>14885</v>
      </c>
      <c r="Z606" t="s">
        <v>15486</v>
      </c>
      <c r="AB606" t="s">
        <v>20606</v>
      </c>
      <c r="AC606">
        <v>10914</v>
      </c>
      <c r="AD606" t="s">
        <v>24601</v>
      </c>
      <c r="AE606" t="s">
        <v>11459</v>
      </c>
      <c r="AF606">
        <v>5</v>
      </c>
      <c r="AG606">
        <v>1</v>
      </c>
      <c r="AH606">
        <v>0</v>
      </c>
      <c r="AI606">
        <v>186.87</v>
      </c>
      <c r="AL606" t="s">
        <v>5011</v>
      </c>
      <c r="AM606">
        <v>23340</v>
      </c>
      <c r="AS606">
        <v>1.4</v>
      </c>
      <c r="AT606" t="s">
        <v>524</v>
      </c>
      <c r="AU606" t="s">
        <v>184</v>
      </c>
      <c r="AV606" t="s">
        <v>25335</v>
      </c>
      <c r="AW606" t="s">
        <v>11447</v>
      </c>
    </row>
    <row r="607" spans="1:49">
      <c r="A607" s="1">
        <f>HYPERLINK("https://lsnyc.legalserver.org/matter/dynamic-profile/view/1900869","19-1900869")</f>
        <v>0</v>
      </c>
      <c r="B607" t="s">
        <v>177</v>
      </c>
      <c r="C607" t="s">
        <v>351</v>
      </c>
      <c r="D607" t="s">
        <v>524</v>
      </c>
      <c r="E607" t="s">
        <v>1035</v>
      </c>
      <c r="F607" t="s">
        <v>3988</v>
      </c>
      <c r="G607" t="s">
        <v>6857</v>
      </c>
      <c r="H607" t="s">
        <v>10493</v>
      </c>
      <c r="I607" t="s">
        <v>11385</v>
      </c>
      <c r="J607">
        <v>11237</v>
      </c>
      <c r="K607" t="s">
        <v>11447</v>
      </c>
      <c r="O607" t="s">
        <v>14786</v>
      </c>
      <c r="P607" t="s">
        <v>14797</v>
      </c>
      <c r="S607" t="s">
        <v>14827</v>
      </c>
      <c r="V607">
        <v>0</v>
      </c>
      <c r="W607" t="s">
        <v>14859</v>
      </c>
      <c r="Y607" t="s">
        <v>14883</v>
      </c>
      <c r="Z607" t="s">
        <v>15487</v>
      </c>
      <c r="AB607" t="s">
        <v>20607</v>
      </c>
      <c r="AC607">
        <v>0</v>
      </c>
      <c r="AF607">
        <v>0</v>
      </c>
      <c r="AG607">
        <v>1</v>
      </c>
      <c r="AH607">
        <v>0</v>
      </c>
      <c r="AI607">
        <v>0</v>
      </c>
      <c r="AL607" t="s">
        <v>5011</v>
      </c>
      <c r="AM607">
        <v>0</v>
      </c>
      <c r="AS607">
        <v>1</v>
      </c>
      <c r="AT607" t="s">
        <v>524</v>
      </c>
      <c r="AU607" t="s">
        <v>177</v>
      </c>
      <c r="AW607" t="s">
        <v>11447</v>
      </c>
    </row>
    <row r="608" spans="1:49">
      <c r="A608" s="1">
        <f>HYPERLINK("https://lsnyc.legalserver.org/matter/dynamic-profile/view/1883207","18-1883207")</f>
        <v>0</v>
      </c>
      <c r="B608" t="s">
        <v>177</v>
      </c>
      <c r="C608" t="s">
        <v>623</v>
      </c>
      <c r="D608" t="s">
        <v>524</v>
      </c>
      <c r="E608" t="s">
        <v>1493</v>
      </c>
      <c r="F608" t="s">
        <v>3989</v>
      </c>
      <c r="G608" t="s">
        <v>6858</v>
      </c>
      <c r="H608" t="s">
        <v>10680</v>
      </c>
      <c r="I608" t="s">
        <v>11385</v>
      </c>
      <c r="J608">
        <v>11226</v>
      </c>
      <c r="K608" t="s">
        <v>11447</v>
      </c>
      <c r="O608" t="s">
        <v>14786</v>
      </c>
      <c r="P608" t="s">
        <v>14797</v>
      </c>
      <c r="S608" t="s">
        <v>14827</v>
      </c>
      <c r="V608">
        <v>0</v>
      </c>
      <c r="W608" t="s">
        <v>14859</v>
      </c>
      <c r="Y608" t="s">
        <v>14883</v>
      </c>
      <c r="Z608" t="s">
        <v>15488</v>
      </c>
      <c r="AB608" t="s">
        <v>20608</v>
      </c>
      <c r="AC608">
        <v>0</v>
      </c>
      <c r="AF608">
        <v>0</v>
      </c>
      <c r="AG608">
        <v>1</v>
      </c>
      <c r="AH608">
        <v>0</v>
      </c>
      <c r="AI608">
        <v>116.84</v>
      </c>
      <c r="AL608" t="s">
        <v>5011</v>
      </c>
      <c r="AM608">
        <v>14184</v>
      </c>
      <c r="AN608" t="s">
        <v>24719</v>
      </c>
      <c r="AS608">
        <v>1.7</v>
      </c>
      <c r="AT608" t="s">
        <v>524</v>
      </c>
      <c r="AU608" t="s">
        <v>177</v>
      </c>
      <c r="AW608" t="s">
        <v>11447</v>
      </c>
    </row>
    <row r="609" spans="1:49">
      <c r="A609" s="1">
        <f>HYPERLINK("https://lsnyc.legalserver.org/matter/dynamic-profile/view/1878104","18-1878104")</f>
        <v>0</v>
      </c>
      <c r="B609" t="s">
        <v>77</v>
      </c>
      <c r="C609" t="s">
        <v>624</v>
      </c>
      <c r="D609" t="s">
        <v>458</v>
      </c>
      <c r="E609" t="s">
        <v>1494</v>
      </c>
      <c r="F609" t="s">
        <v>3990</v>
      </c>
      <c r="G609" t="s">
        <v>6859</v>
      </c>
      <c r="H609" t="s">
        <v>10638</v>
      </c>
      <c r="I609" t="s">
        <v>11385</v>
      </c>
      <c r="J609">
        <v>11237</v>
      </c>
      <c r="K609" t="s">
        <v>11446</v>
      </c>
      <c r="L609" t="s">
        <v>11625</v>
      </c>
      <c r="M609" t="s">
        <v>14744</v>
      </c>
      <c r="N609" t="s">
        <v>14781</v>
      </c>
      <c r="O609" t="s">
        <v>14788</v>
      </c>
      <c r="P609" t="s">
        <v>14797</v>
      </c>
      <c r="Q609" t="s">
        <v>11448</v>
      </c>
      <c r="S609" t="s">
        <v>14827</v>
      </c>
      <c r="U609" t="s">
        <v>332</v>
      </c>
      <c r="V609">
        <v>0</v>
      </c>
      <c r="W609" t="s">
        <v>14859</v>
      </c>
      <c r="Y609" t="s">
        <v>14894</v>
      </c>
      <c r="Z609" t="s">
        <v>15489</v>
      </c>
      <c r="AB609" t="s">
        <v>20609</v>
      </c>
      <c r="AC609">
        <v>32</v>
      </c>
      <c r="AF609">
        <v>0</v>
      </c>
      <c r="AG609">
        <v>1</v>
      </c>
      <c r="AH609">
        <v>0</v>
      </c>
      <c r="AI609">
        <v>72.65000000000001</v>
      </c>
      <c r="AL609" t="s">
        <v>5011</v>
      </c>
      <c r="AM609">
        <v>8820</v>
      </c>
      <c r="AO609" t="s">
        <v>24935</v>
      </c>
      <c r="AP609" t="s">
        <v>24946</v>
      </c>
      <c r="AQ609" t="s">
        <v>24986</v>
      </c>
      <c r="AR609" t="s">
        <v>25008</v>
      </c>
      <c r="AS609">
        <v>21.9</v>
      </c>
      <c r="AT609" t="s">
        <v>458</v>
      </c>
      <c r="AU609" t="s">
        <v>25273</v>
      </c>
      <c r="AV609" t="s">
        <v>25335</v>
      </c>
      <c r="AW609" t="s">
        <v>11447</v>
      </c>
    </row>
    <row r="610" spans="1:49">
      <c r="A610" s="1">
        <f>HYPERLINK("https://lsnyc.legalserver.org/matter/dynamic-profile/view/1880321","18-1880321")</f>
        <v>0</v>
      </c>
      <c r="B610" t="s">
        <v>77</v>
      </c>
      <c r="C610" t="s">
        <v>454</v>
      </c>
      <c r="D610" t="s">
        <v>458</v>
      </c>
      <c r="E610" t="s">
        <v>1495</v>
      </c>
      <c r="F610" t="s">
        <v>3975</v>
      </c>
      <c r="G610" t="s">
        <v>6860</v>
      </c>
      <c r="H610" t="s">
        <v>10681</v>
      </c>
      <c r="I610" t="s">
        <v>11385</v>
      </c>
      <c r="J610">
        <v>11208</v>
      </c>
      <c r="K610" t="s">
        <v>11446</v>
      </c>
      <c r="L610" t="s">
        <v>11626</v>
      </c>
      <c r="M610" t="s">
        <v>14744</v>
      </c>
      <c r="N610" t="s">
        <v>14781</v>
      </c>
      <c r="O610" t="s">
        <v>14788</v>
      </c>
      <c r="P610" t="s">
        <v>14797</v>
      </c>
      <c r="Q610" t="s">
        <v>11448</v>
      </c>
      <c r="S610" t="s">
        <v>14827</v>
      </c>
      <c r="T610" t="s">
        <v>14832</v>
      </c>
      <c r="U610" t="s">
        <v>555</v>
      </c>
      <c r="V610">
        <v>0</v>
      </c>
      <c r="W610" t="s">
        <v>14859</v>
      </c>
      <c r="X610" t="s">
        <v>14868</v>
      </c>
      <c r="Y610" t="s">
        <v>14887</v>
      </c>
      <c r="Z610" t="s">
        <v>15490</v>
      </c>
      <c r="AB610" t="s">
        <v>20610</v>
      </c>
      <c r="AC610">
        <v>294</v>
      </c>
      <c r="AD610" t="s">
        <v>24605</v>
      </c>
      <c r="AE610" t="s">
        <v>24611</v>
      </c>
      <c r="AF610">
        <v>5</v>
      </c>
      <c r="AG610">
        <v>1</v>
      </c>
      <c r="AH610">
        <v>0</v>
      </c>
      <c r="AI610">
        <v>84.70999999999999</v>
      </c>
      <c r="AL610" t="s">
        <v>5011</v>
      </c>
      <c r="AM610">
        <v>10284</v>
      </c>
      <c r="AO610" t="s">
        <v>24930</v>
      </c>
      <c r="AP610" t="s">
        <v>24941</v>
      </c>
      <c r="AQ610" t="s">
        <v>24986</v>
      </c>
      <c r="AR610" t="s">
        <v>25009</v>
      </c>
      <c r="AS610">
        <v>18.3</v>
      </c>
      <c r="AT610" t="s">
        <v>458</v>
      </c>
      <c r="AU610" t="s">
        <v>25225</v>
      </c>
      <c r="AV610" t="s">
        <v>25335</v>
      </c>
      <c r="AW610" t="s">
        <v>11447</v>
      </c>
    </row>
    <row r="611" spans="1:49">
      <c r="A611" s="1">
        <f>HYPERLINK("https://lsnyc.legalserver.org/matter/dynamic-profile/view/1904812","19-1904812")</f>
        <v>0</v>
      </c>
      <c r="B611" t="s">
        <v>116</v>
      </c>
      <c r="C611" t="s">
        <v>345</v>
      </c>
      <c r="D611" t="s">
        <v>455</v>
      </c>
      <c r="E611" t="s">
        <v>1220</v>
      </c>
      <c r="F611" t="s">
        <v>3991</v>
      </c>
      <c r="G611" t="s">
        <v>6861</v>
      </c>
      <c r="H611">
        <v>602</v>
      </c>
      <c r="I611" t="s">
        <v>11383</v>
      </c>
      <c r="J611">
        <v>10452</v>
      </c>
      <c r="K611" t="s">
        <v>11446</v>
      </c>
      <c r="L611" t="s">
        <v>11465</v>
      </c>
      <c r="M611" t="s">
        <v>14747</v>
      </c>
      <c r="N611" t="s">
        <v>14778</v>
      </c>
      <c r="O611" t="s">
        <v>14786</v>
      </c>
      <c r="P611" t="s">
        <v>14797</v>
      </c>
      <c r="Q611" t="s">
        <v>11448</v>
      </c>
      <c r="S611" t="s">
        <v>14827</v>
      </c>
      <c r="U611" t="s">
        <v>377</v>
      </c>
      <c r="V611">
        <v>557</v>
      </c>
      <c r="W611" t="s">
        <v>14858</v>
      </c>
      <c r="X611" t="s">
        <v>14864</v>
      </c>
      <c r="Y611" t="s">
        <v>14883</v>
      </c>
      <c r="Z611" t="s">
        <v>15491</v>
      </c>
      <c r="AB611" t="s">
        <v>20611</v>
      </c>
      <c r="AC611">
        <v>82</v>
      </c>
      <c r="AD611" t="s">
        <v>11479</v>
      </c>
      <c r="AE611" t="s">
        <v>11459</v>
      </c>
      <c r="AF611">
        <v>5</v>
      </c>
      <c r="AG611">
        <v>2</v>
      </c>
      <c r="AH611">
        <v>2</v>
      </c>
      <c r="AI611">
        <v>100.97</v>
      </c>
      <c r="AM611">
        <v>26000</v>
      </c>
      <c r="AS611">
        <v>1.5</v>
      </c>
      <c r="AT611" t="s">
        <v>493</v>
      </c>
      <c r="AU611" t="s">
        <v>25242</v>
      </c>
      <c r="AV611" t="s">
        <v>25335</v>
      </c>
      <c r="AW611" t="s">
        <v>11447</v>
      </c>
    </row>
    <row r="612" spans="1:49">
      <c r="A612" s="1">
        <f>HYPERLINK("https://lsnyc.legalserver.org/matter/dynamic-profile/view/1903509","19-1903509")</f>
        <v>0</v>
      </c>
      <c r="B612" t="s">
        <v>78</v>
      </c>
      <c r="C612" t="s">
        <v>455</v>
      </c>
      <c r="D612" t="s">
        <v>455</v>
      </c>
      <c r="E612" t="s">
        <v>1455</v>
      </c>
      <c r="F612" t="s">
        <v>3547</v>
      </c>
      <c r="G612" t="s">
        <v>6862</v>
      </c>
      <c r="H612" t="s">
        <v>10510</v>
      </c>
      <c r="I612" t="s">
        <v>11383</v>
      </c>
      <c r="J612">
        <v>10458</v>
      </c>
      <c r="K612" t="s">
        <v>11447</v>
      </c>
      <c r="N612" t="s">
        <v>14778</v>
      </c>
      <c r="O612" t="s">
        <v>14786</v>
      </c>
      <c r="P612" t="s">
        <v>14797</v>
      </c>
      <c r="S612" t="s">
        <v>14827</v>
      </c>
      <c r="V612">
        <v>0</v>
      </c>
      <c r="W612" t="s">
        <v>14858</v>
      </c>
      <c r="Y612" t="s">
        <v>14883</v>
      </c>
      <c r="Z612" t="s">
        <v>15492</v>
      </c>
      <c r="AB612" t="s">
        <v>20612</v>
      </c>
      <c r="AC612">
        <v>0</v>
      </c>
      <c r="AF612">
        <v>0</v>
      </c>
      <c r="AG612">
        <v>3</v>
      </c>
      <c r="AH612">
        <v>3</v>
      </c>
      <c r="AI612">
        <v>14.22</v>
      </c>
      <c r="AL612" t="s">
        <v>24632</v>
      </c>
      <c r="AM612">
        <v>4920</v>
      </c>
      <c r="AS612">
        <v>0.5</v>
      </c>
      <c r="AT612" t="s">
        <v>455</v>
      </c>
      <c r="AU612" t="s">
        <v>78</v>
      </c>
      <c r="AW612" t="s">
        <v>11447</v>
      </c>
    </row>
    <row r="613" spans="1:49">
      <c r="A613" s="1">
        <f>HYPERLINK("https://lsnyc.legalserver.org/matter/dynamic-profile/view/1900072","19-1900072")</f>
        <v>0</v>
      </c>
      <c r="B613" t="s">
        <v>78</v>
      </c>
      <c r="C613" t="s">
        <v>455</v>
      </c>
      <c r="D613" t="s">
        <v>455</v>
      </c>
      <c r="E613" t="s">
        <v>1108</v>
      </c>
      <c r="F613" t="s">
        <v>3992</v>
      </c>
      <c r="G613" t="s">
        <v>6863</v>
      </c>
      <c r="H613" t="s">
        <v>10665</v>
      </c>
      <c r="I613" t="s">
        <v>11383</v>
      </c>
      <c r="J613">
        <v>10461</v>
      </c>
      <c r="K613" t="s">
        <v>11447</v>
      </c>
      <c r="N613" t="s">
        <v>14778</v>
      </c>
      <c r="O613" t="s">
        <v>14786</v>
      </c>
      <c r="P613" t="s">
        <v>14797</v>
      </c>
      <c r="S613" t="s">
        <v>14827</v>
      </c>
      <c r="V613">
        <v>1091.07</v>
      </c>
      <c r="W613" t="s">
        <v>14858</v>
      </c>
      <c r="X613" t="s">
        <v>14866</v>
      </c>
      <c r="Y613" t="s">
        <v>14883</v>
      </c>
      <c r="Z613" t="s">
        <v>15493</v>
      </c>
      <c r="AC613">
        <v>0</v>
      </c>
      <c r="AD613" t="s">
        <v>24595</v>
      </c>
      <c r="AE613" t="s">
        <v>11459</v>
      </c>
      <c r="AF613">
        <v>4</v>
      </c>
      <c r="AG613">
        <v>1</v>
      </c>
      <c r="AH613">
        <v>1</v>
      </c>
      <c r="AI613">
        <v>65.05</v>
      </c>
      <c r="AL613" t="s">
        <v>24632</v>
      </c>
      <c r="AM613">
        <v>11000</v>
      </c>
      <c r="AS613">
        <v>0.5</v>
      </c>
      <c r="AT613" t="s">
        <v>455</v>
      </c>
      <c r="AU613" t="s">
        <v>78</v>
      </c>
      <c r="AW613" t="s">
        <v>11447</v>
      </c>
    </row>
    <row r="614" spans="1:49">
      <c r="A614" s="1">
        <f>HYPERLINK("https://lsnyc.legalserver.org/matter/dynamic-profile/view/1900059","19-1900059")</f>
        <v>0</v>
      </c>
      <c r="B614" t="s">
        <v>78</v>
      </c>
      <c r="C614" t="s">
        <v>455</v>
      </c>
      <c r="D614" t="s">
        <v>455</v>
      </c>
      <c r="E614" t="s">
        <v>1032</v>
      </c>
      <c r="F614" t="s">
        <v>3993</v>
      </c>
      <c r="G614" t="s">
        <v>6864</v>
      </c>
      <c r="H614" t="s">
        <v>10682</v>
      </c>
      <c r="I614" t="s">
        <v>11383</v>
      </c>
      <c r="J614">
        <v>10458</v>
      </c>
      <c r="K614" t="s">
        <v>11447</v>
      </c>
      <c r="N614" t="s">
        <v>14778</v>
      </c>
      <c r="O614" t="s">
        <v>14786</v>
      </c>
      <c r="P614" t="s">
        <v>14797</v>
      </c>
      <c r="S614" t="s">
        <v>14827</v>
      </c>
      <c r="V614">
        <v>170.4</v>
      </c>
      <c r="W614" t="s">
        <v>14858</v>
      </c>
      <c r="X614" t="s">
        <v>14864</v>
      </c>
      <c r="Y614" t="s">
        <v>14883</v>
      </c>
      <c r="Z614" t="s">
        <v>15494</v>
      </c>
      <c r="AB614" t="s">
        <v>20613</v>
      </c>
      <c r="AC614">
        <v>0</v>
      </c>
      <c r="AD614" t="s">
        <v>24603</v>
      </c>
      <c r="AE614" t="s">
        <v>14755</v>
      </c>
      <c r="AF614">
        <v>6</v>
      </c>
      <c r="AG614">
        <v>1</v>
      </c>
      <c r="AH614">
        <v>0</v>
      </c>
      <c r="AI614">
        <v>67.73</v>
      </c>
      <c r="AL614" t="s">
        <v>5011</v>
      </c>
      <c r="AM614">
        <v>8460</v>
      </c>
      <c r="AS614">
        <v>0.5</v>
      </c>
      <c r="AT614" t="s">
        <v>455</v>
      </c>
      <c r="AU614" t="s">
        <v>78</v>
      </c>
      <c r="AW614" t="s">
        <v>11447</v>
      </c>
    </row>
    <row r="615" spans="1:49">
      <c r="A615" s="1">
        <f>HYPERLINK("https://lsnyc.legalserver.org/matter/dynamic-profile/view/1900068","19-1900068")</f>
        <v>0</v>
      </c>
      <c r="B615" t="s">
        <v>78</v>
      </c>
      <c r="C615" t="s">
        <v>455</v>
      </c>
      <c r="D615" t="s">
        <v>455</v>
      </c>
      <c r="E615" t="s">
        <v>1496</v>
      </c>
      <c r="F615" t="s">
        <v>3994</v>
      </c>
      <c r="G615" t="s">
        <v>6865</v>
      </c>
      <c r="I615" t="s">
        <v>11383</v>
      </c>
      <c r="J615">
        <v>10467</v>
      </c>
      <c r="K615" t="s">
        <v>11447</v>
      </c>
      <c r="N615" t="s">
        <v>14778</v>
      </c>
      <c r="O615" t="s">
        <v>14786</v>
      </c>
      <c r="P615" t="s">
        <v>14797</v>
      </c>
      <c r="Q615" t="s">
        <v>11448</v>
      </c>
      <c r="S615" t="s">
        <v>14827</v>
      </c>
      <c r="V615">
        <v>1074.58</v>
      </c>
      <c r="W615" t="s">
        <v>14858</v>
      </c>
      <c r="Y615" t="s">
        <v>14883</v>
      </c>
      <c r="Z615" t="s">
        <v>15495</v>
      </c>
      <c r="AB615" t="s">
        <v>20614</v>
      </c>
      <c r="AC615">
        <v>0</v>
      </c>
      <c r="AD615" t="s">
        <v>24595</v>
      </c>
      <c r="AF615">
        <v>13</v>
      </c>
      <c r="AG615">
        <v>1</v>
      </c>
      <c r="AH615">
        <v>1</v>
      </c>
      <c r="AI615">
        <v>76.88</v>
      </c>
      <c r="AM615">
        <v>13000</v>
      </c>
      <c r="AS615">
        <v>0.5</v>
      </c>
      <c r="AT615" t="s">
        <v>455</v>
      </c>
      <c r="AU615" t="s">
        <v>78</v>
      </c>
      <c r="AW615" t="s">
        <v>11447</v>
      </c>
    </row>
    <row r="616" spans="1:49">
      <c r="A616" s="1">
        <f>HYPERLINK("https://lsnyc.legalserver.org/matter/dynamic-profile/view/1903611","19-1903611")</f>
        <v>0</v>
      </c>
      <c r="B616" t="s">
        <v>78</v>
      </c>
      <c r="C616" t="s">
        <v>455</v>
      </c>
      <c r="D616" t="s">
        <v>455</v>
      </c>
      <c r="E616" t="s">
        <v>1497</v>
      </c>
      <c r="F616" t="s">
        <v>3995</v>
      </c>
      <c r="G616" t="s">
        <v>6866</v>
      </c>
      <c r="I616" t="s">
        <v>11383</v>
      </c>
      <c r="J616">
        <v>10453</v>
      </c>
      <c r="K616" t="s">
        <v>11447</v>
      </c>
      <c r="M616" t="s">
        <v>14746</v>
      </c>
      <c r="N616" t="s">
        <v>14778</v>
      </c>
      <c r="O616" t="s">
        <v>14786</v>
      </c>
      <c r="P616" t="s">
        <v>14797</v>
      </c>
      <c r="S616" t="s">
        <v>14827</v>
      </c>
      <c r="V616">
        <v>0</v>
      </c>
      <c r="W616" t="s">
        <v>14858</v>
      </c>
      <c r="X616" t="s">
        <v>14867</v>
      </c>
      <c r="Y616" t="s">
        <v>14883</v>
      </c>
      <c r="Z616" t="s">
        <v>15496</v>
      </c>
      <c r="AB616" t="s">
        <v>20615</v>
      </c>
      <c r="AC616">
        <v>49</v>
      </c>
      <c r="AF616">
        <v>6</v>
      </c>
      <c r="AG616">
        <v>2</v>
      </c>
      <c r="AH616">
        <v>0</v>
      </c>
      <c r="AI616">
        <v>77.20999999999999</v>
      </c>
      <c r="AL616" t="s">
        <v>5011</v>
      </c>
      <c r="AM616">
        <v>13056</v>
      </c>
      <c r="AS616">
        <v>0.5</v>
      </c>
      <c r="AT616" t="s">
        <v>455</v>
      </c>
      <c r="AU616" t="s">
        <v>78</v>
      </c>
      <c r="AW616" t="s">
        <v>11447</v>
      </c>
    </row>
    <row r="617" spans="1:49">
      <c r="A617" s="1">
        <f>HYPERLINK("https://lsnyc.legalserver.org/matter/dynamic-profile/view/1903610","19-1903610")</f>
        <v>0</v>
      </c>
      <c r="B617" t="s">
        <v>78</v>
      </c>
      <c r="C617" t="s">
        <v>455</v>
      </c>
      <c r="D617" t="s">
        <v>455</v>
      </c>
      <c r="E617" t="s">
        <v>1498</v>
      </c>
      <c r="F617" t="s">
        <v>3996</v>
      </c>
      <c r="G617" t="s">
        <v>6867</v>
      </c>
      <c r="I617" t="s">
        <v>11383</v>
      </c>
      <c r="J617">
        <v>10452</v>
      </c>
      <c r="K617" t="s">
        <v>11447</v>
      </c>
      <c r="M617" t="s">
        <v>11601</v>
      </c>
      <c r="N617" t="s">
        <v>14778</v>
      </c>
      <c r="O617" t="s">
        <v>14786</v>
      </c>
      <c r="P617" t="s">
        <v>14797</v>
      </c>
      <c r="Q617" t="s">
        <v>11448</v>
      </c>
      <c r="S617" t="s">
        <v>14827</v>
      </c>
      <c r="V617">
        <v>1764.15</v>
      </c>
      <c r="W617" t="s">
        <v>14858</v>
      </c>
      <c r="X617" t="s">
        <v>14755</v>
      </c>
      <c r="Y617" t="s">
        <v>14883</v>
      </c>
      <c r="Z617" t="s">
        <v>15497</v>
      </c>
      <c r="AB617" t="s">
        <v>20616</v>
      </c>
      <c r="AC617">
        <v>58</v>
      </c>
      <c r="AF617">
        <v>3</v>
      </c>
      <c r="AG617">
        <v>2</v>
      </c>
      <c r="AH617">
        <v>2</v>
      </c>
      <c r="AI617">
        <v>116.5</v>
      </c>
      <c r="AL617" t="s">
        <v>24632</v>
      </c>
      <c r="AM617">
        <v>30000</v>
      </c>
      <c r="AS617">
        <v>0.5</v>
      </c>
      <c r="AT617" t="s">
        <v>455</v>
      </c>
      <c r="AU617" t="s">
        <v>78</v>
      </c>
      <c r="AW617" t="s">
        <v>11447</v>
      </c>
    </row>
    <row r="618" spans="1:49">
      <c r="A618" s="1">
        <f>HYPERLINK("https://lsnyc.legalserver.org/matter/dynamic-profile/view/1900046","19-1900046")</f>
        <v>0</v>
      </c>
      <c r="B618" t="s">
        <v>78</v>
      </c>
      <c r="C618" t="s">
        <v>455</v>
      </c>
      <c r="D618" t="s">
        <v>455</v>
      </c>
      <c r="E618" t="s">
        <v>1499</v>
      </c>
      <c r="F618" t="s">
        <v>3997</v>
      </c>
      <c r="G618" t="s">
        <v>6868</v>
      </c>
      <c r="H618" t="s">
        <v>10683</v>
      </c>
      <c r="I618" t="s">
        <v>11383</v>
      </c>
      <c r="J618">
        <v>10456</v>
      </c>
      <c r="K618" t="s">
        <v>11447</v>
      </c>
      <c r="M618" t="s">
        <v>14743</v>
      </c>
      <c r="N618" t="s">
        <v>14778</v>
      </c>
      <c r="O618" t="s">
        <v>14786</v>
      </c>
      <c r="P618" t="s">
        <v>14797</v>
      </c>
      <c r="S618" t="s">
        <v>14827</v>
      </c>
      <c r="V618">
        <v>497</v>
      </c>
      <c r="W618" t="s">
        <v>14858</v>
      </c>
      <c r="X618" t="s">
        <v>14864</v>
      </c>
      <c r="Y618" t="s">
        <v>14883</v>
      </c>
      <c r="Z618" t="s">
        <v>15498</v>
      </c>
      <c r="AB618" t="s">
        <v>20617</v>
      </c>
      <c r="AC618">
        <v>0</v>
      </c>
      <c r="AD618" t="s">
        <v>24595</v>
      </c>
      <c r="AE618" t="s">
        <v>11459</v>
      </c>
      <c r="AF618">
        <v>6</v>
      </c>
      <c r="AG618">
        <v>3</v>
      </c>
      <c r="AH618">
        <v>0</v>
      </c>
      <c r="AI618">
        <v>117.21</v>
      </c>
      <c r="AL618" t="s">
        <v>24646</v>
      </c>
      <c r="AM618">
        <v>25000</v>
      </c>
      <c r="AS618">
        <v>0.5</v>
      </c>
      <c r="AT618" t="s">
        <v>455</v>
      </c>
      <c r="AU618" t="s">
        <v>78</v>
      </c>
      <c r="AW618" t="s">
        <v>11447</v>
      </c>
    </row>
    <row r="619" spans="1:49">
      <c r="A619" s="1">
        <f>HYPERLINK("https://lsnyc.legalserver.org/matter/dynamic-profile/view/1904791","19-1904791")</f>
        <v>0</v>
      </c>
      <c r="B619" t="s">
        <v>185</v>
      </c>
      <c r="C619" t="s">
        <v>345</v>
      </c>
      <c r="D619" t="s">
        <v>455</v>
      </c>
      <c r="E619" t="s">
        <v>1500</v>
      </c>
      <c r="F619" t="s">
        <v>3998</v>
      </c>
      <c r="G619" t="s">
        <v>6869</v>
      </c>
      <c r="H619">
        <v>1</v>
      </c>
      <c r="I619" t="s">
        <v>11385</v>
      </c>
      <c r="J619">
        <v>11208</v>
      </c>
      <c r="K619" t="s">
        <v>11447</v>
      </c>
      <c r="N619" t="s">
        <v>14778</v>
      </c>
      <c r="O619" t="s">
        <v>14786</v>
      </c>
      <c r="P619" t="s">
        <v>14797</v>
      </c>
      <c r="S619" t="s">
        <v>14827</v>
      </c>
      <c r="V619">
        <v>1530</v>
      </c>
      <c r="W619" t="s">
        <v>14859</v>
      </c>
      <c r="X619" t="s">
        <v>14866</v>
      </c>
      <c r="Y619" t="s">
        <v>14893</v>
      </c>
      <c r="Z619" t="s">
        <v>15499</v>
      </c>
      <c r="AB619" t="s">
        <v>20618</v>
      </c>
      <c r="AC619">
        <v>3</v>
      </c>
      <c r="AF619">
        <v>6</v>
      </c>
      <c r="AG619">
        <v>2</v>
      </c>
      <c r="AH619">
        <v>2</v>
      </c>
      <c r="AI619">
        <v>118.14</v>
      </c>
      <c r="AL619" t="s">
        <v>24632</v>
      </c>
      <c r="AM619">
        <v>30420</v>
      </c>
      <c r="AS619">
        <v>1.9</v>
      </c>
      <c r="AT619" t="s">
        <v>458</v>
      </c>
      <c r="AU619" t="s">
        <v>25236</v>
      </c>
      <c r="AW619" t="s">
        <v>11447</v>
      </c>
    </row>
    <row r="620" spans="1:49">
      <c r="A620" s="1">
        <f>HYPERLINK("https://lsnyc.legalserver.org/matter/dynamic-profile/view/1907973","19-1907973")</f>
        <v>0</v>
      </c>
      <c r="B620" t="s">
        <v>119</v>
      </c>
      <c r="C620" t="s">
        <v>458</v>
      </c>
      <c r="D620" t="s">
        <v>455</v>
      </c>
      <c r="E620" t="s">
        <v>1501</v>
      </c>
      <c r="F620" t="s">
        <v>2002</v>
      </c>
      <c r="G620" t="s">
        <v>6870</v>
      </c>
      <c r="H620" t="s">
        <v>10684</v>
      </c>
      <c r="I620" t="s">
        <v>11383</v>
      </c>
      <c r="J620">
        <v>10458</v>
      </c>
      <c r="K620" t="s">
        <v>11446</v>
      </c>
      <c r="L620" t="s">
        <v>11627</v>
      </c>
      <c r="M620" t="s">
        <v>14744</v>
      </c>
      <c r="N620" t="s">
        <v>14779</v>
      </c>
      <c r="O620" t="s">
        <v>14787</v>
      </c>
      <c r="P620" t="s">
        <v>14797</v>
      </c>
      <c r="Q620" t="s">
        <v>11446</v>
      </c>
      <c r="S620" t="s">
        <v>14827</v>
      </c>
      <c r="T620" t="s">
        <v>14832</v>
      </c>
      <c r="V620">
        <v>1071</v>
      </c>
      <c r="W620" t="s">
        <v>14858</v>
      </c>
      <c r="X620" t="s">
        <v>14868</v>
      </c>
      <c r="Y620" t="s">
        <v>14883</v>
      </c>
      <c r="Z620" t="s">
        <v>15500</v>
      </c>
      <c r="AB620" t="s">
        <v>20619</v>
      </c>
      <c r="AC620">
        <v>136</v>
      </c>
      <c r="AD620" t="s">
        <v>24595</v>
      </c>
      <c r="AE620" t="s">
        <v>11459</v>
      </c>
      <c r="AF620">
        <v>18</v>
      </c>
      <c r="AG620">
        <v>5</v>
      </c>
      <c r="AH620">
        <v>0</v>
      </c>
      <c r="AI620">
        <v>261.55</v>
      </c>
      <c r="AL620" t="s">
        <v>24632</v>
      </c>
      <c r="AM620">
        <v>78910</v>
      </c>
      <c r="AS620">
        <v>1</v>
      </c>
      <c r="AT620" t="s">
        <v>458</v>
      </c>
      <c r="AU620" t="s">
        <v>245</v>
      </c>
      <c r="AW620" t="s">
        <v>11447</v>
      </c>
    </row>
    <row r="621" spans="1:49">
      <c r="A621" s="1">
        <f>HYPERLINK("https://lsnyc.legalserver.org/matter/dynamic-profile/view/1904772","19-1904772")</f>
        <v>0</v>
      </c>
      <c r="B621" t="s">
        <v>116</v>
      </c>
      <c r="C621" t="s">
        <v>345</v>
      </c>
      <c r="D621" t="s">
        <v>372</v>
      </c>
      <c r="E621" t="s">
        <v>1307</v>
      </c>
      <c r="F621" t="s">
        <v>3808</v>
      </c>
      <c r="G621" t="s">
        <v>6604</v>
      </c>
      <c r="H621" t="s">
        <v>10464</v>
      </c>
      <c r="I621" t="s">
        <v>11383</v>
      </c>
      <c r="J621">
        <v>10460</v>
      </c>
      <c r="K621" t="s">
        <v>11446</v>
      </c>
      <c r="M621" t="s">
        <v>11601</v>
      </c>
      <c r="N621" t="s">
        <v>14778</v>
      </c>
      <c r="O621" t="s">
        <v>14786</v>
      </c>
      <c r="P621" t="s">
        <v>14797</v>
      </c>
      <c r="Q621" t="s">
        <v>11448</v>
      </c>
      <c r="S621" t="s">
        <v>14827</v>
      </c>
      <c r="U621" t="s">
        <v>377</v>
      </c>
      <c r="V621">
        <v>208</v>
      </c>
      <c r="W621" t="s">
        <v>14858</v>
      </c>
      <c r="X621" t="s">
        <v>14864</v>
      </c>
      <c r="Y621" t="s">
        <v>14883</v>
      </c>
      <c r="Z621" t="s">
        <v>15229</v>
      </c>
      <c r="AB621" t="s">
        <v>20387</v>
      </c>
      <c r="AC621">
        <v>35</v>
      </c>
      <c r="AD621" t="s">
        <v>11479</v>
      </c>
      <c r="AE621" t="s">
        <v>11459</v>
      </c>
      <c r="AF621">
        <v>10</v>
      </c>
      <c r="AG621">
        <v>1</v>
      </c>
      <c r="AH621">
        <v>0</v>
      </c>
      <c r="AI621">
        <v>85.22</v>
      </c>
      <c r="AL621" t="s">
        <v>24632</v>
      </c>
      <c r="AM621">
        <v>10644</v>
      </c>
      <c r="AS621">
        <v>1.9</v>
      </c>
      <c r="AT621" t="s">
        <v>455</v>
      </c>
      <c r="AU621" t="s">
        <v>25242</v>
      </c>
      <c r="AV621" t="s">
        <v>25335</v>
      </c>
      <c r="AW621" t="s">
        <v>11447</v>
      </c>
    </row>
    <row r="622" spans="1:49">
      <c r="A622" s="1">
        <f>HYPERLINK("https://lsnyc.legalserver.org/matter/dynamic-profile/view/1906451","19-1906451")</f>
        <v>0</v>
      </c>
      <c r="B622" t="s">
        <v>186</v>
      </c>
      <c r="C622" t="s">
        <v>485</v>
      </c>
      <c r="D622" t="s">
        <v>372</v>
      </c>
      <c r="E622" t="s">
        <v>1502</v>
      </c>
      <c r="F622" t="s">
        <v>3743</v>
      </c>
      <c r="G622" t="s">
        <v>6871</v>
      </c>
      <c r="I622" t="s">
        <v>11383</v>
      </c>
      <c r="J622">
        <v>10472</v>
      </c>
      <c r="K622" t="s">
        <v>11446</v>
      </c>
      <c r="M622" t="s">
        <v>11601</v>
      </c>
      <c r="N622" t="s">
        <v>14779</v>
      </c>
      <c r="O622" t="s">
        <v>14787</v>
      </c>
      <c r="P622" t="s">
        <v>14797</v>
      </c>
      <c r="Q622" t="s">
        <v>11448</v>
      </c>
      <c r="S622" t="s">
        <v>14829</v>
      </c>
      <c r="V622">
        <v>475</v>
      </c>
      <c r="W622" t="s">
        <v>14858</v>
      </c>
      <c r="X622" t="s">
        <v>14876</v>
      </c>
      <c r="Y622" t="s">
        <v>14883</v>
      </c>
      <c r="Z622" t="s">
        <v>15501</v>
      </c>
      <c r="AB622" t="s">
        <v>20620</v>
      </c>
      <c r="AC622">
        <v>0</v>
      </c>
      <c r="AD622" t="s">
        <v>24595</v>
      </c>
      <c r="AF622">
        <v>3</v>
      </c>
      <c r="AG622">
        <v>1</v>
      </c>
      <c r="AH622">
        <v>0</v>
      </c>
      <c r="AI622">
        <v>82.43000000000001</v>
      </c>
      <c r="AL622" t="s">
        <v>5011</v>
      </c>
      <c r="AM622">
        <v>10296</v>
      </c>
      <c r="AS622">
        <v>2.5</v>
      </c>
      <c r="AT622" t="s">
        <v>372</v>
      </c>
      <c r="AU622" t="s">
        <v>186</v>
      </c>
      <c r="AV622" t="s">
        <v>25335</v>
      </c>
      <c r="AW622" t="s">
        <v>11447</v>
      </c>
    </row>
    <row r="623" spans="1:49">
      <c r="A623" s="1">
        <f>HYPERLINK("https://lsnyc.legalserver.org/matter/dynamic-profile/view/1907402","19-1907402")</f>
        <v>0</v>
      </c>
      <c r="B623" t="s">
        <v>187</v>
      </c>
      <c r="C623" t="s">
        <v>368</v>
      </c>
      <c r="D623" t="s">
        <v>375</v>
      </c>
      <c r="E623" t="s">
        <v>1503</v>
      </c>
      <c r="F623" t="s">
        <v>3978</v>
      </c>
      <c r="G623" t="s">
        <v>6872</v>
      </c>
      <c r="H623" t="s">
        <v>10464</v>
      </c>
      <c r="I623" t="s">
        <v>11385</v>
      </c>
      <c r="J623">
        <v>11212</v>
      </c>
      <c r="K623" t="s">
        <v>11446</v>
      </c>
      <c r="L623" t="s">
        <v>11628</v>
      </c>
      <c r="M623" t="s">
        <v>14743</v>
      </c>
      <c r="N623" t="s">
        <v>14779</v>
      </c>
      <c r="O623" t="s">
        <v>14787</v>
      </c>
      <c r="P623" t="s">
        <v>14797</v>
      </c>
      <c r="Q623" t="s">
        <v>11448</v>
      </c>
      <c r="S623" t="s">
        <v>14827</v>
      </c>
      <c r="T623" t="s">
        <v>14832</v>
      </c>
      <c r="U623" t="s">
        <v>458</v>
      </c>
      <c r="V623">
        <v>1100</v>
      </c>
      <c r="W623" t="s">
        <v>14859</v>
      </c>
      <c r="X623" t="s">
        <v>14755</v>
      </c>
      <c r="Y623" t="s">
        <v>14885</v>
      </c>
      <c r="Z623" t="s">
        <v>15502</v>
      </c>
      <c r="AB623" t="s">
        <v>20621</v>
      </c>
      <c r="AC623">
        <v>4</v>
      </c>
      <c r="AD623" t="s">
        <v>24600</v>
      </c>
      <c r="AE623" t="s">
        <v>11459</v>
      </c>
      <c r="AF623">
        <v>17</v>
      </c>
      <c r="AG623">
        <v>2</v>
      </c>
      <c r="AH623">
        <v>0</v>
      </c>
      <c r="AI623">
        <v>266.11</v>
      </c>
      <c r="AL623" t="s">
        <v>5011</v>
      </c>
      <c r="AM623">
        <v>45000</v>
      </c>
      <c r="AS623">
        <v>2.5</v>
      </c>
      <c r="AT623" t="s">
        <v>458</v>
      </c>
      <c r="AU623" t="s">
        <v>120</v>
      </c>
      <c r="AV623" t="s">
        <v>25335</v>
      </c>
      <c r="AW623" t="s">
        <v>11447</v>
      </c>
    </row>
    <row r="624" spans="1:49">
      <c r="A624" s="1">
        <f>HYPERLINK("https://lsnyc.legalserver.org/matter/dynamic-profile/view/1907942","19-1907942")</f>
        <v>0</v>
      </c>
      <c r="B624" t="s">
        <v>66</v>
      </c>
      <c r="C624" t="s">
        <v>458</v>
      </c>
      <c r="D624" t="s">
        <v>375</v>
      </c>
      <c r="E624" t="s">
        <v>1504</v>
      </c>
      <c r="F624" t="s">
        <v>1925</v>
      </c>
      <c r="G624" t="s">
        <v>6873</v>
      </c>
      <c r="H624" t="s">
        <v>10663</v>
      </c>
      <c r="I624" t="s">
        <v>11385</v>
      </c>
      <c r="J624">
        <v>11212</v>
      </c>
      <c r="K624" t="s">
        <v>11448</v>
      </c>
      <c r="L624" t="s">
        <v>11474</v>
      </c>
      <c r="M624" t="s">
        <v>11601</v>
      </c>
      <c r="O624" t="s">
        <v>14786</v>
      </c>
      <c r="P624" t="s">
        <v>14797</v>
      </c>
      <c r="Q624" t="s">
        <v>11448</v>
      </c>
      <c r="S624" t="s">
        <v>14827</v>
      </c>
      <c r="T624" t="s">
        <v>14832</v>
      </c>
      <c r="V624">
        <v>1400</v>
      </c>
      <c r="W624" t="s">
        <v>14859</v>
      </c>
      <c r="Y624" t="s">
        <v>14883</v>
      </c>
      <c r="Z624" t="s">
        <v>15503</v>
      </c>
      <c r="AA624" t="s">
        <v>11465</v>
      </c>
      <c r="AB624" t="s">
        <v>20622</v>
      </c>
      <c r="AC624">
        <v>2</v>
      </c>
      <c r="AD624" t="s">
        <v>24600</v>
      </c>
      <c r="AF624">
        <v>11</v>
      </c>
      <c r="AG624">
        <v>1</v>
      </c>
      <c r="AH624">
        <v>0</v>
      </c>
      <c r="AI624">
        <v>0</v>
      </c>
      <c r="AL624" t="s">
        <v>5011</v>
      </c>
      <c r="AM624">
        <v>0</v>
      </c>
      <c r="AS624">
        <v>0.3</v>
      </c>
      <c r="AT624" t="s">
        <v>458</v>
      </c>
      <c r="AU624" t="s">
        <v>25229</v>
      </c>
      <c r="AV624" t="s">
        <v>11459</v>
      </c>
      <c r="AW624" t="s">
        <v>11447</v>
      </c>
    </row>
    <row r="625" spans="1:49">
      <c r="A625" s="1">
        <f>HYPERLINK("https://lsnyc.legalserver.org/matter/dynamic-profile/view/1906457","19-1906457")</f>
        <v>0</v>
      </c>
      <c r="B625" t="s">
        <v>186</v>
      </c>
      <c r="C625" t="s">
        <v>375</v>
      </c>
      <c r="D625" t="s">
        <v>375</v>
      </c>
      <c r="E625" t="s">
        <v>1505</v>
      </c>
      <c r="F625" t="s">
        <v>1211</v>
      </c>
      <c r="G625" t="s">
        <v>6868</v>
      </c>
      <c r="I625" t="s">
        <v>11383</v>
      </c>
      <c r="J625">
        <v>10456</v>
      </c>
      <c r="K625" t="s">
        <v>11446</v>
      </c>
      <c r="N625" t="s">
        <v>14779</v>
      </c>
      <c r="O625" t="s">
        <v>14787</v>
      </c>
      <c r="P625" t="s">
        <v>14797</v>
      </c>
      <c r="S625" t="s">
        <v>14827</v>
      </c>
      <c r="V625">
        <v>1477.82</v>
      </c>
      <c r="W625" t="s">
        <v>14858</v>
      </c>
      <c r="Y625" t="s">
        <v>14883</v>
      </c>
      <c r="Z625" t="s">
        <v>15504</v>
      </c>
      <c r="AB625" t="s">
        <v>20623</v>
      </c>
      <c r="AC625">
        <v>0</v>
      </c>
      <c r="AE625" t="s">
        <v>24610</v>
      </c>
      <c r="AF625">
        <v>14</v>
      </c>
      <c r="AG625">
        <v>1</v>
      </c>
      <c r="AH625">
        <v>2</v>
      </c>
      <c r="AI625">
        <v>46.88</v>
      </c>
      <c r="AL625" t="s">
        <v>5011</v>
      </c>
      <c r="AM625">
        <v>10000</v>
      </c>
      <c r="AS625">
        <v>1.65</v>
      </c>
      <c r="AT625" t="s">
        <v>375</v>
      </c>
      <c r="AU625" t="s">
        <v>186</v>
      </c>
      <c r="AV625" t="s">
        <v>25335</v>
      </c>
      <c r="AW625" t="s">
        <v>11447</v>
      </c>
    </row>
    <row r="626" spans="1:49">
      <c r="A626" s="1">
        <f>HYPERLINK("https://lsnyc.legalserver.org/matter/dynamic-profile/view/1906452","19-1906452")</f>
        <v>0</v>
      </c>
      <c r="B626" t="s">
        <v>67</v>
      </c>
      <c r="C626" t="s">
        <v>375</v>
      </c>
      <c r="D626" t="s">
        <v>375</v>
      </c>
      <c r="E626" t="s">
        <v>1506</v>
      </c>
      <c r="F626" t="s">
        <v>3999</v>
      </c>
      <c r="G626" t="s">
        <v>6874</v>
      </c>
      <c r="I626" t="s">
        <v>11383</v>
      </c>
      <c r="J626">
        <v>10451</v>
      </c>
      <c r="K626" t="s">
        <v>11446</v>
      </c>
      <c r="M626" t="s">
        <v>14762</v>
      </c>
      <c r="N626" t="s">
        <v>14779</v>
      </c>
      <c r="O626" t="s">
        <v>14786</v>
      </c>
      <c r="P626" t="s">
        <v>14797</v>
      </c>
      <c r="S626" t="s">
        <v>14827</v>
      </c>
      <c r="V626">
        <v>850</v>
      </c>
      <c r="W626" t="s">
        <v>14858</v>
      </c>
      <c r="Y626" t="s">
        <v>14883</v>
      </c>
      <c r="Z626" t="s">
        <v>15505</v>
      </c>
      <c r="AC626">
        <v>101</v>
      </c>
      <c r="AD626" t="s">
        <v>24595</v>
      </c>
      <c r="AF626">
        <v>20</v>
      </c>
      <c r="AG626">
        <v>1</v>
      </c>
      <c r="AH626">
        <v>0</v>
      </c>
      <c r="AI626">
        <v>67.25</v>
      </c>
      <c r="AL626" t="s">
        <v>5011</v>
      </c>
      <c r="AM626">
        <v>8400</v>
      </c>
      <c r="AS626">
        <v>3.75</v>
      </c>
      <c r="AT626" t="s">
        <v>375</v>
      </c>
      <c r="AU626" t="s">
        <v>186</v>
      </c>
      <c r="AV626" t="s">
        <v>25335</v>
      </c>
      <c r="AW626" t="s">
        <v>11447</v>
      </c>
    </row>
    <row r="627" spans="1:49">
      <c r="A627" s="1">
        <f>HYPERLINK("https://lsnyc.legalserver.org/matter/dynamic-profile/view/1906460","19-1906460")</f>
        <v>0</v>
      </c>
      <c r="B627" t="s">
        <v>186</v>
      </c>
      <c r="C627" t="s">
        <v>375</v>
      </c>
      <c r="D627" t="s">
        <v>375</v>
      </c>
      <c r="E627" t="s">
        <v>1144</v>
      </c>
      <c r="F627" t="s">
        <v>4000</v>
      </c>
      <c r="G627" t="s">
        <v>6875</v>
      </c>
      <c r="I627" t="s">
        <v>11383</v>
      </c>
      <c r="J627">
        <v>10452</v>
      </c>
      <c r="K627" t="s">
        <v>11447</v>
      </c>
      <c r="N627" t="s">
        <v>14778</v>
      </c>
      <c r="O627" t="s">
        <v>14786</v>
      </c>
      <c r="P627" t="s">
        <v>14797</v>
      </c>
      <c r="S627" t="s">
        <v>14827</v>
      </c>
      <c r="V627">
        <v>0</v>
      </c>
      <c r="W627" t="s">
        <v>14858</v>
      </c>
      <c r="Y627" t="s">
        <v>14883</v>
      </c>
      <c r="Z627" t="s">
        <v>15506</v>
      </c>
      <c r="AB627" t="s">
        <v>20624</v>
      </c>
      <c r="AC627">
        <v>0</v>
      </c>
      <c r="AF627">
        <v>0</v>
      </c>
      <c r="AG627">
        <v>3</v>
      </c>
      <c r="AH627">
        <v>1</v>
      </c>
      <c r="AI627">
        <v>149.13</v>
      </c>
      <c r="AL627" t="s">
        <v>24632</v>
      </c>
      <c r="AM627">
        <v>38400</v>
      </c>
      <c r="AS627">
        <v>1.75</v>
      </c>
      <c r="AT627" t="s">
        <v>375</v>
      </c>
      <c r="AU627" t="s">
        <v>186</v>
      </c>
      <c r="AW627" t="s">
        <v>11447</v>
      </c>
    </row>
    <row r="628" spans="1:49">
      <c r="A628" s="1">
        <f>HYPERLINK("https://lsnyc.legalserver.org/matter/dynamic-profile/view/1906454","19-1906454")</f>
        <v>0</v>
      </c>
      <c r="B628" t="s">
        <v>186</v>
      </c>
      <c r="C628" t="s">
        <v>372</v>
      </c>
      <c r="D628" t="s">
        <v>375</v>
      </c>
      <c r="E628" t="s">
        <v>1249</v>
      </c>
      <c r="F628" t="s">
        <v>4001</v>
      </c>
      <c r="G628" t="s">
        <v>6876</v>
      </c>
      <c r="I628" t="s">
        <v>11383</v>
      </c>
      <c r="J628">
        <v>10452</v>
      </c>
      <c r="K628" t="s">
        <v>11446</v>
      </c>
      <c r="N628" t="s">
        <v>14779</v>
      </c>
      <c r="O628" t="s">
        <v>14786</v>
      </c>
      <c r="P628" t="s">
        <v>14797</v>
      </c>
      <c r="S628" t="s">
        <v>14827</v>
      </c>
      <c r="V628">
        <v>1550</v>
      </c>
      <c r="W628" t="s">
        <v>14858</v>
      </c>
      <c r="X628" t="s">
        <v>14876</v>
      </c>
      <c r="Y628" t="s">
        <v>14883</v>
      </c>
      <c r="Z628" t="s">
        <v>15507</v>
      </c>
      <c r="AB628" t="s">
        <v>20625</v>
      </c>
      <c r="AC628">
        <v>0</v>
      </c>
      <c r="AF628">
        <v>0</v>
      </c>
      <c r="AG628">
        <v>1</v>
      </c>
      <c r="AH628">
        <v>0</v>
      </c>
      <c r="AI628">
        <v>333</v>
      </c>
      <c r="AL628" t="s">
        <v>5011</v>
      </c>
      <c r="AM628">
        <v>41592</v>
      </c>
      <c r="AS628">
        <v>1.5</v>
      </c>
      <c r="AT628" t="s">
        <v>354</v>
      </c>
      <c r="AU628" t="s">
        <v>186</v>
      </c>
      <c r="AV628" t="s">
        <v>25335</v>
      </c>
      <c r="AW628" t="s">
        <v>11447</v>
      </c>
    </row>
    <row r="629" spans="1:49">
      <c r="A629" s="1">
        <f>HYPERLINK("https://lsnyc.legalserver.org/matter/dynamic-profile/view/1907356","19-1907356")</f>
        <v>0</v>
      </c>
      <c r="B629" t="s">
        <v>164</v>
      </c>
      <c r="C629" t="s">
        <v>377</v>
      </c>
      <c r="D629" t="s">
        <v>464</v>
      </c>
      <c r="E629" t="s">
        <v>1032</v>
      </c>
      <c r="F629" t="s">
        <v>4002</v>
      </c>
      <c r="G629" t="s">
        <v>6877</v>
      </c>
      <c r="I629" t="s">
        <v>11384</v>
      </c>
      <c r="J629">
        <v>10301</v>
      </c>
      <c r="K629" t="s">
        <v>11446</v>
      </c>
      <c r="L629" t="s">
        <v>11629</v>
      </c>
      <c r="M629" t="s">
        <v>14744</v>
      </c>
      <c r="N629" t="s">
        <v>14778</v>
      </c>
      <c r="O629" t="s">
        <v>14786</v>
      </c>
      <c r="P629" t="s">
        <v>14797</v>
      </c>
      <c r="Q629" t="s">
        <v>11448</v>
      </c>
      <c r="S629" t="s">
        <v>14827</v>
      </c>
      <c r="T629" t="s">
        <v>14834</v>
      </c>
      <c r="U629" t="s">
        <v>377</v>
      </c>
      <c r="V629">
        <v>1975</v>
      </c>
      <c r="W629" t="s">
        <v>14862</v>
      </c>
      <c r="X629" t="s">
        <v>14880</v>
      </c>
      <c r="Y629" t="s">
        <v>14883</v>
      </c>
      <c r="Z629" t="s">
        <v>15508</v>
      </c>
      <c r="AB629" t="s">
        <v>20626</v>
      </c>
      <c r="AC629">
        <v>1</v>
      </c>
      <c r="AD629" t="s">
        <v>24600</v>
      </c>
      <c r="AE629" t="s">
        <v>11459</v>
      </c>
      <c r="AF629">
        <v>-1</v>
      </c>
      <c r="AG629">
        <v>1</v>
      </c>
      <c r="AH629">
        <v>1</v>
      </c>
      <c r="AI629">
        <v>118.27</v>
      </c>
      <c r="AL629" t="s">
        <v>5011</v>
      </c>
      <c r="AM629">
        <v>20000</v>
      </c>
      <c r="AS629">
        <v>1.95</v>
      </c>
      <c r="AT629" t="s">
        <v>464</v>
      </c>
      <c r="AU629" t="s">
        <v>25270</v>
      </c>
      <c r="AV629" t="s">
        <v>25335</v>
      </c>
      <c r="AW629" t="s">
        <v>11447</v>
      </c>
    </row>
    <row r="630" spans="1:49">
      <c r="A630" s="1">
        <f>HYPERLINK("https://lsnyc.legalserver.org/matter/dynamic-profile/view/0830965","17-0830965")</f>
        <v>0</v>
      </c>
      <c r="B630" t="s">
        <v>176</v>
      </c>
      <c r="C630" t="s">
        <v>625</v>
      </c>
      <c r="D630" t="s">
        <v>464</v>
      </c>
      <c r="E630" t="s">
        <v>1330</v>
      </c>
      <c r="F630" t="s">
        <v>4003</v>
      </c>
      <c r="G630" t="s">
        <v>6878</v>
      </c>
      <c r="H630" t="s">
        <v>10600</v>
      </c>
      <c r="I630" t="s">
        <v>11385</v>
      </c>
      <c r="J630">
        <v>11220</v>
      </c>
      <c r="K630" t="s">
        <v>11448</v>
      </c>
      <c r="M630" t="s">
        <v>14763</v>
      </c>
      <c r="N630" t="s">
        <v>14781</v>
      </c>
      <c r="O630" t="s">
        <v>14788</v>
      </c>
      <c r="P630" t="s">
        <v>14797</v>
      </c>
      <c r="R630" t="s">
        <v>14812</v>
      </c>
      <c r="S630" t="s">
        <v>14827</v>
      </c>
      <c r="V630">
        <v>869.28</v>
      </c>
      <c r="W630" t="s">
        <v>14859</v>
      </c>
      <c r="Y630" t="s">
        <v>14885</v>
      </c>
      <c r="Z630" t="s">
        <v>15509</v>
      </c>
      <c r="AB630" t="s">
        <v>20627</v>
      </c>
      <c r="AC630">
        <v>0</v>
      </c>
      <c r="AD630" t="s">
        <v>24595</v>
      </c>
      <c r="AF630">
        <v>43</v>
      </c>
      <c r="AG630">
        <v>1</v>
      </c>
      <c r="AH630">
        <v>0</v>
      </c>
      <c r="AI630">
        <v>0</v>
      </c>
      <c r="AL630" t="s">
        <v>5011</v>
      </c>
      <c r="AM630">
        <v>0</v>
      </c>
      <c r="AS630">
        <v>66</v>
      </c>
      <c r="AT630" t="s">
        <v>372</v>
      </c>
      <c r="AU630" t="s">
        <v>25274</v>
      </c>
      <c r="AW630" t="s">
        <v>11447</v>
      </c>
    </row>
    <row r="631" spans="1:49">
      <c r="A631" s="1">
        <f>HYPERLINK("https://lsnyc.legalserver.org/matter/dynamic-profile/view/1905330","19-1905330")</f>
        <v>0</v>
      </c>
      <c r="B631" t="s">
        <v>104</v>
      </c>
      <c r="C631" t="s">
        <v>619</v>
      </c>
      <c r="D631" t="s">
        <v>466</v>
      </c>
      <c r="E631" t="s">
        <v>1372</v>
      </c>
      <c r="F631" t="s">
        <v>2002</v>
      </c>
      <c r="G631" t="s">
        <v>6879</v>
      </c>
      <c r="H631">
        <v>307</v>
      </c>
      <c r="I631" t="s">
        <v>11386</v>
      </c>
      <c r="J631">
        <v>10029</v>
      </c>
      <c r="K631" t="s">
        <v>11446</v>
      </c>
      <c r="M631" t="s">
        <v>11601</v>
      </c>
      <c r="N631" t="s">
        <v>14778</v>
      </c>
      <c r="O631" t="s">
        <v>14786</v>
      </c>
      <c r="P631" t="s">
        <v>14797</v>
      </c>
      <c r="Q631" t="s">
        <v>11448</v>
      </c>
      <c r="S631" t="s">
        <v>14827</v>
      </c>
      <c r="T631" t="s">
        <v>14832</v>
      </c>
      <c r="U631" t="s">
        <v>619</v>
      </c>
      <c r="V631">
        <v>3682</v>
      </c>
      <c r="W631" t="s">
        <v>14860</v>
      </c>
      <c r="X631" t="s">
        <v>14867</v>
      </c>
      <c r="Y631" t="s">
        <v>14883</v>
      </c>
      <c r="Z631" t="s">
        <v>15510</v>
      </c>
      <c r="AB631" t="s">
        <v>20628</v>
      </c>
      <c r="AC631">
        <v>78</v>
      </c>
      <c r="AD631" t="s">
        <v>24595</v>
      </c>
      <c r="AE631" t="s">
        <v>24610</v>
      </c>
      <c r="AF631">
        <v>24</v>
      </c>
      <c r="AG631">
        <v>3</v>
      </c>
      <c r="AH631">
        <v>0</v>
      </c>
      <c r="AI631">
        <v>177.67</v>
      </c>
      <c r="AL631" t="s">
        <v>5011</v>
      </c>
      <c r="AM631">
        <v>37896</v>
      </c>
      <c r="AS631">
        <v>0.3</v>
      </c>
      <c r="AT631" t="s">
        <v>619</v>
      </c>
      <c r="AU631" t="s">
        <v>25266</v>
      </c>
      <c r="AV631" t="s">
        <v>25335</v>
      </c>
      <c r="AW631" t="s">
        <v>11447</v>
      </c>
    </row>
    <row r="632" spans="1:49">
      <c r="A632" s="1">
        <f>HYPERLINK("https://lsnyc.legalserver.org/matter/dynamic-profile/view/1906126","19-1906126")</f>
        <v>0</v>
      </c>
      <c r="B632" t="s">
        <v>98</v>
      </c>
      <c r="C632" t="s">
        <v>618</v>
      </c>
      <c r="D632" t="s">
        <v>466</v>
      </c>
      <c r="E632" t="s">
        <v>1353</v>
      </c>
      <c r="F632" t="s">
        <v>4004</v>
      </c>
      <c r="G632" t="s">
        <v>6880</v>
      </c>
      <c r="H632">
        <v>4</v>
      </c>
      <c r="I632" t="s">
        <v>11385</v>
      </c>
      <c r="J632">
        <v>11233</v>
      </c>
      <c r="K632" t="s">
        <v>11446</v>
      </c>
      <c r="L632" t="s">
        <v>11601</v>
      </c>
      <c r="M632" t="s">
        <v>11601</v>
      </c>
      <c r="N632" t="s">
        <v>14778</v>
      </c>
      <c r="O632" t="s">
        <v>14786</v>
      </c>
      <c r="P632" t="s">
        <v>14797</v>
      </c>
      <c r="Q632" t="s">
        <v>11448</v>
      </c>
      <c r="S632" t="s">
        <v>14827</v>
      </c>
      <c r="U632" t="s">
        <v>553</v>
      </c>
      <c r="V632">
        <v>2500</v>
      </c>
      <c r="W632" t="s">
        <v>14859</v>
      </c>
      <c r="Y632" t="s">
        <v>14883</v>
      </c>
      <c r="Z632" t="s">
        <v>15511</v>
      </c>
      <c r="AB632" t="s">
        <v>20629</v>
      </c>
      <c r="AC632">
        <v>8</v>
      </c>
      <c r="AF632">
        <v>1</v>
      </c>
      <c r="AG632">
        <v>1</v>
      </c>
      <c r="AH632">
        <v>0</v>
      </c>
      <c r="AI632">
        <v>0</v>
      </c>
      <c r="AL632" t="s">
        <v>5011</v>
      </c>
      <c r="AM632">
        <v>0</v>
      </c>
      <c r="AS632">
        <v>6.5</v>
      </c>
      <c r="AT632" t="s">
        <v>466</v>
      </c>
      <c r="AU632" t="s">
        <v>25227</v>
      </c>
      <c r="AV632" t="s">
        <v>25335</v>
      </c>
      <c r="AW632" t="s">
        <v>11447</v>
      </c>
    </row>
    <row r="633" spans="1:49">
      <c r="A633" s="1">
        <f>HYPERLINK("https://lsnyc.legalserver.org/matter/dynamic-profile/view/1904815","19-1904815")</f>
        <v>0</v>
      </c>
      <c r="B633" t="s">
        <v>57</v>
      </c>
      <c r="C633" t="s">
        <v>345</v>
      </c>
      <c r="D633" t="s">
        <v>466</v>
      </c>
      <c r="E633" t="s">
        <v>1507</v>
      </c>
      <c r="F633" t="s">
        <v>3561</v>
      </c>
      <c r="G633" t="s">
        <v>6881</v>
      </c>
      <c r="H633">
        <v>225</v>
      </c>
      <c r="I633" t="s">
        <v>11383</v>
      </c>
      <c r="J633">
        <v>10457</v>
      </c>
      <c r="K633" t="s">
        <v>11446</v>
      </c>
      <c r="L633" t="s">
        <v>11465</v>
      </c>
      <c r="M633" t="s">
        <v>11601</v>
      </c>
      <c r="N633" t="s">
        <v>14779</v>
      </c>
      <c r="O633" t="s">
        <v>14786</v>
      </c>
      <c r="P633" t="s">
        <v>14797</v>
      </c>
      <c r="Q633" t="s">
        <v>11448</v>
      </c>
      <c r="S633" t="s">
        <v>14827</v>
      </c>
      <c r="U633" t="s">
        <v>14840</v>
      </c>
      <c r="V633">
        <v>222</v>
      </c>
      <c r="W633" t="s">
        <v>14858</v>
      </c>
      <c r="Y633" t="s">
        <v>14883</v>
      </c>
      <c r="Z633" t="s">
        <v>15512</v>
      </c>
      <c r="AB633" t="s">
        <v>20630</v>
      </c>
      <c r="AC633">
        <v>75</v>
      </c>
      <c r="AD633" t="s">
        <v>24596</v>
      </c>
      <c r="AE633" t="s">
        <v>24610</v>
      </c>
      <c r="AF633">
        <v>40</v>
      </c>
      <c r="AG633">
        <v>2</v>
      </c>
      <c r="AH633">
        <v>0</v>
      </c>
      <c r="AI633">
        <v>51.8</v>
      </c>
      <c r="AL633" t="s">
        <v>24632</v>
      </c>
      <c r="AM633">
        <v>8760</v>
      </c>
      <c r="AS633">
        <v>1.75</v>
      </c>
      <c r="AT633" t="s">
        <v>500</v>
      </c>
      <c r="AU633" t="s">
        <v>25236</v>
      </c>
      <c r="AV633" t="s">
        <v>25335</v>
      </c>
      <c r="AW633" t="s">
        <v>11447</v>
      </c>
    </row>
    <row r="634" spans="1:49">
      <c r="A634" s="1">
        <f>HYPERLINK("https://lsnyc.legalserver.org/matter/dynamic-profile/view/1905955","19-1905955")</f>
        <v>0</v>
      </c>
      <c r="B634" t="s">
        <v>188</v>
      </c>
      <c r="C634" t="s">
        <v>461</v>
      </c>
      <c r="D634" t="s">
        <v>497</v>
      </c>
      <c r="E634" t="s">
        <v>1292</v>
      </c>
      <c r="F634" t="s">
        <v>4005</v>
      </c>
      <c r="G634" t="s">
        <v>6882</v>
      </c>
      <c r="H634" t="s">
        <v>10522</v>
      </c>
      <c r="I634" t="s">
        <v>11386</v>
      </c>
      <c r="J634">
        <v>10030</v>
      </c>
      <c r="K634" t="s">
        <v>11446</v>
      </c>
      <c r="L634" t="s">
        <v>11630</v>
      </c>
      <c r="M634" t="s">
        <v>14743</v>
      </c>
      <c r="N634" t="s">
        <v>14778</v>
      </c>
      <c r="O634" t="s">
        <v>14786</v>
      </c>
      <c r="P634" t="s">
        <v>14797</v>
      </c>
      <c r="Q634" t="s">
        <v>11448</v>
      </c>
      <c r="S634" t="s">
        <v>14827</v>
      </c>
      <c r="T634" t="s">
        <v>14832</v>
      </c>
      <c r="U634" t="s">
        <v>461</v>
      </c>
      <c r="V634">
        <v>143</v>
      </c>
      <c r="W634" t="s">
        <v>14860</v>
      </c>
      <c r="X634" t="s">
        <v>14863</v>
      </c>
      <c r="Y634" t="s">
        <v>14883</v>
      </c>
      <c r="Z634" t="s">
        <v>15513</v>
      </c>
      <c r="AB634" t="s">
        <v>20631</v>
      </c>
      <c r="AC634">
        <v>18</v>
      </c>
      <c r="AD634" t="s">
        <v>24596</v>
      </c>
      <c r="AE634" t="s">
        <v>24618</v>
      </c>
      <c r="AF634">
        <v>40</v>
      </c>
      <c r="AG634">
        <v>1</v>
      </c>
      <c r="AH634">
        <v>0</v>
      </c>
      <c r="AI634">
        <v>126.47</v>
      </c>
      <c r="AL634" t="s">
        <v>5011</v>
      </c>
      <c r="AM634">
        <v>15796</v>
      </c>
      <c r="AS634">
        <v>1</v>
      </c>
      <c r="AT634" t="s">
        <v>618</v>
      </c>
      <c r="AU634" t="s">
        <v>153</v>
      </c>
      <c r="AV634" t="s">
        <v>25335</v>
      </c>
      <c r="AW634" t="s">
        <v>11447</v>
      </c>
    </row>
    <row r="635" spans="1:49">
      <c r="A635" s="1">
        <f>HYPERLINK("https://lsnyc.legalserver.org/matter/dynamic-profile/view/1907979","19-1907979")</f>
        <v>0</v>
      </c>
      <c r="B635" t="s">
        <v>76</v>
      </c>
      <c r="C635" t="s">
        <v>458</v>
      </c>
      <c r="D635" t="s">
        <v>497</v>
      </c>
      <c r="E635" t="s">
        <v>1508</v>
      </c>
      <c r="F635" t="s">
        <v>3967</v>
      </c>
      <c r="G635" t="s">
        <v>6883</v>
      </c>
      <c r="H635" t="s">
        <v>10685</v>
      </c>
      <c r="I635" t="s">
        <v>11385</v>
      </c>
      <c r="J635">
        <v>11225</v>
      </c>
      <c r="K635" t="s">
        <v>11446</v>
      </c>
      <c r="L635" t="s">
        <v>11631</v>
      </c>
      <c r="M635" t="s">
        <v>14743</v>
      </c>
      <c r="N635" t="s">
        <v>14778</v>
      </c>
      <c r="O635" t="s">
        <v>14786</v>
      </c>
      <c r="P635" t="s">
        <v>14797</v>
      </c>
      <c r="Q635" t="s">
        <v>11448</v>
      </c>
      <c r="S635" t="s">
        <v>14827</v>
      </c>
      <c r="T635" t="s">
        <v>14836</v>
      </c>
      <c r="U635" t="s">
        <v>458</v>
      </c>
      <c r="V635">
        <v>800</v>
      </c>
      <c r="W635" t="s">
        <v>14859</v>
      </c>
      <c r="X635" t="s">
        <v>14863</v>
      </c>
      <c r="Y635" t="s">
        <v>14883</v>
      </c>
      <c r="Z635" t="s">
        <v>15514</v>
      </c>
      <c r="AA635" t="s">
        <v>19354</v>
      </c>
      <c r="AB635" t="s">
        <v>20632</v>
      </c>
      <c r="AC635">
        <v>3</v>
      </c>
      <c r="AD635" t="s">
        <v>11479</v>
      </c>
      <c r="AE635" t="s">
        <v>11459</v>
      </c>
      <c r="AF635">
        <v>5</v>
      </c>
      <c r="AG635">
        <v>1</v>
      </c>
      <c r="AH635">
        <v>0</v>
      </c>
      <c r="AI635">
        <v>80.51000000000001</v>
      </c>
      <c r="AL635" t="s">
        <v>5011</v>
      </c>
      <c r="AM635">
        <v>10056</v>
      </c>
      <c r="AS635">
        <v>0.6</v>
      </c>
      <c r="AT635" t="s">
        <v>458</v>
      </c>
      <c r="AU635" t="s">
        <v>25275</v>
      </c>
      <c r="AV635" t="s">
        <v>25335</v>
      </c>
      <c r="AW635" t="s">
        <v>11447</v>
      </c>
    </row>
    <row r="636" spans="1:49">
      <c r="A636" s="1">
        <f>HYPERLINK("https://lsnyc.legalserver.org/matter/dynamic-profile/view/1907085","19-1907085")</f>
        <v>0</v>
      </c>
      <c r="B636" t="s">
        <v>67</v>
      </c>
      <c r="C636" t="s">
        <v>626</v>
      </c>
      <c r="D636" t="s">
        <v>497</v>
      </c>
      <c r="E636" t="s">
        <v>1509</v>
      </c>
      <c r="F636" t="s">
        <v>4006</v>
      </c>
      <c r="G636" t="s">
        <v>6884</v>
      </c>
      <c r="I636" t="s">
        <v>11383</v>
      </c>
      <c r="J636">
        <v>10453</v>
      </c>
      <c r="K636" t="s">
        <v>11446</v>
      </c>
      <c r="L636" t="s">
        <v>11465</v>
      </c>
      <c r="M636" t="s">
        <v>11601</v>
      </c>
      <c r="N636" t="s">
        <v>14778</v>
      </c>
      <c r="O636" t="s">
        <v>14786</v>
      </c>
      <c r="P636" t="s">
        <v>14797</v>
      </c>
      <c r="Q636" t="s">
        <v>11448</v>
      </c>
      <c r="S636" t="s">
        <v>14827</v>
      </c>
      <c r="U636" t="s">
        <v>14839</v>
      </c>
      <c r="V636">
        <v>1129</v>
      </c>
      <c r="W636" t="s">
        <v>14858</v>
      </c>
      <c r="X636" t="s">
        <v>14864</v>
      </c>
      <c r="Y636" t="s">
        <v>14883</v>
      </c>
      <c r="Z636" t="s">
        <v>15515</v>
      </c>
      <c r="AC636">
        <v>69</v>
      </c>
      <c r="AD636" t="s">
        <v>11479</v>
      </c>
      <c r="AE636" t="s">
        <v>11459</v>
      </c>
      <c r="AF636">
        <v>37</v>
      </c>
      <c r="AG636">
        <v>2</v>
      </c>
      <c r="AH636">
        <v>2</v>
      </c>
      <c r="AI636">
        <v>40.92</v>
      </c>
      <c r="AL636" t="s">
        <v>5011</v>
      </c>
      <c r="AM636">
        <v>10536</v>
      </c>
      <c r="AS636">
        <v>1</v>
      </c>
      <c r="AT636" t="s">
        <v>497</v>
      </c>
      <c r="AU636" t="s">
        <v>245</v>
      </c>
      <c r="AV636" t="s">
        <v>25335</v>
      </c>
      <c r="AW636" t="s">
        <v>11447</v>
      </c>
    </row>
    <row r="637" spans="1:49">
      <c r="A637" s="1">
        <f>HYPERLINK("https://lsnyc.legalserver.org/matter/dynamic-profile/view/0819244","16-0819244")</f>
        <v>0</v>
      </c>
      <c r="B637" t="s">
        <v>189</v>
      </c>
      <c r="C637" t="s">
        <v>627</v>
      </c>
      <c r="D637" t="s">
        <v>497</v>
      </c>
      <c r="E637" t="s">
        <v>1510</v>
      </c>
      <c r="F637" t="s">
        <v>3797</v>
      </c>
      <c r="G637" t="s">
        <v>6885</v>
      </c>
      <c r="H637" t="s">
        <v>10450</v>
      </c>
      <c r="I637" t="s">
        <v>11385</v>
      </c>
      <c r="J637">
        <v>11226</v>
      </c>
      <c r="K637" t="s">
        <v>11448</v>
      </c>
      <c r="L637" t="s">
        <v>11632</v>
      </c>
      <c r="M637" t="s">
        <v>14744</v>
      </c>
      <c r="N637" t="s">
        <v>14781</v>
      </c>
      <c r="O637" t="s">
        <v>14788</v>
      </c>
      <c r="P637" t="s">
        <v>14797</v>
      </c>
      <c r="Q637" t="s">
        <v>11446</v>
      </c>
      <c r="R637" t="s">
        <v>14819</v>
      </c>
      <c r="S637" t="s">
        <v>14827</v>
      </c>
      <c r="V637">
        <v>1560.44</v>
      </c>
      <c r="W637" t="s">
        <v>14859</v>
      </c>
      <c r="X637" t="s">
        <v>14870</v>
      </c>
      <c r="Y637" t="s">
        <v>14887</v>
      </c>
      <c r="Z637" t="s">
        <v>15516</v>
      </c>
      <c r="AB637" t="s">
        <v>20633</v>
      </c>
      <c r="AC637">
        <v>60</v>
      </c>
      <c r="AD637" t="s">
        <v>24595</v>
      </c>
      <c r="AE637" t="s">
        <v>24610</v>
      </c>
      <c r="AF637">
        <v>33</v>
      </c>
      <c r="AG637">
        <v>2</v>
      </c>
      <c r="AH637">
        <v>0</v>
      </c>
      <c r="AI637">
        <v>0</v>
      </c>
      <c r="AL637" t="s">
        <v>5011</v>
      </c>
      <c r="AM637">
        <v>0</v>
      </c>
      <c r="AS637">
        <v>68.55</v>
      </c>
      <c r="AT637" t="s">
        <v>497</v>
      </c>
      <c r="AU637" t="s">
        <v>25225</v>
      </c>
      <c r="AW637" t="s">
        <v>11447</v>
      </c>
    </row>
    <row r="638" spans="1:49">
      <c r="A638" s="1">
        <f>HYPERLINK("https://lsnyc.legalserver.org/matter/dynamic-profile/view/1908112","19-1908112")</f>
        <v>0</v>
      </c>
      <c r="B638" t="s">
        <v>57</v>
      </c>
      <c r="C638" t="s">
        <v>458</v>
      </c>
      <c r="D638" t="s">
        <v>497</v>
      </c>
      <c r="E638" t="s">
        <v>1511</v>
      </c>
      <c r="F638" t="s">
        <v>4007</v>
      </c>
      <c r="G638" t="s">
        <v>6886</v>
      </c>
      <c r="H638" t="s">
        <v>10581</v>
      </c>
      <c r="I638" t="s">
        <v>11383</v>
      </c>
      <c r="J638">
        <v>10463</v>
      </c>
      <c r="K638" t="s">
        <v>11446</v>
      </c>
      <c r="M638" t="s">
        <v>11601</v>
      </c>
      <c r="N638" t="s">
        <v>14779</v>
      </c>
      <c r="O638" t="s">
        <v>14787</v>
      </c>
      <c r="P638" t="s">
        <v>14797</v>
      </c>
      <c r="S638" t="s">
        <v>14827</v>
      </c>
      <c r="V638">
        <v>884.9400000000001</v>
      </c>
      <c r="W638" t="s">
        <v>14858</v>
      </c>
      <c r="Y638" t="s">
        <v>14883</v>
      </c>
      <c r="AB638" t="s">
        <v>20634</v>
      </c>
      <c r="AC638">
        <v>0</v>
      </c>
      <c r="AE638" t="s">
        <v>11459</v>
      </c>
      <c r="AF638">
        <v>38</v>
      </c>
      <c r="AG638">
        <v>1</v>
      </c>
      <c r="AH638">
        <v>0</v>
      </c>
      <c r="AI638">
        <v>0</v>
      </c>
      <c r="AL638" t="s">
        <v>5011</v>
      </c>
      <c r="AM638">
        <v>0</v>
      </c>
      <c r="AS638">
        <v>1.75</v>
      </c>
      <c r="AT638" t="s">
        <v>455</v>
      </c>
      <c r="AU638" t="s">
        <v>57</v>
      </c>
      <c r="AV638" t="s">
        <v>25335</v>
      </c>
      <c r="AW638" t="s">
        <v>11447</v>
      </c>
    </row>
    <row r="639" spans="1:49">
      <c r="A639" s="1">
        <f>HYPERLINK("https://lsnyc.legalserver.org/matter/dynamic-profile/view/1906843","19-1906843")</f>
        <v>0</v>
      </c>
      <c r="B639" t="s">
        <v>57</v>
      </c>
      <c r="C639" t="s">
        <v>500</v>
      </c>
      <c r="D639" t="s">
        <v>497</v>
      </c>
      <c r="E639" t="s">
        <v>1216</v>
      </c>
      <c r="F639" t="s">
        <v>4008</v>
      </c>
      <c r="G639" t="s">
        <v>6887</v>
      </c>
      <c r="H639" t="s">
        <v>10450</v>
      </c>
      <c r="I639" t="s">
        <v>11383</v>
      </c>
      <c r="J639">
        <v>10459</v>
      </c>
      <c r="K639" t="s">
        <v>11446</v>
      </c>
      <c r="M639" t="s">
        <v>11601</v>
      </c>
      <c r="N639" t="s">
        <v>14779</v>
      </c>
      <c r="O639" t="s">
        <v>14787</v>
      </c>
      <c r="P639" t="s">
        <v>14797</v>
      </c>
      <c r="Q639" t="s">
        <v>11448</v>
      </c>
      <c r="S639" t="s">
        <v>14827</v>
      </c>
      <c r="V639">
        <v>1750</v>
      </c>
      <c r="W639" t="s">
        <v>14858</v>
      </c>
      <c r="X639" t="s">
        <v>14868</v>
      </c>
      <c r="Y639" t="s">
        <v>14883</v>
      </c>
      <c r="Z639" t="s">
        <v>15517</v>
      </c>
      <c r="AB639" t="s">
        <v>20635</v>
      </c>
      <c r="AC639">
        <v>0</v>
      </c>
      <c r="AD639" t="s">
        <v>11479</v>
      </c>
      <c r="AE639" t="s">
        <v>11459</v>
      </c>
      <c r="AF639">
        <v>1</v>
      </c>
      <c r="AG639">
        <v>2</v>
      </c>
      <c r="AH639">
        <v>0</v>
      </c>
      <c r="AI639">
        <v>0</v>
      </c>
      <c r="AL639" t="s">
        <v>5011</v>
      </c>
      <c r="AM639">
        <v>0</v>
      </c>
      <c r="AS639">
        <v>0.25</v>
      </c>
      <c r="AT639" t="s">
        <v>497</v>
      </c>
      <c r="AU639" t="s">
        <v>57</v>
      </c>
      <c r="AV639" t="s">
        <v>25335</v>
      </c>
      <c r="AW639" t="s">
        <v>11447</v>
      </c>
    </row>
    <row r="640" spans="1:49">
      <c r="A640" s="1">
        <f>HYPERLINK("https://lsnyc.legalserver.org/matter/dynamic-profile/view/1907109","19-1907109")</f>
        <v>0</v>
      </c>
      <c r="B640" t="s">
        <v>67</v>
      </c>
      <c r="C640" t="s">
        <v>626</v>
      </c>
      <c r="D640" t="s">
        <v>497</v>
      </c>
      <c r="E640" t="s">
        <v>1512</v>
      </c>
      <c r="F640" t="s">
        <v>1494</v>
      </c>
      <c r="G640" t="s">
        <v>6888</v>
      </c>
      <c r="H640" t="s">
        <v>10686</v>
      </c>
      <c r="I640" t="s">
        <v>11383</v>
      </c>
      <c r="J640">
        <v>10468</v>
      </c>
      <c r="K640" t="s">
        <v>11446</v>
      </c>
      <c r="N640" t="s">
        <v>14779</v>
      </c>
      <c r="O640" t="s">
        <v>14787</v>
      </c>
      <c r="P640" t="s">
        <v>14797</v>
      </c>
      <c r="Q640" t="s">
        <v>11448</v>
      </c>
      <c r="S640" t="s">
        <v>14827</v>
      </c>
      <c r="V640">
        <v>1750</v>
      </c>
      <c r="W640" t="s">
        <v>14858</v>
      </c>
      <c r="X640" t="s">
        <v>14864</v>
      </c>
      <c r="Y640" t="s">
        <v>14884</v>
      </c>
      <c r="Z640" t="s">
        <v>15518</v>
      </c>
      <c r="AB640" t="s">
        <v>20636</v>
      </c>
      <c r="AC640">
        <v>52</v>
      </c>
      <c r="AD640" t="s">
        <v>24595</v>
      </c>
      <c r="AE640" t="s">
        <v>14755</v>
      </c>
      <c r="AF640">
        <v>0</v>
      </c>
      <c r="AG640">
        <v>1</v>
      </c>
      <c r="AH640">
        <v>0</v>
      </c>
      <c r="AI640">
        <v>17.59</v>
      </c>
      <c r="AL640" t="s">
        <v>5011</v>
      </c>
      <c r="AM640">
        <v>2197</v>
      </c>
      <c r="AS640">
        <v>1</v>
      </c>
      <c r="AT640" t="s">
        <v>464</v>
      </c>
      <c r="AU640" t="s">
        <v>245</v>
      </c>
      <c r="AV640" t="s">
        <v>25335</v>
      </c>
      <c r="AW640" t="s">
        <v>11447</v>
      </c>
    </row>
    <row r="641" spans="1:49">
      <c r="A641" s="1">
        <f>HYPERLINK("https://lsnyc.legalserver.org/matter/dynamic-profile/view/1907090","19-1907090")</f>
        <v>0</v>
      </c>
      <c r="B641" t="s">
        <v>67</v>
      </c>
      <c r="C641" t="s">
        <v>626</v>
      </c>
      <c r="D641" t="s">
        <v>497</v>
      </c>
      <c r="E641" t="s">
        <v>1513</v>
      </c>
      <c r="F641" t="s">
        <v>4009</v>
      </c>
      <c r="G641" t="s">
        <v>6889</v>
      </c>
      <c r="H641" t="s">
        <v>10569</v>
      </c>
      <c r="I641" t="s">
        <v>11383</v>
      </c>
      <c r="J641">
        <v>10468</v>
      </c>
      <c r="K641" t="s">
        <v>11448</v>
      </c>
      <c r="M641" t="s">
        <v>14743</v>
      </c>
      <c r="N641" t="s">
        <v>14778</v>
      </c>
      <c r="O641" t="s">
        <v>14786</v>
      </c>
      <c r="P641" t="s">
        <v>14797</v>
      </c>
      <c r="Q641" t="s">
        <v>11448</v>
      </c>
      <c r="S641" t="s">
        <v>14827</v>
      </c>
      <c r="T641" t="s">
        <v>14832</v>
      </c>
      <c r="V641">
        <v>978.29</v>
      </c>
      <c r="W641" t="s">
        <v>14858</v>
      </c>
      <c r="X641" t="s">
        <v>14864</v>
      </c>
      <c r="Y641" t="s">
        <v>14883</v>
      </c>
      <c r="Z641" t="s">
        <v>15519</v>
      </c>
      <c r="AB641" t="s">
        <v>20637</v>
      </c>
      <c r="AC641">
        <v>62</v>
      </c>
      <c r="AD641" t="s">
        <v>11479</v>
      </c>
      <c r="AE641" t="s">
        <v>11459</v>
      </c>
      <c r="AF641">
        <v>21</v>
      </c>
      <c r="AG641">
        <v>2</v>
      </c>
      <c r="AH641">
        <v>0</v>
      </c>
      <c r="AI641">
        <v>172.21</v>
      </c>
      <c r="AL641" t="s">
        <v>24632</v>
      </c>
      <c r="AM641">
        <v>29120</v>
      </c>
      <c r="AS641">
        <v>1</v>
      </c>
      <c r="AT641" t="s">
        <v>497</v>
      </c>
      <c r="AU641" t="s">
        <v>245</v>
      </c>
      <c r="AW641" t="s">
        <v>11447</v>
      </c>
    </row>
    <row r="642" spans="1:49">
      <c r="A642" s="1">
        <f>HYPERLINK("https://lsnyc.legalserver.org/matter/dynamic-profile/view/1907064","19-1907064")</f>
        <v>0</v>
      </c>
      <c r="B642" t="s">
        <v>67</v>
      </c>
      <c r="C642" t="s">
        <v>626</v>
      </c>
      <c r="D642" t="s">
        <v>497</v>
      </c>
      <c r="E642" t="s">
        <v>1514</v>
      </c>
      <c r="F642" t="s">
        <v>3768</v>
      </c>
      <c r="G642" t="s">
        <v>6890</v>
      </c>
      <c r="I642" t="s">
        <v>11383</v>
      </c>
      <c r="J642">
        <v>10472</v>
      </c>
      <c r="K642" t="s">
        <v>11446</v>
      </c>
      <c r="M642" t="s">
        <v>11601</v>
      </c>
      <c r="N642" t="s">
        <v>14778</v>
      </c>
      <c r="O642" t="s">
        <v>14786</v>
      </c>
      <c r="P642" t="s">
        <v>14797</v>
      </c>
      <c r="Q642" t="s">
        <v>11448</v>
      </c>
      <c r="S642" t="s">
        <v>14827</v>
      </c>
      <c r="V642">
        <v>702</v>
      </c>
      <c r="W642" t="s">
        <v>14858</v>
      </c>
      <c r="X642" t="s">
        <v>14864</v>
      </c>
      <c r="Y642" t="s">
        <v>14883</v>
      </c>
      <c r="Z642" t="s">
        <v>15520</v>
      </c>
      <c r="AB642" t="s">
        <v>20638</v>
      </c>
      <c r="AC642">
        <v>4</v>
      </c>
      <c r="AD642" t="s">
        <v>24600</v>
      </c>
      <c r="AE642" t="s">
        <v>24610</v>
      </c>
      <c r="AF642">
        <v>16</v>
      </c>
      <c r="AG642">
        <v>1</v>
      </c>
      <c r="AH642">
        <v>0</v>
      </c>
      <c r="AI642">
        <v>248.2</v>
      </c>
      <c r="AL642" t="s">
        <v>5011</v>
      </c>
      <c r="AM642">
        <v>31000</v>
      </c>
      <c r="AS642">
        <v>1</v>
      </c>
      <c r="AT642" t="s">
        <v>497</v>
      </c>
      <c r="AU642" t="s">
        <v>245</v>
      </c>
      <c r="AV642" t="s">
        <v>25335</v>
      </c>
      <c r="AW642" t="s">
        <v>11447</v>
      </c>
    </row>
    <row r="643" spans="1:49">
      <c r="A643" s="1">
        <f>HYPERLINK("https://lsnyc.legalserver.org/matter/dynamic-profile/view/1907100","19-1907100")</f>
        <v>0</v>
      </c>
      <c r="B643" t="s">
        <v>67</v>
      </c>
      <c r="C643" t="s">
        <v>626</v>
      </c>
      <c r="D643" t="s">
        <v>497</v>
      </c>
      <c r="E643" t="s">
        <v>1515</v>
      </c>
      <c r="F643" t="s">
        <v>4010</v>
      </c>
      <c r="G643" t="s">
        <v>6787</v>
      </c>
      <c r="H643">
        <v>803</v>
      </c>
      <c r="I643" t="s">
        <v>11383</v>
      </c>
      <c r="J643">
        <v>10457</v>
      </c>
      <c r="K643" t="s">
        <v>11446</v>
      </c>
      <c r="N643" t="s">
        <v>14778</v>
      </c>
      <c r="O643" t="s">
        <v>14786</v>
      </c>
      <c r="P643" t="s">
        <v>14797</v>
      </c>
      <c r="Q643" t="s">
        <v>11448</v>
      </c>
      <c r="S643" t="s">
        <v>14827</v>
      </c>
      <c r="V643">
        <v>1000</v>
      </c>
      <c r="W643" t="s">
        <v>14858</v>
      </c>
      <c r="X643" t="s">
        <v>14864</v>
      </c>
      <c r="Y643" t="s">
        <v>14883</v>
      </c>
      <c r="Z643" t="s">
        <v>15521</v>
      </c>
      <c r="AB643" t="s">
        <v>20639</v>
      </c>
      <c r="AC643">
        <v>99</v>
      </c>
      <c r="AD643" t="s">
        <v>24595</v>
      </c>
      <c r="AE643" t="s">
        <v>11459</v>
      </c>
      <c r="AF643">
        <v>13</v>
      </c>
      <c r="AG643">
        <v>1</v>
      </c>
      <c r="AH643">
        <v>0</v>
      </c>
      <c r="AI643">
        <v>416.33</v>
      </c>
      <c r="AL643" t="s">
        <v>5011</v>
      </c>
      <c r="AM643">
        <v>52000</v>
      </c>
      <c r="AS643">
        <v>1</v>
      </c>
      <c r="AT643" t="s">
        <v>464</v>
      </c>
      <c r="AU643" t="s">
        <v>245</v>
      </c>
      <c r="AV643" t="s">
        <v>25335</v>
      </c>
      <c r="AW643" t="s">
        <v>11447</v>
      </c>
    </row>
    <row r="644" spans="1:49">
      <c r="A644" s="1">
        <f>HYPERLINK("https://lsnyc.legalserver.org/matter/dynamic-profile/view/1908298","19-1908298")</f>
        <v>0</v>
      </c>
      <c r="B644" t="s">
        <v>84</v>
      </c>
      <c r="C644" t="s">
        <v>375</v>
      </c>
      <c r="D644" t="s">
        <v>410</v>
      </c>
      <c r="E644" t="s">
        <v>1029</v>
      </c>
      <c r="F644" t="s">
        <v>4011</v>
      </c>
      <c r="G644" t="s">
        <v>6891</v>
      </c>
      <c r="H644" t="s">
        <v>10510</v>
      </c>
      <c r="I644" t="s">
        <v>11383</v>
      </c>
      <c r="J644">
        <v>10470</v>
      </c>
      <c r="K644" t="s">
        <v>11446</v>
      </c>
      <c r="N644" t="s">
        <v>14778</v>
      </c>
      <c r="O644" t="s">
        <v>14786</v>
      </c>
      <c r="P644" t="s">
        <v>14797</v>
      </c>
      <c r="Q644" t="s">
        <v>11448</v>
      </c>
      <c r="S644" t="s">
        <v>14827</v>
      </c>
      <c r="V644">
        <v>1468.05</v>
      </c>
      <c r="W644" t="s">
        <v>14858</v>
      </c>
      <c r="X644" t="s">
        <v>14864</v>
      </c>
      <c r="Y644" t="s">
        <v>14883</v>
      </c>
      <c r="Z644" t="s">
        <v>15522</v>
      </c>
      <c r="AB644" t="s">
        <v>20640</v>
      </c>
      <c r="AC644">
        <v>89</v>
      </c>
      <c r="AD644" t="s">
        <v>24595</v>
      </c>
      <c r="AE644" t="s">
        <v>11459</v>
      </c>
      <c r="AF644">
        <v>12</v>
      </c>
      <c r="AG644">
        <v>1</v>
      </c>
      <c r="AH644">
        <v>0</v>
      </c>
      <c r="AI644">
        <v>0</v>
      </c>
      <c r="AL644" t="s">
        <v>5011</v>
      </c>
      <c r="AM644">
        <v>0</v>
      </c>
      <c r="AS644">
        <v>0.1</v>
      </c>
      <c r="AT644" t="s">
        <v>410</v>
      </c>
      <c r="AU644" t="s">
        <v>245</v>
      </c>
      <c r="AV644" t="s">
        <v>25335</v>
      </c>
      <c r="AW644" t="s">
        <v>11447</v>
      </c>
    </row>
    <row r="645" spans="1:49">
      <c r="A645" s="1">
        <f>HYPERLINK("https://lsnyc.legalserver.org/matter/dynamic-profile/view/1908291","19-1908291")</f>
        <v>0</v>
      </c>
      <c r="B645" t="s">
        <v>84</v>
      </c>
      <c r="C645" t="s">
        <v>375</v>
      </c>
      <c r="D645" t="s">
        <v>410</v>
      </c>
      <c r="E645" t="s">
        <v>1399</v>
      </c>
      <c r="F645" t="s">
        <v>4012</v>
      </c>
      <c r="G645" t="s">
        <v>6892</v>
      </c>
      <c r="H645" t="s">
        <v>10661</v>
      </c>
      <c r="I645" t="s">
        <v>11383</v>
      </c>
      <c r="J645">
        <v>10452</v>
      </c>
      <c r="K645" t="s">
        <v>11446</v>
      </c>
      <c r="N645" t="s">
        <v>14778</v>
      </c>
      <c r="O645" t="s">
        <v>14786</v>
      </c>
      <c r="P645" t="s">
        <v>14797</v>
      </c>
      <c r="Q645" t="s">
        <v>11448</v>
      </c>
      <c r="S645" t="s">
        <v>14827</v>
      </c>
      <c r="V645">
        <v>1144.49</v>
      </c>
      <c r="W645" t="s">
        <v>14858</v>
      </c>
      <c r="X645" t="s">
        <v>14864</v>
      </c>
      <c r="Y645" t="s">
        <v>14883</v>
      </c>
      <c r="Z645" t="s">
        <v>15523</v>
      </c>
      <c r="AB645" t="s">
        <v>20641</v>
      </c>
      <c r="AC645">
        <v>71</v>
      </c>
      <c r="AD645" t="s">
        <v>11479</v>
      </c>
      <c r="AE645" t="s">
        <v>24610</v>
      </c>
      <c r="AF645">
        <v>19</v>
      </c>
      <c r="AG645">
        <v>1</v>
      </c>
      <c r="AH645">
        <v>0</v>
      </c>
      <c r="AI645">
        <v>74.08</v>
      </c>
      <c r="AL645" t="s">
        <v>5011</v>
      </c>
      <c r="AM645">
        <v>9252</v>
      </c>
      <c r="AS645">
        <v>0.1</v>
      </c>
      <c r="AT645" t="s">
        <v>410</v>
      </c>
      <c r="AU645" t="s">
        <v>245</v>
      </c>
      <c r="AV645" t="s">
        <v>25335</v>
      </c>
      <c r="AW645" t="s">
        <v>11447</v>
      </c>
    </row>
    <row r="646" spans="1:49">
      <c r="A646" s="1">
        <f>HYPERLINK("https://lsnyc.legalserver.org/matter/dynamic-profile/view/1907410","19-1907410")</f>
        <v>0</v>
      </c>
      <c r="B646" t="s">
        <v>186</v>
      </c>
      <c r="C646" t="s">
        <v>368</v>
      </c>
      <c r="D646" t="s">
        <v>410</v>
      </c>
      <c r="E646" t="s">
        <v>1516</v>
      </c>
      <c r="F646" t="s">
        <v>4013</v>
      </c>
      <c r="G646" t="s">
        <v>6893</v>
      </c>
      <c r="H646" t="s">
        <v>10687</v>
      </c>
      <c r="I646" t="s">
        <v>11383</v>
      </c>
      <c r="J646">
        <v>10453</v>
      </c>
      <c r="K646" t="s">
        <v>11446</v>
      </c>
      <c r="N646" t="s">
        <v>14778</v>
      </c>
      <c r="O646" t="s">
        <v>14786</v>
      </c>
      <c r="P646" t="s">
        <v>14797</v>
      </c>
      <c r="Q646" t="s">
        <v>11448</v>
      </c>
      <c r="S646" t="s">
        <v>14827</v>
      </c>
      <c r="V646">
        <v>1500</v>
      </c>
      <c r="W646" t="s">
        <v>14858</v>
      </c>
      <c r="X646" t="s">
        <v>14864</v>
      </c>
      <c r="Y646" t="s">
        <v>14883</v>
      </c>
      <c r="Z646" t="s">
        <v>15524</v>
      </c>
      <c r="AB646" t="s">
        <v>20642</v>
      </c>
      <c r="AC646">
        <v>70</v>
      </c>
      <c r="AE646" t="s">
        <v>11459</v>
      </c>
      <c r="AF646">
        <v>2</v>
      </c>
      <c r="AG646">
        <v>2</v>
      </c>
      <c r="AH646">
        <v>2</v>
      </c>
      <c r="AI646">
        <v>116.5</v>
      </c>
      <c r="AL646" t="s">
        <v>5011</v>
      </c>
      <c r="AM646">
        <v>30000</v>
      </c>
      <c r="AS646">
        <v>0.1</v>
      </c>
      <c r="AT646" t="s">
        <v>410</v>
      </c>
      <c r="AU646" t="s">
        <v>25268</v>
      </c>
      <c r="AV646" t="s">
        <v>25335</v>
      </c>
      <c r="AW646" t="s">
        <v>11447</v>
      </c>
    </row>
    <row r="647" spans="1:49">
      <c r="A647" s="1">
        <f>HYPERLINK("https://lsnyc.legalserver.org/matter/dynamic-profile/view/1905528","19-1905528")</f>
        <v>0</v>
      </c>
      <c r="B647" t="s">
        <v>55</v>
      </c>
      <c r="C647" t="s">
        <v>555</v>
      </c>
      <c r="D647" t="s">
        <v>585</v>
      </c>
      <c r="E647" t="s">
        <v>1320</v>
      </c>
      <c r="F647" t="s">
        <v>3547</v>
      </c>
      <c r="G647" t="s">
        <v>6894</v>
      </c>
      <c r="H647" t="s">
        <v>10589</v>
      </c>
      <c r="I647" t="s">
        <v>11383</v>
      </c>
      <c r="J647">
        <v>10463</v>
      </c>
      <c r="K647" t="s">
        <v>11446</v>
      </c>
      <c r="M647" t="s">
        <v>14747</v>
      </c>
      <c r="N647" t="s">
        <v>14778</v>
      </c>
      <c r="O647" t="s">
        <v>14786</v>
      </c>
      <c r="P647" t="s">
        <v>14797</v>
      </c>
      <c r="Q647" t="s">
        <v>11448</v>
      </c>
      <c r="S647" t="s">
        <v>14827</v>
      </c>
      <c r="U647" t="s">
        <v>555</v>
      </c>
      <c r="V647">
        <v>1300</v>
      </c>
      <c r="W647" t="s">
        <v>14860</v>
      </c>
      <c r="X647" t="s">
        <v>14867</v>
      </c>
      <c r="Y647" t="s">
        <v>14883</v>
      </c>
      <c r="Z647" t="s">
        <v>15525</v>
      </c>
      <c r="AA647" t="s">
        <v>19355</v>
      </c>
      <c r="AB647" t="s">
        <v>20643</v>
      </c>
      <c r="AC647">
        <v>100</v>
      </c>
      <c r="AD647" t="s">
        <v>24595</v>
      </c>
      <c r="AE647" t="s">
        <v>11459</v>
      </c>
      <c r="AF647">
        <v>8</v>
      </c>
      <c r="AG647">
        <v>1</v>
      </c>
      <c r="AH647">
        <v>0</v>
      </c>
      <c r="AI647">
        <v>134.51</v>
      </c>
      <c r="AL647" t="s">
        <v>24632</v>
      </c>
      <c r="AM647">
        <v>16800</v>
      </c>
      <c r="AS647">
        <v>1</v>
      </c>
      <c r="AT647" t="s">
        <v>555</v>
      </c>
      <c r="AU647" t="s">
        <v>137</v>
      </c>
      <c r="AV647" t="s">
        <v>25334</v>
      </c>
      <c r="AW647" t="s">
        <v>11447</v>
      </c>
    </row>
    <row r="648" spans="1:49">
      <c r="A648" s="1">
        <f>HYPERLINK("https://lsnyc.legalserver.org/matter/dynamic-profile/view/1907762","19-1907762")</f>
        <v>0</v>
      </c>
      <c r="B648" t="s">
        <v>55</v>
      </c>
      <c r="C648" t="s">
        <v>377</v>
      </c>
      <c r="D648" t="s">
        <v>585</v>
      </c>
      <c r="E648" t="s">
        <v>1233</v>
      </c>
      <c r="F648" t="s">
        <v>4014</v>
      </c>
      <c r="G648" t="s">
        <v>6895</v>
      </c>
      <c r="H648" t="s">
        <v>10553</v>
      </c>
      <c r="I648" t="s">
        <v>11386</v>
      </c>
      <c r="J648">
        <v>10034</v>
      </c>
      <c r="K648" t="s">
        <v>11446</v>
      </c>
      <c r="M648" t="s">
        <v>11601</v>
      </c>
      <c r="N648" t="s">
        <v>14778</v>
      </c>
      <c r="O648" t="s">
        <v>14786</v>
      </c>
      <c r="P648" t="s">
        <v>14797</v>
      </c>
      <c r="Q648" t="s">
        <v>11448</v>
      </c>
      <c r="S648" t="s">
        <v>14827</v>
      </c>
      <c r="U648" t="s">
        <v>377</v>
      </c>
      <c r="V648">
        <v>1403</v>
      </c>
      <c r="W648" t="s">
        <v>14860</v>
      </c>
      <c r="X648" t="s">
        <v>14877</v>
      </c>
      <c r="Y648" t="s">
        <v>14883</v>
      </c>
      <c r="Z648" t="s">
        <v>15526</v>
      </c>
      <c r="AA648" t="s">
        <v>19356</v>
      </c>
      <c r="AB648" t="s">
        <v>20644</v>
      </c>
      <c r="AC648">
        <v>31</v>
      </c>
      <c r="AD648" t="s">
        <v>24595</v>
      </c>
      <c r="AE648" t="s">
        <v>11459</v>
      </c>
      <c r="AF648">
        <v>1</v>
      </c>
      <c r="AG648">
        <v>1</v>
      </c>
      <c r="AH648">
        <v>0</v>
      </c>
      <c r="AI648">
        <v>17.29</v>
      </c>
      <c r="AL648" t="s">
        <v>5011</v>
      </c>
      <c r="AM648">
        <v>2160</v>
      </c>
      <c r="AS648">
        <v>2</v>
      </c>
      <c r="AT648" t="s">
        <v>464</v>
      </c>
      <c r="AU648" t="s">
        <v>25276</v>
      </c>
      <c r="AV648" t="s">
        <v>25334</v>
      </c>
      <c r="AW648" t="s">
        <v>11447</v>
      </c>
    </row>
    <row r="649" spans="1:49">
      <c r="A649" s="1">
        <f>HYPERLINK("https://lsnyc.legalserver.org/matter/dynamic-profile/view/1908540","19-1908540")</f>
        <v>0</v>
      </c>
      <c r="B649" t="s">
        <v>190</v>
      </c>
      <c r="C649" t="s">
        <v>466</v>
      </c>
      <c r="D649" t="s">
        <v>585</v>
      </c>
      <c r="E649" t="s">
        <v>1517</v>
      </c>
      <c r="F649" t="s">
        <v>4015</v>
      </c>
      <c r="G649" t="s">
        <v>6896</v>
      </c>
      <c r="H649" t="s">
        <v>10476</v>
      </c>
      <c r="I649" t="s">
        <v>11386</v>
      </c>
      <c r="J649">
        <v>10032</v>
      </c>
      <c r="K649" t="s">
        <v>11446</v>
      </c>
      <c r="M649" t="s">
        <v>11601</v>
      </c>
      <c r="N649" t="s">
        <v>14778</v>
      </c>
      <c r="O649" t="s">
        <v>14786</v>
      </c>
      <c r="P649" t="s">
        <v>14797</v>
      </c>
      <c r="Q649" t="s">
        <v>11448</v>
      </c>
      <c r="S649" t="s">
        <v>14827</v>
      </c>
      <c r="U649" t="s">
        <v>466</v>
      </c>
      <c r="V649">
        <v>1324.29</v>
      </c>
      <c r="W649" t="s">
        <v>14860</v>
      </c>
      <c r="X649" t="s">
        <v>14864</v>
      </c>
      <c r="Y649" t="s">
        <v>14883</v>
      </c>
      <c r="Z649" t="s">
        <v>15527</v>
      </c>
      <c r="AB649" t="s">
        <v>20645</v>
      </c>
      <c r="AC649">
        <v>49</v>
      </c>
      <c r="AD649" t="s">
        <v>24595</v>
      </c>
      <c r="AE649" t="s">
        <v>11459</v>
      </c>
      <c r="AF649">
        <v>25</v>
      </c>
      <c r="AG649">
        <v>1</v>
      </c>
      <c r="AH649">
        <v>0</v>
      </c>
      <c r="AI649">
        <v>147.57</v>
      </c>
      <c r="AL649" t="s">
        <v>24632</v>
      </c>
      <c r="AM649">
        <v>18432</v>
      </c>
      <c r="AS649">
        <v>2.2</v>
      </c>
      <c r="AT649" t="s">
        <v>497</v>
      </c>
      <c r="AU649" t="s">
        <v>25276</v>
      </c>
      <c r="AV649" t="s">
        <v>25335</v>
      </c>
      <c r="AW649" t="s">
        <v>11447</v>
      </c>
    </row>
    <row r="650" spans="1:49">
      <c r="A650" s="1">
        <f>HYPERLINK("https://lsnyc.legalserver.org/matter/dynamic-profile/view/1908659","19-1908659")</f>
        <v>0</v>
      </c>
      <c r="B650" t="s">
        <v>175</v>
      </c>
      <c r="C650" t="s">
        <v>410</v>
      </c>
      <c r="D650" t="s">
        <v>585</v>
      </c>
      <c r="E650" t="s">
        <v>1319</v>
      </c>
      <c r="F650" t="s">
        <v>3628</v>
      </c>
      <c r="G650" t="s">
        <v>6897</v>
      </c>
      <c r="H650" t="s">
        <v>10559</v>
      </c>
      <c r="I650" t="s">
        <v>11386</v>
      </c>
      <c r="J650">
        <v>10032</v>
      </c>
      <c r="K650" t="s">
        <v>11446</v>
      </c>
      <c r="L650" t="s">
        <v>11633</v>
      </c>
      <c r="N650" t="s">
        <v>14778</v>
      </c>
      <c r="O650" t="s">
        <v>14786</v>
      </c>
      <c r="P650" t="s">
        <v>14797</v>
      </c>
      <c r="Q650" t="s">
        <v>11448</v>
      </c>
      <c r="S650" t="s">
        <v>14827</v>
      </c>
      <c r="U650" t="s">
        <v>410</v>
      </c>
      <c r="V650">
        <v>199.43</v>
      </c>
      <c r="W650" t="s">
        <v>14860</v>
      </c>
      <c r="X650" t="s">
        <v>14867</v>
      </c>
      <c r="Y650" t="s">
        <v>14883</v>
      </c>
      <c r="Z650" t="s">
        <v>15528</v>
      </c>
      <c r="AB650" t="s">
        <v>20646</v>
      </c>
      <c r="AC650">
        <v>45</v>
      </c>
      <c r="AD650" t="s">
        <v>24595</v>
      </c>
      <c r="AE650" t="s">
        <v>24613</v>
      </c>
      <c r="AF650">
        <v>60</v>
      </c>
      <c r="AG650">
        <v>2</v>
      </c>
      <c r="AH650">
        <v>0</v>
      </c>
      <c r="AI650">
        <v>94.95</v>
      </c>
      <c r="AL650" t="s">
        <v>24632</v>
      </c>
      <c r="AM650">
        <v>16056</v>
      </c>
      <c r="AS650">
        <v>0.5</v>
      </c>
      <c r="AT650" t="s">
        <v>585</v>
      </c>
      <c r="AU650" t="s">
        <v>137</v>
      </c>
      <c r="AV650" t="s">
        <v>25335</v>
      </c>
      <c r="AW650" t="s">
        <v>11447</v>
      </c>
    </row>
    <row r="651" spans="1:49">
      <c r="A651" s="1">
        <f>HYPERLINK("https://lsnyc.legalserver.org/matter/dynamic-profile/view/1908812","19-1908812")</f>
        <v>0</v>
      </c>
      <c r="B651" t="s">
        <v>81</v>
      </c>
      <c r="C651" t="s">
        <v>585</v>
      </c>
      <c r="D651" t="s">
        <v>585</v>
      </c>
      <c r="E651" t="s">
        <v>1518</v>
      </c>
      <c r="F651" t="s">
        <v>4016</v>
      </c>
      <c r="G651" t="s">
        <v>6898</v>
      </c>
      <c r="H651" t="s">
        <v>10661</v>
      </c>
      <c r="I651" t="s">
        <v>11383</v>
      </c>
      <c r="J651">
        <v>10467</v>
      </c>
      <c r="K651" t="s">
        <v>11446</v>
      </c>
      <c r="L651" t="s">
        <v>11634</v>
      </c>
      <c r="M651" t="s">
        <v>14744</v>
      </c>
      <c r="N651" t="s">
        <v>14781</v>
      </c>
      <c r="O651" t="s">
        <v>14788</v>
      </c>
      <c r="P651" t="s">
        <v>14797</v>
      </c>
      <c r="Q651" t="s">
        <v>11448</v>
      </c>
      <c r="S651" t="s">
        <v>14827</v>
      </c>
      <c r="T651" t="s">
        <v>14832</v>
      </c>
      <c r="U651" t="s">
        <v>574</v>
      </c>
      <c r="V651">
        <v>1500</v>
      </c>
      <c r="W651" t="s">
        <v>14858</v>
      </c>
      <c r="X651" t="s">
        <v>14868</v>
      </c>
      <c r="Y651" t="s">
        <v>14887</v>
      </c>
      <c r="Z651" t="s">
        <v>15529</v>
      </c>
      <c r="AB651" t="s">
        <v>20647</v>
      </c>
      <c r="AC651">
        <v>64</v>
      </c>
      <c r="AD651" t="s">
        <v>24595</v>
      </c>
      <c r="AE651" t="s">
        <v>11459</v>
      </c>
      <c r="AF651">
        <v>0</v>
      </c>
      <c r="AG651">
        <v>2</v>
      </c>
      <c r="AH651">
        <v>1</v>
      </c>
      <c r="AI651">
        <v>73.14</v>
      </c>
      <c r="AL651" t="s">
        <v>24632</v>
      </c>
      <c r="AM651">
        <v>15600</v>
      </c>
      <c r="AS651">
        <v>1.6</v>
      </c>
      <c r="AT651" t="s">
        <v>585</v>
      </c>
      <c r="AU651" t="s">
        <v>25239</v>
      </c>
      <c r="AV651" t="s">
        <v>25335</v>
      </c>
      <c r="AW651" t="s">
        <v>11447</v>
      </c>
    </row>
    <row r="652" spans="1:49">
      <c r="A652" s="1">
        <f>HYPERLINK("https://lsnyc.legalserver.org/matter/dynamic-profile/view/1908822","19-1908822")</f>
        <v>0</v>
      </c>
      <c r="B652" t="s">
        <v>191</v>
      </c>
      <c r="C652" t="s">
        <v>585</v>
      </c>
      <c r="D652" t="s">
        <v>585</v>
      </c>
      <c r="E652" t="s">
        <v>1224</v>
      </c>
      <c r="F652" t="s">
        <v>3767</v>
      </c>
      <c r="G652" t="s">
        <v>6899</v>
      </c>
      <c r="H652">
        <v>2</v>
      </c>
      <c r="I652" t="s">
        <v>11385</v>
      </c>
      <c r="J652">
        <v>11207</v>
      </c>
      <c r="K652" t="s">
        <v>11446</v>
      </c>
      <c r="L652" t="s">
        <v>11635</v>
      </c>
      <c r="M652" t="s">
        <v>14764</v>
      </c>
      <c r="N652" t="s">
        <v>14778</v>
      </c>
      <c r="O652" t="s">
        <v>14786</v>
      </c>
      <c r="P652" t="s">
        <v>14797</v>
      </c>
      <c r="S652" t="s">
        <v>14827</v>
      </c>
      <c r="V652">
        <v>0</v>
      </c>
      <c r="W652" t="s">
        <v>14859</v>
      </c>
      <c r="X652" t="s">
        <v>14865</v>
      </c>
      <c r="Y652" t="s">
        <v>14883</v>
      </c>
      <c r="Z652" t="s">
        <v>15530</v>
      </c>
      <c r="AA652" t="s">
        <v>19357</v>
      </c>
      <c r="AB652" t="s">
        <v>20648</v>
      </c>
      <c r="AC652">
        <v>0</v>
      </c>
      <c r="AF652">
        <v>0</v>
      </c>
      <c r="AG652">
        <v>1</v>
      </c>
      <c r="AH652">
        <v>0</v>
      </c>
      <c r="AI652">
        <v>80.7</v>
      </c>
      <c r="AL652" t="s">
        <v>24632</v>
      </c>
      <c r="AM652">
        <v>10080</v>
      </c>
      <c r="AS652">
        <v>0.4</v>
      </c>
      <c r="AT652" t="s">
        <v>412</v>
      </c>
      <c r="AU652" t="s">
        <v>25275</v>
      </c>
      <c r="AV652" t="s">
        <v>25335</v>
      </c>
      <c r="AW652" t="s">
        <v>11447</v>
      </c>
    </row>
    <row r="653" spans="1:49">
      <c r="A653" s="1">
        <f>HYPERLINK("https://lsnyc.legalserver.org/matter/dynamic-profile/view/1864098","18-1864098")</f>
        <v>0</v>
      </c>
      <c r="B653" t="s">
        <v>192</v>
      </c>
      <c r="C653" t="s">
        <v>628</v>
      </c>
      <c r="D653" t="s">
        <v>585</v>
      </c>
      <c r="E653" t="s">
        <v>1519</v>
      </c>
      <c r="F653" t="s">
        <v>4017</v>
      </c>
      <c r="G653" t="s">
        <v>6900</v>
      </c>
      <c r="H653" t="s">
        <v>10688</v>
      </c>
      <c r="I653" t="s">
        <v>11385</v>
      </c>
      <c r="J653">
        <v>11201</v>
      </c>
      <c r="K653" t="s">
        <v>11448</v>
      </c>
      <c r="L653" t="s">
        <v>11636</v>
      </c>
      <c r="M653" t="s">
        <v>14743</v>
      </c>
      <c r="N653" t="s">
        <v>14781</v>
      </c>
      <c r="O653" t="s">
        <v>14788</v>
      </c>
      <c r="P653" t="s">
        <v>14797</v>
      </c>
      <c r="Q653" t="s">
        <v>11448</v>
      </c>
      <c r="S653" t="s">
        <v>14827</v>
      </c>
      <c r="V653">
        <v>400</v>
      </c>
      <c r="W653" t="s">
        <v>14859</v>
      </c>
      <c r="X653" t="s">
        <v>14865</v>
      </c>
      <c r="Y653" t="s">
        <v>14887</v>
      </c>
      <c r="Z653" t="s">
        <v>15531</v>
      </c>
      <c r="AA653" t="s">
        <v>11479</v>
      </c>
      <c r="AB653" t="s">
        <v>20649</v>
      </c>
      <c r="AC653">
        <v>72</v>
      </c>
      <c r="AD653" t="s">
        <v>24601</v>
      </c>
      <c r="AE653" t="s">
        <v>11459</v>
      </c>
      <c r="AF653">
        <v>25</v>
      </c>
      <c r="AG653">
        <v>1</v>
      </c>
      <c r="AH653">
        <v>0</v>
      </c>
      <c r="AI653">
        <v>94.73</v>
      </c>
      <c r="AL653" t="s">
        <v>5011</v>
      </c>
      <c r="AM653">
        <v>11500</v>
      </c>
      <c r="AS653">
        <v>22.75</v>
      </c>
      <c r="AT653" t="s">
        <v>585</v>
      </c>
      <c r="AU653" t="s">
        <v>66</v>
      </c>
      <c r="AW653" t="s">
        <v>11447</v>
      </c>
    </row>
    <row r="654" spans="1:49">
      <c r="A654" s="1">
        <f>HYPERLINK("https://lsnyc.legalserver.org/matter/dynamic-profile/view/1908088","19-1908088")</f>
        <v>0</v>
      </c>
      <c r="B654" t="s">
        <v>150</v>
      </c>
      <c r="C654" t="s">
        <v>455</v>
      </c>
      <c r="D654" t="s">
        <v>640</v>
      </c>
      <c r="E654" t="s">
        <v>1520</v>
      </c>
      <c r="F654" t="s">
        <v>4018</v>
      </c>
      <c r="G654" t="s">
        <v>6901</v>
      </c>
      <c r="H654" t="s">
        <v>10689</v>
      </c>
      <c r="I654" t="s">
        <v>11385</v>
      </c>
      <c r="J654">
        <v>11208</v>
      </c>
      <c r="K654" t="s">
        <v>11446</v>
      </c>
      <c r="M654" t="s">
        <v>14744</v>
      </c>
      <c r="N654" t="s">
        <v>14778</v>
      </c>
      <c r="O654" t="s">
        <v>14786</v>
      </c>
      <c r="P654" t="s">
        <v>14797</v>
      </c>
      <c r="Q654" t="s">
        <v>11448</v>
      </c>
      <c r="S654" t="s">
        <v>14827</v>
      </c>
      <c r="U654" t="s">
        <v>458</v>
      </c>
      <c r="V654">
        <v>0</v>
      </c>
      <c r="W654" t="s">
        <v>14859</v>
      </c>
      <c r="X654" t="s">
        <v>14865</v>
      </c>
      <c r="Y654" t="s">
        <v>14883</v>
      </c>
      <c r="Z654" t="s">
        <v>15532</v>
      </c>
      <c r="AB654" t="s">
        <v>20650</v>
      </c>
      <c r="AC654">
        <v>1444</v>
      </c>
      <c r="AF654">
        <v>0</v>
      </c>
      <c r="AG654">
        <v>2</v>
      </c>
      <c r="AH654">
        <v>2</v>
      </c>
      <c r="AI654">
        <v>100.97</v>
      </c>
      <c r="AL654" t="s">
        <v>24647</v>
      </c>
      <c r="AM654">
        <v>26000</v>
      </c>
      <c r="AS654">
        <v>0.2</v>
      </c>
      <c r="AT654" t="s">
        <v>372</v>
      </c>
      <c r="AU654" t="s">
        <v>25277</v>
      </c>
      <c r="AV654" t="s">
        <v>25335</v>
      </c>
      <c r="AW654" t="s">
        <v>11447</v>
      </c>
    </row>
    <row r="655" spans="1:49">
      <c r="A655" s="1">
        <f>HYPERLINK("https://lsnyc.legalserver.org/matter/dynamic-profile/view/1908715","19-1908715")</f>
        <v>0</v>
      </c>
      <c r="B655" t="s">
        <v>190</v>
      </c>
      <c r="C655" t="s">
        <v>410</v>
      </c>
      <c r="D655" t="s">
        <v>640</v>
      </c>
      <c r="E655" t="s">
        <v>1521</v>
      </c>
      <c r="F655" t="s">
        <v>4019</v>
      </c>
      <c r="G655" t="s">
        <v>6902</v>
      </c>
      <c r="H655">
        <v>33</v>
      </c>
      <c r="I655" t="s">
        <v>11386</v>
      </c>
      <c r="J655">
        <v>10040</v>
      </c>
      <c r="K655" t="s">
        <v>11446</v>
      </c>
      <c r="M655" t="s">
        <v>11601</v>
      </c>
      <c r="N655" t="s">
        <v>14778</v>
      </c>
      <c r="O655" t="s">
        <v>14786</v>
      </c>
      <c r="P655" t="s">
        <v>14797</v>
      </c>
      <c r="Q655" t="s">
        <v>11448</v>
      </c>
      <c r="S655" t="s">
        <v>14827</v>
      </c>
      <c r="U655" t="s">
        <v>410</v>
      </c>
      <c r="V655">
        <v>0</v>
      </c>
      <c r="W655" t="s">
        <v>14860</v>
      </c>
      <c r="X655" t="s">
        <v>14867</v>
      </c>
      <c r="Y655" t="s">
        <v>14883</v>
      </c>
      <c r="Z655" t="s">
        <v>15533</v>
      </c>
      <c r="AB655" t="s">
        <v>20651</v>
      </c>
      <c r="AC655">
        <v>0</v>
      </c>
      <c r="AD655" t="s">
        <v>24595</v>
      </c>
      <c r="AE655" t="s">
        <v>11459</v>
      </c>
      <c r="AF655">
        <v>23</v>
      </c>
      <c r="AG655">
        <v>1</v>
      </c>
      <c r="AH655">
        <v>0</v>
      </c>
      <c r="AI655">
        <v>400.32</v>
      </c>
      <c r="AL655" t="s">
        <v>5011</v>
      </c>
      <c r="AM655">
        <v>50000</v>
      </c>
      <c r="AS655">
        <v>2.1</v>
      </c>
      <c r="AT655" t="s">
        <v>640</v>
      </c>
      <c r="AU655" t="s">
        <v>137</v>
      </c>
      <c r="AV655" t="s">
        <v>25335</v>
      </c>
      <c r="AW655" t="s">
        <v>11447</v>
      </c>
    </row>
    <row r="656" spans="1:49">
      <c r="A656" s="1">
        <f>HYPERLINK("https://lsnyc.legalserver.org/matter/dynamic-profile/view/1891040","19-1891040")</f>
        <v>0</v>
      </c>
      <c r="B656" t="s">
        <v>168</v>
      </c>
      <c r="C656" t="s">
        <v>629</v>
      </c>
      <c r="D656" t="s">
        <v>641</v>
      </c>
      <c r="E656" t="s">
        <v>1099</v>
      </c>
      <c r="F656" t="s">
        <v>4020</v>
      </c>
      <c r="G656" t="s">
        <v>6903</v>
      </c>
      <c r="H656" t="s">
        <v>10473</v>
      </c>
      <c r="I656" t="s">
        <v>11384</v>
      </c>
      <c r="J656">
        <v>10304</v>
      </c>
      <c r="K656" t="s">
        <v>11446</v>
      </c>
      <c r="L656" t="s">
        <v>11637</v>
      </c>
      <c r="M656" t="s">
        <v>14744</v>
      </c>
      <c r="N656" t="s">
        <v>14781</v>
      </c>
      <c r="O656" t="s">
        <v>14788</v>
      </c>
      <c r="P656" t="s">
        <v>14797</v>
      </c>
      <c r="S656" t="s">
        <v>14827</v>
      </c>
      <c r="U656" t="s">
        <v>378</v>
      </c>
      <c r="V656">
        <v>0</v>
      </c>
      <c r="W656" t="s">
        <v>14862</v>
      </c>
      <c r="Y656" t="s">
        <v>14887</v>
      </c>
      <c r="Z656" t="s">
        <v>15534</v>
      </c>
      <c r="AB656" t="s">
        <v>20652</v>
      </c>
      <c r="AC656">
        <v>0</v>
      </c>
      <c r="AF656">
        <v>0</v>
      </c>
      <c r="AG656">
        <v>1</v>
      </c>
      <c r="AH656">
        <v>0</v>
      </c>
      <c r="AI656">
        <v>124.9</v>
      </c>
      <c r="AL656" t="s">
        <v>5011</v>
      </c>
      <c r="AM656">
        <v>15600</v>
      </c>
      <c r="AS656">
        <v>31.9</v>
      </c>
      <c r="AT656" t="s">
        <v>375</v>
      </c>
      <c r="AU656" t="s">
        <v>25271</v>
      </c>
      <c r="AV656" t="s">
        <v>25335</v>
      </c>
      <c r="AW656" t="s">
        <v>11447</v>
      </c>
    </row>
    <row r="657" spans="1:49">
      <c r="A657" s="1">
        <f>HYPERLINK("https://lsnyc.legalserver.org/matter/dynamic-profile/view/1904623","19-1904623")</f>
        <v>0</v>
      </c>
      <c r="B657" t="s">
        <v>182</v>
      </c>
      <c r="C657" t="s">
        <v>365</v>
      </c>
      <c r="D657" t="s">
        <v>641</v>
      </c>
      <c r="E657" t="s">
        <v>1181</v>
      </c>
      <c r="F657" t="s">
        <v>4021</v>
      </c>
      <c r="G657" t="s">
        <v>6904</v>
      </c>
      <c r="H657">
        <v>5</v>
      </c>
      <c r="I657" t="s">
        <v>11386</v>
      </c>
      <c r="J657">
        <v>10009</v>
      </c>
      <c r="K657" t="s">
        <v>11446</v>
      </c>
      <c r="L657" t="s">
        <v>11638</v>
      </c>
      <c r="M657" t="s">
        <v>14744</v>
      </c>
      <c r="N657" t="s">
        <v>14778</v>
      </c>
      <c r="O657" t="s">
        <v>14786</v>
      </c>
      <c r="P657" t="s">
        <v>14797</v>
      </c>
      <c r="Q657" t="s">
        <v>11448</v>
      </c>
      <c r="S657" t="s">
        <v>14827</v>
      </c>
      <c r="T657" t="s">
        <v>14832</v>
      </c>
      <c r="U657" t="s">
        <v>365</v>
      </c>
      <c r="V657">
        <v>3125</v>
      </c>
      <c r="W657" t="s">
        <v>14860</v>
      </c>
      <c r="X657" t="s">
        <v>14865</v>
      </c>
      <c r="Y657" t="s">
        <v>14883</v>
      </c>
      <c r="Z657" t="s">
        <v>15535</v>
      </c>
      <c r="AA657" t="s">
        <v>19358</v>
      </c>
      <c r="AB657" t="s">
        <v>20653</v>
      </c>
      <c r="AC657">
        <v>4</v>
      </c>
      <c r="AD657" t="s">
        <v>24600</v>
      </c>
      <c r="AE657" t="s">
        <v>11459</v>
      </c>
      <c r="AF657">
        <v>27</v>
      </c>
      <c r="AG657">
        <v>1</v>
      </c>
      <c r="AH657">
        <v>0</v>
      </c>
      <c r="AI657">
        <v>138.11</v>
      </c>
      <c r="AL657" t="s">
        <v>5011</v>
      </c>
      <c r="AM657">
        <v>17250</v>
      </c>
      <c r="AS657">
        <v>1</v>
      </c>
      <c r="AT657" t="s">
        <v>585</v>
      </c>
      <c r="AU657" t="s">
        <v>25266</v>
      </c>
      <c r="AV657" t="s">
        <v>25334</v>
      </c>
      <c r="AW657" t="s">
        <v>11447</v>
      </c>
    </row>
    <row r="658" spans="1:49">
      <c r="A658" s="1">
        <f>HYPERLINK("https://lsnyc.legalserver.org/matter/dynamic-profile/view/1904638","19-1904638")</f>
        <v>0</v>
      </c>
      <c r="B658" t="s">
        <v>182</v>
      </c>
      <c r="C658" t="s">
        <v>365</v>
      </c>
      <c r="D658" t="s">
        <v>641</v>
      </c>
      <c r="E658" t="s">
        <v>1522</v>
      </c>
      <c r="F658" t="s">
        <v>4022</v>
      </c>
      <c r="G658" t="s">
        <v>6905</v>
      </c>
      <c r="H658" t="s">
        <v>10481</v>
      </c>
      <c r="I658" t="s">
        <v>11386</v>
      </c>
      <c r="J658">
        <v>10010</v>
      </c>
      <c r="K658" t="s">
        <v>11446</v>
      </c>
      <c r="L658" t="s">
        <v>11639</v>
      </c>
      <c r="M658" t="s">
        <v>14744</v>
      </c>
      <c r="N658" t="s">
        <v>14778</v>
      </c>
      <c r="O658" t="s">
        <v>14786</v>
      </c>
      <c r="P658" t="s">
        <v>14797</v>
      </c>
      <c r="Q658" t="s">
        <v>11448</v>
      </c>
      <c r="S658" t="s">
        <v>14827</v>
      </c>
      <c r="T658" t="s">
        <v>14832</v>
      </c>
      <c r="U658" t="s">
        <v>365</v>
      </c>
      <c r="V658">
        <v>1567.75</v>
      </c>
      <c r="W658" t="s">
        <v>14860</v>
      </c>
      <c r="X658" t="s">
        <v>14864</v>
      </c>
      <c r="Y658" t="s">
        <v>14883</v>
      </c>
      <c r="Z658" t="s">
        <v>15536</v>
      </c>
      <c r="AB658" t="s">
        <v>20654</v>
      </c>
      <c r="AC658">
        <v>16</v>
      </c>
      <c r="AD658" t="s">
        <v>24595</v>
      </c>
      <c r="AE658" t="s">
        <v>11459</v>
      </c>
      <c r="AF658">
        <v>26</v>
      </c>
      <c r="AG658">
        <v>1</v>
      </c>
      <c r="AH658">
        <v>0</v>
      </c>
      <c r="AI658">
        <v>240.19</v>
      </c>
      <c r="AL658" t="s">
        <v>5011</v>
      </c>
      <c r="AM658">
        <v>30000</v>
      </c>
      <c r="AS658">
        <v>1.25</v>
      </c>
      <c r="AT658" t="s">
        <v>410</v>
      </c>
      <c r="AU658" t="s">
        <v>25266</v>
      </c>
      <c r="AV658" t="s">
        <v>25335</v>
      </c>
      <c r="AW658" t="s">
        <v>11447</v>
      </c>
    </row>
    <row r="659" spans="1:49">
      <c r="A659" s="1">
        <f>HYPERLINK("https://lsnyc.legalserver.org/matter/dynamic-profile/view/1906273","19-1906273")</f>
        <v>0</v>
      </c>
      <c r="B659" t="s">
        <v>149</v>
      </c>
      <c r="C659" t="s">
        <v>355</v>
      </c>
      <c r="D659" t="s">
        <v>641</v>
      </c>
      <c r="E659" t="s">
        <v>1523</v>
      </c>
      <c r="F659" t="s">
        <v>4023</v>
      </c>
      <c r="G659" t="s">
        <v>6906</v>
      </c>
      <c r="H659" t="s">
        <v>10690</v>
      </c>
      <c r="I659" t="s">
        <v>11385</v>
      </c>
      <c r="J659">
        <v>11233</v>
      </c>
      <c r="K659" t="s">
        <v>11446</v>
      </c>
      <c r="L659" t="s">
        <v>11640</v>
      </c>
      <c r="M659" t="s">
        <v>14743</v>
      </c>
      <c r="N659" t="s">
        <v>14781</v>
      </c>
      <c r="O659" t="s">
        <v>14788</v>
      </c>
      <c r="P659" t="s">
        <v>14797</v>
      </c>
      <c r="Q659" t="s">
        <v>11448</v>
      </c>
      <c r="S659" t="s">
        <v>14827</v>
      </c>
      <c r="T659" t="s">
        <v>14832</v>
      </c>
      <c r="U659" t="s">
        <v>553</v>
      </c>
      <c r="V659">
        <v>2300</v>
      </c>
      <c r="W659" t="s">
        <v>14859</v>
      </c>
      <c r="X659" t="s">
        <v>14755</v>
      </c>
      <c r="Y659" t="s">
        <v>14887</v>
      </c>
      <c r="Z659" t="s">
        <v>15537</v>
      </c>
      <c r="AB659" t="s">
        <v>20655</v>
      </c>
      <c r="AC659">
        <v>3</v>
      </c>
      <c r="AD659" t="s">
        <v>24600</v>
      </c>
      <c r="AE659" t="s">
        <v>24617</v>
      </c>
      <c r="AF659">
        <v>4</v>
      </c>
      <c r="AG659">
        <v>3</v>
      </c>
      <c r="AH659">
        <v>3</v>
      </c>
      <c r="AI659">
        <v>75.17</v>
      </c>
      <c r="AL659" t="s">
        <v>5011</v>
      </c>
      <c r="AM659">
        <v>26000</v>
      </c>
      <c r="AS659">
        <v>2.3</v>
      </c>
      <c r="AT659" t="s">
        <v>458</v>
      </c>
      <c r="AU659" t="s">
        <v>120</v>
      </c>
      <c r="AV659" t="s">
        <v>25335</v>
      </c>
      <c r="AW659" t="s">
        <v>11447</v>
      </c>
    </row>
    <row r="660" spans="1:49">
      <c r="A660" s="1">
        <f>HYPERLINK("https://lsnyc.legalserver.org/matter/dynamic-profile/view/1899008","19-1899008")</f>
        <v>0</v>
      </c>
      <c r="B660" t="s">
        <v>90</v>
      </c>
      <c r="C660" t="s">
        <v>512</v>
      </c>
      <c r="D660" t="s">
        <v>641</v>
      </c>
      <c r="E660" t="s">
        <v>1524</v>
      </c>
      <c r="F660" t="s">
        <v>3683</v>
      </c>
      <c r="G660" t="s">
        <v>6907</v>
      </c>
      <c r="H660" t="s">
        <v>10691</v>
      </c>
      <c r="I660" t="s">
        <v>11383</v>
      </c>
      <c r="J660">
        <v>10452</v>
      </c>
      <c r="K660" t="s">
        <v>11446</v>
      </c>
      <c r="M660" t="s">
        <v>14744</v>
      </c>
      <c r="N660" t="s">
        <v>14779</v>
      </c>
      <c r="O660" t="s">
        <v>14786</v>
      </c>
      <c r="P660" t="s">
        <v>14797</v>
      </c>
      <c r="Q660" t="s">
        <v>11448</v>
      </c>
      <c r="S660" t="s">
        <v>14827</v>
      </c>
      <c r="T660" t="s">
        <v>14834</v>
      </c>
      <c r="V660">
        <v>1303</v>
      </c>
      <c r="W660" t="s">
        <v>14858</v>
      </c>
      <c r="X660" t="s">
        <v>14863</v>
      </c>
      <c r="Y660" t="s">
        <v>14883</v>
      </c>
      <c r="Z660" t="s">
        <v>15538</v>
      </c>
      <c r="AB660" t="s">
        <v>20656</v>
      </c>
      <c r="AC660">
        <v>105</v>
      </c>
      <c r="AD660" t="s">
        <v>24595</v>
      </c>
      <c r="AE660" t="s">
        <v>24615</v>
      </c>
      <c r="AF660">
        <v>1</v>
      </c>
      <c r="AG660">
        <v>1</v>
      </c>
      <c r="AH660">
        <v>1</v>
      </c>
      <c r="AI660">
        <v>76.88</v>
      </c>
      <c r="AL660" t="s">
        <v>24632</v>
      </c>
      <c r="AM660">
        <v>12999.99</v>
      </c>
      <c r="AS660">
        <v>1.2</v>
      </c>
      <c r="AT660" t="s">
        <v>612</v>
      </c>
      <c r="AU660" t="s">
        <v>25226</v>
      </c>
      <c r="AV660" t="s">
        <v>25335</v>
      </c>
      <c r="AW660" t="s">
        <v>11447</v>
      </c>
    </row>
    <row r="661" spans="1:49">
      <c r="A661" s="1">
        <f>HYPERLINK("https://lsnyc.legalserver.org/matter/dynamic-profile/view/1897829","19-1897829")</f>
        <v>0</v>
      </c>
      <c r="B661" t="s">
        <v>168</v>
      </c>
      <c r="C661" t="s">
        <v>369</v>
      </c>
      <c r="D661" t="s">
        <v>641</v>
      </c>
      <c r="E661" t="s">
        <v>1037</v>
      </c>
      <c r="F661" t="s">
        <v>3561</v>
      </c>
      <c r="G661" t="s">
        <v>6908</v>
      </c>
      <c r="H661" t="s">
        <v>10486</v>
      </c>
      <c r="I661" t="s">
        <v>11384</v>
      </c>
      <c r="J661">
        <v>10306</v>
      </c>
      <c r="K661" t="s">
        <v>11447</v>
      </c>
      <c r="L661" t="s">
        <v>11641</v>
      </c>
      <c r="M661" t="s">
        <v>14743</v>
      </c>
      <c r="N661" t="s">
        <v>14785</v>
      </c>
      <c r="O661" t="s">
        <v>14788</v>
      </c>
      <c r="P661" t="s">
        <v>14797</v>
      </c>
      <c r="Q661" t="s">
        <v>11448</v>
      </c>
      <c r="S661" t="s">
        <v>14827</v>
      </c>
      <c r="V661">
        <v>0</v>
      </c>
      <c r="W661" t="s">
        <v>14862</v>
      </c>
      <c r="Y661" t="s">
        <v>14888</v>
      </c>
      <c r="Z661" t="s">
        <v>15539</v>
      </c>
      <c r="AB661" t="s">
        <v>20657</v>
      </c>
      <c r="AC661">
        <v>0</v>
      </c>
      <c r="AF661">
        <v>2</v>
      </c>
      <c r="AG661">
        <v>1</v>
      </c>
      <c r="AH661">
        <v>0</v>
      </c>
      <c r="AI661">
        <v>105.68</v>
      </c>
      <c r="AL661" t="s">
        <v>5011</v>
      </c>
      <c r="AM661">
        <v>13200</v>
      </c>
      <c r="AS661">
        <v>13.85</v>
      </c>
      <c r="AT661" t="s">
        <v>640</v>
      </c>
      <c r="AU661" t="s">
        <v>25271</v>
      </c>
      <c r="AW661" t="s">
        <v>11447</v>
      </c>
    </row>
    <row r="662" spans="1:49">
      <c r="A662" s="1">
        <f>HYPERLINK("https://lsnyc.legalserver.org/matter/dynamic-profile/view/1908685","19-1908685")</f>
        <v>0</v>
      </c>
      <c r="B662" t="s">
        <v>66</v>
      </c>
      <c r="C662" t="s">
        <v>410</v>
      </c>
      <c r="D662" t="s">
        <v>641</v>
      </c>
      <c r="E662" t="s">
        <v>1423</v>
      </c>
      <c r="F662" t="s">
        <v>4024</v>
      </c>
      <c r="G662" t="s">
        <v>6909</v>
      </c>
      <c r="H662" t="s">
        <v>10465</v>
      </c>
      <c r="I662" t="s">
        <v>11385</v>
      </c>
      <c r="J662">
        <v>11212</v>
      </c>
      <c r="K662" t="s">
        <v>11448</v>
      </c>
      <c r="L662" t="s">
        <v>11465</v>
      </c>
      <c r="M662" t="s">
        <v>11601</v>
      </c>
      <c r="O662" t="s">
        <v>14786</v>
      </c>
      <c r="P662" t="s">
        <v>14797</v>
      </c>
      <c r="Q662" t="s">
        <v>11448</v>
      </c>
      <c r="S662" t="s">
        <v>14827</v>
      </c>
      <c r="T662" t="s">
        <v>14832</v>
      </c>
      <c r="V662">
        <v>1600</v>
      </c>
      <c r="W662" t="s">
        <v>14859</v>
      </c>
      <c r="X662" t="s">
        <v>14755</v>
      </c>
      <c r="Y662" t="s">
        <v>14883</v>
      </c>
      <c r="Z662" t="s">
        <v>15540</v>
      </c>
      <c r="AA662" t="s">
        <v>11465</v>
      </c>
      <c r="AB662" t="s">
        <v>20658</v>
      </c>
      <c r="AC662">
        <v>4</v>
      </c>
      <c r="AD662" t="s">
        <v>24600</v>
      </c>
      <c r="AE662" t="s">
        <v>11459</v>
      </c>
      <c r="AF662">
        <v>2</v>
      </c>
      <c r="AG662">
        <v>1</v>
      </c>
      <c r="AH662">
        <v>3</v>
      </c>
      <c r="AI662">
        <v>383.3</v>
      </c>
      <c r="AL662" t="s">
        <v>5011</v>
      </c>
      <c r="AM662">
        <v>98700</v>
      </c>
      <c r="AS662">
        <v>0.6</v>
      </c>
      <c r="AT662" t="s">
        <v>410</v>
      </c>
      <c r="AU662" t="s">
        <v>25244</v>
      </c>
      <c r="AV662" t="s">
        <v>11459</v>
      </c>
      <c r="AW662" t="s">
        <v>11447</v>
      </c>
    </row>
    <row r="663" spans="1:49">
      <c r="A663" s="1">
        <f>HYPERLINK("https://lsnyc.legalserver.org/matter/dynamic-profile/view/1902184","19-1902184")</f>
        <v>0</v>
      </c>
      <c r="B663" t="s">
        <v>76</v>
      </c>
      <c r="C663" t="s">
        <v>538</v>
      </c>
      <c r="D663" t="s">
        <v>462</v>
      </c>
      <c r="E663" t="s">
        <v>1525</v>
      </c>
      <c r="F663" t="s">
        <v>4025</v>
      </c>
      <c r="G663" t="s">
        <v>6910</v>
      </c>
      <c r="H663">
        <v>2</v>
      </c>
      <c r="I663" t="s">
        <v>11385</v>
      </c>
      <c r="J663">
        <v>11207</v>
      </c>
      <c r="K663" t="s">
        <v>11446</v>
      </c>
      <c r="L663" t="s">
        <v>11642</v>
      </c>
      <c r="M663" t="s">
        <v>14746</v>
      </c>
      <c r="N663" t="s">
        <v>14779</v>
      </c>
      <c r="O663" t="s">
        <v>14787</v>
      </c>
      <c r="P663" t="s">
        <v>14797</v>
      </c>
      <c r="Q663" t="s">
        <v>11448</v>
      </c>
      <c r="S663" t="s">
        <v>14827</v>
      </c>
      <c r="T663" t="s">
        <v>14832</v>
      </c>
      <c r="U663" t="s">
        <v>545</v>
      </c>
      <c r="V663">
        <v>2379</v>
      </c>
      <c r="W663" t="s">
        <v>14859</v>
      </c>
      <c r="X663" t="s">
        <v>14867</v>
      </c>
      <c r="Y663" t="s">
        <v>14884</v>
      </c>
      <c r="Z663" t="s">
        <v>15541</v>
      </c>
      <c r="AA663" t="s">
        <v>19336</v>
      </c>
      <c r="AB663" t="s">
        <v>20659</v>
      </c>
      <c r="AC663">
        <v>4</v>
      </c>
      <c r="AD663" t="s">
        <v>24600</v>
      </c>
      <c r="AE663" t="s">
        <v>24610</v>
      </c>
      <c r="AF663">
        <v>0</v>
      </c>
      <c r="AG663">
        <v>1</v>
      </c>
      <c r="AH663">
        <v>2</v>
      </c>
      <c r="AI663">
        <v>173.46</v>
      </c>
      <c r="AL663" t="s">
        <v>5011</v>
      </c>
      <c r="AM663">
        <v>37000</v>
      </c>
      <c r="AS663">
        <v>1.7</v>
      </c>
      <c r="AT663" t="s">
        <v>474</v>
      </c>
      <c r="AU663" t="s">
        <v>25225</v>
      </c>
      <c r="AV663" t="s">
        <v>25335</v>
      </c>
      <c r="AW663" t="s">
        <v>11447</v>
      </c>
    </row>
    <row r="664" spans="1:49">
      <c r="A664" s="1">
        <f>HYPERLINK("https://lsnyc.legalserver.org/matter/dynamic-profile/view/1901811","19-1901811")</f>
        <v>0</v>
      </c>
      <c r="B664" t="s">
        <v>90</v>
      </c>
      <c r="C664" t="s">
        <v>462</v>
      </c>
      <c r="D664" t="s">
        <v>462</v>
      </c>
      <c r="E664" t="s">
        <v>1526</v>
      </c>
      <c r="F664" t="s">
        <v>3939</v>
      </c>
      <c r="G664" t="s">
        <v>6911</v>
      </c>
      <c r="H664" t="s">
        <v>10692</v>
      </c>
      <c r="I664" t="s">
        <v>11383</v>
      </c>
      <c r="J664">
        <v>10452</v>
      </c>
      <c r="K664" t="s">
        <v>11446</v>
      </c>
      <c r="M664" t="s">
        <v>14747</v>
      </c>
      <c r="N664" t="s">
        <v>14778</v>
      </c>
      <c r="O664" t="s">
        <v>14786</v>
      </c>
      <c r="P664" t="s">
        <v>14797</v>
      </c>
      <c r="S664" t="s">
        <v>14827</v>
      </c>
      <c r="T664" t="s">
        <v>14832</v>
      </c>
      <c r="V664">
        <v>1100</v>
      </c>
      <c r="W664" t="s">
        <v>14858</v>
      </c>
      <c r="X664" t="s">
        <v>14864</v>
      </c>
      <c r="Y664" t="s">
        <v>14883</v>
      </c>
      <c r="Z664" t="s">
        <v>15542</v>
      </c>
      <c r="AB664" t="s">
        <v>20660</v>
      </c>
      <c r="AC664">
        <v>0</v>
      </c>
      <c r="AD664" t="s">
        <v>24595</v>
      </c>
      <c r="AE664" t="s">
        <v>11459</v>
      </c>
      <c r="AF664">
        <v>4</v>
      </c>
      <c r="AG664">
        <v>2</v>
      </c>
      <c r="AH664">
        <v>0</v>
      </c>
      <c r="AI664">
        <v>224.25</v>
      </c>
      <c r="AL664" t="s">
        <v>24632</v>
      </c>
      <c r="AM664">
        <v>37920</v>
      </c>
      <c r="AS664">
        <v>0.2</v>
      </c>
      <c r="AT664" t="s">
        <v>462</v>
      </c>
      <c r="AU664" t="s">
        <v>90</v>
      </c>
      <c r="AV664" t="s">
        <v>25335</v>
      </c>
      <c r="AW664" t="s">
        <v>11447</v>
      </c>
    </row>
    <row r="665" spans="1:49">
      <c r="A665" s="1">
        <f>HYPERLINK("https://lsnyc.legalserver.org/matter/dynamic-profile/view/1907437","19-1907437")</f>
        <v>0</v>
      </c>
      <c r="B665" t="s">
        <v>76</v>
      </c>
      <c r="C665" t="s">
        <v>465</v>
      </c>
      <c r="D665" t="s">
        <v>589</v>
      </c>
      <c r="E665" t="s">
        <v>1527</v>
      </c>
      <c r="F665" t="s">
        <v>4026</v>
      </c>
      <c r="G665" t="s">
        <v>6912</v>
      </c>
      <c r="H665" t="s">
        <v>10638</v>
      </c>
      <c r="I665" t="s">
        <v>11385</v>
      </c>
      <c r="J665">
        <v>11222</v>
      </c>
      <c r="K665" t="s">
        <v>11446</v>
      </c>
      <c r="L665" t="s">
        <v>11465</v>
      </c>
      <c r="M665" t="s">
        <v>14746</v>
      </c>
      <c r="N665" t="s">
        <v>14778</v>
      </c>
      <c r="O665" t="s">
        <v>14786</v>
      </c>
      <c r="P665" t="s">
        <v>14797</v>
      </c>
      <c r="Q665" t="s">
        <v>11448</v>
      </c>
      <c r="S665" t="s">
        <v>14827</v>
      </c>
      <c r="T665" t="s">
        <v>14832</v>
      </c>
      <c r="U665" t="s">
        <v>462</v>
      </c>
      <c r="V665">
        <v>2400</v>
      </c>
      <c r="W665" t="s">
        <v>14859</v>
      </c>
      <c r="X665" t="s">
        <v>14755</v>
      </c>
      <c r="Y665" t="s">
        <v>14883</v>
      </c>
      <c r="Z665" t="s">
        <v>15543</v>
      </c>
      <c r="AA665" t="s">
        <v>11465</v>
      </c>
      <c r="AB665" t="s">
        <v>20661</v>
      </c>
      <c r="AC665">
        <v>4</v>
      </c>
      <c r="AD665" t="s">
        <v>24595</v>
      </c>
      <c r="AE665" t="s">
        <v>11459</v>
      </c>
      <c r="AF665">
        <v>10</v>
      </c>
      <c r="AG665">
        <v>1</v>
      </c>
      <c r="AH665">
        <v>0</v>
      </c>
      <c r="AI665">
        <v>0</v>
      </c>
      <c r="AL665" t="s">
        <v>5011</v>
      </c>
      <c r="AM665">
        <v>0</v>
      </c>
      <c r="AS665">
        <v>1.8</v>
      </c>
      <c r="AT665" t="s">
        <v>462</v>
      </c>
      <c r="AU665" t="s">
        <v>25244</v>
      </c>
      <c r="AV665" t="s">
        <v>25334</v>
      </c>
      <c r="AW665" t="s">
        <v>11447</v>
      </c>
    </row>
    <row r="666" spans="1:49">
      <c r="A666" s="1">
        <f>HYPERLINK("https://lsnyc.legalserver.org/matter/dynamic-profile/view/1908772","19-1908772")</f>
        <v>0</v>
      </c>
      <c r="B666" t="s">
        <v>76</v>
      </c>
      <c r="C666" t="s">
        <v>585</v>
      </c>
      <c r="D666" t="s">
        <v>589</v>
      </c>
      <c r="E666" t="s">
        <v>1528</v>
      </c>
      <c r="F666" t="s">
        <v>3972</v>
      </c>
      <c r="G666" t="s">
        <v>6913</v>
      </c>
      <c r="H666" t="s">
        <v>10618</v>
      </c>
      <c r="I666" t="s">
        <v>11385</v>
      </c>
      <c r="J666">
        <v>11212</v>
      </c>
      <c r="K666" t="s">
        <v>11448</v>
      </c>
      <c r="L666" t="s">
        <v>11465</v>
      </c>
      <c r="M666" t="s">
        <v>14746</v>
      </c>
      <c r="N666" t="s">
        <v>14778</v>
      </c>
      <c r="O666" t="s">
        <v>14786</v>
      </c>
      <c r="P666" t="s">
        <v>14797</v>
      </c>
      <c r="Q666" t="s">
        <v>11448</v>
      </c>
      <c r="S666" t="s">
        <v>14827</v>
      </c>
      <c r="T666" t="s">
        <v>14832</v>
      </c>
      <c r="V666">
        <v>1300</v>
      </c>
      <c r="W666" t="s">
        <v>14859</v>
      </c>
      <c r="Y666" t="s">
        <v>14883</v>
      </c>
      <c r="Z666" t="s">
        <v>15544</v>
      </c>
      <c r="AA666" t="s">
        <v>19354</v>
      </c>
      <c r="AB666" t="s">
        <v>20662</v>
      </c>
      <c r="AC666">
        <v>60</v>
      </c>
      <c r="AE666" t="s">
        <v>24611</v>
      </c>
      <c r="AF666">
        <v>1</v>
      </c>
      <c r="AG666">
        <v>1</v>
      </c>
      <c r="AH666">
        <v>0</v>
      </c>
      <c r="AI666">
        <v>76.86</v>
      </c>
      <c r="AL666" t="s">
        <v>5011</v>
      </c>
      <c r="AM666">
        <v>9600</v>
      </c>
      <c r="AN666" t="s">
        <v>24720</v>
      </c>
      <c r="AS666">
        <v>1.4</v>
      </c>
      <c r="AT666" t="s">
        <v>462</v>
      </c>
      <c r="AU666" t="s">
        <v>25227</v>
      </c>
      <c r="AV666" t="s">
        <v>11459</v>
      </c>
      <c r="AW666" t="s">
        <v>11447</v>
      </c>
    </row>
    <row r="667" spans="1:49">
      <c r="A667" s="1">
        <f>HYPERLINK("https://lsnyc.legalserver.org/matter/dynamic-profile/view/1908216","19-1908216")</f>
        <v>0</v>
      </c>
      <c r="B667" t="s">
        <v>76</v>
      </c>
      <c r="C667" t="s">
        <v>372</v>
      </c>
      <c r="D667" t="s">
        <v>589</v>
      </c>
      <c r="E667" t="s">
        <v>1520</v>
      </c>
      <c r="F667" t="s">
        <v>4018</v>
      </c>
      <c r="G667" t="s">
        <v>6901</v>
      </c>
      <c r="H667" t="s">
        <v>10689</v>
      </c>
      <c r="I667" t="s">
        <v>11385</v>
      </c>
      <c r="J667">
        <v>11208</v>
      </c>
      <c r="K667" t="s">
        <v>11448</v>
      </c>
      <c r="M667" t="s">
        <v>14746</v>
      </c>
      <c r="N667" t="s">
        <v>14778</v>
      </c>
      <c r="O667" t="s">
        <v>14786</v>
      </c>
      <c r="P667" t="s">
        <v>14797</v>
      </c>
      <c r="Q667" t="s">
        <v>11448</v>
      </c>
      <c r="S667" t="s">
        <v>14827</v>
      </c>
      <c r="T667" t="s">
        <v>14832</v>
      </c>
      <c r="V667">
        <v>0</v>
      </c>
      <c r="W667" t="s">
        <v>14859</v>
      </c>
      <c r="X667" t="s">
        <v>14871</v>
      </c>
      <c r="Y667" t="s">
        <v>14883</v>
      </c>
      <c r="Z667" t="s">
        <v>15532</v>
      </c>
      <c r="AA667" t="s">
        <v>11465</v>
      </c>
      <c r="AB667" t="s">
        <v>20650</v>
      </c>
      <c r="AC667">
        <v>1444</v>
      </c>
      <c r="AE667" t="s">
        <v>11459</v>
      </c>
      <c r="AF667">
        <v>0</v>
      </c>
      <c r="AG667">
        <v>2</v>
      </c>
      <c r="AH667">
        <v>2</v>
      </c>
      <c r="AI667">
        <v>100.97</v>
      </c>
      <c r="AL667" t="s">
        <v>24647</v>
      </c>
      <c r="AM667">
        <v>26000</v>
      </c>
      <c r="AS667">
        <v>1</v>
      </c>
      <c r="AT667" t="s">
        <v>462</v>
      </c>
      <c r="AU667" t="s">
        <v>25230</v>
      </c>
      <c r="AV667" t="s">
        <v>25335</v>
      </c>
      <c r="AW667" t="s">
        <v>11447</v>
      </c>
    </row>
    <row r="668" spans="1:49">
      <c r="A668" s="1">
        <f>HYPERLINK("https://lsnyc.legalserver.org/matter/dynamic-profile/view/1907786","19-1907786")</f>
        <v>0</v>
      </c>
      <c r="B668" t="s">
        <v>76</v>
      </c>
      <c r="C668" t="s">
        <v>377</v>
      </c>
      <c r="D668" t="s">
        <v>589</v>
      </c>
      <c r="E668" t="s">
        <v>1529</v>
      </c>
      <c r="F668" t="s">
        <v>4027</v>
      </c>
      <c r="G668" t="s">
        <v>6914</v>
      </c>
      <c r="H668" t="s">
        <v>10641</v>
      </c>
      <c r="I668" t="s">
        <v>11385</v>
      </c>
      <c r="J668">
        <v>11208</v>
      </c>
      <c r="K668" t="s">
        <v>11448</v>
      </c>
      <c r="L668" t="s">
        <v>11465</v>
      </c>
      <c r="M668" t="s">
        <v>11601</v>
      </c>
      <c r="N668" t="s">
        <v>14778</v>
      </c>
      <c r="O668" t="s">
        <v>14786</v>
      </c>
      <c r="P668" t="s">
        <v>14797</v>
      </c>
      <c r="Q668" t="s">
        <v>11448</v>
      </c>
      <c r="S668" t="s">
        <v>14827</v>
      </c>
      <c r="T668" t="s">
        <v>14832</v>
      </c>
      <c r="V668">
        <v>1050</v>
      </c>
      <c r="W668" t="s">
        <v>14859</v>
      </c>
      <c r="X668" t="s">
        <v>14866</v>
      </c>
      <c r="Y668" t="s">
        <v>14883</v>
      </c>
      <c r="Z668" t="s">
        <v>15545</v>
      </c>
      <c r="AA668" t="s">
        <v>11459</v>
      </c>
      <c r="AB668" t="s">
        <v>20663</v>
      </c>
      <c r="AC668">
        <v>4</v>
      </c>
      <c r="AE668" t="s">
        <v>11459</v>
      </c>
      <c r="AF668">
        <v>14</v>
      </c>
      <c r="AG668">
        <v>2</v>
      </c>
      <c r="AH668">
        <v>3</v>
      </c>
      <c r="AI668">
        <v>122.64</v>
      </c>
      <c r="AL668" t="s">
        <v>5011</v>
      </c>
      <c r="AM668">
        <v>37000</v>
      </c>
      <c r="AN668" t="s">
        <v>24721</v>
      </c>
      <c r="AS668">
        <v>0.6</v>
      </c>
      <c r="AT668" t="s">
        <v>372</v>
      </c>
      <c r="AU668" t="s">
        <v>25238</v>
      </c>
      <c r="AV668" t="s">
        <v>11459</v>
      </c>
      <c r="AW668" t="s">
        <v>11447</v>
      </c>
    </row>
    <row r="669" spans="1:49">
      <c r="A669" s="1">
        <f>HYPERLINK("https://lsnyc.legalserver.org/matter/dynamic-profile/view/1908142","19-1908142")</f>
        <v>0</v>
      </c>
      <c r="B669" t="s">
        <v>76</v>
      </c>
      <c r="C669" t="s">
        <v>372</v>
      </c>
      <c r="D669" t="s">
        <v>589</v>
      </c>
      <c r="E669" t="s">
        <v>1024</v>
      </c>
      <c r="F669" t="s">
        <v>4028</v>
      </c>
      <c r="G669" t="s">
        <v>6915</v>
      </c>
      <c r="H669" t="s">
        <v>10506</v>
      </c>
      <c r="I669" t="s">
        <v>11385</v>
      </c>
      <c r="J669">
        <v>11223</v>
      </c>
      <c r="K669" t="s">
        <v>11448</v>
      </c>
      <c r="L669" t="s">
        <v>11465</v>
      </c>
      <c r="M669" t="s">
        <v>14746</v>
      </c>
      <c r="N669" t="s">
        <v>14778</v>
      </c>
      <c r="O669" t="s">
        <v>14786</v>
      </c>
      <c r="P669" t="s">
        <v>14797</v>
      </c>
      <c r="Q669" t="s">
        <v>11448</v>
      </c>
      <c r="S669" t="s">
        <v>14827</v>
      </c>
      <c r="T669" t="s">
        <v>14832</v>
      </c>
      <c r="V669">
        <v>1250</v>
      </c>
      <c r="W669" t="s">
        <v>14859</v>
      </c>
      <c r="X669" t="s">
        <v>14870</v>
      </c>
      <c r="Y669" t="s">
        <v>14883</v>
      </c>
      <c r="Z669" t="s">
        <v>15546</v>
      </c>
      <c r="AA669" t="s">
        <v>11465</v>
      </c>
      <c r="AB669" t="s">
        <v>20664</v>
      </c>
      <c r="AC669">
        <v>3</v>
      </c>
      <c r="AD669" t="s">
        <v>24600</v>
      </c>
      <c r="AE669" t="s">
        <v>11459</v>
      </c>
      <c r="AF669">
        <v>6</v>
      </c>
      <c r="AG669">
        <v>1</v>
      </c>
      <c r="AH669">
        <v>1</v>
      </c>
      <c r="AI669">
        <v>129.15</v>
      </c>
      <c r="AL669" t="s">
        <v>5011</v>
      </c>
      <c r="AM669">
        <v>21840</v>
      </c>
      <c r="AN669" t="s">
        <v>24722</v>
      </c>
      <c r="AS669">
        <v>1.1</v>
      </c>
      <c r="AT669" t="s">
        <v>372</v>
      </c>
      <c r="AU669" t="s">
        <v>25226</v>
      </c>
      <c r="AV669" t="s">
        <v>11459</v>
      </c>
      <c r="AW669" t="s">
        <v>11447</v>
      </c>
    </row>
    <row r="670" spans="1:49">
      <c r="A670" s="1">
        <f>HYPERLINK("https://lsnyc.legalserver.org/matter/dynamic-profile/view/1907573","19-1907573")</f>
        <v>0</v>
      </c>
      <c r="B670" t="s">
        <v>76</v>
      </c>
      <c r="C670" t="s">
        <v>630</v>
      </c>
      <c r="D670" t="s">
        <v>589</v>
      </c>
      <c r="E670" t="s">
        <v>1530</v>
      </c>
      <c r="F670" t="s">
        <v>4029</v>
      </c>
      <c r="G670" t="s">
        <v>6916</v>
      </c>
      <c r="H670" t="s">
        <v>10693</v>
      </c>
      <c r="I670" t="s">
        <v>11385</v>
      </c>
      <c r="J670">
        <v>11210</v>
      </c>
      <c r="K670" t="s">
        <v>11448</v>
      </c>
      <c r="L670" t="s">
        <v>11465</v>
      </c>
      <c r="M670" t="s">
        <v>14746</v>
      </c>
      <c r="N670" t="s">
        <v>14778</v>
      </c>
      <c r="O670" t="s">
        <v>14786</v>
      </c>
      <c r="P670" t="s">
        <v>14797</v>
      </c>
      <c r="Q670" t="s">
        <v>11448</v>
      </c>
      <c r="S670" t="s">
        <v>14827</v>
      </c>
      <c r="T670" t="s">
        <v>14832</v>
      </c>
      <c r="V670">
        <v>2550</v>
      </c>
      <c r="W670" t="s">
        <v>14859</v>
      </c>
      <c r="X670" t="s">
        <v>14866</v>
      </c>
      <c r="Y670" t="s">
        <v>14883</v>
      </c>
      <c r="Z670" t="s">
        <v>15547</v>
      </c>
      <c r="AA670" t="s">
        <v>11465</v>
      </c>
      <c r="AB670" t="s">
        <v>20665</v>
      </c>
      <c r="AC670">
        <v>2</v>
      </c>
      <c r="AD670" t="s">
        <v>24600</v>
      </c>
      <c r="AE670" t="s">
        <v>11459</v>
      </c>
      <c r="AF670">
        <v>-1</v>
      </c>
      <c r="AG670">
        <v>1</v>
      </c>
      <c r="AH670">
        <v>2</v>
      </c>
      <c r="AI670">
        <v>138.96</v>
      </c>
      <c r="AL670" t="s">
        <v>5011</v>
      </c>
      <c r="AM670">
        <v>29640</v>
      </c>
      <c r="AN670" t="s">
        <v>24723</v>
      </c>
      <c r="AS670">
        <v>1</v>
      </c>
      <c r="AT670" t="s">
        <v>633</v>
      </c>
      <c r="AU670" t="s">
        <v>25247</v>
      </c>
      <c r="AV670" t="s">
        <v>11459</v>
      </c>
      <c r="AW670" t="s">
        <v>11447</v>
      </c>
    </row>
    <row r="671" spans="1:49">
      <c r="A671" s="1">
        <f>HYPERLINK("https://lsnyc.legalserver.org/matter/dynamic-profile/view/1908779","19-1908779")</f>
        <v>0</v>
      </c>
      <c r="B671" t="s">
        <v>76</v>
      </c>
      <c r="C671" t="s">
        <v>585</v>
      </c>
      <c r="D671" t="s">
        <v>589</v>
      </c>
      <c r="E671" t="s">
        <v>1309</v>
      </c>
      <c r="F671" t="s">
        <v>4030</v>
      </c>
      <c r="G671" t="s">
        <v>6917</v>
      </c>
      <c r="H671" t="s">
        <v>10523</v>
      </c>
      <c r="I671" t="s">
        <v>11385</v>
      </c>
      <c r="J671">
        <v>11230</v>
      </c>
      <c r="K671" t="s">
        <v>11448</v>
      </c>
      <c r="L671" t="s">
        <v>11465</v>
      </c>
      <c r="M671" t="s">
        <v>14746</v>
      </c>
      <c r="N671" t="s">
        <v>14778</v>
      </c>
      <c r="O671" t="s">
        <v>14786</v>
      </c>
      <c r="P671" t="s">
        <v>14797</v>
      </c>
      <c r="Q671" t="s">
        <v>11448</v>
      </c>
      <c r="S671" t="s">
        <v>14827</v>
      </c>
      <c r="T671" t="s">
        <v>14832</v>
      </c>
      <c r="V671">
        <v>1250</v>
      </c>
      <c r="W671" t="s">
        <v>14859</v>
      </c>
      <c r="X671" t="s">
        <v>14868</v>
      </c>
      <c r="Y671" t="s">
        <v>14883</v>
      </c>
      <c r="Z671" t="s">
        <v>15548</v>
      </c>
      <c r="AA671" t="s">
        <v>11465</v>
      </c>
      <c r="AB671" t="s">
        <v>20666</v>
      </c>
      <c r="AC671">
        <v>55</v>
      </c>
      <c r="AD671" t="s">
        <v>24599</v>
      </c>
      <c r="AE671" t="s">
        <v>24613</v>
      </c>
      <c r="AF671">
        <v>7</v>
      </c>
      <c r="AG671">
        <v>1</v>
      </c>
      <c r="AH671">
        <v>0</v>
      </c>
      <c r="AI671">
        <v>218.25</v>
      </c>
      <c r="AL671" t="s">
        <v>5011</v>
      </c>
      <c r="AM671">
        <v>27260</v>
      </c>
      <c r="AN671" t="s">
        <v>24724</v>
      </c>
      <c r="AS671">
        <v>1.3</v>
      </c>
      <c r="AT671" t="s">
        <v>462</v>
      </c>
      <c r="AU671" t="s">
        <v>25226</v>
      </c>
      <c r="AV671" t="s">
        <v>11459</v>
      </c>
      <c r="AW671" t="s">
        <v>11447</v>
      </c>
    </row>
    <row r="672" spans="1:49">
      <c r="A672" s="1">
        <f>HYPERLINK("https://lsnyc.legalserver.org/matter/dynamic-profile/view/1903507","19-1903507")</f>
        <v>0</v>
      </c>
      <c r="B672" t="s">
        <v>120</v>
      </c>
      <c r="C672" t="s">
        <v>631</v>
      </c>
      <c r="D672" t="s">
        <v>412</v>
      </c>
      <c r="E672" t="s">
        <v>1531</v>
      </c>
      <c r="F672" t="s">
        <v>4031</v>
      </c>
      <c r="G672" t="s">
        <v>6918</v>
      </c>
      <c r="H672">
        <v>402</v>
      </c>
      <c r="I672" t="s">
        <v>11385</v>
      </c>
      <c r="J672">
        <v>11212</v>
      </c>
      <c r="K672" t="s">
        <v>11446</v>
      </c>
      <c r="L672" t="s">
        <v>11601</v>
      </c>
      <c r="M672" t="s">
        <v>11601</v>
      </c>
      <c r="N672" t="s">
        <v>14778</v>
      </c>
      <c r="O672" t="s">
        <v>14786</v>
      </c>
      <c r="P672" t="s">
        <v>14797</v>
      </c>
      <c r="Q672" t="s">
        <v>11448</v>
      </c>
      <c r="S672" t="s">
        <v>14827</v>
      </c>
      <c r="U672" t="s">
        <v>545</v>
      </c>
      <c r="V672">
        <v>336</v>
      </c>
      <c r="W672" t="s">
        <v>14859</v>
      </c>
      <c r="X672" t="s">
        <v>14755</v>
      </c>
      <c r="Y672" t="s">
        <v>14883</v>
      </c>
      <c r="Z672" t="s">
        <v>15549</v>
      </c>
      <c r="AB672" t="s">
        <v>20667</v>
      </c>
      <c r="AC672">
        <v>161</v>
      </c>
      <c r="AD672" t="s">
        <v>24605</v>
      </c>
      <c r="AE672" t="s">
        <v>24611</v>
      </c>
      <c r="AF672">
        <v>2</v>
      </c>
      <c r="AG672">
        <v>1</v>
      </c>
      <c r="AH672">
        <v>0</v>
      </c>
      <c r="AI672">
        <v>80.7</v>
      </c>
      <c r="AL672" t="s">
        <v>5011</v>
      </c>
      <c r="AM672">
        <v>10080</v>
      </c>
      <c r="AS672">
        <v>2</v>
      </c>
      <c r="AT672" t="s">
        <v>474</v>
      </c>
      <c r="AU672" t="s">
        <v>25231</v>
      </c>
      <c r="AV672" t="s">
        <v>25335</v>
      </c>
      <c r="AW672" t="s">
        <v>11447</v>
      </c>
    </row>
    <row r="673" spans="1:49">
      <c r="A673" s="1">
        <f>HYPERLINK("https://lsnyc.legalserver.org/matter/dynamic-profile/view/1902243","19-1902243")</f>
        <v>0</v>
      </c>
      <c r="B673" t="s">
        <v>76</v>
      </c>
      <c r="C673" t="s">
        <v>538</v>
      </c>
      <c r="D673" t="s">
        <v>412</v>
      </c>
      <c r="E673" t="s">
        <v>1532</v>
      </c>
      <c r="F673" t="s">
        <v>1813</v>
      </c>
      <c r="G673" t="s">
        <v>6919</v>
      </c>
      <c r="H673" t="s">
        <v>10694</v>
      </c>
      <c r="I673" t="s">
        <v>11385</v>
      </c>
      <c r="J673">
        <v>11234</v>
      </c>
      <c r="K673" t="s">
        <v>11446</v>
      </c>
      <c r="L673" t="s">
        <v>11643</v>
      </c>
      <c r="M673" t="s">
        <v>14746</v>
      </c>
      <c r="N673" t="s">
        <v>14778</v>
      </c>
      <c r="O673" t="s">
        <v>14786</v>
      </c>
      <c r="P673" t="s">
        <v>14797</v>
      </c>
      <c r="Q673" t="s">
        <v>11448</v>
      </c>
      <c r="S673" t="s">
        <v>14827</v>
      </c>
      <c r="T673" t="s">
        <v>14832</v>
      </c>
      <c r="U673" t="s">
        <v>545</v>
      </c>
      <c r="V673">
        <v>0</v>
      </c>
      <c r="W673" t="s">
        <v>14859</v>
      </c>
      <c r="X673" t="s">
        <v>14865</v>
      </c>
      <c r="Y673" t="s">
        <v>14883</v>
      </c>
      <c r="Z673" t="s">
        <v>15550</v>
      </c>
      <c r="AA673" t="s">
        <v>19359</v>
      </c>
      <c r="AB673" t="s">
        <v>20668</v>
      </c>
      <c r="AC673">
        <v>710</v>
      </c>
      <c r="AD673" t="s">
        <v>11479</v>
      </c>
      <c r="AF673">
        <v>0</v>
      </c>
      <c r="AG673">
        <v>1</v>
      </c>
      <c r="AH673">
        <v>1</v>
      </c>
      <c r="AI673">
        <v>162.67</v>
      </c>
      <c r="AL673" t="s">
        <v>5011</v>
      </c>
      <c r="AM673">
        <v>27508</v>
      </c>
      <c r="AS673">
        <v>0.1</v>
      </c>
      <c r="AT673" t="s">
        <v>371</v>
      </c>
      <c r="AU673" t="s">
        <v>25275</v>
      </c>
      <c r="AV673" t="s">
        <v>25334</v>
      </c>
      <c r="AW673" t="s">
        <v>11447</v>
      </c>
    </row>
    <row r="674" spans="1:49">
      <c r="A674" s="1">
        <f>HYPERLINK("https://lsnyc.legalserver.org/matter/dynamic-profile/view/1902323","19-1902323")</f>
        <v>0</v>
      </c>
      <c r="B674" t="s">
        <v>76</v>
      </c>
      <c r="C674" t="s">
        <v>362</v>
      </c>
      <c r="D674" t="s">
        <v>412</v>
      </c>
      <c r="E674" t="s">
        <v>1533</v>
      </c>
      <c r="F674" t="s">
        <v>3954</v>
      </c>
      <c r="G674" t="s">
        <v>6920</v>
      </c>
      <c r="H674" t="s">
        <v>10638</v>
      </c>
      <c r="I674" t="s">
        <v>11385</v>
      </c>
      <c r="J674">
        <v>11217</v>
      </c>
      <c r="K674" t="s">
        <v>11446</v>
      </c>
      <c r="L674" t="s">
        <v>11601</v>
      </c>
      <c r="M674" t="s">
        <v>14746</v>
      </c>
      <c r="N674" t="s">
        <v>14779</v>
      </c>
      <c r="O674" t="s">
        <v>14787</v>
      </c>
      <c r="P674" t="s">
        <v>14797</v>
      </c>
      <c r="Q674" t="s">
        <v>11448</v>
      </c>
      <c r="S674" t="s">
        <v>14827</v>
      </c>
      <c r="U674" t="s">
        <v>545</v>
      </c>
      <c r="V674">
        <v>1550</v>
      </c>
      <c r="W674" t="s">
        <v>14859</v>
      </c>
      <c r="X674" t="s">
        <v>14755</v>
      </c>
      <c r="Y674" t="s">
        <v>14884</v>
      </c>
      <c r="Z674" t="s">
        <v>15551</v>
      </c>
      <c r="AB674" t="s">
        <v>20669</v>
      </c>
      <c r="AC674">
        <v>6</v>
      </c>
      <c r="AE674" t="s">
        <v>11459</v>
      </c>
      <c r="AF674">
        <v>9</v>
      </c>
      <c r="AG674">
        <v>1</v>
      </c>
      <c r="AH674">
        <v>0</v>
      </c>
      <c r="AI674">
        <v>175.13</v>
      </c>
      <c r="AL674" t="s">
        <v>5011</v>
      </c>
      <c r="AM674">
        <v>21874</v>
      </c>
      <c r="AS674">
        <v>2.1</v>
      </c>
      <c r="AT674" t="s">
        <v>474</v>
      </c>
      <c r="AU674" t="s">
        <v>25237</v>
      </c>
      <c r="AV674" t="s">
        <v>25335</v>
      </c>
      <c r="AW674" t="s">
        <v>11447</v>
      </c>
    </row>
    <row r="675" spans="1:49">
      <c r="A675" s="1">
        <f>HYPERLINK("https://lsnyc.legalserver.org/matter/dynamic-profile/view/1888046","19-1888046")</f>
        <v>0</v>
      </c>
      <c r="B675" t="s">
        <v>76</v>
      </c>
      <c r="C675" t="s">
        <v>632</v>
      </c>
      <c r="D675" t="s">
        <v>412</v>
      </c>
      <c r="E675" t="s">
        <v>1534</v>
      </c>
      <c r="F675" t="s">
        <v>4032</v>
      </c>
      <c r="G675" t="s">
        <v>6921</v>
      </c>
      <c r="H675">
        <v>401</v>
      </c>
      <c r="I675" t="s">
        <v>11385</v>
      </c>
      <c r="J675">
        <v>11201</v>
      </c>
      <c r="K675" t="s">
        <v>11446</v>
      </c>
      <c r="L675" t="s">
        <v>11601</v>
      </c>
      <c r="M675" t="s">
        <v>11601</v>
      </c>
      <c r="N675" t="s">
        <v>14779</v>
      </c>
      <c r="O675" t="s">
        <v>14787</v>
      </c>
      <c r="P675" t="s">
        <v>14797</v>
      </c>
      <c r="Q675" t="s">
        <v>11448</v>
      </c>
      <c r="R675" t="s">
        <v>14798</v>
      </c>
      <c r="S675" t="s">
        <v>14827</v>
      </c>
      <c r="U675" t="s">
        <v>545</v>
      </c>
      <c r="V675">
        <v>1096</v>
      </c>
      <c r="W675" t="s">
        <v>14859</v>
      </c>
      <c r="X675" t="s">
        <v>14872</v>
      </c>
      <c r="Y675" t="s">
        <v>14884</v>
      </c>
      <c r="Z675" t="s">
        <v>15552</v>
      </c>
      <c r="AB675" t="s">
        <v>20670</v>
      </c>
      <c r="AC675">
        <v>156</v>
      </c>
      <c r="AD675" t="s">
        <v>11479</v>
      </c>
      <c r="AE675" t="s">
        <v>11459</v>
      </c>
      <c r="AF675">
        <v>11</v>
      </c>
      <c r="AG675">
        <v>2</v>
      </c>
      <c r="AH675">
        <v>0</v>
      </c>
      <c r="AI675">
        <v>182.26</v>
      </c>
      <c r="AL675" t="s">
        <v>5011</v>
      </c>
      <c r="AM675">
        <v>30000</v>
      </c>
      <c r="AS675">
        <v>2</v>
      </c>
      <c r="AT675" t="s">
        <v>474</v>
      </c>
      <c r="AU675" t="s">
        <v>25275</v>
      </c>
      <c r="AV675" t="s">
        <v>25335</v>
      </c>
      <c r="AW675" t="s">
        <v>11447</v>
      </c>
    </row>
    <row r="676" spans="1:49">
      <c r="A676" s="1">
        <f>HYPERLINK("https://lsnyc.legalserver.org/matter/dynamic-profile/view/1902627","19-1902627")</f>
        <v>0</v>
      </c>
      <c r="B676" t="s">
        <v>76</v>
      </c>
      <c r="C676" t="s">
        <v>371</v>
      </c>
      <c r="D676" t="s">
        <v>412</v>
      </c>
      <c r="E676" t="s">
        <v>1535</v>
      </c>
      <c r="F676" t="s">
        <v>4033</v>
      </c>
      <c r="G676" t="s">
        <v>6922</v>
      </c>
      <c r="H676" t="s">
        <v>10695</v>
      </c>
      <c r="I676" t="s">
        <v>11385</v>
      </c>
      <c r="J676">
        <v>11210</v>
      </c>
      <c r="K676" t="s">
        <v>11446</v>
      </c>
      <c r="L676" t="s">
        <v>11601</v>
      </c>
      <c r="M676" t="s">
        <v>11601</v>
      </c>
      <c r="N676" t="s">
        <v>14778</v>
      </c>
      <c r="O676" t="s">
        <v>14786</v>
      </c>
      <c r="P676" t="s">
        <v>14797</v>
      </c>
      <c r="Q676" t="s">
        <v>11448</v>
      </c>
      <c r="S676" t="s">
        <v>14827</v>
      </c>
      <c r="U676" t="s">
        <v>545</v>
      </c>
      <c r="V676">
        <v>800</v>
      </c>
      <c r="W676" t="s">
        <v>14859</v>
      </c>
      <c r="X676" t="s">
        <v>14864</v>
      </c>
      <c r="Y676" t="s">
        <v>14883</v>
      </c>
      <c r="Z676" t="s">
        <v>15553</v>
      </c>
      <c r="AB676" t="s">
        <v>20671</v>
      </c>
      <c r="AC676">
        <v>3</v>
      </c>
      <c r="AD676" t="s">
        <v>24600</v>
      </c>
      <c r="AE676" t="s">
        <v>11459</v>
      </c>
      <c r="AF676">
        <v>0</v>
      </c>
      <c r="AG676">
        <v>1</v>
      </c>
      <c r="AH676">
        <v>0</v>
      </c>
      <c r="AI676">
        <v>333.07</v>
      </c>
      <c r="AL676" t="s">
        <v>5011</v>
      </c>
      <c r="AM676">
        <v>41600</v>
      </c>
      <c r="AS676">
        <v>1.1</v>
      </c>
      <c r="AT676" t="s">
        <v>474</v>
      </c>
      <c r="AU676" t="s">
        <v>25230</v>
      </c>
      <c r="AV676" t="s">
        <v>25335</v>
      </c>
      <c r="AW676" t="s">
        <v>11447</v>
      </c>
    </row>
    <row r="677" spans="1:49">
      <c r="A677" s="1">
        <f>HYPERLINK("https://lsnyc.legalserver.org/matter/dynamic-profile/view/1909290","19-1909290")</f>
        <v>0</v>
      </c>
      <c r="B677" t="s">
        <v>84</v>
      </c>
      <c r="C677" t="s">
        <v>589</v>
      </c>
      <c r="D677" t="s">
        <v>412</v>
      </c>
      <c r="E677" t="s">
        <v>1536</v>
      </c>
      <c r="F677" t="s">
        <v>4034</v>
      </c>
      <c r="G677" t="s">
        <v>6310</v>
      </c>
      <c r="H677" t="s">
        <v>10696</v>
      </c>
      <c r="I677" t="s">
        <v>11383</v>
      </c>
      <c r="J677">
        <v>10457</v>
      </c>
      <c r="K677" t="s">
        <v>11446</v>
      </c>
      <c r="L677" t="s">
        <v>11644</v>
      </c>
      <c r="M677" t="s">
        <v>14743</v>
      </c>
      <c r="N677" t="s">
        <v>14778</v>
      </c>
      <c r="O677" t="s">
        <v>14786</v>
      </c>
      <c r="P677" t="s">
        <v>14797</v>
      </c>
      <c r="Q677" t="s">
        <v>11448</v>
      </c>
      <c r="S677" t="s">
        <v>14827</v>
      </c>
      <c r="U677" t="s">
        <v>585</v>
      </c>
      <c r="V677">
        <v>461</v>
      </c>
      <c r="W677" t="s">
        <v>14858</v>
      </c>
      <c r="X677" t="s">
        <v>14864</v>
      </c>
      <c r="Y677" t="s">
        <v>14883</v>
      </c>
      <c r="Z677" t="s">
        <v>15554</v>
      </c>
      <c r="AB677" t="s">
        <v>20672</v>
      </c>
      <c r="AC677">
        <v>239</v>
      </c>
      <c r="AE677" t="s">
        <v>11459</v>
      </c>
      <c r="AF677">
        <v>16</v>
      </c>
      <c r="AG677">
        <v>1</v>
      </c>
      <c r="AH677">
        <v>1</v>
      </c>
      <c r="AI677">
        <v>54.86</v>
      </c>
      <c r="AL677" t="s">
        <v>5011</v>
      </c>
      <c r="AM677">
        <v>9276</v>
      </c>
      <c r="AS677">
        <v>0.1</v>
      </c>
      <c r="AT677" t="s">
        <v>412</v>
      </c>
      <c r="AU677" t="s">
        <v>245</v>
      </c>
      <c r="AV677" t="s">
        <v>25335</v>
      </c>
      <c r="AW677" t="s">
        <v>11447</v>
      </c>
    </row>
    <row r="678" spans="1:49">
      <c r="A678" s="1">
        <f>HYPERLINK("https://lsnyc.legalserver.org/matter/dynamic-profile/view/1909360","19-1909360")</f>
        <v>0</v>
      </c>
      <c r="B678" t="s">
        <v>84</v>
      </c>
      <c r="C678" t="s">
        <v>589</v>
      </c>
      <c r="D678" t="s">
        <v>412</v>
      </c>
      <c r="E678" t="s">
        <v>1537</v>
      </c>
      <c r="F678" t="s">
        <v>4035</v>
      </c>
      <c r="G678" t="s">
        <v>6923</v>
      </c>
      <c r="H678" t="s">
        <v>10697</v>
      </c>
      <c r="I678" t="s">
        <v>11383</v>
      </c>
      <c r="J678">
        <v>10458</v>
      </c>
      <c r="K678" t="s">
        <v>11446</v>
      </c>
      <c r="L678" t="s">
        <v>11645</v>
      </c>
      <c r="M678" t="s">
        <v>14743</v>
      </c>
      <c r="N678" t="s">
        <v>14778</v>
      </c>
      <c r="O678" t="s">
        <v>14786</v>
      </c>
      <c r="P678" t="s">
        <v>14797</v>
      </c>
      <c r="Q678" t="s">
        <v>11448</v>
      </c>
      <c r="S678" t="s">
        <v>14827</v>
      </c>
      <c r="U678" t="s">
        <v>585</v>
      </c>
      <c r="V678">
        <v>1150</v>
      </c>
      <c r="W678" t="s">
        <v>14858</v>
      </c>
      <c r="X678" t="s">
        <v>14864</v>
      </c>
      <c r="Y678" t="s">
        <v>14883</v>
      </c>
      <c r="Z678" t="s">
        <v>15555</v>
      </c>
      <c r="AB678" t="s">
        <v>20673</v>
      </c>
      <c r="AC678">
        <v>94</v>
      </c>
      <c r="AD678" t="s">
        <v>24595</v>
      </c>
      <c r="AE678" t="s">
        <v>24611</v>
      </c>
      <c r="AF678">
        <v>8</v>
      </c>
      <c r="AG678">
        <v>1</v>
      </c>
      <c r="AH678">
        <v>0</v>
      </c>
      <c r="AI678">
        <v>72.90000000000001</v>
      </c>
      <c r="AL678" t="s">
        <v>24632</v>
      </c>
      <c r="AM678">
        <v>9105.360000000001</v>
      </c>
      <c r="AS678">
        <v>0.1</v>
      </c>
      <c r="AT678" t="s">
        <v>412</v>
      </c>
      <c r="AU678" t="s">
        <v>245</v>
      </c>
      <c r="AV678" t="s">
        <v>25335</v>
      </c>
      <c r="AW678" t="s">
        <v>11447</v>
      </c>
    </row>
    <row r="679" spans="1:49">
      <c r="A679" s="1">
        <f>HYPERLINK("https://lsnyc.legalserver.org/matter/dynamic-profile/view/1907724","19-1907724")</f>
        <v>0</v>
      </c>
      <c r="B679" t="s">
        <v>126</v>
      </c>
      <c r="C679" t="s">
        <v>633</v>
      </c>
      <c r="D679" t="s">
        <v>412</v>
      </c>
      <c r="E679" t="s">
        <v>1538</v>
      </c>
      <c r="F679" t="s">
        <v>2485</v>
      </c>
      <c r="G679" t="s">
        <v>6924</v>
      </c>
      <c r="H679" t="s">
        <v>10698</v>
      </c>
      <c r="I679" t="s">
        <v>11383</v>
      </c>
      <c r="J679">
        <v>10458</v>
      </c>
      <c r="K679" t="s">
        <v>11446</v>
      </c>
      <c r="N679" t="s">
        <v>14778</v>
      </c>
      <c r="O679" t="s">
        <v>14786</v>
      </c>
      <c r="P679" t="s">
        <v>14797</v>
      </c>
      <c r="Q679" t="s">
        <v>11448</v>
      </c>
      <c r="S679" t="s">
        <v>14827</v>
      </c>
      <c r="V679">
        <v>141</v>
      </c>
      <c r="W679" t="s">
        <v>14858</v>
      </c>
      <c r="X679" t="s">
        <v>14864</v>
      </c>
      <c r="Y679" t="s">
        <v>14883</v>
      </c>
      <c r="Z679" t="s">
        <v>15556</v>
      </c>
      <c r="AB679" t="s">
        <v>20674</v>
      </c>
      <c r="AC679">
        <v>49</v>
      </c>
      <c r="AD679" t="s">
        <v>24600</v>
      </c>
      <c r="AE679" t="s">
        <v>24610</v>
      </c>
      <c r="AF679">
        <v>10</v>
      </c>
      <c r="AG679">
        <v>1</v>
      </c>
      <c r="AH679">
        <v>0</v>
      </c>
      <c r="AI679">
        <v>0</v>
      </c>
      <c r="AL679" t="s">
        <v>5011</v>
      </c>
      <c r="AM679">
        <v>0</v>
      </c>
      <c r="AS679">
        <v>0.25</v>
      </c>
      <c r="AT679" t="s">
        <v>412</v>
      </c>
      <c r="AU679" t="s">
        <v>25242</v>
      </c>
      <c r="AV679" t="s">
        <v>25335</v>
      </c>
      <c r="AW679" t="s">
        <v>11447</v>
      </c>
    </row>
    <row r="680" spans="1:49">
      <c r="A680" s="1">
        <f>HYPERLINK("https://lsnyc.legalserver.org/matter/dynamic-profile/view/1907720","19-1907720")</f>
        <v>0</v>
      </c>
      <c r="B680" t="s">
        <v>126</v>
      </c>
      <c r="C680" t="s">
        <v>633</v>
      </c>
      <c r="D680" t="s">
        <v>412</v>
      </c>
      <c r="E680" t="s">
        <v>1539</v>
      </c>
      <c r="F680" t="s">
        <v>4036</v>
      </c>
      <c r="G680" t="s">
        <v>6925</v>
      </c>
      <c r="H680" t="s">
        <v>10593</v>
      </c>
      <c r="I680" t="s">
        <v>11383</v>
      </c>
      <c r="J680">
        <v>10468</v>
      </c>
      <c r="K680" t="s">
        <v>11446</v>
      </c>
      <c r="N680" t="s">
        <v>14778</v>
      </c>
      <c r="O680" t="s">
        <v>14786</v>
      </c>
      <c r="P680" t="s">
        <v>14797</v>
      </c>
      <c r="Q680" t="s">
        <v>11448</v>
      </c>
      <c r="S680" t="s">
        <v>14827</v>
      </c>
      <c r="V680">
        <v>1211.26</v>
      </c>
      <c r="W680" t="s">
        <v>14858</v>
      </c>
      <c r="X680" t="s">
        <v>14864</v>
      </c>
      <c r="Y680" t="s">
        <v>14883</v>
      </c>
      <c r="Z680" t="s">
        <v>15557</v>
      </c>
      <c r="AC680">
        <v>90</v>
      </c>
      <c r="AD680" t="s">
        <v>24595</v>
      </c>
      <c r="AE680" t="s">
        <v>11459</v>
      </c>
      <c r="AF680">
        <v>18</v>
      </c>
      <c r="AG680">
        <v>2</v>
      </c>
      <c r="AH680">
        <v>0</v>
      </c>
      <c r="AI680">
        <v>46.13</v>
      </c>
      <c r="AL680" t="s">
        <v>24632</v>
      </c>
      <c r="AM680">
        <v>7800</v>
      </c>
      <c r="AS680">
        <v>0.5</v>
      </c>
      <c r="AT680" t="s">
        <v>412</v>
      </c>
      <c r="AU680" t="s">
        <v>25242</v>
      </c>
      <c r="AV680" t="s">
        <v>25335</v>
      </c>
      <c r="AW680" t="s">
        <v>11447</v>
      </c>
    </row>
    <row r="681" spans="1:49">
      <c r="A681" s="1">
        <f>HYPERLINK("https://lsnyc.legalserver.org/matter/dynamic-profile/view/1909153","19-1909153")</f>
        <v>0</v>
      </c>
      <c r="B681" t="s">
        <v>126</v>
      </c>
      <c r="C681" t="s">
        <v>462</v>
      </c>
      <c r="D681" t="s">
        <v>412</v>
      </c>
      <c r="E681" t="s">
        <v>1540</v>
      </c>
      <c r="F681" t="s">
        <v>4037</v>
      </c>
      <c r="G681" t="s">
        <v>6926</v>
      </c>
      <c r="H681" t="s">
        <v>10699</v>
      </c>
      <c r="I681" t="s">
        <v>11383</v>
      </c>
      <c r="J681">
        <v>10452</v>
      </c>
      <c r="K681" t="s">
        <v>11446</v>
      </c>
      <c r="N681" t="s">
        <v>14778</v>
      </c>
      <c r="O681" t="s">
        <v>14786</v>
      </c>
      <c r="P681" t="s">
        <v>14797</v>
      </c>
      <c r="Q681" t="s">
        <v>11448</v>
      </c>
      <c r="S681" t="s">
        <v>14827</v>
      </c>
      <c r="V681">
        <v>684.47</v>
      </c>
      <c r="W681" t="s">
        <v>14858</v>
      </c>
      <c r="X681" t="s">
        <v>14864</v>
      </c>
      <c r="Y681" t="s">
        <v>14883</v>
      </c>
      <c r="Z681" t="s">
        <v>15558</v>
      </c>
      <c r="AB681" t="s">
        <v>20675</v>
      </c>
      <c r="AC681">
        <v>131</v>
      </c>
      <c r="AD681" t="s">
        <v>24595</v>
      </c>
      <c r="AE681" t="s">
        <v>24611</v>
      </c>
      <c r="AF681">
        <v>12</v>
      </c>
      <c r="AG681">
        <v>1</v>
      </c>
      <c r="AH681">
        <v>0</v>
      </c>
      <c r="AI681">
        <v>57.65</v>
      </c>
      <c r="AL681" t="s">
        <v>5011</v>
      </c>
      <c r="AM681">
        <v>7200</v>
      </c>
      <c r="AS681">
        <v>1</v>
      </c>
      <c r="AT681" t="s">
        <v>644</v>
      </c>
      <c r="AU681" t="s">
        <v>245</v>
      </c>
      <c r="AV681" t="s">
        <v>25335</v>
      </c>
      <c r="AW681" t="s">
        <v>11447</v>
      </c>
    </row>
    <row r="682" spans="1:49">
      <c r="A682" s="1">
        <f>HYPERLINK("https://lsnyc.legalserver.org/matter/dynamic-profile/view/1907752","19-1907752")</f>
        <v>0</v>
      </c>
      <c r="B682" t="s">
        <v>126</v>
      </c>
      <c r="C682" t="s">
        <v>377</v>
      </c>
      <c r="D682" t="s">
        <v>412</v>
      </c>
      <c r="E682" t="s">
        <v>1541</v>
      </c>
      <c r="F682" t="s">
        <v>4038</v>
      </c>
      <c r="G682" t="s">
        <v>6927</v>
      </c>
      <c r="H682" t="s">
        <v>10700</v>
      </c>
      <c r="I682" t="s">
        <v>11383</v>
      </c>
      <c r="J682">
        <v>10456</v>
      </c>
      <c r="K682" t="s">
        <v>11446</v>
      </c>
      <c r="N682" t="s">
        <v>14778</v>
      </c>
      <c r="O682" t="s">
        <v>14786</v>
      </c>
      <c r="P682" t="s">
        <v>14797</v>
      </c>
      <c r="Q682" t="s">
        <v>11448</v>
      </c>
      <c r="S682" t="s">
        <v>14827</v>
      </c>
      <c r="V682">
        <v>845</v>
      </c>
      <c r="W682" t="s">
        <v>14858</v>
      </c>
      <c r="X682" t="s">
        <v>14864</v>
      </c>
      <c r="Y682" t="s">
        <v>14883</v>
      </c>
      <c r="Z682" t="s">
        <v>15559</v>
      </c>
      <c r="AB682" t="s">
        <v>20668</v>
      </c>
      <c r="AC682">
        <v>112</v>
      </c>
      <c r="AD682" t="s">
        <v>24595</v>
      </c>
      <c r="AE682" t="s">
        <v>11459</v>
      </c>
      <c r="AF682">
        <v>6</v>
      </c>
      <c r="AG682">
        <v>1</v>
      </c>
      <c r="AH682">
        <v>2</v>
      </c>
      <c r="AI682">
        <v>65.64</v>
      </c>
      <c r="AL682" t="s">
        <v>5011</v>
      </c>
      <c r="AM682">
        <v>14000</v>
      </c>
      <c r="AS682">
        <v>0.25</v>
      </c>
      <c r="AT682" t="s">
        <v>412</v>
      </c>
      <c r="AU682" t="s">
        <v>25242</v>
      </c>
      <c r="AV682" t="s">
        <v>25335</v>
      </c>
      <c r="AW682" t="s">
        <v>11447</v>
      </c>
    </row>
    <row r="683" spans="1:49">
      <c r="A683" s="1">
        <f>HYPERLINK("https://lsnyc.legalserver.org/matter/dynamic-profile/view/1907717","19-1907717")</f>
        <v>0</v>
      </c>
      <c r="B683" t="s">
        <v>126</v>
      </c>
      <c r="C683" t="s">
        <v>633</v>
      </c>
      <c r="D683" t="s">
        <v>412</v>
      </c>
      <c r="E683" t="s">
        <v>1307</v>
      </c>
      <c r="F683" t="s">
        <v>3823</v>
      </c>
      <c r="G683" t="s">
        <v>6928</v>
      </c>
      <c r="H683" t="s">
        <v>10542</v>
      </c>
      <c r="I683" t="s">
        <v>11383</v>
      </c>
      <c r="J683">
        <v>10457</v>
      </c>
      <c r="K683" t="s">
        <v>11446</v>
      </c>
      <c r="N683" t="s">
        <v>14779</v>
      </c>
      <c r="O683" t="s">
        <v>14787</v>
      </c>
      <c r="P683" t="s">
        <v>14797</v>
      </c>
      <c r="Q683" t="s">
        <v>11448</v>
      </c>
      <c r="S683" t="s">
        <v>14827</v>
      </c>
      <c r="V683">
        <v>675</v>
      </c>
      <c r="W683" t="s">
        <v>14858</v>
      </c>
      <c r="X683" t="s">
        <v>14864</v>
      </c>
      <c r="Y683" t="s">
        <v>14885</v>
      </c>
      <c r="Z683" t="s">
        <v>15560</v>
      </c>
      <c r="AB683" t="s">
        <v>20676</v>
      </c>
      <c r="AC683">
        <v>60</v>
      </c>
      <c r="AD683" t="s">
        <v>11479</v>
      </c>
      <c r="AE683" t="s">
        <v>11459</v>
      </c>
      <c r="AF683">
        <v>8</v>
      </c>
      <c r="AG683">
        <v>1</v>
      </c>
      <c r="AH683">
        <v>0</v>
      </c>
      <c r="AI683">
        <v>192.15</v>
      </c>
      <c r="AL683" t="s">
        <v>24632</v>
      </c>
      <c r="AM683">
        <v>24000</v>
      </c>
      <c r="AS683">
        <v>1.75</v>
      </c>
      <c r="AT683" t="s">
        <v>412</v>
      </c>
      <c r="AU683" t="s">
        <v>25242</v>
      </c>
      <c r="AV683" t="s">
        <v>11459</v>
      </c>
      <c r="AW683" t="s">
        <v>11447</v>
      </c>
    </row>
    <row r="684" spans="1:49">
      <c r="A684" s="1">
        <f>HYPERLINK("https://lsnyc.legalserver.org/matter/dynamic-profile/view/1908423","19-1908423")</f>
        <v>0</v>
      </c>
      <c r="B684" t="s">
        <v>66</v>
      </c>
      <c r="C684" t="s">
        <v>464</v>
      </c>
      <c r="D684" t="s">
        <v>412</v>
      </c>
      <c r="E684" t="s">
        <v>1181</v>
      </c>
      <c r="F684" t="s">
        <v>4039</v>
      </c>
      <c r="G684" t="s">
        <v>6929</v>
      </c>
      <c r="H684" t="s">
        <v>10513</v>
      </c>
      <c r="I684" t="s">
        <v>11385</v>
      </c>
      <c r="J684">
        <v>11207</v>
      </c>
      <c r="K684" t="s">
        <v>11448</v>
      </c>
      <c r="L684" t="s">
        <v>11459</v>
      </c>
      <c r="M684" t="s">
        <v>11601</v>
      </c>
      <c r="N684" t="s">
        <v>14782</v>
      </c>
      <c r="O684" t="s">
        <v>14786</v>
      </c>
      <c r="P684" t="s">
        <v>14797</v>
      </c>
      <c r="Q684" t="s">
        <v>11448</v>
      </c>
      <c r="S684" t="s">
        <v>14827</v>
      </c>
      <c r="T684" t="s">
        <v>14832</v>
      </c>
      <c r="V684">
        <v>1000</v>
      </c>
      <c r="W684" t="s">
        <v>14859</v>
      </c>
      <c r="Y684" t="s">
        <v>14883</v>
      </c>
      <c r="Z684" t="s">
        <v>15561</v>
      </c>
      <c r="AA684" t="s">
        <v>11459</v>
      </c>
      <c r="AB684" t="s">
        <v>20677</v>
      </c>
      <c r="AC684">
        <v>6</v>
      </c>
      <c r="AD684" t="s">
        <v>24600</v>
      </c>
      <c r="AE684" t="s">
        <v>11459</v>
      </c>
      <c r="AF684">
        <v>3</v>
      </c>
      <c r="AG684">
        <v>1</v>
      </c>
      <c r="AH684">
        <v>0</v>
      </c>
      <c r="AI684">
        <v>288.23</v>
      </c>
      <c r="AL684" t="s">
        <v>5011</v>
      </c>
      <c r="AM684">
        <v>36000</v>
      </c>
      <c r="AN684" t="s">
        <v>24725</v>
      </c>
      <c r="AS684">
        <v>1</v>
      </c>
      <c r="AT684" t="s">
        <v>464</v>
      </c>
      <c r="AU684" t="s">
        <v>25231</v>
      </c>
      <c r="AV684" t="s">
        <v>11459</v>
      </c>
      <c r="AW684" t="s">
        <v>11447</v>
      </c>
    </row>
    <row r="685" spans="1:49">
      <c r="A685" s="1">
        <f>HYPERLINK("https://lsnyc.legalserver.org/matter/dynamic-profile/view/1903966","19-1903966")</f>
        <v>0</v>
      </c>
      <c r="B685" t="s">
        <v>185</v>
      </c>
      <c r="C685" t="s">
        <v>474</v>
      </c>
      <c r="D685" t="s">
        <v>488</v>
      </c>
      <c r="E685" t="s">
        <v>1542</v>
      </c>
      <c r="F685" t="s">
        <v>3000</v>
      </c>
      <c r="G685" t="s">
        <v>6930</v>
      </c>
      <c r="H685" t="s">
        <v>10456</v>
      </c>
      <c r="I685" t="s">
        <v>11385</v>
      </c>
      <c r="J685">
        <v>11236</v>
      </c>
      <c r="K685" t="s">
        <v>11446</v>
      </c>
      <c r="L685" t="s">
        <v>11646</v>
      </c>
      <c r="M685" t="s">
        <v>14760</v>
      </c>
      <c r="N685" t="s">
        <v>14778</v>
      </c>
      <c r="O685" t="s">
        <v>14786</v>
      </c>
      <c r="P685" t="s">
        <v>14797</v>
      </c>
      <c r="Q685" t="s">
        <v>11448</v>
      </c>
      <c r="S685" t="s">
        <v>14827</v>
      </c>
      <c r="U685" t="s">
        <v>474</v>
      </c>
      <c r="V685">
        <v>720</v>
      </c>
      <c r="W685" t="s">
        <v>14859</v>
      </c>
      <c r="X685" t="s">
        <v>14755</v>
      </c>
      <c r="Y685" t="s">
        <v>14883</v>
      </c>
      <c r="Z685" t="s">
        <v>15562</v>
      </c>
      <c r="AB685" t="s">
        <v>20678</v>
      </c>
      <c r="AC685">
        <v>6</v>
      </c>
      <c r="AD685" t="s">
        <v>24600</v>
      </c>
      <c r="AE685" t="s">
        <v>11459</v>
      </c>
      <c r="AF685">
        <v>9</v>
      </c>
      <c r="AG685">
        <v>2</v>
      </c>
      <c r="AH685">
        <v>1</v>
      </c>
      <c r="AI685">
        <v>121.89</v>
      </c>
      <c r="AL685" t="s">
        <v>5011</v>
      </c>
      <c r="AM685">
        <v>26000</v>
      </c>
      <c r="AS685">
        <v>2.2</v>
      </c>
      <c r="AT685" t="s">
        <v>500</v>
      </c>
      <c r="AU685" t="s">
        <v>25226</v>
      </c>
      <c r="AV685" t="s">
        <v>25335</v>
      </c>
      <c r="AW685" t="s">
        <v>11447</v>
      </c>
    </row>
    <row r="686" spans="1:49">
      <c r="A686" s="1">
        <f>HYPERLINK("https://lsnyc.legalserver.org/matter/dynamic-profile/view/1906244","19-1906244")</f>
        <v>0</v>
      </c>
      <c r="B686" t="s">
        <v>76</v>
      </c>
      <c r="C686" t="s">
        <v>553</v>
      </c>
      <c r="D686" t="s">
        <v>488</v>
      </c>
      <c r="E686" t="s">
        <v>1543</v>
      </c>
      <c r="F686" t="s">
        <v>4040</v>
      </c>
      <c r="G686" t="s">
        <v>6931</v>
      </c>
      <c r="H686" t="s">
        <v>10522</v>
      </c>
      <c r="I686" t="s">
        <v>11385</v>
      </c>
      <c r="J686">
        <v>11233</v>
      </c>
      <c r="K686" t="s">
        <v>11446</v>
      </c>
      <c r="L686" t="s">
        <v>11456</v>
      </c>
      <c r="M686" t="s">
        <v>11601</v>
      </c>
      <c r="N686" t="s">
        <v>14779</v>
      </c>
      <c r="O686" t="s">
        <v>14787</v>
      </c>
      <c r="P686" t="s">
        <v>14797</v>
      </c>
      <c r="Q686" t="s">
        <v>11448</v>
      </c>
      <c r="S686" t="s">
        <v>14827</v>
      </c>
      <c r="U686" t="s">
        <v>553</v>
      </c>
      <c r="V686">
        <v>259</v>
      </c>
      <c r="W686" t="s">
        <v>14859</v>
      </c>
      <c r="X686" t="s">
        <v>14868</v>
      </c>
      <c r="Y686" t="s">
        <v>14884</v>
      </c>
      <c r="Z686" t="s">
        <v>15563</v>
      </c>
      <c r="AC686">
        <v>6</v>
      </c>
      <c r="AD686" t="s">
        <v>24595</v>
      </c>
      <c r="AF686">
        <v>9</v>
      </c>
      <c r="AG686">
        <v>1</v>
      </c>
      <c r="AH686">
        <v>0</v>
      </c>
      <c r="AI686">
        <v>74.45999999999999</v>
      </c>
      <c r="AL686" t="s">
        <v>5011</v>
      </c>
      <c r="AM686">
        <v>9300</v>
      </c>
      <c r="AS686">
        <v>0.4</v>
      </c>
      <c r="AT686" t="s">
        <v>620</v>
      </c>
      <c r="AU686" t="s">
        <v>25230</v>
      </c>
      <c r="AV686" t="s">
        <v>25335</v>
      </c>
      <c r="AW686" t="s">
        <v>11447</v>
      </c>
    </row>
    <row r="687" spans="1:49">
      <c r="A687" s="1">
        <f>HYPERLINK("https://lsnyc.legalserver.org/matter/dynamic-profile/view/1909484","19-1909484")</f>
        <v>0</v>
      </c>
      <c r="B687" t="s">
        <v>76</v>
      </c>
      <c r="C687" t="s">
        <v>488</v>
      </c>
      <c r="D687" t="s">
        <v>488</v>
      </c>
      <c r="E687" t="s">
        <v>1544</v>
      </c>
      <c r="F687" t="s">
        <v>3662</v>
      </c>
      <c r="G687" t="s">
        <v>6932</v>
      </c>
      <c r="H687" t="s">
        <v>10639</v>
      </c>
      <c r="I687" t="s">
        <v>11385</v>
      </c>
      <c r="J687">
        <v>11208</v>
      </c>
      <c r="K687" t="s">
        <v>11446</v>
      </c>
      <c r="L687" t="s">
        <v>11647</v>
      </c>
      <c r="M687" t="s">
        <v>14743</v>
      </c>
      <c r="N687" t="s">
        <v>14778</v>
      </c>
      <c r="O687" t="s">
        <v>14786</v>
      </c>
      <c r="P687" t="s">
        <v>14797</v>
      </c>
      <c r="Q687" t="s">
        <v>11448</v>
      </c>
      <c r="S687" t="s">
        <v>14827</v>
      </c>
      <c r="U687" t="s">
        <v>589</v>
      </c>
      <c r="V687">
        <v>1064</v>
      </c>
      <c r="W687" t="s">
        <v>14859</v>
      </c>
      <c r="X687" t="s">
        <v>14876</v>
      </c>
      <c r="Y687" t="s">
        <v>14883</v>
      </c>
      <c r="Z687" t="s">
        <v>15564</v>
      </c>
      <c r="AB687" t="s">
        <v>20679</v>
      </c>
      <c r="AC687">
        <v>2</v>
      </c>
      <c r="AD687" t="s">
        <v>24600</v>
      </c>
      <c r="AE687" t="s">
        <v>11459</v>
      </c>
      <c r="AF687">
        <v>15</v>
      </c>
      <c r="AG687">
        <v>4</v>
      </c>
      <c r="AH687">
        <v>0</v>
      </c>
      <c r="AI687">
        <v>58.39</v>
      </c>
      <c r="AL687" t="s">
        <v>24632</v>
      </c>
      <c r="AM687">
        <v>15036</v>
      </c>
      <c r="AS687">
        <v>1.2</v>
      </c>
      <c r="AT687" t="s">
        <v>460</v>
      </c>
      <c r="AU687" t="s">
        <v>120</v>
      </c>
      <c r="AV687" t="s">
        <v>25335</v>
      </c>
      <c r="AW687" t="s">
        <v>11447</v>
      </c>
    </row>
    <row r="688" spans="1:49">
      <c r="A688" s="1">
        <f>HYPERLINK("https://lsnyc.legalserver.org/matter/dynamic-profile/view/1854759","17-1854759")</f>
        <v>0</v>
      </c>
      <c r="B688" t="s">
        <v>76</v>
      </c>
      <c r="C688" t="s">
        <v>634</v>
      </c>
      <c r="D688" t="s">
        <v>488</v>
      </c>
      <c r="E688" t="s">
        <v>1258</v>
      </c>
      <c r="F688" t="s">
        <v>4041</v>
      </c>
      <c r="G688" t="s">
        <v>6933</v>
      </c>
      <c r="H688" t="s">
        <v>10581</v>
      </c>
      <c r="I688" t="s">
        <v>11385</v>
      </c>
      <c r="J688">
        <v>11206</v>
      </c>
      <c r="K688" t="s">
        <v>11448</v>
      </c>
      <c r="M688" t="s">
        <v>14746</v>
      </c>
      <c r="N688" t="s">
        <v>14778</v>
      </c>
      <c r="O688" t="s">
        <v>14786</v>
      </c>
      <c r="P688" t="s">
        <v>14797</v>
      </c>
      <c r="Q688" t="s">
        <v>11448</v>
      </c>
      <c r="S688" t="s">
        <v>14827</v>
      </c>
      <c r="V688">
        <v>1415.48</v>
      </c>
      <c r="W688" t="s">
        <v>14859</v>
      </c>
      <c r="X688" t="s">
        <v>14864</v>
      </c>
      <c r="Y688" t="s">
        <v>14883</v>
      </c>
      <c r="Z688" t="s">
        <v>15565</v>
      </c>
      <c r="AA688" t="s">
        <v>19360</v>
      </c>
      <c r="AB688" t="s">
        <v>20680</v>
      </c>
      <c r="AC688">
        <v>14</v>
      </c>
      <c r="AD688" t="s">
        <v>24602</v>
      </c>
      <c r="AF688">
        <v>15</v>
      </c>
      <c r="AG688">
        <v>2</v>
      </c>
      <c r="AH688">
        <v>0</v>
      </c>
      <c r="AI688">
        <v>54.16</v>
      </c>
      <c r="AL688" t="s">
        <v>5011</v>
      </c>
      <c r="AM688">
        <v>24916</v>
      </c>
      <c r="AS688">
        <v>0.5</v>
      </c>
      <c r="AT688" t="s">
        <v>25126</v>
      </c>
      <c r="AU688" t="s">
        <v>25246</v>
      </c>
      <c r="AW688" t="s">
        <v>11448</v>
      </c>
    </row>
    <row r="689" spans="1:49">
      <c r="A689" s="1">
        <f>HYPERLINK("https://lsnyc.legalserver.org/matter/dynamic-profile/view/1875894","18-1875894")</f>
        <v>0</v>
      </c>
      <c r="B689" t="s">
        <v>76</v>
      </c>
      <c r="C689" t="s">
        <v>635</v>
      </c>
      <c r="D689" t="s">
        <v>488</v>
      </c>
      <c r="E689" t="s">
        <v>1545</v>
      </c>
      <c r="F689" t="s">
        <v>4042</v>
      </c>
      <c r="G689" t="s">
        <v>6934</v>
      </c>
      <c r="H689">
        <v>1</v>
      </c>
      <c r="I689" t="s">
        <v>11385</v>
      </c>
      <c r="J689">
        <v>11208</v>
      </c>
      <c r="K689" t="s">
        <v>11448</v>
      </c>
      <c r="L689" t="s">
        <v>11648</v>
      </c>
      <c r="M689" t="s">
        <v>14744</v>
      </c>
      <c r="N689" t="s">
        <v>14781</v>
      </c>
      <c r="O689" t="s">
        <v>14788</v>
      </c>
      <c r="P689" t="s">
        <v>14797</v>
      </c>
      <c r="Q689" t="s">
        <v>11448</v>
      </c>
      <c r="S689" t="s">
        <v>14827</v>
      </c>
      <c r="V689">
        <v>2000</v>
      </c>
      <c r="W689" t="s">
        <v>14859</v>
      </c>
      <c r="X689" t="s">
        <v>14865</v>
      </c>
      <c r="Y689" t="s">
        <v>14887</v>
      </c>
      <c r="Z689" t="s">
        <v>15566</v>
      </c>
      <c r="AB689" t="s">
        <v>20681</v>
      </c>
      <c r="AC689">
        <v>3</v>
      </c>
      <c r="AD689" t="s">
        <v>24600</v>
      </c>
      <c r="AE689" t="s">
        <v>24619</v>
      </c>
      <c r="AF689">
        <v>1</v>
      </c>
      <c r="AG689">
        <v>1</v>
      </c>
      <c r="AH689">
        <v>3</v>
      </c>
      <c r="AI689">
        <v>204.69</v>
      </c>
      <c r="AL689" t="s">
        <v>5011</v>
      </c>
      <c r="AM689">
        <v>51376</v>
      </c>
      <c r="AN689" t="s">
        <v>24726</v>
      </c>
      <c r="AS689">
        <v>14.7</v>
      </c>
      <c r="AT689" t="s">
        <v>361</v>
      </c>
      <c r="AU689" t="s">
        <v>66</v>
      </c>
      <c r="AW689" t="s">
        <v>11447</v>
      </c>
    </row>
    <row r="690" spans="1:49">
      <c r="A690" s="1">
        <f>HYPERLINK("https://lsnyc.legalserver.org/matter/dynamic-profile/view/1905722","19-1905722")</f>
        <v>0</v>
      </c>
      <c r="B690" t="s">
        <v>76</v>
      </c>
      <c r="C690" t="s">
        <v>496</v>
      </c>
      <c r="D690" t="s">
        <v>463</v>
      </c>
      <c r="E690" t="s">
        <v>1145</v>
      </c>
      <c r="F690" t="s">
        <v>4043</v>
      </c>
      <c r="G690" t="s">
        <v>6935</v>
      </c>
      <c r="H690">
        <v>1</v>
      </c>
      <c r="I690" t="s">
        <v>11385</v>
      </c>
      <c r="J690">
        <v>11213</v>
      </c>
      <c r="K690" t="s">
        <v>11446</v>
      </c>
      <c r="L690" t="s">
        <v>11601</v>
      </c>
      <c r="M690" t="s">
        <v>11601</v>
      </c>
      <c r="N690" t="s">
        <v>14779</v>
      </c>
      <c r="O690" t="s">
        <v>14787</v>
      </c>
      <c r="P690" t="s">
        <v>14797</v>
      </c>
      <c r="Q690" t="s">
        <v>11448</v>
      </c>
      <c r="S690" t="s">
        <v>14827</v>
      </c>
      <c r="U690" t="s">
        <v>373</v>
      </c>
      <c r="V690">
        <v>2000</v>
      </c>
      <c r="W690" t="s">
        <v>14859</v>
      </c>
      <c r="X690" t="s">
        <v>14755</v>
      </c>
      <c r="Y690" t="s">
        <v>14884</v>
      </c>
      <c r="Z690" t="s">
        <v>15567</v>
      </c>
      <c r="AB690" t="s">
        <v>20682</v>
      </c>
      <c r="AC690">
        <v>3</v>
      </c>
      <c r="AF690">
        <v>5</v>
      </c>
      <c r="AG690">
        <v>1</v>
      </c>
      <c r="AH690">
        <v>0</v>
      </c>
      <c r="AI690">
        <v>0</v>
      </c>
      <c r="AL690" t="s">
        <v>5011</v>
      </c>
      <c r="AM690">
        <v>0</v>
      </c>
      <c r="AS690">
        <v>1.3</v>
      </c>
      <c r="AT690" t="s">
        <v>620</v>
      </c>
      <c r="AU690" t="s">
        <v>25227</v>
      </c>
      <c r="AV690" t="s">
        <v>25335</v>
      </c>
      <c r="AW690" t="s">
        <v>11447</v>
      </c>
    </row>
    <row r="691" spans="1:49">
      <c r="A691" s="1">
        <f>HYPERLINK("https://lsnyc.legalserver.org/matter/dynamic-profile/view/1906018","19-1906018")</f>
        <v>0</v>
      </c>
      <c r="B691" t="s">
        <v>76</v>
      </c>
      <c r="C691" t="s">
        <v>461</v>
      </c>
      <c r="D691" t="s">
        <v>463</v>
      </c>
      <c r="E691" t="s">
        <v>1041</v>
      </c>
      <c r="F691" t="s">
        <v>4044</v>
      </c>
      <c r="G691" t="s">
        <v>6936</v>
      </c>
      <c r="H691" t="s">
        <v>10701</v>
      </c>
      <c r="I691" t="s">
        <v>11385</v>
      </c>
      <c r="J691">
        <v>11233</v>
      </c>
      <c r="K691" t="s">
        <v>11446</v>
      </c>
      <c r="L691" t="s">
        <v>11601</v>
      </c>
      <c r="M691" t="s">
        <v>11601</v>
      </c>
      <c r="N691" t="s">
        <v>14779</v>
      </c>
      <c r="O691" t="s">
        <v>14787</v>
      </c>
      <c r="P691" t="s">
        <v>14797</v>
      </c>
      <c r="Q691" t="s">
        <v>11448</v>
      </c>
      <c r="S691" t="s">
        <v>14827</v>
      </c>
      <c r="U691" t="s">
        <v>373</v>
      </c>
      <c r="V691">
        <v>1781</v>
      </c>
      <c r="W691" t="s">
        <v>14859</v>
      </c>
      <c r="X691" t="s">
        <v>14864</v>
      </c>
      <c r="Y691" t="s">
        <v>14884</v>
      </c>
      <c r="Z691" t="s">
        <v>15568</v>
      </c>
      <c r="AB691" t="s">
        <v>20683</v>
      </c>
      <c r="AC691">
        <v>8</v>
      </c>
      <c r="AD691" t="s">
        <v>24595</v>
      </c>
      <c r="AE691" t="s">
        <v>24611</v>
      </c>
      <c r="AF691">
        <v>14</v>
      </c>
      <c r="AG691">
        <v>3</v>
      </c>
      <c r="AH691">
        <v>1</v>
      </c>
      <c r="AI691">
        <v>41.15</v>
      </c>
      <c r="AL691" t="s">
        <v>5011</v>
      </c>
      <c r="AM691">
        <v>10596</v>
      </c>
      <c r="AS691">
        <v>1.4</v>
      </c>
      <c r="AT691" t="s">
        <v>571</v>
      </c>
      <c r="AU691" t="s">
        <v>25275</v>
      </c>
      <c r="AV691" t="s">
        <v>25335</v>
      </c>
      <c r="AW691" t="s">
        <v>11447</v>
      </c>
    </row>
    <row r="692" spans="1:49">
      <c r="A692" s="1">
        <f>HYPERLINK("https://lsnyc.legalserver.org/matter/dynamic-profile/view/1904907","19-1904907")</f>
        <v>0</v>
      </c>
      <c r="B692" t="s">
        <v>167</v>
      </c>
      <c r="C692" t="s">
        <v>593</v>
      </c>
      <c r="D692" t="s">
        <v>463</v>
      </c>
      <c r="E692" t="s">
        <v>1417</v>
      </c>
      <c r="F692" t="s">
        <v>3909</v>
      </c>
      <c r="G692" t="s">
        <v>6741</v>
      </c>
      <c r="H692">
        <v>2</v>
      </c>
      <c r="I692" t="s">
        <v>11417</v>
      </c>
      <c r="J692">
        <v>11693</v>
      </c>
      <c r="K692" t="s">
        <v>11446</v>
      </c>
      <c r="L692" t="s">
        <v>11578</v>
      </c>
      <c r="M692" t="s">
        <v>14743</v>
      </c>
      <c r="N692" t="s">
        <v>14778</v>
      </c>
      <c r="O692" t="s">
        <v>14786</v>
      </c>
      <c r="P692" t="s">
        <v>14797</v>
      </c>
      <c r="Q692" t="s">
        <v>11448</v>
      </c>
      <c r="S692" t="s">
        <v>14827</v>
      </c>
      <c r="T692" t="s">
        <v>14832</v>
      </c>
      <c r="U692" t="s">
        <v>463</v>
      </c>
      <c r="V692">
        <v>2022</v>
      </c>
      <c r="W692" t="s">
        <v>14861</v>
      </c>
      <c r="X692" t="s">
        <v>14865</v>
      </c>
      <c r="Y692" t="s">
        <v>14883</v>
      </c>
      <c r="Z692" t="s">
        <v>15372</v>
      </c>
      <c r="AA692" t="s">
        <v>19361</v>
      </c>
      <c r="AB692" t="s">
        <v>20684</v>
      </c>
      <c r="AC692">
        <v>2</v>
      </c>
      <c r="AD692" t="s">
        <v>24600</v>
      </c>
      <c r="AE692" t="s">
        <v>24610</v>
      </c>
      <c r="AF692">
        <v>5</v>
      </c>
      <c r="AG692">
        <v>2</v>
      </c>
      <c r="AH692">
        <v>6</v>
      </c>
      <c r="AI692">
        <v>93.98999999999999</v>
      </c>
      <c r="AL692" t="s">
        <v>5011</v>
      </c>
      <c r="AM692">
        <v>40821.98</v>
      </c>
      <c r="AS692">
        <v>2</v>
      </c>
      <c r="AT692" t="s">
        <v>463</v>
      </c>
      <c r="AU692" t="s">
        <v>292</v>
      </c>
      <c r="AV692" t="s">
        <v>25335</v>
      </c>
      <c r="AW692" t="s">
        <v>11447</v>
      </c>
    </row>
    <row r="693" spans="1:49">
      <c r="A693" s="1">
        <f>HYPERLINK("https://lsnyc.legalserver.org/matter/dynamic-profile/view/1909584","19-1909584")</f>
        <v>0</v>
      </c>
      <c r="B693" t="s">
        <v>90</v>
      </c>
      <c r="C693" t="s">
        <v>488</v>
      </c>
      <c r="D693" t="s">
        <v>463</v>
      </c>
      <c r="E693" t="s">
        <v>1546</v>
      </c>
      <c r="F693" t="s">
        <v>4045</v>
      </c>
      <c r="G693" t="s">
        <v>6937</v>
      </c>
      <c r="H693" t="s">
        <v>10547</v>
      </c>
      <c r="I693" t="s">
        <v>11383</v>
      </c>
      <c r="J693">
        <v>10457</v>
      </c>
      <c r="K693" t="s">
        <v>11446</v>
      </c>
      <c r="L693" t="s">
        <v>11649</v>
      </c>
      <c r="M693" t="s">
        <v>14746</v>
      </c>
      <c r="N693" t="s">
        <v>14778</v>
      </c>
      <c r="O693" t="s">
        <v>14786</v>
      </c>
      <c r="P693" t="s">
        <v>14797</v>
      </c>
      <c r="Q693" t="s">
        <v>11448</v>
      </c>
      <c r="S693" t="s">
        <v>14827</v>
      </c>
      <c r="T693" t="s">
        <v>14832</v>
      </c>
      <c r="U693" t="s">
        <v>1015</v>
      </c>
      <c r="V693">
        <v>172</v>
      </c>
      <c r="W693" t="s">
        <v>14858</v>
      </c>
      <c r="X693" t="s">
        <v>14876</v>
      </c>
      <c r="Y693" t="s">
        <v>14883</v>
      </c>
      <c r="Z693" t="s">
        <v>15569</v>
      </c>
      <c r="AB693" t="s">
        <v>20685</v>
      </c>
      <c r="AC693">
        <v>0</v>
      </c>
      <c r="AD693" t="s">
        <v>24596</v>
      </c>
      <c r="AE693" t="s">
        <v>24610</v>
      </c>
      <c r="AF693">
        <v>17</v>
      </c>
      <c r="AG693">
        <v>1</v>
      </c>
      <c r="AH693">
        <v>0</v>
      </c>
      <c r="AI693">
        <v>80.7</v>
      </c>
      <c r="AL693" t="s">
        <v>5011</v>
      </c>
      <c r="AM693">
        <v>10080</v>
      </c>
      <c r="AS693">
        <v>0.2</v>
      </c>
      <c r="AT693" t="s">
        <v>463</v>
      </c>
      <c r="AU693" t="s">
        <v>90</v>
      </c>
      <c r="AV693" t="s">
        <v>25335</v>
      </c>
      <c r="AW693" t="s">
        <v>11447</v>
      </c>
    </row>
    <row r="694" spans="1:49">
      <c r="A694" s="1">
        <f>HYPERLINK("https://lsnyc.legalserver.org/matter/dynamic-profile/view/1908279","19-1908279")</f>
        <v>0</v>
      </c>
      <c r="B694" t="s">
        <v>76</v>
      </c>
      <c r="C694" t="s">
        <v>375</v>
      </c>
      <c r="D694" t="s">
        <v>1015</v>
      </c>
      <c r="E694" t="s">
        <v>1547</v>
      </c>
      <c r="F694" t="s">
        <v>1272</v>
      </c>
      <c r="G694" t="s">
        <v>6938</v>
      </c>
      <c r="H694" t="s">
        <v>10569</v>
      </c>
      <c r="I694" t="s">
        <v>11385</v>
      </c>
      <c r="J694">
        <v>11233</v>
      </c>
      <c r="K694" t="s">
        <v>11446</v>
      </c>
      <c r="L694" t="s">
        <v>11650</v>
      </c>
      <c r="M694" t="s">
        <v>14744</v>
      </c>
      <c r="N694" t="s">
        <v>14781</v>
      </c>
      <c r="O694" t="s">
        <v>14788</v>
      </c>
      <c r="P694" t="s">
        <v>14797</v>
      </c>
      <c r="Q694" t="s">
        <v>11448</v>
      </c>
      <c r="S694" t="s">
        <v>14827</v>
      </c>
      <c r="T694" t="s">
        <v>14836</v>
      </c>
      <c r="U694" t="s">
        <v>372</v>
      </c>
      <c r="V694">
        <v>0</v>
      </c>
      <c r="W694" t="s">
        <v>14859</v>
      </c>
      <c r="Y694" t="s">
        <v>14887</v>
      </c>
      <c r="Z694" t="s">
        <v>15570</v>
      </c>
      <c r="AA694" t="s">
        <v>19354</v>
      </c>
      <c r="AB694" t="s">
        <v>20686</v>
      </c>
      <c r="AC694">
        <v>110</v>
      </c>
      <c r="AD694" t="s">
        <v>11479</v>
      </c>
      <c r="AE694" t="s">
        <v>14755</v>
      </c>
      <c r="AF694">
        <v>0</v>
      </c>
      <c r="AG694">
        <v>1</v>
      </c>
      <c r="AH694">
        <v>2</v>
      </c>
      <c r="AI694">
        <v>0</v>
      </c>
      <c r="AL694" t="s">
        <v>5011</v>
      </c>
      <c r="AM694">
        <v>0</v>
      </c>
      <c r="AO694" t="s">
        <v>24931</v>
      </c>
      <c r="AP694" t="s">
        <v>24942</v>
      </c>
      <c r="AQ694" t="s">
        <v>24986</v>
      </c>
      <c r="AR694" t="s">
        <v>25010</v>
      </c>
      <c r="AS694">
        <v>5.2</v>
      </c>
      <c r="AT694" t="s">
        <v>537</v>
      </c>
      <c r="AU694" t="s">
        <v>66</v>
      </c>
      <c r="AV694" t="s">
        <v>25335</v>
      </c>
      <c r="AW694" t="s">
        <v>11447</v>
      </c>
    </row>
    <row r="695" spans="1:49">
      <c r="A695" s="1">
        <f>HYPERLINK("https://lsnyc.legalserver.org/matter/dynamic-profile/view/1904987","19-1904987")</f>
        <v>0</v>
      </c>
      <c r="B695" t="s">
        <v>172</v>
      </c>
      <c r="C695" t="s">
        <v>593</v>
      </c>
      <c r="D695" t="s">
        <v>519</v>
      </c>
      <c r="E695" t="s">
        <v>1163</v>
      </c>
      <c r="F695" t="s">
        <v>4046</v>
      </c>
      <c r="G695" t="s">
        <v>6939</v>
      </c>
      <c r="H695" t="s">
        <v>10575</v>
      </c>
      <c r="I695" t="s">
        <v>11386</v>
      </c>
      <c r="J695">
        <v>10034</v>
      </c>
      <c r="K695" t="s">
        <v>11446</v>
      </c>
      <c r="M695" t="s">
        <v>14747</v>
      </c>
      <c r="N695" t="s">
        <v>14778</v>
      </c>
      <c r="O695" t="s">
        <v>14786</v>
      </c>
      <c r="P695" t="s">
        <v>14797</v>
      </c>
      <c r="Q695" t="s">
        <v>11448</v>
      </c>
      <c r="S695" t="s">
        <v>14827</v>
      </c>
      <c r="U695" t="s">
        <v>593</v>
      </c>
      <c r="V695">
        <v>980.67</v>
      </c>
      <c r="W695" t="s">
        <v>14860</v>
      </c>
      <c r="X695" t="s">
        <v>14868</v>
      </c>
      <c r="Y695" t="s">
        <v>14883</v>
      </c>
      <c r="Z695" t="s">
        <v>15571</v>
      </c>
      <c r="AB695" t="s">
        <v>20687</v>
      </c>
      <c r="AC695">
        <v>26</v>
      </c>
      <c r="AD695" t="s">
        <v>24595</v>
      </c>
      <c r="AE695" t="s">
        <v>24613</v>
      </c>
      <c r="AF695">
        <v>9</v>
      </c>
      <c r="AG695">
        <v>2</v>
      </c>
      <c r="AH695">
        <v>1</v>
      </c>
      <c r="AI695">
        <v>45.34</v>
      </c>
      <c r="AL695" t="s">
        <v>24632</v>
      </c>
      <c r="AM695">
        <v>9672</v>
      </c>
      <c r="AS695">
        <v>1</v>
      </c>
      <c r="AT695" t="s">
        <v>480</v>
      </c>
      <c r="AU695" t="s">
        <v>137</v>
      </c>
      <c r="AV695" t="s">
        <v>25335</v>
      </c>
      <c r="AW695" t="s">
        <v>11447</v>
      </c>
    </row>
    <row r="696" spans="1:49">
      <c r="A696" s="1">
        <f>HYPERLINK("https://lsnyc.legalserver.org/matter/dynamic-profile/view/1909521","19-1909521")</f>
        <v>0</v>
      </c>
      <c r="B696" t="s">
        <v>175</v>
      </c>
      <c r="C696" t="s">
        <v>488</v>
      </c>
      <c r="D696" t="s">
        <v>519</v>
      </c>
      <c r="E696" t="s">
        <v>1548</v>
      </c>
      <c r="F696" t="s">
        <v>4047</v>
      </c>
      <c r="G696" t="s">
        <v>6940</v>
      </c>
      <c r="H696">
        <v>41</v>
      </c>
      <c r="I696" t="s">
        <v>11386</v>
      </c>
      <c r="J696">
        <v>10033</v>
      </c>
      <c r="K696" t="s">
        <v>11446</v>
      </c>
      <c r="M696" t="s">
        <v>14747</v>
      </c>
      <c r="N696" t="s">
        <v>14778</v>
      </c>
      <c r="O696" t="s">
        <v>14786</v>
      </c>
      <c r="P696" t="s">
        <v>14797</v>
      </c>
      <c r="Q696" t="s">
        <v>11448</v>
      </c>
      <c r="S696" t="s">
        <v>14827</v>
      </c>
      <c r="U696" t="s">
        <v>488</v>
      </c>
      <c r="V696">
        <v>796.84</v>
      </c>
      <c r="W696" t="s">
        <v>14860</v>
      </c>
      <c r="X696" t="s">
        <v>14868</v>
      </c>
      <c r="Y696" t="s">
        <v>14883</v>
      </c>
      <c r="Z696" t="s">
        <v>15572</v>
      </c>
      <c r="AB696" t="s">
        <v>20688</v>
      </c>
      <c r="AC696">
        <v>25</v>
      </c>
      <c r="AD696" t="s">
        <v>24595</v>
      </c>
      <c r="AE696" t="s">
        <v>11459</v>
      </c>
      <c r="AF696">
        <v>38</v>
      </c>
      <c r="AG696">
        <v>1</v>
      </c>
      <c r="AH696">
        <v>0</v>
      </c>
      <c r="AI696">
        <v>134.32</v>
      </c>
      <c r="AL696" t="s">
        <v>5011</v>
      </c>
      <c r="AM696">
        <v>16776</v>
      </c>
      <c r="AS696">
        <v>0.1</v>
      </c>
      <c r="AT696" t="s">
        <v>519</v>
      </c>
      <c r="AU696" t="s">
        <v>137</v>
      </c>
      <c r="AV696" t="s">
        <v>25335</v>
      </c>
      <c r="AW696" t="s">
        <v>11447</v>
      </c>
    </row>
    <row r="697" spans="1:49">
      <c r="A697" s="1">
        <f>HYPERLINK("https://lsnyc.legalserver.org/matter/dynamic-profile/view/1909523","19-1909523")</f>
        <v>0</v>
      </c>
      <c r="B697" t="s">
        <v>175</v>
      </c>
      <c r="C697" t="s">
        <v>488</v>
      </c>
      <c r="D697" t="s">
        <v>519</v>
      </c>
      <c r="E697" t="s">
        <v>1320</v>
      </c>
      <c r="F697" t="s">
        <v>3547</v>
      </c>
      <c r="G697" t="s">
        <v>6941</v>
      </c>
      <c r="H697" t="s">
        <v>10702</v>
      </c>
      <c r="I697" t="s">
        <v>11386</v>
      </c>
      <c r="J697">
        <v>10033</v>
      </c>
      <c r="K697" t="s">
        <v>11446</v>
      </c>
      <c r="M697" t="s">
        <v>14747</v>
      </c>
      <c r="N697" t="s">
        <v>14778</v>
      </c>
      <c r="O697" t="s">
        <v>14786</v>
      </c>
      <c r="P697" t="s">
        <v>14797</v>
      </c>
      <c r="Q697" t="s">
        <v>11448</v>
      </c>
      <c r="S697" t="s">
        <v>14827</v>
      </c>
      <c r="U697" t="s">
        <v>488</v>
      </c>
      <c r="V697">
        <v>110.53</v>
      </c>
      <c r="W697" t="s">
        <v>14860</v>
      </c>
      <c r="X697" t="s">
        <v>14867</v>
      </c>
      <c r="Y697" t="s">
        <v>14883</v>
      </c>
      <c r="Z697" t="s">
        <v>15573</v>
      </c>
      <c r="AB697" t="s">
        <v>20689</v>
      </c>
      <c r="AC697">
        <v>22</v>
      </c>
      <c r="AD697" t="s">
        <v>11479</v>
      </c>
      <c r="AE697" t="s">
        <v>11459</v>
      </c>
      <c r="AF697">
        <v>23</v>
      </c>
      <c r="AG697">
        <v>3</v>
      </c>
      <c r="AH697">
        <v>1</v>
      </c>
      <c r="AI697">
        <v>135.92</v>
      </c>
      <c r="AL697" t="s">
        <v>24632</v>
      </c>
      <c r="AM697">
        <v>35000</v>
      </c>
      <c r="AS697">
        <v>0.1</v>
      </c>
      <c r="AT697" t="s">
        <v>519</v>
      </c>
      <c r="AU697" t="s">
        <v>137</v>
      </c>
      <c r="AV697" t="s">
        <v>25335</v>
      </c>
      <c r="AW697" t="s">
        <v>11447</v>
      </c>
    </row>
    <row r="698" spans="1:49">
      <c r="A698" s="1">
        <f>HYPERLINK("https://lsnyc.legalserver.org/matter/dynamic-profile/view/1909517","19-1909517")</f>
        <v>0</v>
      </c>
      <c r="B698" t="s">
        <v>175</v>
      </c>
      <c r="C698" t="s">
        <v>488</v>
      </c>
      <c r="D698" t="s">
        <v>519</v>
      </c>
      <c r="E698" t="s">
        <v>1549</v>
      </c>
      <c r="F698" t="s">
        <v>3685</v>
      </c>
      <c r="G698" t="s">
        <v>6942</v>
      </c>
      <c r="H698">
        <v>23</v>
      </c>
      <c r="I698" t="s">
        <v>11386</v>
      </c>
      <c r="J698">
        <v>10033</v>
      </c>
      <c r="K698" t="s">
        <v>11446</v>
      </c>
      <c r="M698" t="s">
        <v>14747</v>
      </c>
      <c r="N698" t="s">
        <v>14778</v>
      </c>
      <c r="O698" t="s">
        <v>14786</v>
      </c>
      <c r="P698" t="s">
        <v>14797</v>
      </c>
      <c r="Q698" t="s">
        <v>11448</v>
      </c>
      <c r="S698" t="s">
        <v>14827</v>
      </c>
      <c r="U698" t="s">
        <v>488</v>
      </c>
      <c r="V698">
        <v>1322.53</v>
      </c>
      <c r="W698" t="s">
        <v>14860</v>
      </c>
      <c r="X698" t="s">
        <v>14867</v>
      </c>
      <c r="Y698" t="s">
        <v>14883</v>
      </c>
      <c r="Z698" t="s">
        <v>15574</v>
      </c>
      <c r="AB698" t="s">
        <v>20690</v>
      </c>
      <c r="AC698">
        <v>48</v>
      </c>
      <c r="AD698" t="s">
        <v>24595</v>
      </c>
      <c r="AE698" t="s">
        <v>24610</v>
      </c>
      <c r="AF698">
        <v>9</v>
      </c>
      <c r="AG698">
        <v>2</v>
      </c>
      <c r="AH698">
        <v>0</v>
      </c>
      <c r="AI698">
        <v>136.68</v>
      </c>
      <c r="AL698" t="s">
        <v>24632</v>
      </c>
      <c r="AM698">
        <v>23112</v>
      </c>
      <c r="AS698">
        <v>0.1</v>
      </c>
      <c r="AT698" t="s">
        <v>519</v>
      </c>
      <c r="AU698" t="s">
        <v>137</v>
      </c>
      <c r="AV698" t="s">
        <v>25335</v>
      </c>
      <c r="AW698" t="s">
        <v>11447</v>
      </c>
    </row>
    <row r="699" spans="1:49">
      <c r="A699" s="1">
        <f>HYPERLINK("https://lsnyc.legalserver.org/matter/dynamic-profile/view/1901843","19-1901843")</f>
        <v>0</v>
      </c>
      <c r="B699" t="s">
        <v>90</v>
      </c>
      <c r="C699" t="s">
        <v>519</v>
      </c>
      <c r="D699" t="s">
        <v>519</v>
      </c>
      <c r="E699" t="s">
        <v>1550</v>
      </c>
      <c r="F699" t="s">
        <v>3695</v>
      </c>
      <c r="G699" t="s">
        <v>6943</v>
      </c>
      <c r="H699" t="s">
        <v>10541</v>
      </c>
      <c r="I699" t="s">
        <v>11383</v>
      </c>
      <c r="J699">
        <v>10460</v>
      </c>
      <c r="K699" t="s">
        <v>11446</v>
      </c>
      <c r="L699" t="s">
        <v>11651</v>
      </c>
      <c r="M699" t="s">
        <v>14744</v>
      </c>
      <c r="N699" t="s">
        <v>14778</v>
      </c>
      <c r="O699" t="s">
        <v>14786</v>
      </c>
      <c r="P699" t="s">
        <v>14797</v>
      </c>
      <c r="Q699" t="s">
        <v>11448</v>
      </c>
      <c r="S699" t="s">
        <v>14827</v>
      </c>
      <c r="T699" t="s">
        <v>14833</v>
      </c>
      <c r="V699">
        <v>25</v>
      </c>
      <c r="W699" t="s">
        <v>14858</v>
      </c>
      <c r="Y699" t="s">
        <v>14883</v>
      </c>
      <c r="Z699" t="s">
        <v>15575</v>
      </c>
      <c r="AB699" t="s">
        <v>20691</v>
      </c>
      <c r="AC699">
        <v>0</v>
      </c>
      <c r="AD699" t="s">
        <v>24605</v>
      </c>
      <c r="AE699" t="s">
        <v>14755</v>
      </c>
      <c r="AF699">
        <v>21</v>
      </c>
      <c r="AG699">
        <v>2</v>
      </c>
      <c r="AH699">
        <v>0</v>
      </c>
      <c r="AI699">
        <v>0</v>
      </c>
      <c r="AL699" t="s">
        <v>5011</v>
      </c>
      <c r="AM699">
        <v>0</v>
      </c>
      <c r="AS699">
        <v>0.1</v>
      </c>
      <c r="AT699" t="s">
        <v>519</v>
      </c>
      <c r="AU699" t="s">
        <v>90</v>
      </c>
      <c r="AV699" t="s">
        <v>25335</v>
      </c>
      <c r="AW699" t="s">
        <v>11447</v>
      </c>
    </row>
    <row r="700" spans="1:49">
      <c r="A700" s="1">
        <f>HYPERLINK("https://lsnyc.legalserver.org/matter/dynamic-profile/view/1901849","19-1901849")</f>
        <v>0</v>
      </c>
      <c r="B700" t="s">
        <v>90</v>
      </c>
      <c r="C700" t="s">
        <v>519</v>
      </c>
      <c r="D700" t="s">
        <v>519</v>
      </c>
      <c r="E700" t="s">
        <v>1551</v>
      </c>
      <c r="F700" t="s">
        <v>3580</v>
      </c>
      <c r="G700" t="s">
        <v>6944</v>
      </c>
      <c r="I700" t="s">
        <v>11383</v>
      </c>
      <c r="J700">
        <v>10458</v>
      </c>
      <c r="K700" t="s">
        <v>11446</v>
      </c>
      <c r="L700" t="s">
        <v>11465</v>
      </c>
      <c r="M700" t="s">
        <v>14764</v>
      </c>
      <c r="N700" t="s">
        <v>14778</v>
      </c>
      <c r="O700" t="s">
        <v>14786</v>
      </c>
      <c r="P700" t="s">
        <v>14797</v>
      </c>
      <c r="Q700" t="s">
        <v>11448</v>
      </c>
      <c r="S700" t="s">
        <v>14827</v>
      </c>
      <c r="T700" t="s">
        <v>14836</v>
      </c>
      <c r="V700">
        <v>0</v>
      </c>
      <c r="W700" t="s">
        <v>14858</v>
      </c>
      <c r="Y700" t="s">
        <v>14883</v>
      </c>
      <c r="Z700" t="s">
        <v>15576</v>
      </c>
      <c r="AB700" t="s">
        <v>20692</v>
      </c>
      <c r="AC700">
        <v>0</v>
      </c>
      <c r="AD700" t="s">
        <v>24595</v>
      </c>
      <c r="AE700" t="s">
        <v>11459</v>
      </c>
      <c r="AF700">
        <v>2</v>
      </c>
      <c r="AG700">
        <v>1</v>
      </c>
      <c r="AH700">
        <v>0</v>
      </c>
      <c r="AI700">
        <v>24.02</v>
      </c>
      <c r="AL700" t="s">
        <v>5011</v>
      </c>
      <c r="AM700">
        <v>3000</v>
      </c>
      <c r="AS700">
        <v>0.1</v>
      </c>
      <c r="AT700" t="s">
        <v>519</v>
      </c>
      <c r="AU700" t="s">
        <v>90</v>
      </c>
      <c r="AV700" t="s">
        <v>25335</v>
      </c>
      <c r="AW700" t="s">
        <v>11447</v>
      </c>
    </row>
    <row r="701" spans="1:49">
      <c r="A701" s="1">
        <f>HYPERLINK("https://lsnyc.legalserver.org/matter/dynamic-profile/view/1908151","19-1908151")</f>
        <v>0</v>
      </c>
      <c r="B701" t="s">
        <v>66</v>
      </c>
      <c r="C701" t="s">
        <v>372</v>
      </c>
      <c r="D701" t="s">
        <v>519</v>
      </c>
      <c r="E701" t="s">
        <v>1032</v>
      </c>
      <c r="F701" t="s">
        <v>4048</v>
      </c>
      <c r="G701" t="s">
        <v>6945</v>
      </c>
      <c r="H701" t="s">
        <v>10506</v>
      </c>
      <c r="I701" t="s">
        <v>11385</v>
      </c>
      <c r="J701">
        <v>11207</v>
      </c>
      <c r="K701" t="s">
        <v>11448</v>
      </c>
      <c r="L701" t="s">
        <v>11465</v>
      </c>
      <c r="M701" t="s">
        <v>11601</v>
      </c>
      <c r="O701" t="s">
        <v>14786</v>
      </c>
      <c r="P701" t="s">
        <v>14797</v>
      </c>
      <c r="Q701" t="s">
        <v>11448</v>
      </c>
      <c r="S701" t="s">
        <v>14827</v>
      </c>
      <c r="V701">
        <v>1300</v>
      </c>
      <c r="W701" t="s">
        <v>14859</v>
      </c>
      <c r="Y701" t="s">
        <v>14883</v>
      </c>
      <c r="Z701" t="s">
        <v>15577</v>
      </c>
      <c r="AA701" t="s">
        <v>19354</v>
      </c>
      <c r="AB701" t="s">
        <v>20693</v>
      </c>
      <c r="AC701">
        <v>2</v>
      </c>
      <c r="AD701" t="s">
        <v>24600</v>
      </c>
      <c r="AE701" t="s">
        <v>11459</v>
      </c>
      <c r="AF701">
        <v>7</v>
      </c>
      <c r="AG701">
        <v>1</v>
      </c>
      <c r="AH701">
        <v>0</v>
      </c>
      <c r="AI701">
        <v>76.86</v>
      </c>
      <c r="AL701" t="s">
        <v>5011</v>
      </c>
      <c r="AM701">
        <v>9600</v>
      </c>
      <c r="AN701" t="s">
        <v>24727</v>
      </c>
      <c r="AS701">
        <v>1</v>
      </c>
      <c r="AT701" t="s">
        <v>372</v>
      </c>
      <c r="AU701" t="s">
        <v>25231</v>
      </c>
      <c r="AV701" t="s">
        <v>11459</v>
      </c>
      <c r="AW701" t="s">
        <v>11447</v>
      </c>
    </row>
    <row r="702" spans="1:49">
      <c r="A702" s="1">
        <f>HYPERLINK("https://lsnyc.legalserver.org/matter/dynamic-profile/view/1899796","19-1899796")</f>
        <v>0</v>
      </c>
      <c r="B702" t="s">
        <v>77</v>
      </c>
      <c r="C702" t="s">
        <v>370</v>
      </c>
      <c r="D702" t="s">
        <v>519</v>
      </c>
      <c r="E702" t="s">
        <v>1552</v>
      </c>
      <c r="F702" t="s">
        <v>4049</v>
      </c>
      <c r="G702" t="s">
        <v>6946</v>
      </c>
      <c r="H702" t="s">
        <v>10522</v>
      </c>
      <c r="I702" t="s">
        <v>11385</v>
      </c>
      <c r="J702">
        <v>11212</v>
      </c>
      <c r="K702" t="s">
        <v>11448</v>
      </c>
      <c r="L702" t="s">
        <v>11652</v>
      </c>
      <c r="M702" t="s">
        <v>14744</v>
      </c>
      <c r="N702" t="s">
        <v>14779</v>
      </c>
      <c r="O702" t="s">
        <v>14787</v>
      </c>
      <c r="P702" t="s">
        <v>14797</v>
      </c>
      <c r="S702" t="s">
        <v>14827</v>
      </c>
      <c r="V702">
        <v>1025</v>
      </c>
      <c r="W702" t="s">
        <v>14859</v>
      </c>
      <c r="X702" t="s">
        <v>14867</v>
      </c>
      <c r="Y702" t="s">
        <v>14884</v>
      </c>
      <c r="Z702" t="s">
        <v>15578</v>
      </c>
      <c r="AB702" t="s">
        <v>20694</v>
      </c>
      <c r="AC702">
        <v>0</v>
      </c>
      <c r="AD702" t="s">
        <v>24595</v>
      </c>
      <c r="AE702" t="s">
        <v>24611</v>
      </c>
      <c r="AF702">
        <v>6</v>
      </c>
      <c r="AG702">
        <v>1</v>
      </c>
      <c r="AH702">
        <v>0</v>
      </c>
      <c r="AI702">
        <v>99.92</v>
      </c>
      <c r="AL702" t="s">
        <v>5011</v>
      </c>
      <c r="AM702">
        <v>12480</v>
      </c>
      <c r="AS702">
        <v>4.75</v>
      </c>
      <c r="AT702" t="s">
        <v>519</v>
      </c>
      <c r="AU702" t="s">
        <v>25225</v>
      </c>
      <c r="AW702" t="s">
        <v>11447</v>
      </c>
    </row>
    <row r="703" spans="1:49">
      <c r="A703" s="1">
        <f>HYPERLINK("https://lsnyc.legalserver.org/matter/dynamic-profile/view/1909579","19-1909579")</f>
        <v>0</v>
      </c>
      <c r="B703" t="s">
        <v>90</v>
      </c>
      <c r="C703" t="s">
        <v>488</v>
      </c>
      <c r="D703" t="s">
        <v>519</v>
      </c>
      <c r="E703" t="s">
        <v>1553</v>
      </c>
      <c r="F703" t="s">
        <v>4050</v>
      </c>
      <c r="G703" t="s">
        <v>6947</v>
      </c>
      <c r="I703" t="s">
        <v>11383</v>
      </c>
      <c r="J703">
        <v>10463</v>
      </c>
      <c r="K703" t="s">
        <v>11446</v>
      </c>
      <c r="L703" t="s">
        <v>11465</v>
      </c>
      <c r="M703" t="s">
        <v>11601</v>
      </c>
      <c r="N703" t="s">
        <v>14778</v>
      </c>
      <c r="O703" t="s">
        <v>14786</v>
      </c>
      <c r="P703" t="s">
        <v>14797</v>
      </c>
      <c r="Q703" t="s">
        <v>11448</v>
      </c>
      <c r="S703" t="s">
        <v>14827</v>
      </c>
      <c r="T703" t="s">
        <v>14832</v>
      </c>
      <c r="V703">
        <v>1200</v>
      </c>
      <c r="W703" t="s">
        <v>14858</v>
      </c>
      <c r="X703" t="s">
        <v>14876</v>
      </c>
      <c r="Y703" t="s">
        <v>14883</v>
      </c>
      <c r="Z703" t="s">
        <v>15579</v>
      </c>
      <c r="AB703" t="s">
        <v>19344</v>
      </c>
      <c r="AC703">
        <v>0</v>
      </c>
      <c r="AD703" t="s">
        <v>24598</v>
      </c>
      <c r="AE703" t="s">
        <v>11459</v>
      </c>
      <c r="AF703">
        <v>30</v>
      </c>
      <c r="AG703">
        <v>1</v>
      </c>
      <c r="AH703">
        <v>0</v>
      </c>
      <c r="AI703">
        <v>199.84</v>
      </c>
      <c r="AL703" t="s">
        <v>5011</v>
      </c>
      <c r="AM703">
        <v>24960</v>
      </c>
      <c r="AS703">
        <v>0.4</v>
      </c>
      <c r="AT703" t="s">
        <v>519</v>
      </c>
      <c r="AU703" t="s">
        <v>90</v>
      </c>
      <c r="AV703" t="s">
        <v>25335</v>
      </c>
      <c r="AW703" t="s">
        <v>11447</v>
      </c>
    </row>
    <row r="704" spans="1:49">
      <c r="A704" s="1">
        <f>HYPERLINK("https://lsnyc.legalserver.org/matter/dynamic-profile/view/1909534","19-1909534")</f>
        <v>0</v>
      </c>
      <c r="B704" t="s">
        <v>90</v>
      </c>
      <c r="C704" t="s">
        <v>488</v>
      </c>
      <c r="D704" t="s">
        <v>519</v>
      </c>
      <c r="E704" t="s">
        <v>1245</v>
      </c>
      <c r="F704" t="s">
        <v>4051</v>
      </c>
      <c r="G704" t="s">
        <v>6948</v>
      </c>
      <c r="H704" t="s">
        <v>10466</v>
      </c>
      <c r="I704" t="s">
        <v>11383</v>
      </c>
      <c r="J704">
        <v>10471</v>
      </c>
      <c r="K704" t="s">
        <v>11446</v>
      </c>
      <c r="L704" t="s">
        <v>11465</v>
      </c>
      <c r="M704" t="s">
        <v>14762</v>
      </c>
      <c r="N704" t="s">
        <v>14778</v>
      </c>
      <c r="O704" t="s">
        <v>14786</v>
      </c>
      <c r="P704" t="s">
        <v>14797</v>
      </c>
      <c r="Q704" t="s">
        <v>11448</v>
      </c>
      <c r="S704" t="s">
        <v>14827</v>
      </c>
      <c r="T704" t="s">
        <v>14832</v>
      </c>
      <c r="V704">
        <v>2400</v>
      </c>
      <c r="W704" t="s">
        <v>14858</v>
      </c>
      <c r="X704" t="s">
        <v>14876</v>
      </c>
      <c r="Y704" t="s">
        <v>14883</v>
      </c>
      <c r="Z704" t="s">
        <v>15580</v>
      </c>
      <c r="AB704" t="s">
        <v>20695</v>
      </c>
      <c r="AC704">
        <v>6</v>
      </c>
      <c r="AD704" t="s">
        <v>24595</v>
      </c>
      <c r="AE704" t="s">
        <v>11459</v>
      </c>
      <c r="AF704">
        <v>2</v>
      </c>
      <c r="AG704">
        <v>1</v>
      </c>
      <c r="AH704">
        <v>1</v>
      </c>
      <c r="AI704">
        <v>443.52</v>
      </c>
      <c r="AL704" t="s">
        <v>5011</v>
      </c>
      <c r="AM704">
        <v>75000</v>
      </c>
      <c r="AS704">
        <v>0.4</v>
      </c>
      <c r="AT704" t="s">
        <v>519</v>
      </c>
      <c r="AU704" t="s">
        <v>90</v>
      </c>
      <c r="AV704" t="s">
        <v>25335</v>
      </c>
      <c r="AW704" t="s">
        <v>11447</v>
      </c>
    </row>
    <row r="705" spans="1:49">
      <c r="A705" s="1">
        <f>HYPERLINK("https://lsnyc.legalserver.org/matter/dynamic-profile/view/1870446","18-1870446")</f>
        <v>0</v>
      </c>
      <c r="B705" t="s">
        <v>76</v>
      </c>
      <c r="C705" t="s">
        <v>430</v>
      </c>
      <c r="D705" t="s">
        <v>504</v>
      </c>
      <c r="E705" t="s">
        <v>1554</v>
      </c>
      <c r="F705" t="s">
        <v>4052</v>
      </c>
      <c r="G705" t="s">
        <v>6949</v>
      </c>
      <c r="H705" t="s">
        <v>10703</v>
      </c>
      <c r="I705" t="s">
        <v>11385</v>
      </c>
      <c r="J705">
        <v>11208</v>
      </c>
      <c r="K705" t="s">
        <v>11448</v>
      </c>
      <c r="O705" t="s">
        <v>14786</v>
      </c>
      <c r="P705" t="s">
        <v>14797</v>
      </c>
      <c r="Q705" t="s">
        <v>11446</v>
      </c>
      <c r="S705" t="s">
        <v>14827</v>
      </c>
      <c r="V705">
        <v>1515</v>
      </c>
      <c r="W705" t="s">
        <v>14859</v>
      </c>
      <c r="X705" t="s">
        <v>14755</v>
      </c>
      <c r="Y705" t="s">
        <v>14890</v>
      </c>
      <c r="Z705" t="s">
        <v>15581</v>
      </c>
      <c r="AA705">
        <v>8973405</v>
      </c>
      <c r="AB705" t="s">
        <v>20696</v>
      </c>
      <c r="AC705">
        <v>3</v>
      </c>
      <c r="AD705" t="s">
        <v>11479</v>
      </c>
      <c r="AE705" t="s">
        <v>24616</v>
      </c>
      <c r="AF705">
        <v>1</v>
      </c>
      <c r="AG705">
        <v>1</v>
      </c>
      <c r="AH705">
        <v>2</v>
      </c>
      <c r="AI705">
        <v>22.46</v>
      </c>
      <c r="AL705" t="s">
        <v>5011</v>
      </c>
      <c r="AM705">
        <v>4668</v>
      </c>
      <c r="AS705">
        <v>0.5</v>
      </c>
      <c r="AT705" t="s">
        <v>430</v>
      </c>
      <c r="AU705" t="s">
        <v>25238</v>
      </c>
      <c r="AW705" t="s">
        <v>11447</v>
      </c>
    </row>
    <row r="706" spans="1:49">
      <c r="A706" s="1">
        <f>HYPERLINK("https://lsnyc.legalserver.org/matter/dynamic-profile/view/1875807","18-1875807")</f>
        <v>0</v>
      </c>
      <c r="B706" t="s">
        <v>76</v>
      </c>
      <c r="C706" t="s">
        <v>635</v>
      </c>
      <c r="D706" t="s">
        <v>504</v>
      </c>
      <c r="E706" t="s">
        <v>1555</v>
      </c>
      <c r="F706" t="s">
        <v>4053</v>
      </c>
      <c r="G706" t="s">
        <v>6950</v>
      </c>
      <c r="I706" t="s">
        <v>11385</v>
      </c>
      <c r="J706">
        <v>11203</v>
      </c>
      <c r="K706" t="s">
        <v>11447</v>
      </c>
      <c r="M706" t="s">
        <v>11601</v>
      </c>
      <c r="O706" t="s">
        <v>14786</v>
      </c>
      <c r="P706" t="s">
        <v>14797</v>
      </c>
      <c r="Q706" t="s">
        <v>11448</v>
      </c>
      <c r="S706" t="s">
        <v>14827</v>
      </c>
      <c r="V706">
        <v>400</v>
      </c>
      <c r="W706" t="s">
        <v>14859</v>
      </c>
      <c r="Y706" t="s">
        <v>14890</v>
      </c>
      <c r="Z706" t="s">
        <v>15582</v>
      </c>
      <c r="AB706" t="s">
        <v>20697</v>
      </c>
      <c r="AC706">
        <v>2</v>
      </c>
      <c r="AD706" t="s">
        <v>24600</v>
      </c>
      <c r="AE706" t="s">
        <v>11459</v>
      </c>
      <c r="AF706">
        <v>20</v>
      </c>
      <c r="AG706">
        <v>1</v>
      </c>
      <c r="AH706">
        <v>2</v>
      </c>
      <c r="AI706">
        <v>39.08</v>
      </c>
      <c r="AL706" t="s">
        <v>5011</v>
      </c>
      <c r="AM706">
        <v>8120</v>
      </c>
      <c r="AS706">
        <v>1</v>
      </c>
      <c r="AT706" t="s">
        <v>635</v>
      </c>
      <c r="AU706" t="s">
        <v>25236</v>
      </c>
      <c r="AW706" t="s">
        <v>11447</v>
      </c>
    </row>
    <row r="707" spans="1:49">
      <c r="A707" s="1">
        <f>HYPERLINK("https://lsnyc.legalserver.org/matter/dynamic-profile/view/1869399","18-1869399")</f>
        <v>0</v>
      </c>
      <c r="B707" t="s">
        <v>76</v>
      </c>
      <c r="C707" t="s">
        <v>422</v>
      </c>
      <c r="D707" t="s">
        <v>504</v>
      </c>
      <c r="E707" t="s">
        <v>1556</v>
      </c>
      <c r="F707" t="s">
        <v>3901</v>
      </c>
      <c r="G707" t="s">
        <v>6951</v>
      </c>
      <c r="H707" t="s">
        <v>10522</v>
      </c>
      <c r="I707" t="s">
        <v>11385</v>
      </c>
      <c r="J707">
        <v>11233</v>
      </c>
      <c r="K707" t="s">
        <v>11447</v>
      </c>
      <c r="O707" t="s">
        <v>14786</v>
      </c>
      <c r="P707" t="s">
        <v>14797</v>
      </c>
      <c r="S707" t="s">
        <v>14827</v>
      </c>
      <c r="V707">
        <v>0</v>
      </c>
      <c r="W707" t="s">
        <v>14859</v>
      </c>
      <c r="X707" t="s">
        <v>14755</v>
      </c>
      <c r="Y707" t="s">
        <v>14890</v>
      </c>
      <c r="Z707" t="s">
        <v>15583</v>
      </c>
      <c r="AB707" t="s">
        <v>20698</v>
      </c>
      <c r="AC707">
        <v>0</v>
      </c>
      <c r="AF707">
        <v>0</v>
      </c>
      <c r="AG707">
        <v>2</v>
      </c>
      <c r="AH707">
        <v>0</v>
      </c>
      <c r="AI707">
        <v>54.68</v>
      </c>
      <c r="AL707" t="s">
        <v>5011</v>
      </c>
      <c r="AM707">
        <v>9000</v>
      </c>
      <c r="AS707">
        <v>1.8</v>
      </c>
      <c r="AT707" t="s">
        <v>400</v>
      </c>
      <c r="AU707" t="s">
        <v>25227</v>
      </c>
      <c r="AW707" t="s">
        <v>11447</v>
      </c>
    </row>
    <row r="708" spans="1:49">
      <c r="A708" s="1">
        <f>HYPERLINK("https://lsnyc.legalserver.org/matter/dynamic-profile/view/1884048","18-1884048")</f>
        <v>0</v>
      </c>
      <c r="B708" t="s">
        <v>76</v>
      </c>
      <c r="C708" t="s">
        <v>636</v>
      </c>
      <c r="D708" t="s">
        <v>504</v>
      </c>
      <c r="E708" t="s">
        <v>1511</v>
      </c>
      <c r="F708" t="s">
        <v>4054</v>
      </c>
      <c r="G708" t="s">
        <v>6952</v>
      </c>
      <c r="H708" t="s">
        <v>10522</v>
      </c>
      <c r="I708" t="s">
        <v>11385</v>
      </c>
      <c r="J708">
        <v>11209</v>
      </c>
      <c r="K708" t="s">
        <v>11448</v>
      </c>
      <c r="M708" t="s">
        <v>11601</v>
      </c>
      <c r="O708" t="s">
        <v>14786</v>
      </c>
      <c r="P708" t="s">
        <v>14797</v>
      </c>
      <c r="S708" t="s">
        <v>14827</v>
      </c>
      <c r="V708">
        <v>0</v>
      </c>
      <c r="W708" t="s">
        <v>14859</v>
      </c>
      <c r="Y708" t="s">
        <v>14890</v>
      </c>
      <c r="Z708" t="s">
        <v>15584</v>
      </c>
      <c r="AB708" t="s">
        <v>20699</v>
      </c>
      <c r="AC708">
        <v>0</v>
      </c>
      <c r="AD708" t="s">
        <v>11479</v>
      </c>
      <c r="AE708" t="s">
        <v>11459</v>
      </c>
      <c r="AF708">
        <v>25</v>
      </c>
      <c r="AG708">
        <v>1</v>
      </c>
      <c r="AH708">
        <v>0</v>
      </c>
      <c r="AI708">
        <v>79.08</v>
      </c>
      <c r="AL708" t="s">
        <v>5011</v>
      </c>
      <c r="AM708">
        <v>9600</v>
      </c>
      <c r="AS708">
        <v>1.2</v>
      </c>
      <c r="AT708" t="s">
        <v>639</v>
      </c>
      <c r="AU708" t="s">
        <v>25231</v>
      </c>
      <c r="AV708" t="s">
        <v>11459</v>
      </c>
      <c r="AW708" t="s">
        <v>11447</v>
      </c>
    </row>
    <row r="709" spans="1:49">
      <c r="A709" s="1">
        <f>HYPERLINK("https://lsnyc.legalserver.org/matter/dynamic-profile/view/1869960","18-1869960")</f>
        <v>0</v>
      </c>
      <c r="B709" t="s">
        <v>76</v>
      </c>
      <c r="C709" t="s">
        <v>637</v>
      </c>
      <c r="D709" t="s">
        <v>504</v>
      </c>
      <c r="E709" t="s">
        <v>1557</v>
      </c>
      <c r="F709" t="s">
        <v>3797</v>
      </c>
      <c r="G709" t="s">
        <v>6953</v>
      </c>
      <c r="H709">
        <v>1</v>
      </c>
      <c r="I709" t="s">
        <v>11385</v>
      </c>
      <c r="J709">
        <v>11208</v>
      </c>
      <c r="K709" t="s">
        <v>11448</v>
      </c>
      <c r="M709" t="s">
        <v>11601</v>
      </c>
      <c r="N709" t="s">
        <v>14779</v>
      </c>
      <c r="O709" t="s">
        <v>14787</v>
      </c>
      <c r="P709" t="s">
        <v>14797</v>
      </c>
      <c r="S709" t="s">
        <v>14827</v>
      </c>
      <c r="V709">
        <v>1500</v>
      </c>
      <c r="W709" t="s">
        <v>14859</v>
      </c>
      <c r="Y709" t="s">
        <v>14890</v>
      </c>
      <c r="Z709" t="s">
        <v>15585</v>
      </c>
      <c r="AB709" t="s">
        <v>20700</v>
      </c>
      <c r="AC709">
        <v>5</v>
      </c>
      <c r="AD709" t="s">
        <v>24600</v>
      </c>
      <c r="AE709" t="s">
        <v>11459</v>
      </c>
      <c r="AF709">
        <v>10</v>
      </c>
      <c r="AG709">
        <v>1</v>
      </c>
      <c r="AH709">
        <v>0</v>
      </c>
      <c r="AI709">
        <v>85.67</v>
      </c>
      <c r="AL709" t="s">
        <v>5011</v>
      </c>
      <c r="AM709">
        <v>10400</v>
      </c>
      <c r="AS709">
        <v>1.8</v>
      </c>
      <c r="AT709" t="s">
        <v>791</v>
      </c>
      <c r="AU709" t="s">
        <v>25231</v>
      </c>
      <c r="AW709" t="s">
        <v>11447</v>
      </c>
    </row>
    <row r="710" spans="1:49">
      <c r="A710" s="1">
        <f>HYPERLINK("https://lsnyc.legalserver.org/matter/dynamic-profile/view/1863476","18-1863476")</f>
        <v>0</v>
      </c>
      <c r="B710" t="s">
        <v>76</v>
      </c>
      <c r="C710" t="s">
        <v>638</v>
      </c>
      <c r="D710" t="s">
        <v>504</v>
      </c>
      <c r="E710" t="s">
        <v>1309</v>
      </c>
      <c r="F710" t="s">
        <v>1048</v>
      </c>
      <c r="G710" t="s">
        <v>6954</v>
      </c>
      <c r="H710" t="s">
        <v>10589</v>
      </c>
      <c r="I710" t="s">
        <v>11385</v>
      </c>
      <c r="J710">
        <v>11213</v>
      </c>
      <c r="K710" t="s">
        <v>11448</v>
      </c>
      <c r="N710" t="s">
        <v>14778</v>
      </c>
      <c r="O710" t="s">
        <v>14786</v>
      </c>
      <c r="P710" t="s">
        <v>14797</v>
      </c>
      <c r="R710" t="s">
        <v>14820</v>
      </c>
      <c r="S710" t="s">
        <v>14827</v>
      </c>
      <c r="V710">
        <v>900</v>
      </c>
      <c r="W710" t="s">
        <v>14859</v>
      </c>
      <c r="X710" t="s">
        <v>14873</v>
      </c>
      <c r="Y710" t="s">
        <v>14890</v>
      </c>
      <c r="Z710" t="s">
        <v>15586</v>
      </c>
      <c r="AC710">
        <v>23</v>
      </c>
      <c r="AF710">
        <v>10</v>
      </c>
      <c r="AG710">
        <v>1</v>
      </c>
      <c r="AH710">
        <v>0</v>
      </c>
      <c r="AI710">
        <v>98.84999999999999</v>
      </c>
      <c r="AL710" t="s">
        <v>5011</v>
      </c>
      <c r="AM710">
        <v>12000</v>
      </c>
      <c r="AS710">
        <v>1.7</v>
      </c>
      <c r="AT710" t="s">
        <v>488</v>
      </c>
      <c r="AU710" t="s">
        <v>25227</v>
      </c>
      <c r="AW710" t="s">
        <v>11447</v>
      </c>
    </row>
    <row r="711" spans="1:49">
      <c r="A711" s="1">
        <f>HYPERLINK("https://lsnyc.legalserver.org/matter/dynamic-profile/view/1874680","18-1874680")</f>
        <v>0</v>
      </c>
      <c r="B711" t="s">
        <v>76</v>
      </c>
      <c r="C711" t="s">
        <v>335</v>
      </c>
      <c r="D711" t="s">
        <v>504</v>
      </c>
      <c r="E711" t="s">
        <v>1558</v>
      </c>
      <c r="F711" t="s">
        <v>4055</v>
      </c>
      <c r="G711" t="s">
        <v>6955</v>
      </c>
      <c r="H711" t="s">
        <v>10575</v>
      </c>
      <c r="I711" t="s">
        <v>11385</v>
      </c>
      <c r="J711">
        <v>11207</v>
      </c>
      <c r="K711" t="s">
        <v>11448</v>
      </c>
      <c r="N711" t="s">
        <v>14779</v>
      </c>
      <c r="O711" t="s">
        <v>14786</v>
      </c>
      <c r="P711" t="s">
        <v>14797</v>
      </c>
      <c r="S711" t="s">
        <v>14827</v>
      </c>
      <c r="V711">
        <v>1500</v>
      </c>
      <c r="W711" t="s">
        <v>14859</v>
      </c>
      <c r="Y711" t="s">
        <v>14890</v>
      </c>
      <c r="Z711" t="s">
        <v>15587</v>
      </c>
      <c r="AB711" t="s">
        <v>20701</v>
      </c>
      <c r="AC711">
        <v>3</v>
      </c>
      <c r="AE711" t="s">
        <v>24615</v>
      </c>
      <c r="AF711">
        <v>1</v>
      </c>
      <c r="AG711">
        <v>5</v>
      </c>
      <c r="AH711">
        <v>0</v>
      </c>
      <c r="AI711">
        <v>118.97</v>
      </c>
      <c r="AL711" t="s">
        <v>5011</v>
      </c>
      <c r="AM711">
        <v>35000</v>
      </c>
      <c r="AN711" t="s">
        <v>24728</v>
      </c>
      <c r="AS711">
        <v>1.5</v>
      </c>
      <c r="AT711" t="s">
        <v>407</v>
      </c>
      <c r="AU711" t="s">
        <v>25227</v>
      </c>
      <c r="AV711" t="s">
        <v>11459</v>
      </c>
      <c r="AW711" t="s">
        <v>11448</v>
      </c>
    </row>
    <row r="712" spans="1:49">
      <c r="A712" s="1">
        <f>HYPERLINK("https://lsnyc.legalserver.org/matter/dynamic-profile/view/1909631","19-1909631")</f>
        <v>0</v>
      </c>
      <c r="B712" t="s">
        <v>66</v>
      </c>
      <c r="C712" t="s">
        <v>504</v>
      </c>
      <c r="D712" t="s">
        <v>504</v>
      </c>
      <c r="E712" t="s">
        <v>1025</v>
      </c>
      <c r="F712" t="s">
        <v>3675</v>
      </c>
      <c r="G712" t="s">
        <v>6956</v>
      </c>
      <c r="I712" t="s">
        <v>11385</v>
      </c>
      <c r="J712">
        <v>11233</v>
      </c>
      <c r="K712" t="s">
        <v>11448</v>
      </c>
      <c r="L712" t="s">
        <v>11456</v>
      </c>
      <c r="M712" t="s">
        <v>11601</v>
      </c>
      <c r="N712" t="s">
        <v>14778</v>
      </c>
      <c r="O712" t="s">
        <v>14786</v>
      </c>
      <c r="P712" t="s">
        <v>14797</v>
      </c>
      <c r="Q712" t="s">
        <v>11448</v>
      </c>
      <c r="S712" t="s">
        <v>14827</v>
      </c>
      <c r="T712" t="s">
        <v>14832</v>
      </c>
      <c r="V712">
        <v>1550</v>
      </c>
      <c r="W712" t="s">
        <v>14859</v>
      </c>
      <c r="X712" t="s">
        <v>14867</v>
      </c>
      <c r="Y712" t="s">
        <v>14883</v>
      </c>
      <c r="Z712" t="s">
        <v>15588</v>
      </c>
      <c r="AA712" t="s">
        <v>11999</v>
      </c>
      <c r="AB712" t="s">
        <v>20702</v>
      </c>
      <c r="AC712">
        <v>3</v>
      </c>
      <c r="AD712" t="s">
        <v>11479</v>
      </c>
      <c r="AE712" t="s">
        <v>24617</v>
      </c>
      <c r="AF712">
        <v>4</v>
      </c>
      <c r="AG712">
        <v>4</v>
      </c>
      <c r="AH712">
        <v>0</v>
      </c>
      <c r="AI712">
        <v>121.17</v>
      </c>
      <c r="AL712" t="s">
        <v>24632</v>
      </c>
      <c r="AM712">
        <v>31200</v>
      </c>
      <c r="AN712" t="s">
        <v>24729</v>
      </c>
      <c r="AS712">
        <v>0.25</v>
      </c>
      <c r="AT712" t="s">
        <v>504</v>
      </c>
      <c r="AU712" t="s">
        <v>66</v>
      </c>
      <c r="AV712" t="s">
        <v>11459</v>
      </c>
      <c r="AW712" t="s">
        <v>11447</v>
      </c>
    </row>
    <row r="713" spans="1:49">
      <c r="A713" s="1">
        <f>HYPERLINK("https://lsnyc.legalserver.org/matter/dynamic-profile/view/1884067","18-1884067")</f>
        <v>0</v>
      </c>
      <c r="B713" t="s">
        <v>76</v>
      </c>
      <c r="C713" t="s">
        <v>636</v>
      </c>
      <c r="D713" t="s">
        <v>468</v>
      </c>
      <c r="E713" t="s">
        <v>1393</v>
      </c>
      <c r="F713" t="s">
        <v>4056</v>
      </c>
      <c r="G713" t="s">
        <v>6957</v>
      </c>
      <c r="H713" t="s">
        <v>10556</v>
      </c>
      <c r="I713" t="s">
        <v>11385</v>
      </c>
      <c r="J713">
        <v>11226</v>
      </c>
      <c r="K713" t="s">
        <v>11447</v>
      </c>
      <c r="O713" t="s">
        <v>14786</v>
      </c>
      <c r="P713" t="s">
        <v>14797</v>
      </c>
      <c r="S713" t="s">
        <v>14827</v>
      </c>
      <c r="V713">
        <v>1850</v>
      </c>
      <c r="W713" t="s">
        <v>14859</v>
      </c>
      <c r="Y713" t="s">
        <v>14890</v>
      </c>
      <c r="Z713" t="s">
        <v>15589</v>
      </c>
      <c r="AB713" t="s">
        <v>20703</v>
      </c>
      <c r="AC713">
        <v>27</v>
      </c>
      <c r="AF713">
        <v>3</v>
      </c>
      <c r="AG713">
        <v>1</v>
      </c>
      <c r="AH713">
        <v>0</v>
      </c>
      <c r="AI713">
        <v>0</v>
      </c>
      <c r="AL713" t="s">
        <v>5011</v>
      </c>
      <c r="AM713">
        <v>0</v>
      </c>
      <c r="AS713">
        <v>0.5</v>
      </c>
      <c r="AT713" t="s">
        <v>636</v>
      </c>
      <c r="AU713" t="s">
        <v>25238</v>
      </c>
      <c r="AW713" t="s">
        <v>11447</v>
      </c>
    </row>
    <row r="714" spans="1:49">
      <c r="A714" s="1">
        <f>HYPERLINK("https://lsnyc.legalserver.org/matter/dynamic-profile/view/1900257","19-1900257")</f>
        <v>0</v>
      </c>
      <c r="B714" t="s">
        <v>193</v>
      </c>
      <c r="C714" t="s">
        <v>337</v>
      </c>
      <c r="D714" t="s">
        <v>468</v>
      </c>
      <c r="E714" t="s">
        <v>1559</v>
      </c>
      <c r="F714" t="s">
        <v>2218</v>
      </c>
      <c r="G714" t="s">
        <v>6958</v>
      </c>
      <c r="H714" t="s">
        <v>10704</v>
      </c>
      <c r="I714" t="s">
        <v>11385</v>
      </c>
      <c r="J714">
        <v>11237</v>
      </c>
      <c r="K714" t="s">
        <v>11448</v>
      </c>
      <c r="O714" t="s">
        <v>14787</v>
      </c>
      <c r="P714" t="s">
        <v>14797</v>
      </c>
      <c r="S714" t="s">
        <v>14827</v>
      </c>
      <c r="V714">
        <v>1950</v>
      </c>
      <c r="W714" t="s">
        <v>14859</v>
      </c>
      <c r="X714" t="s">
        <v>14755</v>
      </c>
      <c r="Y714" t="s">
        <v>14883</v>
      </c>
      <c r="Z714" t="s">
        <v>15590</v>
      </c>
      <c r="AB714" t="s">
        <v>20704</v>
      </c>
      <c r="AC714">
        <v>0</v>
      </c>
      <c r="AD714" t="s">
        <v>24599</v>
      </c>
      <c r="AF714">
        <v>3</v>
      </c>
      <c r="AG714">
        <v>1</v>
      </c>
      <c r="AH714">
        <v>0</v>
      </c>
      <c r="AI714">
        <v>39.14</v>
      </c>
      <c r="AL714" t="s">
        <v>5011</v>
      </c>
      <c r="AM714">
        <v>4888</v>
      </c>
      <c r="AS714">
        <v>1.85</v>
      </c>
      <c r="AT714" t="s">
        <v>468</v>
      </c>
      <c r="AU714" t="s">
        <v>25229</v>
      </c>
      <c r="AW714" t="s">
        <v>11447</v>
      </c>
    </row>
    <row r="715" spans="1:49">
      <c r="A715" s="1">
        <f>HYPERLINK("https://lsnyc.legalserver.org/matter/dynamic-profile/view/1883232","18-1883232")</f>
        <v>0</v>
      </c>
      <c r="B715" t="s">
        <v>76</v>
      </c>
      <c r="C715" t="s">
        <v>548</v>
      </c>
      <c r="D715" t="s">
        <v>468</v>
      </c>
      <c r="E715" t="s">
        <v>1560</v>
      </c>
      <c r="F715" t="s">
        <v>3633</v>
      </c>
      <c r="G715" t="s">
        <v>6959</v>
      </c>
      <c r="H715">
        <v>2</v>
      </c>
      <c r="I715" t="s">
        <v>11385</v>
      </c>
      <c r="J715">
        <v>11207</v>
      </c>
      <c r="K715" t="s">
        <v>11447</v>
      </c>
      <c r="O715" t="s">
        <v>14786</v>
      </c>
      <c r="P715" t="s">
        <v>14797</v>
      </c>
      <c r="S715" t="s">
        <v>14827</v>
      </c>
      <c r="V715">
        <v>2020</v>
      </c>
      <c r="W715" t="s">
        <v>14859</v>
      </c>
      <c r="Y715" t="s">
        <v>14890</v>
      </c>
      <c r="Z715" t="s">
        <v>15591</v>
      </c>
      <c r="AB715" t="s">
        <v>20705</v>
      </c>
      <c r="AC715">
        <v>2</v>
      </c>
      <c r="AE715" t="s">
        <v>24615</v>
      </c>
      <c r="AF715">
        <v>1</v>
      </c>
      <c r="AG715">
        <v>2</v>
      </c>
      <c r="AH715">
        <v>4</v>
      </c>
      <c r="AI715">
        <v>39.15</v>
      </c>
      <c r="AL715" t="s">
        <v>5011</v>
      </c>
      <c r="AM715">
        <v>13208</v>
      </c>
      <c r="AS715">
        <v>1</v>
      </c>
      <c r="AT715" t="s">
        <v>548</v>
      </c>
      <c r="AU715" t="s">
        <v>25227</v>
      </c>
      <c r="AW715" t="s">
        <v>11447</v>
      </c>
    </row>
    <row r="716" spans="1:49">
      <c r="A716" s="1">
        <f>HYPERLINK("https://lsnyc.legalserver.org/matter/dynamic-profile/view/1884410","18-1884410")</f>
        <v>0</v>
      </c>
      <c r="B716" t="s">
        <v>76</v>
      </c>
      <c r="C716" t="s">
        <v>639</v>
      </c>
      <c r="D716" t="s">
        <v>468</v>
      </c>
      <c r="E716" t="s">
        <v>1561</v>
      </c>
      <c r="F716" t="s">
        <v>4057</v>
      </c>
      <c r="G716" t="s">
        <v>6960</v>
      </c>
      <c r="H716" t="s">
        <v>10579</v>
      </c>
      <c r="I716" t="s">
        <v>11385</v>
      </c>
      <c r="J716">
        <v>11249</v>
      </c>
      <c r="K716" t="s">
        <v>11447</v>
      </c>
      <c r="O716" t="s">
        <v>14786</v>
      </c>
      <c r="P716" t="s">
        <v>14797</v>
      </c>
      <c r="S716" t="s">
        <v>14827</v>
      </c>
      <c r="V716">
        <v>4400</v>
      </c>
      <c r="W716" t="s">
        <v>14859</v>
      </c>
      <c r="X716" t="s">
        <v>14870</v>
      </c>
      <c r="Y716" t="s">
        <v>14890</v>
      </c>
      <c r="Z716" t="s">
        <v>15592</v>
      </c>
      <c r="AB716" t="s">
        <v>20706</v>
      </c>
      <c r="AC716">
        <v>89</v>
      </c>
      <c r="AE716" t="s">
        <v>11459</v>
      </c>
      <c r="AF716">
        <v>0</v>
      </c>
      <c r="AG716">
        <v>2</v>
      </c>
      <c r="AH716">
        <v>1</v>
      </c>
      <c r="AI716">
        <v>134.74</v>
      </c>
      <c r="AL716" t="s">
        <v>5011</v>
      </c>
      <c r="AM716">
        <v>28000</v>
      </c>
      <c r="AS716">
        <v>1</v>
      </c>
      <c r="AT716" t="s">
        <v>639</v>
      </c>
      <c r="AU716" t="s">
        <v>25226</v>
      </c>
      <c r="AW716" t="s">
        <v>11447</v>
      </c>
    </row>
    <row r="717" spans="1:49">
      <c r="A717" s="1">
        <f>HYPERLINK("https://lsnyc.legalserver.org/matter/dynamic-profile/view/1906897","19-1906897")</f>
        <v>0</v>
      </c>
      <c r="B717" t="s">
        <v>194</v>
      </c>
      <c r="C717" t="s">
        <v>354</v>
      </c>
      <c r="D717" t="s">
        <v>471</v>
      </c>
      <c r="E717" t="s">
        <v>1562</v>
      </c>
      <c r="F717" t="s">
        <v>3581</v>
      </c>
      <c r="G717" t="s">
        <v>6961</v>
      </c>
      <c r="H717" t="s">
        <v>10509</v>
      </c>
      <c r="I717" t="s">
        <v>11386</v>
      </c>
      <c r="J717">
        <v>10002</v>
      </c>
      <c r="K717" t="s">
        <v>11446</v>
      </c>
      <c r="M717" t="s">
        <v>11601</v>
      </c>
      <c r="N717" t="s">
        <v>14778</v>
      </c>
      <c r="O717" t="s">
        <v>14786</v>
      </c>
      <c r="P717" t="s">
        <v>14797</v>
      </c>
      <c r="Q717" t="s">
        <v>11448</v>
      </c>
      <c r="S717" t="s">
        <v>14827</v>
      </c>
      <c r="U717" t="s">
        <v>354</v>
      </c>
      <c r="V717">
        <v>947</v>
      </c>
      <c r="W717" t="s">
        <v>14860</v>
      </c>
      <c r="X717" t="s">
        <v>14876</v>
      </c>
      <c r="Y717" t="s">
        <v>14883</v>
      </c>
      <c r="Z717" t="s">
        <v>15593</v>
      </c>
      <c r="AB717" t="s">
        <v>20707</v>
      </c>
      <c r="AC717">
        <v>11</v>
      </c>
      <c r="AD717" t="s">
        <v>24595</v>
      </c>
      <c r="AE717" t="s">
        <v>24617</v>
      </c>
      <c r="AF717">
        <v>1</v>
      </c>
      <c r="AG717">
        <v>1</v>
      </c>
      <c r="AH717">
        <v>0</v>
      </c>
      <c r="AI717">
        <v>89.93000000000001</v>
      </c>
      <c r="AL717" t="s">
        <v>24633</v>
      </c>
      <c r="AM717">
        <v>11232</v>
      </c>
      <c r="AS717">
        <v>2.4</v>
      </c>
      <c r="AT717" t="s">
        <v>458</v>
      </c>
      <c r="AU717" t="s">
        <v>153</v>
      </c>
      <c r="AV717" t="s">
        <v>25335</v>
      </c>
      <c r="AW717" t="s">
        <v>11447</v>
      </c>
    </row>
    <row r="718" spans="1:49">
      <c r="A718" s="1">
        <f>HYPERLINK("https://lsnyc.legalserver.org/matter/dynamic-profile/view/1910115","19-1910115")</f>
        <v>0</v>
      </c>
      <c r="B718" t="s">
        <v>178</v>
      </c>
      <c r="C718" t="s">
        <v>471</v>
      </c>
      <c r="D718" t="s">
        <v>471</v>
      </c>
      <c r="E718" t="s">
        <v>1563</v>
      </c>
      <c r="F718" t="s">
        <v>4058</v>
      </c>
      <c r="G718" t="s">
        <v>6962</v>
      </c>
      <c r="I718" t="s">
        <v>11386</v>
      </c>
      <c r="J718">
        <v>10033</v>
      </c>
      <c r="K718" t="s">
        <v>11446</v>
      </c>
      <c r="M718" t="s">
        <v>14746</v>
      </c>
      <c r="N718" t="s">
        <v>14779</v>
      </c>
      <c r="O718" t="s">
        <v>14787</v>
      </c>
      <c r="P718" t="s">
        <v>14797</v>
      </c>
      <c r="Q718" t="s">
        <v>11448</v>
      </c>
      <c r="S718" t="s">
        <v>14827</v>
      </c>
      <c r="V718">
        <v>1135</v>
      </c>
      <c r="W718" t="s">
        <v>14860</v>
      </c>
      <c r="X718" t="s">
        <v>14867</v>
      </c>
      <c r="Y718" t="s">
        <v>14885</v>
      </c>
      <c r="Z718" t="s">
        <v>15594</v>
      </c>
      <c r="AB718" t="s">
        <v>20708</v>
      </c>
      <c r="AC718">
        <v>12</v>
      </c>
      <c r="AD718" t="s">
        <v>24595</v>
      </c>
      <c r="AE718" t="s">
        <v>11459</v>
      </c>
      <c r="AF718">
        <v>39</v>
      </c>
      <c r="AG718">
        <v>2</v>
      </c>
      <c r="AH718">
        <v>1</v>
      </c>
      <c r="AI718">
        <v>243.79</v>
      </c>
      <c r="AM718">
        <v>52000</v>
      </c>
      <c r="AS718">
        <v>0.7</v>
      </c>
      <c r="AT718" t="s">
        <v>471</v>
      </c>
      <c r="AU718" t="s">
        <v>137</v>
      </c>
      <c r="AV718" t="s">
        <v>25335</v>
      </c>
      <c r="AW718" t="s">
        <v>11447</v>
      </c>
    </row>
    <row r="719" spans="1:49">
      <c r="A719" s="1">
        <f>HYPERLINK("https://lsnyc.legalserver.org/matter/dynamic-profile/view/1898448","19-1898448")</f>
        <v>0</v>
      </c>
      <c r="B719" t="s">
        <v>193</v>
      </c>
      <c r="C719" t="s">
        <v>360</v>
      </c>
      <c r="D719" t="s">
        <v>528</v>
      </c>
      <c r="E719" t="s">
        <v>1176</v>
      </c>
      <c r="F719" t="s">
        <v>4059</v>
      </c>
      <c r="G719" t="s">
        <v>6963</v>
      </c>
      <c r="H719" t="s">
        <v>10578</v>
      </c>
      <c r="I719" t="s">
        <v>11385</v>
      </c>
      <c r="J719">
        <v>11213</v>
      </c>
      <c r="K719" t="s">
        <v>11446</v>
      </c>
      <c r="L719" t="s">
        <v>11653</v>
      </c>
      <c r="M719" t="s">
        <v>14744</v>
      </c>
      <c r="N719" t="s">
        <v>14781</v>
      </c>
      <c r="O719" t="s">
        <v>14788</v>
      </c>
      <c r="P719" t="s">
        <v>14797</v>
      </c>
      <c r="Q719" t="s">
        <v>11448</v>
      </c>
      <c r="S719" t="s">
        <v>14827</v>
      </c>
      <c r="U719" t="s">
        <v>545</v>
      </c>
      <c r="V719">
        <v>659.4299999999999</v>
      </c>
      <c r="W719" t="s">
        <v>14859</v>
      </c>
      <c r="X719" t="s">
        <v>14868</v>
      </c>
      <c r="Y719" t="s">
        <v>14887</v>
      </c>
      <c r="Z719" t="s">
        <v>15595</v>
      </c>
      <c r="AA719" t="s">
        <v>19362</v>
      </c>
      <c r="AB719" t="s">
        <v>20709</v>
      </c>
      <c r="AC719">
        <v>8</v>
      </c>
      <c r="AD719" t="s">
        <v>24606</v>
      </c>
      <c r="AF719">
        <v>18</v>
      </c>
      <c r="AG719">
        <v>2</v>
      </c>
      <c r="AH719">
        <v>2</v>
      </c>
      <c r="AI719">
        <v>36.12</v>
      </c>
      <c r="AL719" t="s">
        <v>5011</v>
      </c>
      <c r="AM719">
        <v>9300</v>
      </c>
      <c r="AO719" t="s">
        <v>24930</v>
      </c>
      <c r="AP719" t="s">
        <v>24941</v>
      </c>
      <c r="AQ719" t="s">
        <v>24986</v>
      </c>
      <c r="AR719" t="s">
        <v>25011</v>
      </c>
      <c r="AS719">
        <v>13.15</v>
      </c>
      <c r="AT719" t="s">
        <v>528</v>
      </c>
      <c r="AU719" t="s">
        <v>91</v>
      </c>
      <c r="AV719" t="s">
        <v>25334</v>
      </c>
      <c r="AW719" t="s">
        <v>11447</v>
      </c>
    </row>
    <row r="720" spans="1:49">
      <c r="A720" s="1">
        <f>HYPERLINK("https://lsnyc.legalserver.org/matter/dynamic-profile/view/1908092","19-1908092")</f>
        <v>0</v>
      </c>
      <c r="B720" t="s">
        <v>92</v>
      </c>
      <c r="C720" t="s">
        <v>455</v>
      </c>
      <c r="D720" t="s">
        <v>528</v>
      </c>
      <c r="E720" t="s">
        <v>1564</v>
      </c>
      <c r="F720" t="s">
        <v>3623</v>
      </c>
      <c r="G720" t="s">
        <v>6964</v>
      </c>
      <c r="H720" t="s">
        <v>10542</v>
      </c>
      <c r="I720" t="s">
        <v>11383</v>
      </c>
      <c r="J720">
        <v>10453</v>
      </c>
      <c r="K720" t="s">
        <v>11446</v>
      </c>
      <c r="L720" t="s">
        <v>11654</v>
      </c>
      <c r="M720" t="s">
        <v>14744</v>
      </c>
      <c r="N720" t="s">
        <v>14778</v>
      </c>
      <c r="O720" t="s">
        <v>14786</v>
      </c>
      <c r="P720" t="s">
        <v>14797</v>
      </c>
      <c r="S720" t="s">
        <v>14827</v>
      </c>
      <c r="U720" t="s">
        <v>604</v>
      </c>
      <c r="V720">
        <v>944</v>
      </c>
      <c r="W720" t="s">
        <v>14858</v>
      </c>
      <c r="X720" t="s">
        <v>14866</v>
      </c>
      <c r="Y720" t="s">
        <v>14888</v>
      </c>
      <c r="Z720" t="s">
        <v>15596</v>
      </c>
      <c r="AB720" t="s">
        <v>20710</v>
      </c>
      <c r="AC720">
        <v>40</v>
      </c>
      <c r="AD720" t="s">
        <v>24596</v>
      </c>
      <c r="AF720">
        <v>17</v>
      </c>
      <c r="AG720">
        <v>1</v>
      </c>
      <c r="AH720">
        <v>0</v>
      </c>
      <c r="AI720">
        <v>23.06</v>
      </c>
      <c r="AL720" t="s">
        <v>24632</v>
      </c>
      <c r="AM720">
        <v>2880</v>
      </c>
      <c r="AS720">
        <v>4.6</v>
      </c>
      <c r="AT720" t="s">
        <v>528</v>
      </c>
      <c r="AU720" t="s">
        <v>25241</v>
      </c>
      <c r="AV720" t="s">
        <v>25335</v>
      </c>
      <c r="AW720" t="s">
        <v>11447</v>
      </c>
    </row>
    <row r="721" spans="1:49">
      <c r="A721" s="1">
        <f>HYPERLINK("https://lsnyc.legalserver.org/matter/dynamic-profile/view/1909791","19-1909791")</f>
        <v>0</v>
      </c>
      <c r="B721" t="s">
        <v>92</v>
      </c>
      <c r="C721" t="s">
        <v>519</v>
      </c>
      <c r="D721" t="s">
        <v>528</v>
      </c>
      <c r="E721" t="s">
        <v>1337</v>
      </c>
      <c r="F721" t="s">
        <v>4060</v>
      </c>
      <c r="G721" t="s">
        <v>6965</v>
      </c>
      <c r="I721" t="s">
        <v>11383</v>
      </c>
      <c r="J721">
        <v>10457</v>
      </c>
      <c r="K721" t="s">
        <v>11446</v>
      </c>
      <c r="L721" t="s">
        <v>11655</v>
      </c>
      <c r="M721" t="s">
        <v>14744</v>
      </c>
      <c r="N721" t="s">
        <v>14778</v>
      </c>
      <c r="O721" t="s">
        <v>14786</v>
      </c>
      <c r="P721" t="s">
        <v>14797</v>
      </c>
      <c r="Q721" t="s">
        <v>11448</v>
      </c>
      <c r="S721" t="s">
        <v>14829</v>
      </c>
      <c r="U721" t="s">
        <v>604</v>
      </c>
      <c r="V721">
        <v>0</v>
      </c>
      <c r="W721" t="s">
        <v>14858</v>
      </c>
      <c r="Y721" t="s">
        <v>14883</v>
      </c>
      <c r="Z721" t="s">
        <v>15597</v>
      </c>
      <c r="AC721">
        <v>95</v>
      </c>
      <c r="AF721">
        <v>0</v>
      </c>
      <c r="AG721">
        <v>1</v>
      </c>
      <c r="AH721">
        <v>0</v>
      </c>
      <c r="AI721">
        <v>38.43</v>
      </c>
      <c r="AM721">
        <v>4800</v>
      </c>
      <c r="AS721">
        <v>0.3</v>
      </c>
      <c r="AT721" t="s">
        <v>471</v>
      </c>
      <c r="AU721" t="s">
        <v>92</v>
      </c>
      <c r="AV721" t="s">
        <v>25335</v>
      </c>
      <c r="AW721" t="s">
        <v>11447</v>
      </c>
    </row>
    <row r="722" spans="1:49">
      <c r="A722" s="1">
        <f>HYPERLINK("https://lsnyc.legalserver.org/matter/dynamic-profile/view/1907511","19-1907511")</f>
        <v>0</v>
      </c>
      <c r="B722" t="s">
        <v>59</v>
      </c>
      <c r="C722" t="s">
        <v>465</v>
      </c>
      <c r="D722" t="s">
        <v>662</v>
      </c>
      <c r="E722" t="s">
        <v>1565</v>
      </c>
      <c r="F722" t="s">
        <v>4061</v>
      </c>
      <c r="G722" t="s">
        <v>6966</v>
      </c>
      <c r="H722">
        <v>1</v>
      </c>
      <c r="I722" t="s">
        <v>11422</v>
      </c>
      <c r="J722">
        <v>11413</v>
      </c>
      <c r="K722" t="s">
        <v>11446</v>
      </c>
      <c r="L722" t="s">
        <v>11656</v>
      </c>
      <c r="M722" t="s">
        <v>14743</v>
      </c>
      <c r="N722" t="s">
        <v>14778</v>
      </c>
      <c r="O722" t="s">
        <v>14786</v>
      </c>
      <c r="P722" t="s">
        <v>14797</v>
      </c>
      <c r="Q722" t="s">
        <v>11448</v>
      </c>
      <c r="S722" t="s">
        <v>14827</v>
      </c>
      <c r="T722" t="s">
        <v>14837</v>
      </c>
      <c r="U722" t="s">
        <v>465</v>
      </c>
      <c r="V722">
        <v>1000</v>
      </c>
      <c r="W722" t="s">
        <v>14861</v>
      </c>
      <c r="X722" t="s">
        <v>14865</v>
      </c>
      <c r="Y722" t="s">
        <v>14883</v>
      </c>
      <c r="Z722" t="s">
        <v>15598</v>
      </c>
      <c r="AA722" t="s">
        <v>11459</v>
      </c>
      <c r="AB722" t="s">
        <v>20711</v>
      </c>
      <c r="AC722">
        <v>2</v>
      </c>
      <c r="AD722" t="s">
        <v>24600</v>
      </c>
      <c r="AE722" t="s">
        <v>11459</v>
      </c>
      <c r="AF722">
        <v>1</v>
      </c>
      <c r="AG722">
        <v>1</v>
      </c>
      <c r="AH722">
        <v>1</v>
      </c>
      <c r="AI722">
        <v>29.57</v>
      </c>
      <c r="AL722" t="s">
        <v>5011</v>
      </c>
      <c r="AM722">
        <v>5000</v>
      </c>
      <c r="AS722">
        <v>2.01</v>
      </c>
      <c r="AT722" t="s">
        <v>662</v>
      </c>
      <c r="AU722" t="s">
        <v>99</v>
      </c>
      <c r="AV722" t="s">
        <v>25335</v>
      </c>
      <c r="AW722" t="s">
        <v>11447</v>
      </c>
    </row>
    <row r="723" spans="1:49">
      <c r="A723" s="1">
        <f>HYPERLINK("https://lsnyc.legalserver.org/matter/dynamic-profile/view/1909569","19-1909569")</f>
        <v>0</v>
      </c>
      <c r="B723" t="s">
        <v>59</v>
      </c>
      <c r="C723" t="s">
        <v>488</v>
      </c>
      <c r="D723" t="s">
        <v>662</v>
      </c>
      <c r="E723" t="s">
        <v>1566</v>
      </c>
      <c r="F723" t="s">
        <v>4062</v>
      </c>
      <c r="G723" t="s">
        <v>6967</v>
      </c>
      <c r="H723" t="s">
        <v>10705</v>
      </c>
      <c r="I723" t="s">
        <v>11402</v>
      </c>
      <c r="J723">
        <v>11422</v>
      </c>
      <c r="K723" t="s">
        <v>11446</v>
      </c>
      <c r="L723" t="s">
        <v>11657</v>
      </c>
      <c r="M723" t="s">
        <v>14743</v>
      </c>
      <c r="N723" t="s">
        <v>14778</v>
      </c>
      <c r="O723" t="s">
        <v>14786</v>
      </c>
      <c r="P723" t="s">
        <v>14797</v>
      </c>
      <c r="Q723" t="s">
        <v>11448</v>
      </c>
      <c r="S723" t="s">
        <v>14827</v>
      </c>
      <c r="T723" t="s">
        <v>14832</v>
      </c>
      <c r="U723" t="s">
        <v>488</v>
      </c>
      <c r="V723">
        <v>1500</v>
      </c>
      <c r="W723" t="s">
        <v>14861</v>
      </c>
      <c r="X723" t="s">
        <v>14865</v>
      </c>
      <c r="Y723" t="s">
        <v>14883</v>
      </c>
      <c r="Z723" t="s">
        <v>15599</v>
      </c>
      <c r="AA723" t="s">
        <v>11459</v>
      </c>
      <c r="AB723" t="s">
        <v>20712</v>
      </c>
      <c r="AC723">
        <v>2</v>
      </c>
      <c r="AD723" t="s">
        <v>24600</v>
      </c>
      <c r="AE723" t="s">
        <v>11459</v>
      </c>
      <c r="AF723">
        <v>1</v>
      </c>
      <c r="AG723">
        <v>1</v>
      </c>
      <c r="AH723">
        <v>0</v>
      </c>
      <c r="AI723">
        <v>160.13</v>
      </c>
      <c r="AL723" t="s">
        <v>5011</v>
      </c>
      <c r="AM723">
        <v>20000</v>
      </c>
      <c r="AS723">
        <v>2.31</v>
      </c>
      <c r="AT723" t="s">
        <v>662</v>
      </c>
      <c r="AU723" t="s">
        <v>99</v>
      </c>
      <c r="AV723" t="s">
        <v>25335</v>
      </c>
      <c r="AW723" t="s">
        <v>11447</v>
      </c>
    </row>
    <row r="724" spans="1:49">
      <c r="A724" s="1">
        <f>HYPERLINK("https://lsnyc.legalserver.org/matter/dynamic-profile/view/1909361","19-1909361")</f>
        <v>0</v>
      </c>
      <c r="B724" t="s">
        <v>74</v>
      </c>
      <c r="C724" t="s">
        <v>589</v>
      </c>
      <c r="D724" t="s">
        <v>662</v>
      </c>
      <c r="E724" t="s">
        <v>1567</v>
      </c>
      <c r="F724" t="s">
        <v>4063</v>
      </c>
      <c r="G724" t="s">
        <v>6968</v>
      </c>
      <c r="H724" t="s">
        <v>10501</v>
      </c>
      <c r="I724" t="s">
        <v>11418</v>
      </c>
      <c r="J724">
        <v>11412</v>
      </c>
      <c r="K724" t="s">
        <v>11446</v>
      </c>
      <c r="L724" t="s">
        <v>11658</v>
      </c>
      <c r="M724" t="s">
        <v>14743</v>
      </c>
      <c r="N724" t="s">
        <v>14778</v>
      </c>
      <c r="O724" t="s">
        <v>14786</v>
      </c>
      <c r="P724" t="s">
        <v>14797</v>
      </c>
      <c r="Q724" t="s">
        <v>11448</v>
      </c>
      <c r="S724" t="s">
        <v>14827</v>
      </c>
      <c r="T724" t="s">
        <v>14837</v>
      </c>
      <c r="U724" t="s">
        <v>662</v>
      </c>
      <c r="V724">
        <v>1515</v>
      </c>
      <c r="W724" t="s">
        <v>14861</v>
      </c>
      <c r="X724" t="s">
        <v>14865</v>
      </c>
      <c r="Y724" t="s">
        <v>14883</v>
      </c>
      <c r="Z724" t="s">
        <v>15600</v>
      </c>
      <c r="AA724" t="s">
        <v>19363</v>
      </c>
      <c r="AB724" t="s">
        <v>20713</v>
      </c>
      <c r="AC724">
        <v>2</v>
      </c>
      <c r="AE724" t="s">
        <v>24616</v>
      </c>
      <c r="AF724">
        <v>1</v>
      </c>
      <c r="AG724">
        <v>1</v>
      </c>
      <c r="AH724">
        <v>3</v>
      </c>
      <c r="AI724">
        <v>23.3</v>
      </c>
      <c r="AL724" t="s">
        <v>5011</v>
      </c>
      <c r="AM724">
        <v>6000</v>
      </c>
      <c r="AS724">
        <v>1.1</v>
      </c>
      <c r="AT724" t="s">
        <v>463</v>
      </c>
      <c r="AU724" t="s">
        <v>99</v>
      </c>
      <c r="AV724" t="s">
        <v>25335</v>
      </c>
      <c r="AW724" t="s">
        <v>11447</v>
      </c>
    </row>
    <row r="725" spans="1:49">
      <c r="A725" s="1">
        <f>HYPERLINK("https://lsnyc.legalserver.org/matter/dynamic-profile/view/1907161","19-1907161")</f>
        <v>0</v>
      </c>
      <c r="B725" t="s">
        <v>63</v>
      </c>
      <c r="C725" t="s">
        <v>379</v>
      </c>
      <c r="D725" t="s">
        <v>662</v>
      </c>
      <c r="E725" t="s">
        <v>1568</v>
      </c>
      <c r="F725" t="s">
        <v>4064</v>
      </c>
      <c r="G725" t="s">
        <v>6969</v>
      </c>
      <c r="H725" t="s">
        <v>10465</v>
      </c>
      <c r="I725" t="s">
        <v>11412</v>
      </c>
      <c r="J725">
        <v>11101</v>
      </c>
      <c r="K725" t="s">
        <v>11446</v>
      </c>
      <c r="M725" t="s">
        <v>14747</v>
      </c>
      <c r="N725" t="s">
        <v>14778</v>
      </c>
      <c r="O725" t="s">
        <v>14786</v>
      </c>
      <c r="P725" t="s">
        <v>14797</v>
      </c>
      <c r="Q725" t="s">
        <v>11448</v>
      </c>
      <c r="S725" t="s">
        <v>14827</v>
      </c>
      <c r="T725" t="s">
        <v>14832</v>
      </c>
      <c r="U725" t="s">
        <v>662</v>
      </c>
      <c r="V725">
        <v>1046</v>
      </c>
      <c r="W725" t="s">
        <v>14861</v>
      </c>
      <c r="X725" t="s">
        <v>14873</v>
      </c>
      <c r="Y725" t="s">
        <v>14883</v>
      </c>
      <c r="Z725" t="s">
        <v>15601</v>
      </c>
      <c r="AA725" t="s">
        <v>19344</v>
      </c>
      <c r="AB725" t="s">
        <v>19344</v>
      </c>
      <c r="AC725">
        <v>6</v>
      </c>
      <c r="AD725" t="s">
        <v>24595</v>
      </c>
      <c r="AE725" t="s">
        <v>11459</v>
      </c>
      <c r="AF725">
        <v>20</v>
      </c>
      <c r="AG725">
        <v>1</v>
      </c>
      <c r="AH725">
        <v>0</v>
      </c>
      <c r="AI725">
        <v>28.82</v>
      </c>
      <c r="AL725" t="s">
        <v>5011</v>
      </c>
      <c r="AM725">
        <v>3600</v>
      </c>
      <c r="AS725">
        <v>1.95</v>
      </c>
      <c r="AT725" t="s">
        <v>662</v>
      </c>
      <c r="AU725" t="s">
        <v>25226</v>
      </c>
      <c r="AV725" t="s">
        <v>25335</v>
      </c>
      <c r="AW725" t="s">
        <v>11447</v>
      </c>
    </row>
    <row r="726" spans="1:49">
      <c r="A726" s="1">
        <f>HYPERLINK("https://lsnyc.legalserver.org/matter/dynamic-profile/view/1908891","19-1908891")</f>
        <v>0</v>
      </c>
      <c r="B726" t="s">
        <v>63</v>
      </c>
      <c r="C726" t="s">
        <v>640</v>
      </c>
      <c r="D726" t="s">
        <v>662</v>
      </c>
      <c r="E726" t="s">
        <v>1354</v>
      </c>
      <c r="F726" t="s">
        <v>4065</v>
      </c>
      <c r="G726" t="s">
        <v>6970</v>
      </c>
      <c r="H726" t="s">
        <v>10552</v>
      </c>
      <c r="I726" t="s">
        <v>11389</v>
      </c>
      <c r="J726">
        <v>11367</v>
      </c>
      <c r="K726" t="s">
        <v>11446</v>
      </c>
      <c r="M726" t="s">
        <v>14746</v>
      </c>
      <c r="N726" t="s">
        <v>14779</v>
      </c>
      <c r="O726" t="s">
        <v>14787</v>
      </c>
      <c r="P726" t="s">
        <v>14797</v>
      </c>
      <c r="Q726" t="s">
        <v>11448</v>
      </c>
      <c r="S726" t="s">
        <v>14827</v>
      </c>
      <c r="T726" t="s">
        <v>14832</v>
      </c>
      <c r="U726" t="s">
        <v>662</v>
      </c>
      <c r="V726">
        <v>1063</v>
      </c>
      <c r="W726" t="s">
        <v>14861</v>
      </c>
      <c r="X726" t="s">
        <v>14869</v>
      </c>
      <c r="Y726" t="s">
        <v>14884</v>
      </c>
      <c r="Z726" t="s">
        <v>15602</v>
      </c>
      <c r="AA726" t="s">
        <v>19344</v>
      </c>
      <c r="AB726" t="s">
        <v>20714</v>
      </c>
      <c r="AC726">
        <v>12</v>
      </c>
      <c r="AD726" t="s">
        <v>24599</v>
      </c>
      <c r="AE726" t="s">
        <v>24613</v>
      </c>
      <c r="AF726">
        <v>30</v>
      </c>
      <c r="AG726">
        <v>2</v>
      </c>
      <c r="AH726">
        <v>0</v>
      </c>
      <c r="AI726">
        <v>85.16</v>
      </c>
      <c r="AL726" t="s">
        <v>24632</v>
      </c>
      <c r="AM726">
        <v>14400</v>
      </c>
      <c r="AS726">
        <v>1.85</v>
      </c>
      <c r="AT726" t="s">
        <v>662</v>
      </c>
      <c r="AU726" t="s">
        <v>25236</v>
      </c>
      <c r="AV726" t="s">
        <v>25335</v>
      </c>
      <c r="AW726" t="s">
        <v>11447</v>
      </c>
    </row>
    <row r="727" spans="1:49">
      <c r="A727" s="1">
        <f>HYPERLINK("https://lsnyc.legalserver.org/matter/dynamic-profile/view/1908290","19-1908290")</f>
        <v>0</v>
      </c>
      <c r="B727" t="s">
        <v>63</v>
      </c>
      <c r="C727" t="s">
        <v>375</v>
      </c>
      <c r="D727" t="s">
        <v>662</v>
      </c>
      <c r="E727" t="s">
        <v>1569</v>
      </c>
      <c r="F727" t="s">
        <v>4066</v>
      </c>
      <c r="G727" t="s">
        <v>6971</v>
      </c>
      <c r="H727" t="s">
        <v>10589</v>
      </c>
      <c r="I727" t="s">
        <v>11396</v>
      </c>
      <c r="J727">
        <v>11365</v>
      </c>
      <c r="K727" t="s">
        <v>11446</v>
      </c>
      <c r="L727" t="s">
        <v>11659</v>
      </c>
      <c r="M727" t="s">
        <v>14744</v>
      </c>
      <c r="N727" t="s">
        <v>14779</v>
      </c>
      <c r="O727" t="s">
        <v>14787</v>
      </c>
      <c r="P727" t="s">
        <v>14797</v>
      </c>
      <c r="Q727" t="s">
        <v>11448</v>
      </c>
      <c r="S727" t="s">
        <v>14827</v>
      </c>
      <c r="T727" t="s">
        <v>14834</v>
      </c>
      <c r="U727" t="s">
        <v>662</v>
      </c>
      <c r="V727">
        <v>1609</v>
      </c>
      <c r="W727" t="s">
        <v>14861</v>
      </c>
      <c r="X727" t="s">
        <v>14865</v>
      </c>
      <c r="Y727" t="s">
        <v>14884</v>
      </c>
      <c r="Z727" t="s">
        <v>15603</v>
      </c>
      <c r="AA727" t="s">
        <v>19364</v>
      </c>
      <c r="AB727" t="s">
        <v>20715</v>
      </c>
      <c r="AC727">
        <v>9</v>
      </c>
      <c r="AD727" t="s">
        <v>11479</v>
      </c>
      <c r="AE727" t="s">
        <v>24613</v>
      </c>
      <c r="AF727">
        <v>28</v>
      </c>
      <c r="AG727">
        <v>1</v>
      </c>
      <c r="AH727">
        <v>0</v>
      </c>
      <c r="AI727">
        <v>120.19</v>
      </c>
      <c r="AL727" t="s">
        <v>5011</v>
      </c>
      <c r="AM727">
        <v>15012</v>
      </c>
      <c r="AS727">
        <v>0.71</v>
      </c>
      <c r="AT727" t="s">
        <v>662</v>
      </c>
      <c r="AU727" t="s">
        <v>292</v>
      </c>
      <c r="AV727" t="s">
        <v>25335</v>
      </c>
      <c r="AW727" t="s">
        <v>11447</v>
      </c>
    </row>
    <row r="728" spans="1:49">
      <c r="A728" s="1">
        <f>HYPERLINK("https://lsnyc.legalserver.org/matter/dynamic-profile/view/1906349","19-1906349")</f>
        <v>0</v>
      </c>
      <c r="B728" t="s">
        <v>183</v>
      </c>
      <c r="C728" t="s">
        <v>355</v>
      </c>
      <c r="D728" t="s">
        <v>540</v>
      </c>
      <c r="E728" t="s">
        <v>1570</v>
      </c>
      <c r="F728" t="s">
        <v>4067</v>
      </c>
      <c r="G728" t="s">
        <v>6972</v>
      </c>
      <c r="H728">
        <v>2</v>
      </c>
      <c r="I728" t="s">
        <v>11385</v>
      </c>
      <c r="J728">
        <v>11208</v>
      </c>
      <c r="K728" t="s">
        <v>11446</v>
      </c>
      <c r="L728" t="s">
        <v>11660</v>
      </c>
      <c r="M728" t="s">
        <v>14744</v>
      </c>
      <c r="N728" t="s">
        <v>14779</v>
      </c>
      <c r="O728" t="s">
        <v>14787</v>
      </c>
      <c r="P728" t="s">
        <v>14797</v>
      </c>
      <c r="Q728" t="s">
        <v>11448</v>
      </c>
      <c r="S728" t="s">
        <v>14827</v>
      </c>
      <c r="T728" t="s">
        <v>14832</v>
      </c>
      <c r="U728" t="s">
        <v>620</v>
      </c>
      <c r="V728">
        <v>1500</v>
      </c>
      <c r="W728" t="s">
        <v>14859</v>
      </c>
      <c r="X728" t="s">
        <v>14865</v>
      </c>
      <c r="Y728" t="s">
        <v>14883</v>
      </c>
      <c r="Z728" t="s">
        <v>15604</v>
      </c>
      <c r="AA728" t="s">
        <v>11479</v>
      </c>
      <c r="AB728" t="s">
        <v>20716</v>
      </c>
      <c r="AC728">
        <v>4</v>
      </c>
      <c r="AD728" t="s">
        <v>24600</v>
      </c>
      <c r="AE728" t="s">
        <v>24617</v>
      </c>
      <c r="AF728">
        <v>5</v>
      </c>
      <c r="AG728">
        <v>1</v>
      </c>
      <c r="AH728">
        <v>2</v>
      </c>
      <c r="AI728">
        <v>70.31999999999999</v>
      </c>
      <c r="AL728" t="s">
        <v>5011</v>
      </c>
      <c r="AM728">
        <v>15000</v>
      </c>
      <c r="AQ728" t="s">
        <v>24986</v>
      </c>
      <c r="AR728" t="s">
        <v>25012</v>
      </c>
      <c r="AS728">
        <v>3</v>
      </c>
      <c r="AT728" t="s">
        <v>377</v>
      </c>
      <c r="AU728" t="s">
        <v>66</v>
      </c>
      <c r="AV728" t="s">
        <v>25335</v>
      </c>
      <c r="AW728" t="s">
        <v>11447</v>
      </c>
    </row>
    <row r="729" spans="1:49">
      <c r="A729" s="1">
        <f>HYPERLINK("https://lsnyc.legalserver.org/matter/dynamic-profile/view/1906532","19-1906532")</f>
        <v>0</v>
      </c>
      <c r="B729" t="s">
        <v>183</v>
      </c>
      <c r="C729" t="s">
        <v>380</v>
      </c>
      <c r="D729" t="s">
        <v>540</v>
      </c>
      <c r="E729" t="s">
        <v>1571</v>
      </c>
      <c r="F729" t="s">
        <v>4068</v>
      </c>
      <c r="G729" t="s">
        <v>6973</v>
      </c>
      <c r="H729" t="s">
        <v>10706</v>
      </c>
      <c r="I729" t="s">
        <v>11385</v>
      </c>
      <c r="J729">
        <v>11207</v>
      </c>
      <c r="K729" t="s">
        <v>11446</v>
      </c>
      <c r="L729" t="s">
        <v>11661</v>
      </c>
      <c r="M729" t="s">
        <v>14744</v>
      </c>
      <c r="N729" t="s">
        <v>14778</v>
      </c>
      <c r="O729" t="s">
        <v>14786</v>
      </c>
      <c r="P729" t="s">
        <v>14797</v>
      </c>
      <c r="Q729" t="s">
        <v>11448</v>
      </c>
      <c r="S729" t="s">
        <v>14827</v>
      </c>
      <c r="T729" t="s">
        <v>14834</v>
      </c>
      <c r="U729" t="s">
        <v>465</v>
      </c>
      <c r="V729">
        <v>1500</v>
      </c>
      <c r="W729" t="s">
        <v>14859</v>
      </c>
      <c r="X729" t="s">
        <v>14755</v>
      </c>
      <c r="Y729" t="s">
        <v>14883</v>
      </c>
      <c r="Z729" t="s">
        <v>15605</v>
      </c>
      <c r="AA729" t="s">
        <v>11601</v>
      </c>
      <c r="AB729" t="s">
        <v>20717</v>
      </c>
      <c r="AC729">
        <v>18</v>
      </c>
      <c r="AD729" t="s">
        <v>24595</v>
      </c>
      <c r="AE729" t="s">
        <v>11459</v>
      </c>
      <c r="AF729">
        <v>1</v>
      </c>
      <c r="AG729">
        <v>1</v>
      </c>
      <c r="AH729">
        <v>1</v>
      </c>
      <c r="AI729">
        <v>286.6</v>
      </c>
      <c r="AL729" t="s">
        <v>5011</v>
      </c>
      <c r="AM729">
        <v>48464</v>
      </c>
      <c r="AR729" t="s">
        <v>25013</v>
      </c>
      <c r="AS729">
        <v>1.1</v>
      </c>
      <c r="AT729" t="s">
        <v>540</v>
      </c>
      <c r="AU729" t="s">
        <v>120</v>
      </c>
      <c r="AV729" t="s">
        <v>25335</v>
      </c>
      <c r="AW729" t="s">
        <v>11447</v>
      </c>
    </row>
    <row r="730" spans="1:49">
      <c r="A730" s="1">
        <f>HYPERLINK("https://lsnyc.legalserver.org/matter/dynamic-profile/view/1894362","19-1894362")</f>
        <v>0</v>
      </c>
      <c r="B730" t="s">
        <v>117</v>
      </c>
      <c r="C730" t="s">
        <v>594</v>
      </c>
      <c r="D730" t="s">
        <v>540</v>
      </c>
      <c r="E730" t="s">
        <v>1572</v>
      </c>
      <c r="F730" t="s">
        <v>3561</v>
      </c>
      <c r="G730" t="s">
        <v>6974</v>
      </c>
      <c r="H730" t="s">
        <v>10604</v>
      </c>
      <c r="I730" t="s">
        <v>11384</v>
      </c>
      <c r="J730">
        <v>10301</v>
      </c>
      <c r="K730" t="s">
        <v>11446</v>
      </c>
      <c r="L730" t="s">
        <v>11662</v>
      </c>
      <c r="M730" t="s">
        <v>14744</v>
      </c>
      <c r="N730" t="s">
        <v>14781</v>
      </c>
      <c r="O730" t="s">
        <v>14788</v>
      </c>
      <c r="P730" t="s">
        <v>14797</v>
      </c>
      <c r="Q730" t="s">
        <v>11448</v>
      </c>
      <c r="S730" t="s">
        <v>14827</v>
      </c>
      <c r="T730" t="s">
        <v>14832</v>
      </c>
      <c r="U730" t="s">
        <v>14839</v>
      </c>
      <c r="V730">
        <v>1515</v>
      </c>
      <c r="W730" t="s">
        <v>14862</v>
      </c>
      <c r="X730" t="s">
        <v>14863</v>
      </c>
      <c r="Y730" t="s">
        <v>14887</v>
      </c>
      <c r="Z730" t="s">
        <v>15606</v>
      </c>
      <c r="AB730" t="s">
        <v>20718</v>
      </c>
      <c r="AC730">
        <v>2</v>
      </c>
      <c r="AD730" t="s">
        <v>24600</v>
      </c>
      <c r="AE730" t="s">
        <v>24616</v>
      </c>
      <c r="AF730">
        <v>-1</v>
      </c>
      <c r="AG730">
        <v>1</v>
      </c>
      <c r="AH730">
        <v>2</v>
      </c>
      <c r="AI730">
        <v>44.44</v>
      </c>
      <c r="AL730" t="s">
        <v>5011</v>
      </c>
      <c r="AM730">
        <v>9480</v>
      </c>
      <c r="AO730" t="s">
        <v>24930</v>
      </c>
      <c r="AP730" t="s">
        <v>24942</v>
      </c>
      <c r="AQ730" t="s">
        <v>24986</v>
      </c>
      <c r="AR730" t="s">
        <v>25014</v>
      </c>
      <c r="AS730">
        <v>13.1</v>
      </c>
      <c r="AT730" t="s">
        <v>540</v>
      </c>
      <c r="AU730" t="s">
        <v>25270</v>
      </c>
      <c r="AV730" t="s">
        <v>25335</v>
      </c>
      <c r="AW730" t="s">
        <v>11447</v>
      </c>
    </row>
    <row r="731" spans="1:49">
      <c r="A731" s="1">
        <f>HYPERLINK("https://lsnyc.legalserver.org/matter/dynamic-profile/view/1909025","19-1909025")</f>
        <v>0</v>
      </c>
      <c r="B731" t="s">
        <v>63</v>
      </c>
      <c r="C731" t="s">
        <v>641</v>
      </c>
      <c r="D731" t="s">
        <v>540</v>
      </c>
      <c r="E731" t="s">
        <v>1337</v>
      </c>
      <c r="F731" t="s">
        <v>4069</v>
      </c>
      <c r="G731" t="s">
        <v>6975</v>
      </c>
      <c r="H731">
        <v>1611</v>
      </c>
      <c r="I731" t="s">
        <v>11410</v>
      </c>
      <c r="J731">
        <v>11692</v>
      </c>
      <c r="K731" t="s">
        <v>11446</v>
      </c>
      <c r="M731" t="s">
        <v>14758</v>
      </c>
      <c r="N731" t="s">
        <v>14778</v>
      </c>
      <c r="O731" t="s">
        <v>14786</v>
      </c>
      <c r="P731" t="s">
        <v>14797</v>
      </c>
      <c r="Q731" t="s">
        <v>11448</v>
      </c>
      <c r="S731" t="s">
        <v>14827</v>
      </c>
      <c r="U731" t="s">
        <v>519</v>
      </c>
      <c r="V731">
        <v>1981</v>
      </c>
      <c r="W731" t="s">
        <v>14861</v>
      </c>
      <c r="X731" t="s">
        <v>14868</v>
      </c>
      <c r="Y731" t="s">
        <v>14883</v>
      </c>
      <c r="Z731" t="s">
        <v>15607</v>
      </c>
      <c r="AB731" t="s">
        <v>20719</v>
      </c>
      <c r="AC731">
        <v>209</v>
      </c>
      <c r="AE731" t="s">
        <v>24610</v>
      </c>
      <c r="AF731">
        <v>4</v>
      </c>
      <c r="AG731">
        <v>2</v>
      </c>
      <c r="AH731">
        <v>0</v>
      </c>
      <c r="AI731">
        <v>142.42</v>
      </c>
      <c r="AL731" t="s">
        <v>5011</v>
      </c>
      <c r="AM731">
        <v>24084</v>
      </c>
      <c r="AS731">
        <v>2.95</v>
      </c>
      <c r="AT731" t="s">
        <v>540</v>
      </c>
      <c r="AU731" t="s">
        <v>25227</v>
      </c>
      <c r="AV731" t="s">
        <v>25335</v>
      </c>
      <c r="AW731" t="s">
        <v>11447</v>
      </c>
    </row>
    <row r="732" spans="1:49">
      <c r="A732" s="1">
        <f>HYPERLINK("https://lsnyc.legalserver.org/matter/dynamic-profile/view/1907024","19-1907024")</f>
        <v>0</v>
      </c>
      <c r="B732" t="s">
        <v>183</v>
      </c>
      <c r="C732" t="s">
        <v>626</v>
      </c>
      <c r="D732" t="s">
        <v>540</v>
      </c>
      <c r="E732" t="s">
        <v>1573</v>
      </c>
      <c r="F732" t="s">
        <v>4070</v>
      </c>
      <c r="G732" t="s">
        <v>6976</v>
      </c>
      <c r="H732" t="s">
        <v>10661</v>
      </c>
      <c r="I732" t="s">
        <v>11385</v>
      </c>
      <c r="J732">
        <v>11225</v>
      </c>
      <c r="K732" t="s">
        <v>11448</v>
      </c>
      <c r="L732" t="s">
        <v>11663</v>
      </c>
      <c r="M732" t="s">
        <v>14744</v>
      </c>
      <c r="N732" t="s">
        <v>14778</v>
      </c>
      <c r="O732" t="s">
        <v>14786</v>
      </c>
      <c r="P732" t="s">
        <v>14797</v>
      </c>
      <c r="Q732" t="s">
        <v>11448</v>
      </c>
      <c r="S732" t="s">
        <v>14827</v>
      </c>
      <c r="V732">
        <v>763.14</v>
      </c>
      <c r="W732" t="s">
        <v>14859</v>
      </c>
      <c r="X732" t="s">
        <v>14755</v>
      </c>
      <c r="Y732" t="s">
        <v>14883</v>
      </c>
      <c r="Z732" t="s">
        <v>15608</v>
      </c>
      <c r="AB732" t="s">
        <v>20720</v>
      </c>
      <c r="AC732">
        <v>90</v>
      </c>
      <c r="AD732" t="s">
        <v>24595</v>
      </c>
      <c r="AE732" t="s">
        <v>11459</v>
      </c>
      <c r="AF732">
        <v>7</v>
      </c>
      <c r="AG732">
        <v>2</v>
      </c>
      <c r="AH732">
        <v>1</v>
      </c>
      <c r="AI732">
        <v>213.31</v>
      </c>
      <c r="AL732" t="s">
        <v>5011</v>
      </c>
      <c r="AM732">
        <v>45500</v>
      </c>
      <c r="AN732" t="s">
        <v>24730</v>
      </c>
      <c r="AQ732" t="s">
        <v>24988</v>
      </c>
      <c r="AR732" t="s">
        <v>25011</v>
      </c>
      <c r="AS732">
        <v>0.1</v>
      </c>
      <c r="AT732" t="s">
        <v>540</v>
      </c>
      <c r="AU732" t="s">
        <v>120</v>
      </c>
      <c r="AV732" t="s">
        <v>11459</v>
      </c>
      <c r="AW732" t="s">
        <v>11447</v>
      </c>
    </row>
    <row r="733" spans="1:49">
      <c r="A733" s="1">
        <f>HYPERLINK("https://lsnyc.legalserver.org/matter/dynamic-profile/view/1910291","19-1910291")</f>
        <v>0</v>
      </c>
      <c r="B733" t="s">
        <v>66</v>
      </c>
      <c r="C733" t="s">
        <v>540</v>
      </c>
      <c r="D733" t="s">
        <v>540</v>
      </c>
      <c r="E733" t="s">
        <v>1574</v>
      </c>
      <c r="F733" t="s">
        <v>4071</v>
      </c>
      <c r="G733" t="s">
        <v>6977</v>
      </c>
      <c r="H733" t="s">
        <v>10496</v>
      </c>
      <c r="I733" t="s">
        <v>11385</v>
      </c>
      <c r="J733">
        <v>11208</v>
      </c>
      <c r="K733" t="s">
        <v>11448</v>
      </c>
      <c r="L733" t="s">
        <v>11456</v>
      </c>
      <c r="M733" t="s">
        <v>11601</v>
      </c>
      <c r="N733" t="s">
        <v>14778</v>
      </c>
      <c r="O733" t="s">
        <v>14786</v>
      </c>
      <c r="P733" t="s">
        <v>14797</v>
      </c>
      <c r="Q733" t="s">
        <v>11448</v>
      </c>
      <c r="S733" t="s">
        <v>14827</v>
      </c>
      <c r="T733" t="s">
        <v>14832</v>
      </c>
      <c r="V733">
        <v>1200</v>
      </c>
      <c r="W733" t="s">
        <v>14859</v>
      </c>
      <c r="X733" t="s">
        <v>14872</v>
      </c>
      <c r="Y733" t="s">
        <v>14883</v>
      </c>
      <c r="Z733" t="s">
        <v>15609</v>
      </c>
      <c r="AA733" t="s">
        <v>11465</v>
      </c>
      <c r="AB733" t="s">
        <v>20721</v>
      </c>
      <c r="AC733">
        <v>2</v>
      </c>
      <c r="AD733" t="s">
        <v>24600</v>
      </c>
      <c r="AE733" t="s">
        <v>11459</v>
      </c>
      <c r="AF733">
        <v>5</v>
      </c>
      <c r="AG733">
        <v>2</v>
      </c>
      <c r="AH733">
        <v>0</v>
      </c>
      <c r="AI733">
        <v>395.27</v>
      </c>
      <c r="AL733" t="s">
        <v>5011</v>
      </c>
      <c r="AM733">
        <v>66840</v>
      </c>
      <c r="AS733">
        <v>1</v>
      </c>
      <c r="AT733" t="s">
        <v>540</v>
      </c>
      <c r="AU733" t="s">
        <v>25247</v>
      </c>
      <c r="AV733" t="s">
        <v>11459</v>
      </c>
      <c r="AW733" t="s">
        <v>11447</v>
      </c>
    </row>
    <row r="734" spans="1:49">
      <c r="A734" s="1">
        <f>HYPERLINK("https://lsnyc.legalserver.org/matter/dynamic-profile/view/1906412","19-1906412")</f>
        <v>0</v>
      </c>
      <c r="B734" t="s">
        <v>190</v>
      </c>
      <c r="C734" t="s">
        <v>485</v>
      </c>
      <c r="D734" t="s">
        <v>508</v>
      </c>
      <c r="E734" t="s">
        <v>1575</v>
      </c>
      <c r="F734" t="s">
        <v>4072</v>
      </c>
      <c r="G734" t="s">
        <v>6978</v>
      </c>
      <c r="H734" t="s">
        <v>10707</v>
      </c>
      <c r="I734" t="s">
        <v>11386</v>
      </c>
      <c r="J734">
        <v>10038</v>
      </c>
      <c r="K734" t="s">
        <v>11446</v>
      </c>
      <c r="M734" t="s">
        <v>11601</v>
      </c>
      <c r="N734" t="s">
        <v>14778</v>
      </c>
      <c r="O734" t="s">
        <v>14786</v>
      </c>
      <c r="P734" t="s">
        <v>14797</v>
      </c>
      <c r="Q734" t="s">
        <v>11448</v>
      </c>
      <c r="S734" t="s">
        <v>14827</v>
      </c>
      <c r="U734" t="s">
        <v>485</v>
      </c>
      <c r="V734">
        <v>3200</v>
      </c>
      <c r="W734" t="s">
        <v>14860</v>
      </c>
      <c r="X734" t="s">
        <v>14875</v>
      </c>
      <c r="Y734" t="s">
        <v>14883</v>
      </c>
      <c r="Z734" t="s">
        <v>15610</v>
      </c>
      <c r="AB734" t="s">
        <v>20722</v>
      </c>
      <c r="AC734">
        <v>168</v>
      </c>
      <c r="AD734" t="s">
        <v>24595</v>
      </c>
      <c r="AE734" t="s">
        <v>11459</v>
      </c>
      <c r="AF734">
        <v>1</v>
      </c>
      <c r="AG734">
        <v>1</v>
      </c>
      <c r="AH734">
        <v>0</v>
      </c>
      <c r="AI734">
        <v>0</v>
      </c>
      <c r="AL734" t="s">
        <v>5011</v>
      </c>
      <c r="AM734">
        <v>0</v>
      </c>
      <c r="AS734">
        <v>4.8</v>
      </c>
      <c r="AT734" t="s">
        <v>508</v>
      </c>
      <c r="AU734" t="s">
        <v>137</v>
      </c>
      <c r="AV734" t="s">
        <v>25335</v>
      </c>
      <c r="AW734" t="s">
        <v>11447</v>
      </c>
    </row>
    <row r="735" spans="1:49">
      <c r="A735" s="1">
        <f>HYPERLINK("https://lsnyc.legalserver.org/matter/dynamic-profile/view/1907584","19-1907584")</f>
        <v>0</v>
      </c>
      <c r="B735" t="s">
        <v>190</v>
      </c>
      <c r="C735" t="s">
        <v>630</v>
      </c>
      <c r="D735" t="s">
        <v>508</v>
      </c>
      <c r="E735" t="s">
        <v>1576</v>
      </c>
      <c r="F735" t="s">
        <v>4073</v>
      </c>
      <c r="G735" t="s">
        <v>6979</v>
      </c>
      <c r="H735" t="s">
        <v>10708</v>
      </c>
      <c r="I735" t="s">
        <v>11386</v>
      </c>
      <c r="J735">
        <v>10040</v>
      </c>
      <c r="K735" t="s">
        <v>11446</v>
      </c>
      <c r="M735" t="s">
        <v>14747</v>
      </c>
      <c r="N735" t="s">
        <v>14778</v>
      </c>
      <c r="O735" t="s">
        <v>14786</v>
      </c>
      <c r="P735" t="s">
        <v>14797</v>
      </c>
      <c r="Q735" t="s">
        <v>11448</v>
      </c>
      <c r="S735" t="s">
        <v>14827</v>
      </c>
      <c r="U735" t="s">
        <v>630</v>
      </c>
      <c r="V735">
        <v>1013.38</v>
      </c>
      <c r="W735" t="s">
        <v>14860</v>
      </c>
      <c r="X735" t="s">
        <v>14877</v>
      </c>
      <c r="Y735" t="s">
        <v>14883</v>
      </c>
      <c r="Z735" t="s">
        <v>15611</v>
      </c>
      <c r="AB735" t="s">
        <v>20723</v>
      </c>
      <c r="AC735">
        <v>52</v>
      </c>
      <c r="AD735" t="s">
        <v>24595</v>
      </c>
      <c r="AE735" t="s">
        <v>11459</v>
      </c>
      <c r="AF735">
        <v>5</v>
      </c>
      <c r="AG735">
        <v>1</v>
      </c>
      <c r="AH735">
        <v>0</v>
      </c>
      <c r="AI735">
        <v>0</v>
      </c>
      <c r="AL735" t="s">
        <v>24632</v>
      </c>
      <c r="AM735">
        <v>0</v>
      </c>
      <c r="AS735">
        <v>2.9</v>
      </c>
      <c r="AT735" t="s">
        <v>508</v>
      </c>
      <c r="AU735" t="s">
        <v>137</v>
      </c>
      <c r="AV735" t="s">
        <v>25335</v>
      </c>
      <c r="AW735" t="s">
        <v>11447</v>
      </c>
    </row>
    <row r="736" spans="1:49">
      <c r="A736" s="1">
        <f>HYPERLINK("https://lsnyc.legalserver.org/matter/dynamic-profile/view/1909825","19-1909825")</f>
        <v>0</v>
      </c>
      <c r="B736" t="s">
        <v>190</v>
      </c>
      <c r="C736" t="s">
        <v>504</v>
      </c>
      <c r="D736" t="s">
        <v>508</v>
      </c>
      <c r="E736" t="s">
        <v>1577</v>
      </c>
      <c r="F736" t="s">
        <v>4074</v>
      </c>
      <c r="G736" t="s">
        <v>6980</v>
      </c>
      <c r="I736" t="s">
        <v>11386</v>
      </c>
      <c r="J736">
        <v>10033</v>
      </c>
      <c r="K736" t="s">
        <v>11446</v>
      </c>
      <c r="M736" t="s">
        <v>11601</v>
      </c>
      <c r="N736" t="s">
        <v>14778</v>
      </c>
      <c r="O736" t="s">
        <v>14786</v>
      </c>
      <c r="P736" t="s">
        <v>14797</v>
      </c>
      <c r="Q736" t="s">
        <v>11448</v>
      </c>
      <c r="S736" t="s">
        <v>14827</v>
      </c>
      <c r="U736" t="s">
        <v>504</v>
      </c>
      <c r="V736">
        <v>1069.67</v>
      </c>
      <c r="W736" t="s">
        <v>14860</v>
      </c>
      <c r="X736" t="s">
        <v>14867</v>
      </c>
      <c r="Y736" t="s">
        <v>14883</v>
      </c>
      <c r="Z736" t="s">
        <v>15612</v>
      </c>
      <c r="AB736" t="s">
        <v>20724</v>
      </c>
      <c r="AC736">
        <v>19</v>
      </c>
      <c r="AD736" t="s">
        <v>24595</v>
      </c>
      <c r="AE736" t="s">
        <v>24613</v>
      </c>
      <c r="AF736">
        <v>36</v>
      </c>
      <c r="AG736">
        <v>2</v>
      </c>
      <c r="AH736">
        <v>0</v>
      </c>
      <c r="AI736">
        <v>82.03</v>
      </c>
      <c r="AL736" t="s">
        <v>24632</v>
      </c>
      <c r="AM736">
        <v>13872</v>
      </c>
      <c r="AS736">
        <v>1</v>
      </c>
      <c r="AT736" t="s">
        <v>504</v>
      </c>
      <c r="AU736" t="s">
        <v>137</v>
      </c>
      <c r="AV736" t="s">
        <v>25335</v>
      </c>
      <c r="AW736" t="s">
        <v>11447</v>
      </c>
    </row>
    <row r="737" spans="1:49">
      <c r="A737" s="1">
        <f>HYPERLINK("https://lsnyc.legalserver.org/matter/dynamic-profile/view/1910486","19-1910486")</f>
        <v>0</v>
      </c>
      <c r="B737" t="s">
        <v>105</v>
      </c>
      <c r="C737" t="s">
        <v>508</v>
      </c>
      <c r="D737" t="s">
        <v>508</v>
      </c>
      <c r="E737" t="s">
        <v>1552</v>
      </c>
      <c r="F737" t="s">
        <v>1254</v>
      </c>
      <c r="G737" t="s">
        <v>6981</v>
      </c>
      <c r="H737" t="s">
        <v>10709</v>
      </c>
      <c r="I737" t="s">
        <v>11386</v>
      </c>
      <c r="J737">
        <v>10032</v>
      </c>
      <c r="K737" t="s">
        <v>11446</v>
      </c>
      <c r="M737" t="s">
        <v>11601</v>
      </c>
      <c r="N737" t="s">
        <v>14779</v>
      </c>
      <c r="O737" t="s">
        <v>14787</v>
      </c>
      <c r="P737" t="s">
        <v>14797</v>
      </c>
      <c r="Q737" t="s">
        <v>11448</v>
      </c>
      <c r="S737" t="s">
        <v>14827</v>
      </c>
      <c r="U737" t="s">
        <v>508</v>
      </c>
      <c r="V737">
        <v>1132</v>
      </c>
      <c r="W737" t="s">
        <v>14860</v>
      </c>
      <c r="X737" t="s">
        <v>14868</v>
      </c>
      <c r="Y737" t="s">
        <v>14884</v>
      </c>
      <c r="Z737" t="s">
        <v>15613</v>
      </c>
      <c r="AB737" t="s">
        <v>20725</v>
      </c>
      <c r="AC737">
        <v>14</v>
      </c>
      <c r="AD737" t="s">
        <v>24595</v>
      </c>
      <c r="AE737" t="s">
        <v>24613</v>
      </c>
      <c r="AF737">
        <v>16</v>
      </c>
      <c r="AG737">
        <v>1</v>
      </c>
      <c r="AH737">
        <v>0</v>
      </c>
      <c r="AI737">
        <v>82.43000000000001</v>
      </c>
      <c r="AL737" t="s">
        <v>5011</v>
      </c>
      <c r="AM737">
        <v>10296</v>
      </c>
      <c r="AS737">
        <v>0.1</v>
      </c>
      <c r="AT737" t="s">
        <v>508</v>
      </c>
      <c r="AU737" t="s">
        <v>137</v>
      </c>
      <c r="AV737" t="s">
        <v>25335</v>
      </c>
      <c r="AW737" t="s">
        <v>11447</v>
      </c>
    </row>
    <row r="738" spans="1:49">
      <c r="A738" s="1">
        <f>HYPERLINK("https://lsnyc.legalserver.org/matter/dynamic-profile/view/1909961","19-1909961")</f>
        <v>0</v>
      </c>
      <c r="B738" t="s">
        <v>126</v>
      </c>
      <c r="C738" t="s">
        <v>640</v>
      </c>
      <c r="D738" t="s">
        <v>508</v>
      </c>
      <c r="E738" t="s">
        <v>1578</v>
      </c>
      <c r="F738" t="s">
        <v>4075</v>
      </c>
      <c r="G738" t="s">
        <v>6982</v>
      </c>
      <c r="H738" t="s">
        <v>10581</v>
      </c>
      <c r="I738" t="s">
        <v>11383</v>
      </c>
      <c r="J738">
        <v>10452</v>
      </c>
      <c r="K738" t="s">
        <v>11446</v>
      </c>
      <c r="N738" t="s">
        <v>14778</v>
      </c>
      <c r="O738" t="s">
        <v>14786</v>
      </c>
      <c r="P738" t="s">
        <v>14797</v>
      </c>
      <c r="Q738" t="s">
        <v>11448</v>
      </c>
      <c r="S738" t="s">
        <v>14827</v>
      </c>
      <c r="V738">
        <v>0</v>
      </c>
      <c r="W738" t="s">
        <v>14858</v>
      </c>
      <c r="X738" t="s">
        <v>14864</v>
      </c>
      <c r="Y738" t="s">
        <v>14883</v>
      </c>
      <c r="Z738" t="s">
        <v>15614</v>
      </c>
      <c r="AC738">
        <v>63</v>
      </c>
      <c r="AD738" t="s">
        <v>24595</v>
      </c>
      <c r="AE738" t="s">
        <v>24615</v>
      </c>
      <c r="AF738">
        <v>15</v>
      </c>
      <c r="AG738">
        <v>2</v>
      </c>
      <c r="AH738">
        <v>0</v>
      </c>
      <c r="AI738">
        <v>66.70999999999999</v>
      </c>
      <c r="AL738" t="s">
        <v>24632</v>
      </c>
      <c r="AM738">
        <v>11280</v>
      </c>
      <c r="AS738">
        <v>0.25</v>
      </c>
      <c r="AT738" t="s">
        <v>519</v>
      </c>
      <c r="AU738" t="s">
        <v>237</v>
      </c>
      <c r="AV738" t="s">
        <v>25335</v>
      </c>
      <c r="AW738" t="s">
        <v>11447</v>
      </c>
    </row>
    <row r="739" spans="1:49">
      <c r="A739" s="1">
        <f>HYPERLINK("https://lsnyc.legalserver.org/matter/dynamic-profile/view/1909950","19-1909950")</f>
        <v>0</v>
      </c>
      <c r="B739" t="s">
        <v>126</v>
      </c>
      <c r="C739" t="s">
        <v>640</v>
      </c>
      <c r="D739" t="s">
        <v>508</v>
      </c>
      <c r="E739" t="s">
        <v>1579</v>
      </c>
      <c r="F739" t="s">
        <v>1194</v>
      </c>
      <c r="G739" t="s">
        <v>6983</v>
      </c>
      <c r="H739" t="s">
        <v>10491</v>
      </c>
      <c r="I739" t="s">
        <v>11383</v>
      </c>
      <c r="J739">
        <v>10451</v>
      </c>
      <c r="K739" t="s">
        <v>11446</v>
      </c>
      <c r="N739" t="s">
        <v>14778</v>
      </c>
      <c r="O739" t="s">
        <v>14786</v>
      </c>
      <c r="P739" t="s">
        <v>14797</v>
      </c>
      <c r="S739" t="s">
        <v>14827</v>
      </c>
      <c r="V739">
        <v>1284.38</v>
      </c>
      <c r="W739" t="s">
        <v>14858</v>
      </c>
      <c r="X739" t="s">
        <v>14864</v>
      </c>
      <c r="Y739" t="s">
        <v>14883</v>
      </c>
      <c r="Z739" t="s">
        <v>15615</v>
      </c>
      <c r="AC739">
        <v>81</v>
      </c>
      <c r="AD739" t="s">
        <v>24595</v>
      </c>
      <c r="AE739" t="s">
        <v>24613</v>
      </c>
      <c r="AF739">
        <v>10</v>
      </c>
      <c r="AG739">
        <v>1</v>
      </c>
      <c r="AH739">
        <v>0</v>
      </c>
      <c r="AI739">
        <v>105.68</v>
      </c>
      <c r="AM739">
        <v>13200</v>
      </c>
      <c r="AS739">
        <v>0.5</v>
      </c>
      <c r="AT739" t="s">
        <v>519</v>
      </c>
      <c r="AU739" t="s">
        <v>237</v>
      </c>
      <c r="AV739" t="s">
        <v>25335</v>
      </c>
      <c r="AW739" t="s">
        <v>11447</v>
      </c>
    </row>
    <row r="740" spans="1:49">
      <c r="A740" s="1">
        <f>HYPERLINK("https://lsnyc.legalserver.org/matter/dynamic-profile/view/1909955","19-1909955")</f>
        <v>0</v>
      </c>
      <c r="B740" t="s">
        <v>126</v>
      </c>
      <c r="C740" t="s">
        <v>640</v>
      </c>
      <c r="D740" t="s">
        <v>508</v>
      </c>
      <c r="E740" t="s">
        <v>1580</v>
      </c>
      <c r="F740" t="s">
        <v>1925</v>
      </c>
      <c r="G740" t="s">
        <v>6661</v>
      </c>
      <c r="H740" t="s">
        <v>10575</v>
      </c>
      <c r="I740" t="s">
        <v>11383</v>
      </c>
      <c r="J740">
        <v>10457</v>
      </c>
      <c r="K740" t="s">
        <v>11446</v>
      </c>
      <c r="N740" t="s">
        <v>14778</v>
      </c>
      <c r="O740" t="s">
        <v>14786</v>
      </c>
      <c r="P740" t="s">
        <v>14797</v>
      </c>
      <c r="S740" t="s">
        <v>14827</v>
      </c>
      <c r="V740">
        <v>964</v>
      </c>
      <c r="W740" t="s">
        <v>14858</v>
      </c>
      <c r="X740" t="s">
        <v>14864</v>
      </c>
      <c r="Y740" t="s">
        <v>14883</v>
      </c>
      <c r="Z740" t="s">
        <v>15616</v>
      </c>
      <c r="AB740" t="s">
        <v>20726</v>
      </c>
      <c r="AC740">
        <v>36</v>
      </c>
      <c r="AD740" t="s">
        <v>24595</v>
      </c>
      <c r="AE740" t="s">
        <v>11459</v>
      </c>
      <c r="AF740">
        <v>2</v>
      </c>
      <c r="AG740">
        <v>2</v>
      </c>
      <c r="AH740">
        <v>0</v>
      </c>
      <c r="AI740">
        <v>206.98</v>
      </c>
      <c r="AL740" t="s">
        <v>24632</v>
      </c>
      <c r="AM740">
        <v>35000</v>
      </c>
      <c r="AS740">
        <v>0.1</v>
      </c>
      <c r="AT740" t="s">
        <v>508</v>
      </c>
      <c r="AU740" t="s">
        <v>237</v>
      </c>
      <c r="AV740" t="s">
        <v>25335</v>
      </c>
      <c r="AW740" t="s">
        <v>11447</v>
      </c>
    </row>
    <row r="741" spans="1:49">
      <c r="A741" s="1">
        <f>HYPERLINK("https://lsnyc.legalserver.org/matter/dynamic-profile/view/1906488","19-1906488")</f>
        <v>0</v>
      </c>
      <c r="B741" t="s">
        <v>59</v>
      </c>
      <c r="C741" t="s">
        <v>380</v>
      </c>
      <c r="D741" t="s">
        <v>602</v>
      </c>
      <c r="E741" t="s">
        <v>1581</v>
      </c>
      <c r="F741" t="s">
        <v>4076</v>
      </c>
      <c r="G741" t="s">
        <v>6984</v>
      </c>
      <c r="H741" t="s">
        <v>10710</v>
      </c>
      <c r="I741" t="s">
        <v>11389</v>
      </c>
      <c r="J741">
        <v>11355</v>
      </c>
      <c r="K741" t="s">
        <v>11446</v>
      </c>
      <c r="L741" t="s">
        <v>11465</v>
      </c>
      <c r="M741" t="s">
        <v>11601</v>
      </c>
      <c r="N741" t="s">
        <v>14779</v>
      </c>
      <c r="O741" t="s">
        <v>14787</v>
      </c>
      <c r="P741" t="s">
        <v>14797</v>
      </c>
      <c r="Q741" t="s">
        <v>11448</v>
      </c>
      <c r="S741" t="s">
        <v>14827</v>
      </c>
      <c r="T741" t="s">
        <v>14832</v>
      </c>
      <c r="U741" t="s">
        <v>380</v>
      </c>
      <c r="V741">
        <v>1750</v>
      </c>
      <c r="W741" t="s">
        <v>14861</v>
      </c>
      <c r="X741" t="s">
        <v>14877</v>
      </c>
      <c r="Y741" t="s">
        <v>14884</v>
      </c>
      <c r="Z741" t="s">
        <v>15617</v>
      </c>
      <c r="AA741" t="s">
        <v>11459</v>
      </c>
      <c r="AB741" t="s">
        <v>20727</v>
      </c>
      <c r="AC741">
        <v>146</v>
      </c>
      <c r="AD741" t="s">
        <v>24595</v>
      </c>
      <c r="AE741" t="s">
        <v>11459</v>
      </c>
      <c r="AF741">
        <v>4</v>
      </c>
      <c r="AG741">
        <v>2</v>
      </c>
      <c r="AH741">
        <v>1</v>
      </c>
      <c r="AI741">
        <v>93.76000000000001</v>
      </c>
      <c r="AL741" t="s">
        <v>24634</v>
      </c>
      <c r="AM741">
        <v>20000</v>
      </c>
      <c r="AP741" t="s">
        <v>14755</v>
      </c>
      <c r="AR741" t="s">
        <v>25015</v>
      </c>
      <c r="AS741">
        <v>3.85</v>
      </c>
      <c r="AT741" t="s">
        <v>540</v>
      </c>
      <c r="AU741" t="s">
        <v>25255</v>
      </c>
      <c r="AV741" t="s">
        <v>25335</v>
      </c>
      <c r="AW741" t="s">
        <v>11447</v>
      </c>
    </row>
    <row r="742" spans="1:49">
      <c r="A742" s="1">
        <f>HYPERLINK("https://lsnyc.legalserver.org/matter/dynamic-profile/view/1908599","19-1908599")</f>
        <v>0</v>
      </c>
      <c r="B742" t="s">
        <v>56</v>
      </c>
      <c r="C742" t="s">
        <v>497</v>
      </c>
      <c r="D742" t="s">
        <v>602</v>
      </c>
      <c r="E742" t="s">
        <v>1582</v>
      </c>
      <c r="F742" t="s">
        <v>1940</v>
      </c>
      <c r="G742" t="s">
        <v>6985</v>
      </c>
      <c r="H742" t="s">
        <v>10485</v>
      </c>
      <c r="I742" t="s">
        <v>11385</v>
      </c>
      <c r="J742">
        <v>11233</v>
      </c>
      <c r="K742" t="s">
        <v>11446</v>
      </c>
      <c r="L742" t="s">
        <v>11664</v>
      </c>
      <c r="M742" t="s">
        <v>14744</v>
      </c>
      <c r="N742" t="s">
        <v>14778</v>
      </c>
      <c r="O742" t="s">
        <v>14786</v>
      </c>
      <c r="P742" t="s">
        <v>14797</v>
      </c>
      <c r="Q742" t="s">
        <v>11448</v>
      </c>
      <c r="S742" t="s">
        <v>14827</v>
      </c>
      <c r="T742" t="s">
        <v>14832</v>
      </c>
      <c r="U742" t="s">
        <v>497</v>
      </c>
      <c r="V742">
        <v>827.8200000000001</v>
      </c>
      <c r="W742" t="s">
        <v>14859</v>
      </c>
      <c r="X742" t="s">
        <v>14868</v>
      </c>
      <c r="Y742" t="s">
        <v>14883</v>
      </c>
      <c r="Z742" t="s">
        <v>15618</v>
      </c>
      <c r="AA742">
        <v>32751364</v>
      </c>
      <c r="AB742" t="s">
        <v>20728</v>
      </c>
      <c r="AC742">
        <v>359</v>
      </c>
      <c r="AD742" t="s">
        <v>24595</v>
      </c>
      <c r="AE742" t="s">
        <v>24614</v>
      </c>
      <c r="AF742">
        <v>24</v>
      </c>
      <c r="AG742">
        <v>2</v>
      </c>
      <c r="AH742">
        <v>0</v>
      </c>
      <c r="AI742">
        <v>97.98</v>
      </c>
      <c r="AL742" t="s">
        <v>5011</v>
      </c>
      <c r="AM742">
        <v>16568.3</v>
      </c>
      <c r="AS742">
        <v>1.4</v>
      </c>
      <c r="AT742" t="s">
        <v>589</v>
      </c>
      <c r="AU742" t="s">
        <v>66</v>
      </c>
      <c r="AV742" t="s">
        <v>25335</v>
      </c>
      <c r="AW742" t="s">
        <v>11447</v>
      </c>
    </row>
    <row r="743" spans="1:49">
      <c r="A743" s="1">
        <f>HYPERLINK("https://lsnyc.legalserver.org/matter/dynamic-profile/view/1879578","18-1879578")</f>
        <v>0</v>
      </c>
      <c r="B743" t="s">
        <v>195</v>
      </c>
      <c r="C743" t="s">
        <v>642</v>
      </c>
      <c r="D743" t="s">
        <v>602</v>
      </c>
      <c r="E743" t="s">
        <v>1583</v>
      </c>
      <c r="F743" t="s">
        <v>1925</v>
      </c>
      <c r="G743" t="s">
        <v>6986</v>
      </c>
      <c r="H743" t="s">
        <v>10448</v>
      </c>
      <c r="I743" t="s">
        <v>11386</v>
      </c>
      <c r="J743">
        <v>10009</v>
      </c>
      <c r="K743" t="s">
        <v>11446</v>
      </c>
      <c r="M743" t="s">
        <v>11601</v>
      </c>
      <c r="N743" t="s">
        <v>14778</v>
      </c>
      <c r="O743" t="s">
        <v>14786</v>
      </c>
      <c r="P743" t="s">
        <v>14797</v>
      </c>
      <c r="Q743" t="s">
        <v>11448</v>
      </c>
      <c r="S743" t="s">
        <v>14830</v>
      </c>
      <c r="U743" t="s">
        <v>604</v>
      </c>
      <c r="V743">
        <v>2264</v>
      </c>
      <c r="W743" t="s">
        <v>14860</v>
      </c>
      <c r="Y743" t="s">
        <v>14883</v>
      </c>
      <c r="Z743" t="s">
        <v>15619</v>
      </c>
      <c r="AC743">
        <v>0</v>
      </c>
      <c r="AF743">
        <v>18</v>
      </c>
      <c r="AG743">
        <v>4</v>
      </c>
      <c r="AH743">
        <v>0</v>
      </c>
      <c r="AI743">
        <v>192.67</v>
      </c>
      <c r="AL743" t="s">
        <v>24632</v>
      </c>
      <c r="AM743">
        <v>48360</v>
      </c>
      <c r="AS743">
        <v>4.75</v>
      </c>
      <c r="AT743" t="s">
        <v>508</v>
      </c>
      <c r="AU743" t="s">
        <v>25278</v>
      </c>
      <c r="AV743" t="s">
        <v>25335</v>
      </c>
      <c r="AW743" t="s">
        <v>11447</v>
      </c>
    </row>
    <row r="744" spans="1:49">
      <c r="A744" s="1">
        <f>HYPERLINK("https://lsnyc.legalserver.org/matter/dynamic-profile/view/1904293","19-1904293")</f>
        <v>0</v>
      </c>
      <c r="B744" t="s">
        <v>59</v>
      </c>
      <c r="C744" t="s">
        <v>332</v>
      </c>
      <c r="D744" t="s">
        <v>602</v>
      </c>
      <c r="E744" t="s">
        <v>1070</v>
      </c>
      <c r="F744" t="s">
        <v>4077</v>
      </c>
      <c r="G744" t="s">
        <v>6987</v>
      </c>
      <c r="H744" t="s">
        <v>10711</v>
      </c>
      <c r="I744" t="s">
        <v>11410</v>
      </c>
      <c r="J744">
        <v>11692</v>
      </c>
      <c r="K744" t="s">
        <v>11448</v>
      </c>
      <c r="L744" t="s">
        <v>11456</v>
      </c>
      <c r="M744" t="s">
        <v>11601</v>
      </c>
      <c r="N744" t="s">
        <v>14778</v>
      </c>
      <c r="O744" t="s">
        <v>14786</v>
      </c>
      <c r="P744" t="s">
        <v>14797</v>
      </c>
      <c r="Q744" t="s">
        <v>11448</v>
      </c>
      <c r="S744" t="s">
        <v>14827</v>
      </c>
      <c r="T744" t="s">
        <v>14832</v>
      </c>
      <c r="V744">
        <v>1850</v>
      </c>
      <c r="W744" t="s">
        <v>14861</v>
      </c>
      <c r="X744" t="s">
        <v>14869</v>
      </c>
      <c r="Y744" t="s">
        <v>14883</v>
      </c>
      <c r="Z744" t="s">
        <v>15620</v>
      </c>
      <c r="AA744" t="s">
        <v>11459</v>
      </c>
      <c r="AB744" t="s">
        <v>20729</v>
      </c>
      <c r="AC744">
        <v>2</v>
      </c>
      <c r="AD744" t="s">
        <v>24598</v>
      </c>
      <c r="AE744" t="s">
        <v>11459</v>
      </c>
      <c r="AF744">
        <v>-1</v>
      </c>
      <c r="AG744">
        <v>1</v>
      </c>
      <c r="AH744">
        <v>0</v>
      </c>
      <c r="AI744">
        <v>86.47</v>
      </c>
      <c r="AL744" t="s">
        <v>5011</v>
      </c>
      <c r="AM744">
        <v>10800</v>
      </c>
      <c r="AP744" t="s">
        <v>14755</v>
      </c>
      <c r="AR744" t="s">
        <v>25016</v>
      </c>
      <c r="AS744">
        <v>2.85</v>
      </c>
      <c r="AT744" t="s">
        <v>508</v>
      </c>
      <c r="AU744" t="s">
        <v>25238</v>
      </c>
      <c r="AV744" t="s">
        <v>11459</v>
      </c>
      <c r="AW744" t="s">
        <v>11447</v>
      </c>
    </row>
    <row r="745" spans="1:49">
      <c r="A745" s="1">
        <f>HYPERLINK("https://lsnyc.legalserver.org/matter/dynamic-profile/view/1903861","19-1903861")</f>
        <v>0</v>
      </c>
      <c r="B745" t="s">
        <v>59</v>
      </c>
      <c r="C745" t="s">
        <v>378</v>
      </c>
      <c r="D745" t="s">
        <v>602</v>
      </c>
      <c r="E745" t="s">
        <v>1117</v>
      </c>
      <c r="F745" t="s">
        <v>3950</v>
      </c>
      <c r="G745" t="s">
        <v>6988</v>
      </c>
      <c r="I745" t="s">
        <v>11391</v>
      </c>
      <c r="J745">
        <v>11691</v>
      </c>
      <c r="K745" t="s">
        <v>11446</v>
      </c>
      <c r="L745" t="s">
        <v>11474</v>
      </c>
      <c r="M745" t="s">
        <v>14743</v>
      </c>
      <c r="N745" t="s">
        <v>14778</v>
      </c>
      <c r="O745" t="s">
        <v>14786</v>
      </c>
      <c r="P745" t="s">
        <v>14797</v>
      </c>
      <c r="Q745" t="s">
        <v>11448</v>
      </c>
      <c r="S745" t="s">
        <v>14827</v>
      </c>
      <c r="T745" t="s">
        <v>14832</v>
      </c>
      <c r="V745">
        <v>1300</v>
      </c>
      <c r="W745" t="s">
        <v>14861</v>
      </c>
      <c r="X745" t="s">
        <v>14867</v>
      </c>
      <c r="Y745" t="s">
        <v>14883</v>
      </c>
      <c r="Z745" t="s">
        <v>15621</v>
      </c>
      <c r="AA745" t="s">
        <v>11459</v>
      </c>
      <c r="AB745" t="s">
        <v>19344</v>
      </c>
      <c r="AC745">
        <v>2</v>
      </c>
      <c r="AD745" t="s">
        <v>24600</v>
      </c>
      <c r="AE745" t="s">
        <v>11459</v>
      </c>
      <c r="AF745">
        <v>-1</v>
      </c>
      <c r="AG745">
        <v>1</v>
      </c>
      <c r="AH745">
        <v>1</v>
      </c>
      <c r="AI745">
        <v>206.98</v>
      </c>
      <c r="AL745" t="s">
        <v>5011</v>
      </c>
      <c r="AM745">
        <v>35000</v>
      </c>
      <c r="AP745" t="s">
        <v>14755</v>
      </c>
      <c r="AR745" t="s">
        <v>25015</v>
      </c>
      <c r="AS745">
        <v>3.35</v>
      </c>
      <c r="AT745" t="s">
        <v>540</v>
      </c>
      <c r="AU745" t="s">
        <v>25225</v>
      </c>
      <c r="AV745" t="s">
        <v>25335</v>
      </c>
      <c r="AW745" t="s">
        <v>11447</v>
      </c>
    </row>
    <row r="746" spans="1:49">
      <c r="A746" s="1">
        <f>HYPERLINK("https://lsnyc.legalserver.org/matter/dynamic-profile/view/1903879","19-1903879")</f>
        <v>0</v>
      </c>
      <c r="B746" t="s">
        <v>177</v>
      </c>
      <c r="C746" t="s">
        <v>378</v>
      </c>
      <c r="D746" t="s">
        <v>644</v>
      </c>
      <c r="E746" t="s">
        <v>1584</v>
      </c>
      <c r="F746" t="s">
        <v>2583</v>
      </c>
      <c r="G746" t="s">
        <v>6989</v>
      </c>
      <c r="H746" t="s">
        <v>10712</v>
      </c>
      <c r="I746" t="s">
        <v>11385</v>
      </c>
      <c r="J746">
        <v>11210</v>
      </c>
      <c r="K746" t="s">
        <v>11446</v>
      </c>
      <c r="M746" t="s">
        <v>14745</v>
      </c>
      <c r="N746" t="s">
        <v>14779</v>
      </c>
      <c r="O746" t="s">
        <v>14787</v>
      </c>
      <c r="P746" t="s">
        <v>14797</v>
      </c>
      <c r="Q746" t="s">
        <v>11448</v>
      </c>
      <c r="S746" t="s">
        <v>14827</v>
      </c>
      <c r="U746" t="s">
        <v>378</v>
      </c>
      <c r="V746">
        <v>0</v>
      </c>
      <c r="W746" t="s">
        <v>14859</v>
      </c>
      <c r="Y746" t="s">
        <v>14884</v>
      </c>
      <c r="Z746" t="s">
        <v>15622</v>
      </c>
      <c r="AC746">
        <v>38</v>
      </c>
      <c r="AF746">
        <v>0</v>
      </c>
      <c r="AG746">
        <v>5</v>
      </c>
      <c r="AH746">
        <v>0</v>
      </c>
      <c r="AI746">
        <v>195.56</v>
      </c>
      <c r="AL746" t="s">
        <v>5011</v>
      </c>
      <c r="AM746">
        <v>59000</v>
      </c>
      <c r="AS746">
        <v>7.6</v>
      </c>
      <c r="AT746" t="s">
        <v>644</v>
      </c>
      <c r="AU746" t="s">
        <v>177</v>
      </c>
      <c r="AV746" t="s">
        <v>25335</v>
      </c>
      <c r="AW746" t="s">
        <v>11447</v>
      </c>
    </row>
    <row r="747" spans="1:49">
      <c r="A747" s="1">
        <f>HYPERLINK("https://lsnyc.legalserver.org/matter/dynamic-profile/view/1905950","19-1905950")</f>
        <v>0</v>
      </c>
      <c r="B747" t="s">
        <v>188</v>
      </c>
      <c r="C747" t="s">
        <v>461</v>
      </c>
      <c r="D747" t="s">
        <v>663</v>
      </c>
      <c r="E747" t="s">
        <v>1585</v>
      </c>
      <c r="F747" t="s">
        <v>4078</v>
      </c>
      <c r="G747" t="s">
        <v>6990</v>
      </c>
      <c r="H747" t="s">
        <v>10450</v>
      </c>
      <c r="I747" t="s">
        <v>11386</v>
      </c>
      <c r="J747">
        <v>10035</v>
      </c>
      <c r="K747" t="s">
        <v>11446</v>
      </c>
      <c r="L747" t="s">
        <v>11665</v>
      </c>
      <c r="M747" t="s">
        <v>14744</v>
      </c>
      <c r="N747" t="s">
        <v>14778</v>
      </c>
      <c r="O747" t="s">
        <v>14786</v>
      </c>
      <c r="P747" t="s">
        <v>14797</v>
      </c>
      <c r="Q747" t="s">
        <v>11448</v>
      </c>
      <c r="S747" t="s">
        <v>14827</v>
      </c>
      <c r="T747" t="s">
        <v>14834</v>
      </c>
      <c r="U747" t="s">
        <v>461</v>
      </c>
      <c r="V747">
        <v>1587</v>
      </c>
      <c r="W747" t="s">
        <v>14860</v>
      </c>
      <c r="X747" t="s">
        <v>14863</v>
      </c>
      <c r="Y747" t="s">
        <v>14883</v>
      </c>
      <c r="Z747" t="s">
        <v>15623</v>
      </c>
      <c r="AA747" t="s">
        <v>19365</v>
      </c>
      <c r="AB747" t="s">
        <v>20730</v>
      </c>
      <c r="AC747">
        <v>24</v>
      </c>
      <c r="AD747" t="s">
        <v>24596</v>
      </c>
      <c r="AE747" t="s">
        <v>11459</v>
      </c>
      <c r="AF747">
        <v>5</v>
      </c>
      <c r="AG747">
        <v>1</v>
      </c>
      <c r="AH747">
        <v>0</v>
      </c>
      <c r="AI747">
        <v>83.39</v>
      </c>
      <c r="AL747" t="s">
        <v>5011</v>
      </c>
      <c r="AM747">
        <v>10416</v>
      </c>
      <c r="AS747">
        <v>0.1</v>
      </c>
      <c r="AT747" t="s">
        <v>461</v>
      </c>
      <c r="AU747" t="s">
        <v>153</v>
      </c>
      <c r="AV747" t="s">
        <v>25334</v>
      </c>
      <c r="AW747" t="s">
        <v>11447</v>
      </c>
    </row>
    <row r="748" spans="1:49">
      <c r="A748" s="1">
        <f>HYPERLINK("https://lsnyc.legalserver.org/matter/dynamic-profile/view/1905933","19-1905933")</f>
        <v>0</v>
      </c>
      <c r="B748" t="s">
        <v>188</v>
      </c>
      <c r="C748" t="s">
        <v>461</v>
      </c>
      <c r="D748" t="s">
        <v>663</v>
      </c>
      <c r="E748" t="s">
        <v>1586</v>
      </c>
      <c r="F748" t="s">
        <v>4079</v>
      </c>
      <c r="G748" t="s">
        <v>6991</v>
      </c>
      <c r="H748" t="s">
        <v>10450</v>
      </c>
      <c r="I748" t="s">
        <v>11386</v>
      </c>
      <c r="J748">
        <v>10035</v>
      </c>
      <c r="K748" t="s">
        <v>11446</v>
      </c>
      <c r="L748" t="s">
        <v>11666</v>
      </c>
      <c r="M748" t="s">
        <v>14743</v>
      </c>
      <c r="N748" t="s">
        <v>14778</v>
      </c>
      <c r="O748" t="s">
        <v>14786</v>
      </c>
      <c r="P748" t="s">
        <v>14797</v>
      </c>
      <c r="Q748" t="s">
        <v>11448</v>
      </c>
      <c r="S748" t="s">
        <v>14827</v>
      </c>
      <c r="U748" t="s">
        <v>461</v>
      </c>
      <c r="V748">
        <v>1139.4</v>
      </c>
      <c r="W748" t="s">
        <v>14860</v>
      </c>
      <c r="X748" t="s">
        <v>14864</v>
      </c>
      <c r="Y748" t="s">
        <v>14883</v>
      </c>
      <c r="Z748" t="s">
        <v>15624</v>
      </c>
      <c r="AB748" t="s">
        <v>20731</v>
      </c>
      <c r="AC748">
        <v>13</v>
      </c>
      <c r="AD748" t="s">
        <v>24595</v>
      </c>
      <c r="AE748" t="s">
        <v>11459</v>
      </c>
      <c r="AF748">
        <v>10</v>
      </c>
      <c r="AG748">
        <v>2</v>
      </c>
      <c r="AH748">
        <v>1</v>
      </c>
      <c r="AI748">
        <v>131.65</v>
      </c>
      <c r="AL748" t="s">
        <v>24632</v>
      </c>
      <c r="AM748">
        <v>28080</v>
      </c>
      <c r="AS748">
        <v>0.1</v>
      </c>
      <c r="AT748" t="s">
        <v>461</v>
      </c>
      <c r="AU748" t="s">
        <v>25276</v>
      </c>
      <c r="AV748" t="s">
        <v>25335</v>
      </c>
      <c r="AW748" t="s">
        <v>11447</v>
      </c>
    </row>
    <row r="749" spans="1:49">
      <c r="A749" s="1">
        <f>HYPERLINK("https://lsnyc.legalserver.org/matter/dynamic-profile/view/1905964","19-1905964")</f>
        <v>0</v>
      </c>
      <c r="B749" t="s">
        <v>188</v>
      </c>
      <c r="C749" t="s">
        <v>461</v>
      </c>
      <c r="D749" t="s">
        <v>663</v>
      </c>
      <c r="E749" t="s">
        <v>1081</v>
      </c>
      <c r="F749" t="s">
        <v>4080</v>
      </c>
      <c r="G749" t="s">
        <v>6992</v>
      </c>
      <c r="H749" t="s">
        <v>10450</v>
      </c>
      <c r="I749" t="s">
        <v>11386</v>
      </c>
      <c r="J749">
        <v>10030</v>
      </c>
      <c r="K749" t="s">
        <v>11446</v>
      </c>
      <c r="L749" t="s">
        <v>11667</v>
      </c>
      <c r="M749" t="s">
        <v>14743</v>
      </c>
      <c r="N749" t="s">
        <v>14778</v>
      </c>
      <c r="O749" t="s">
        <v>14786</v>
      </c>
      <c r="P749" t="s">
        <v>14797</v>
      </c>
      <c r="Q749" t="s">
        <v>11448</v>
      </c>
      <c r="S749" t="s">
        <v>14827</v>
      </c>
      <c r="U749" t="s">
        <v>461</v>
      </c>
      <c r="V749">
        <v>1130</v>
      </c>
      <c r="W749" t="s">
        <v>14860</v>
      </c>
      <c r="X749" t="s">
        <v>14864</v>
      </c>
      <c r="Y749" t="s">
        <v>14883</v>
      </c>
      <c r="Z749" t="s">
        <v>15625</v>
      </c>
      <c r="AB749" t="s">
        <v>20732</v>
      </c>
      <c r="AC749">
        <v>17</v>
      </c>
      <c r="AD749" t="s">
        <v>24595</v>
      </c>
      <c r="AE749" t="s">
        <v>11459</v>
      </c>
      <c r="AF749">
        <v>10</v>
      </c>
      <c r="AG749">
        <v>1</v>
      </c>
      <c r="AH749">
        <v>0</v>
      </c>
      <c r="AI749">
        <v>192.15</v>
      </c>
      <c r="AL749" t="s">
        <v>5011</v>
      </c>
      <c r="AM749">
        <v>24000</v>
      </c>
      <c r="AS749">
        <v>0.1</v>
      </c>
      <c r="AT749" t="s">
        <v>461</v>
      </c>
      <c r="AU749" t="s">
        <v>25276</v>
      </c>
      <c r="AV749" t="s">
        <v>25335</v>
      </c>
      <c r="AW749" t="s">
        <v>11447</v>
      </c>
    </row>
    <row r="750" spans="1:49">
      <c r="A750" s="1">
        <f>HYPERLINK("https://lsnyc.legalserver.org/matter/dynamic-profile/view/1906390","19-1906390")</f>
        <v>0</v>
      </c>
      <c r="B750" t="s">
        <v>188</v>
      </c>
      <c r="C750" t="s">
        <v>485</v>
      </c>
      <c r="D750" t="s">
        <v>663</v>
      </c>
      <c r="E750" t="s">
        <v>1587</v>
      </c>
      <c r="F750" t="s">
        <v>3547</v>
      </c>
      <c r="G750" t="s">
        <v>6993</v>
      </c>
      <c r="H750" t="s">
        <v>10713</v>
      </c>
      <c r="I750" t="s">
        <v>11386</v>
      </c>
      <c r="J750">
        <v>10009</v>
      </c>
      <c r="K750" t="s">
        <v>11446</v>
      </c>
      <c r="M750" t="s">
        <v>11601</v>
      </c>
      <c r="N750" t="s">
        <v>14778</v>
      </c>
      <c r="O750" t="s">
        <v>14786</v>
      </c>
      <c r="P750" t="s">
        <v>14797</v>
      </c>
      <c r="Q750" t="s">
        <v>11448</v>
      </c>
      <c r="S750" t="s">
        <v>14830</v>
      </c>
      <c r="U750" t="s">
        <v>485</v>
      </c>
      <c r="V750">
        <v>400</v>
      </c>
      <c r="W750" t="s">
        <v>14860</v>
      </c>
      <c r="X750" t="s">
        <v>14871</v>
      </c>
      <c r="Y750" t="s">
        <v>14883</v>
      </c>
      <c r="Z750" t="s">
        <v>15626</v>
      </c>
      <c r="AB750" t="s">
        <v>20733</v>
      </c>
      <c r="AC750">
        <v>176</v>
      </c>
      <c r="AD750" t="s">
        <v>24596</v>
      </c>
      <c r="AE750" t="s">
        <v>11459</v>
      </c>
      <c r="AF750">
        <v>41</v>
      </c>
      <c r="AG750">
        <v>1</v>
      </c>
      <c r="AH750">
        <v>1</v>
      </c>
      <c r="AI750">
        <v>56.27</v>
      </c>
      <c r="AL750" t="s">
        <v>24632</v>
      </c>
      <c r="AM750">
        <v>9516</v>
      </c>
      <c r="AS750">
        <v>1</v>
      </c>
      <c r="AT750" t="s">
        <v>644</v>
      </c>
      <c r="AU750" t="s">
        <v>25279</v>
      </c>
      <c r="AV750" t="s">
        <v>25335</v>
      </c>
      <c r="AW750" t="s">
        <v>11447</v>
      </c>
    </row>
    <row r="751" spans="1:49">
      <c r="A751" s="1">
        <f>HYPERLINK("https://lsnyc.legalserver.org/matter/dynamic-profile/view/1906841","19-1906841")</f>
        <v>0</v>
      </c>
      <c r="B751" t="s">
        <v>188</v>
      </c>
      <c r="C751" t="s">
        <v>564</v>
      </c>
      <c r="D751" t="s">
        <v>663</v>
      </c>
      <c r="E751" t="s">
        <v>1588</v>
      </c>
      <c r="F751" t="s">
        <v>4081</v>
      </c>
      <c r="G751" t="s">
        <v>6994</v>
      </c>
      <c r="H751" t="s">
        <v>10448</v>
      </c>
      <c r="I751" t="s">
        <v>11386</v>
      </c>
      <c r="J751">
        <v>10039</v>
      </c>
      <c r="K751" t="s">
        <v>11446</v>
      </c>
      <c r="L751" t="s">
        <v>11668</v>
      </c>
      <c r="M751" t="s">
        <v>14743</v>
      </c>
      <c r="N751" t="s">
        <v>14778</v>
      </c>
      <c r="O751" t="s">
        <v>14786</v>
      </c>
      <c r="P751" t="s">
        <v>14797</v>
      </c>
      <c r="Q751" t="s">
        <v>11448</v>
      </c>
      <c r="S751" t="s">
        <v>14827</v>
      </c>
      <c r="U751" t="s">
        <v>564</v>
      </c>
      <c r="V751">
        <v>500.88</v>
      </c>
      <c r="W751" t="s">
        <v>14860</v>
      </c>
      <c r="X751" t="s">
        <v>14865</v>
      </c>
      <c r="Y751" t="s">
        <v>14883</v>
      </c>
      <c r="Z751" t="s">
        <v>15627</v>
      </c>
      <c r="AA751" t="s">
        <v>19366</v>
      </c>
      <c r="AB751" t="s">
        <v>20734</v>
      </c>
      <c r="AC751">
        <v>10</v>
      </c>
      <c r="AD751" t="s">
        <v>24595</v>
      </c>
      <c r="AE751" t="s">
        <v>11459</v>
      </c>
      <c r="AF751">
        <v>2</v>
      </c>
      <c r="AG751">
        <v>1</v>
      </c>
      <c r="AH751">
        <v>0</v>
      </c>
      <c r="AI751">
        <v>87.53</v>
      </c>
      <c r="AL751" t="s">
        <v>5011</v>
      </c>
      <c r="AM751">
        <v>10932</v>
      </c>
      <c r="AS751">
        <v>0</v>
      </c>
      <c r="AT751" t="s">
        <v>644</v>
      </c>
      <c r="AU751" t="s">
        <v>25276</v>
      </c>
      <c r="AV751" t="s">
        <v>25334</v>
      </c>
      <c r="AW751" t="s">
        <v>11447</v>
      </c>
    </row>
    <row r="752" spans="1:49">
      <c r="A752" s="1">
        <f>HYPERLINK("https://lsnyc.legalserver.org/matter/dynamic-profile/view/1903631","19-1903631")</f>
        <v>0</v>
      </c>
      <c r="B752" t="s">
        <v>188</v>
      </c>
      <c r="C752" t="s">
        <v>522</v>
      </c>
      <c r="D752" t="s">
        <v>663</v>
      </c>
      <c r="E752" t="s">
        <v>1589</v>
      </c>
      <c r="F752" t="s">
        <v>3770</v>
      </c>
      <c r="G752" t="s">
        <v>6995</v>
      </c>
      <c r="H752" t="s">
        <v>10534</v>
      </c>
      <c r="I752" t="s">
        <v>11386</v>
      </c>
      <c r="J752">
        <v>10021</v>
      </c>
      <c r="K752" t="s">
        <v>11446</v>
      </c>
      <c r="L752" t="s">
        <v>11669</v>
      </c>
      <c r="M752" t="s">
        <v>14744</v>
      </c>
      <c r="N752" t="s">
        <v>14778</v>
      </c>
      <c r="O752" t="s">
        <v>14786</v>
      </c>
      <c r="P752" t="s">
        <v>14797</v>
      </c>
      <c r="Q752" t="s">
        <v>11448</v>
      </c>
      <c r="S752" t="s">
        <v>14827</v>
      </c>
      <c r="U752" t="s">
        <v>663</v>
      </c>
      <c r="V752">
        <v>830.13</v>
      </c>
      <c r="W752" t="s">
        <v>14860</v>
      </c>
      <c r="X752" t="s">
        <v>14864</v>
      </c>
      <c r="Y752" t="s">
        <v>14883</v>
      </c>
      <c r="Z752" t="s">
        <v>15628</v>
      </c>
      <c r="AB752" t="s">
        <v>20735</v>
      </c>
      <c r="AC752">
        <v>20</v>
      </c>
      <c r="AD752" t="s">
        <v>24595</v>
      </c>
      <c r="AF752">
        <v>43</v>
      </c>
      <c r="AG752">
        <v>1</v>
      </c>
      <c r="AH752">
        <v>0</v>
      </c>
      <c r="AI752">
        <v>158.33</v>
      </c>
      <c r="AL752" t="s">
        <v>5011</v>
      </c>
      <c r="AM752">
        <v>19776</v>
      </c>
      <c r="AS752">
        <v>0.8</v>
      </c>
      <c r="AT752" t="s">
        <v>508</v>
      </c>
      <c r="AU752" t="s">
        <v>25278</v>
      </c>
      <c r="AV752" t="s">
        <v>25335</v>
      </c>
      <c r="AW752" t="s">
        <v>11447</v>
      </c>
    </row>
    <row r="753" spans="1:49">
      <c r="A753" s="1">
        <f>HYPERLINK("https://lsnyc.legalserver.org/matter/dynamic-profile/view/1897715","19-1897715")</f>
        <v>0</v>
      </c>
      <c r="B753" t="s">
        <v>148</v>
      </c>
      <c r="C753" t="s">
        <v>543</v>
      </c>
      <c r="D753" t="s">
        <v>663</v>
      </c>
      <c r="E753" t="s">
        <v>1590</v>
      </c>
      <c r="F753" t="s">
        <v>4082</v>
      </c>
      <c r="G753" t="s">
        <v>6996</v>
      </c>
      <c r="H753" t="s">
        <v>10496</v>
      </c>
      <c r="I753" t="s">
        <v>11384</v>
      </c>
      <c r="J753">
        <v>10306</v>
      </c>
      <c r="K753" t="s">
        <v>11448</v>
      </c>
      <c r="L753" t="s">
        <v>11670</v>
      </c>
      <c r="M753" t="s">
        <v>14743</v>
      </c>
      <c r="N753" t="s">
        <v>14781</v>
      </c>
      <c r="O753" t="s">
        <v>14788</v>
      </c>
      <c r="P753" t="s">
        <v>14797</v>
      </c>
      <c r="Q753" t="s">
        <v>11448</v>
      </c>
      <c r="S753" t="s">
        <v>14827</v>
      </c>
      <c r="T753" t="s">
        <v>14832</v>
      </c>
      <c r="V753">
        <v>600</v>
      </c>
      <c r="W753" t="s">
        <v>14862</v>
      </c>
      <c r="X753" t="s">
        <v>14867</v>
      </c>
      <c r="Y753" t="s">
        <v>14888</v>
      </c>
      <c r="Z753" t="s">
        <v>15629</v>
      </c>
      <c r="AB753" t="s">
        <v>20736</v>
      </c>
      <c r="AC753">
        <v>0</v>
      </c>
      <c r="AD753" t="s">
        <v>24600</v>
      </c>
      <c r="AE753" t="s">
        <v>11459</v>
      </c>
      <c r="AF753">
        <v>-1</v>
      </c>
      <c r="AG753">
        <v>1</v>
      </c>
      <c r="AH753">
        <v>0</v>
      </c>
      <c r="AI753">
        <v>72.06</v>
      </c>
      <c r="AL753" t="s">
        <v>5011</v>
      </c>
      <c r="AM753">
        <v>9000</v>
      </c>
      <c r="AO753" t="s">
        <v>24936</v>
      </c>
      <c r="AP753" t="s">
        <v>14755</v>
      </c>
      <c r="AS753">
        <v>36.51</v>
      </c>
      <c r="AT753" t="s">
        <v>602</v>
      </c>
      <c r="AU753" t="s">
        <v>25270</v>
      </c>
      <c r="AV753" t="s">
        <v>25335</v>
      </c>
      <c r="AW753" t="s">
        <v>11447</v>
      </c>
    </row>
    <row r="754" spans="1:49">
      <c r="A754" s="1">
        <f>HYPERLINK("https://lsnyc.legalserver.org/matter/dynamic-profile/view/1907083","19-1907083")</f>
        <v>0</v>
      </c>
      <c r="B754" t="s">
        <v>126</v>
      </c>
      <c r="C754" t="s">
        <v>626</v>
      </c>
      <c r="D754" t="s">
        <v>663</v>
      </c>
      <c r="E754" t="s">
        <v>1591</v>
      </c>
      <c r="F754" t="s">
        <v>4083</v>
      </c>
      <c r="G754" t="s">
        <v>6997</v>
      </c>
      <c r="H754">
        <v>2</v>
      </c>
      <c r="I754" t="s">
        <v>11383</v>
      </c>
      <c r="J754">
        <v>10473</v>
      </c>
      <c r="K754" t="s">
        <v>11446</v>
      </c>
      <c r="M754" t="s">
        <v>14743</v>
      </c>
      <c r="N754" t="s">
        <v>14781</v>
      </c>
      <c r="O754" t="s">
        <v>14792</v>
      </c>
      <c r="P754" t="s">
        <v>14797</v>
      </c>
      <c r="Q754" t="s">
        <v>11448</v>
      </c>
      <c r="S754" t="s">
        <v>14827</v>
      </c>
      <c r="T754" t="s">
        <v>14832</v>
      </c>
      <c r="V754">
        <v>0</v>
      </c>
      <c r="W754" t="s">
        <v>14858</v>
      </c>
      <c r="X754" t="s">
        <v>14864</v>
      </c>
      <c r="Y754" t="s">
        <v>14887</v>
      </c>
      <c r="Z754" t="s">
        <v>15630</v>
      </c>
      <c r="AC754">
        <v>0</v>
      </c>
      <c r="AD754" t="s">
        <v>11479</v>
      </c>
      <c r="AE754" t="s">
        <v>24616</v>
      </c>
      <c r="AF754">
        <v>2</v>
      </c>
      <c r="AG754">
        <v>1</v>
      </c>
      <c r="AH754">
        <v>0</v>
      </c>
      <c r="AI754">
        <v>76.86</v>
      </c>
      <c r="AL754" t="s">
        <v>5011</v>
      </c>
      <c r="AM754">
        <v>9600</v>
      </c>
      <c r="AS754">
        <v>46.3</v>
      </c>
      <c r="AT754" t="s">
        <v>663</v>
      </c>
      <c r="AU754" t="s">
        <v>237</v>
      </c>
      <c r="AV754" t="s">
        <v>25335</v>
      </c>
      <c r="AW754" t="s">
        <v>11447</v>
      </c>
    </row>
    <row r="755" spans="1:49">
      <c r="A755" s="1">
        <f>HYPERLINK("https://lsnyc.legalserver.org/matter/dynamic-profile/view/1908321","19-1908321")</f>
        <v>0</v>
      </c>
      <c r="B755" t="s">
        <v>164</v>
      </c>
      <c r="C755" t="s">
        <v>412</v>
      </c>
      <c r="D755" t="s">
        <v>663</v>
      </c>
      <c r="E755" t="s">
        <v>1114</v>
      </c>
      <c r="F755" t="s">
        <v>3943</v>
      </c>
      <c r="G755" t="s">
        <v>6786</v>
      </c>
      <c r="H755" t="s">
        <v>10663</v>
      </c>
      <c r="I755" t="s">
        <v>11384</v>
      </c>
      <c r="J755">
        <v>10301</v>
      </c>
      <c r="K755" t="s">
        <v>11446</v>
      </c>
      <c r="L755" t="s">
        <v>11671</v>
      </c>
      <c r="M755" t="s">
        <v>14743</v>
      </c>
      <c r="N755" t="s">
        <v>14781</v>
      </c>
      <c r="O755" t="s">
        <v>14788</v>
      </c>
      <c r="P755" t="s">
        <v>14797</v>
      </c>
      <c r="Q755" t="s">
        <v>11448</v>
      </c>
      <c r="S755" t="s">
        <v>14827</v>
      </c>
      <c r="T755" t="s">
        <v>14832</v>
      </c>
      <c r="V755">
        <v>0</v>
      </c>
      <c r="W755" t="s">
        <v>14862</v>
      </c>
      <c r="Y755" t="s">
        <v>14887</v>
      </c>
      <c r="Z755" t="s">
        <v>15416</v>
      </c>
      <c r="AB755" t="s">
        <v>20547</v>
      </c>
      <c r="AC755">
        <v>2</v>
      </c>
      <c r="AD755" t="s">
        <v>24600</v>
      </c>
      <c r="AE755" t="s">
        <v>11459</v>
      </c>
      <c r="AF755">
        <v>20</v>
      </c>
      <c r="AG755">
        <v>1</v>
      </c>
      <c r="AH755">
        <v>0</v>
      </c>
      <c r="AI755">
        <v>86.47</v>
      </c>
      <c r="AL755" t="s">
        <v>5011</v>
      </c>
      <c r="AM755">
        <v>10800</v>
      </c>
      <c r="AO755" t="s">
        <v>24930</v>
      </c>
      <c r="AP755" t="s">
        <v>24941</v>
      </c>
      <c r="AQ755" t="s">
        <v>24986</v>
      </c>
      <c r="AR755" t="s">
        <v>25017</v>
      </c>
      <c r="AS755">
        <v>2.1</v>
      </c>
      <c r="AT755" t="s">
        <v>663</v>
      </c>
      <c r="AU755" t="s">
        <v>25270</v>
      </c>
      <c r="AV755" t="s">
        <v>25335</v>
      </c>
      <c r="AW755" t="s">
        <v>11447</v>
      </c>
    </row>
    <row r="756" spans="1:49">
      <c r="A756" s="1">
        <f>HYPERLINK("https://lsnyc.legalserver.org/matter/dynamic-profile/view/1909677","19-1909677")</f>
        <v>0</v>
      </c>
      <c r="B756" t="s">
        <v>164</v>
      </c>
      <c r="C756" t="s">
        <v>504</v>
      </c>
      <c r="D756" t="s">
        <v>601</v>
      </c>
      <c r="E756" t="s">
        <v>1592</v>
      </c>
      <c r="F756" t="s">
        <v>3905</v>
      </c>
      <c r="G756" t="s">
        <v>6998</v>
      </c>
      <c r="H756" t="s">
        <v>10714</v>
      </c>
      <c r="I756" t="s">
        <v>11384</v>
      </c>
      <c r="J756">
        <v>10301</v>
      </c>
      <c r="K756" t="s">
        <v>11446</v>
      </c>
      <c r="L756" t="s">
        <v>11672</v>
      </c>
      <c r="M756" t="s">
        <v>14743</v>
      </c>
      <c r="N756" t="s">
        <v>14781</v>
      </c>
      <c r="O756" t="s">
        <v>14792</v>
      </c>
      <c r="P756" t="s">
        <v>14797</v>
      </c>
      <c r="Q756" t="s">
        <v>11448</v>
      </c>
      <c r="S756" t="s">
        <v>14827</v>
      </c>
      <c r="T756" t="s">
        <v>14834</v>
      </c>
      <c r="U756" t="s">
        <v>504</v>
      </c>
      <c r="V756">
        <v>1534</v>
      </c>
      <c r="W756" t="s">
        <v>14862</v>
      </c>
      <c r="X756" t="s">
        <v>14868</v>
      </c>
      <c r="Y756" t="s">
        <v>14887</v>
      </c>
      <c r="Z756" t="s">
        <v>15631</v>
      </c>
      <c r="AA756">
        <v>6882415</v>
      </c>
      <c r="AB756" t="s">
        <v>20737</v>
      </c>
      <c r="AC756">
        <v>5</v>
      </c>
      <c r="AD756" t="s">
        <v>24600</v>
      </c>
      <c r="AE756" t="s">
        <v>24615</v>
      </c>
      <c r="AF756">
        <v>4</v>
      </c>
      <c r="AG756">
        <v>1</v>
      </c>
      <c r="AH756">
        <v>2</v>
      </c>
      <c r="AI756">
        <v>58.96</v>
      </c>
      <c r="AL756" t="s">
        <v>5011</v>
      </c>
      <c r="AM756">
        <v>12576</v>
      </c>
      <c r="AO756" t="s">
        <v>24931</v>
      </c>
      <c r="AP756" t="s">
        <v>24942</v>
      </c>
      <c r="AQ756" t="s">
        <v>24986</v>
      </c>
      <c r="AR756" t="s">
        <v>25018</v>
      </c>
      <c r="AS756">
        <v>9.6</v>
      </c>
      <c r="AT756" t="s">
        <v>601</v>
      </c>
      <c r="AU756" t="s">
        <v>25270</v>
      </c>
      <c r="AV756" t="s">
        <v>25335</v>
      </c>
      <c r="AW756" t="s">
        <v>11447</v>
      </c>
    </row>
    <row r="757" spans="1:49">
      <c r="A757" s="1">
        <f>HYPERLINK("https://lsnyc.legalserver.org/matter/dynamic-profile/view/1909991","19-1909991")</f>
        <v>0</v>
      </c>
      <c r="B757" t="s">
        <v>126</v>
      </c>
      <c r="C757" t="s">
        <v>462</v>
      </c>
      <c r="D757" t="s">
        <v>601</v>
      </c>
      <c r="E757" t="s">
        <v>1593</v>
      </c>
      <c r="F757" t="s">
        <v>3901</v>
      </c>
      <c r="G757" t="s">
        <v>6999</v>
      </c>
      <c r="I757" t="s">
        <v>11383</v>
      </c>
      <c r="J757">
        <v>10451</v>
      </c>
      <c r="K757" t="s">
        <v>11446</v>
      </c>
      <c r="N757" t="s">
        <v>14778</v>
      </c>
      <c r="O757" t="s">
        <v>14786</v>
      </c>
      <c r="P757" t="s">
        <v>14797</v>
      </c>
      <c r="S757" t="s">
        <v>14827</v>
      </c>
      <c r="V757">
        <v>0</v>
      </c>
      <c r="W757" t="s">
        <v>14858</v>
      </c>
      <c r="X757" t="s">
        <v>14864</v>
      </c>
      <c r="Y757" t="s">
        <v>14883</v>
      </c>
      <c r="Z757" t="s">
        <v>15632</v>
      </c>
      <c r="AB757" t="s">
        <v>20738</v>
      </c>
      <c r="AC757">
        <v>0</v>
      </c>
      <c r="AD757" t="s">
        <v>11479</v>
      </c>
      <c r="AE757" t="s">
        <v>11459</v>
      </c>
      <c r="AF757">
        <v>2</v>
      </c>
      <c r="AG757">
        <v>2</v>
      </c>
      <c r="AH757">
        <v>0</v>
      </c>
      <c r="AI757">
        <v>25.43</v>
      </c>
      <c r="AL757" t="s">
        <v>5011</v>
      </c>
      <c r="AM757">
        <v>4300</v>
      </c>
      <c r="AS757">
        <v>0.3</v>
      </c>
      <c r="AT757" t="s">
        <v>601</v>
      </c>
      <c r="AU757" t="s">
        <v>237</v>
      </c>
      <c r="AV757" t="s">
        <v>25335</v>
      </c>
      <c r="AW757" t="s">
        <v>11447</v>
      </c>
    </row>
    <row r="758" spans="1:49">
      <c r="A758" s="1">
        <f>HYPERLINK("https://lsnyc.legalserver.org/matter/dynamic-profile/view/1907400","19-1907400")</f>
        <v>0</v>
      </c>
      <c r="B758" t="s">
        <v>126</v>
      </c>
      <c r="C758" t="s">
        <v>366</v>
      </c>
      <c r="D758" t="s">
        <v>601</v>
      </c>
      <c r="E758" t="s">
        <v>1594</v>
      </c>
      <c r="F758" t="s">
        <v>4084</v>
      </c>
      <c r="G758" t="s">
        <v>7000</v>
      </c>
      <c r="H758" t="s">
        <v>10470</v>
      </c>
      <c r="I758" t="s">
        <v>11383</v>
      </c>
      <c r="J758">
        <v>10454</v>
      </c>
      <c r="K758" t="s">
        <v>11446</v>
      </c>
      <c r="N758" t="s">
        <v>14781</v>
      </c>
      <c r="O758" t="s">
        <v>14788</v>
      </c>
      <c r="P758" t="s">
        <v>14797</v>
      </c>
      <c r="Q758" t="s">
        <v>11448</v>
      </c>
      <c r="S758" t="s">
        <v>14827</v>
      </c>
      <c r="T758" t="s">
        <v>14832</v>
      </c>
      <c r="V758">
        <v>970.58</v>
      </c>
      <c r="W758" t="s">
        <v>14858</v>
      </c>
      <c r="X758" t="s">
        <v>14864</v>
      </c>
      <c r="Y758" t="s">
        <v>14887</v>
      </c>
      <c r="Z758" t="s">
        <v>15633</v>
      </c>
      <c r="AB758" t="s">
        <v>20739</v>
      </c>
      <c r="AC758">
        <v>419</v>
      </c>
      <c r="AD758" t="s">
        <v>24595</v>
      </c>
      <c r="AE758" t="s">
        <v>24611</v>
      </c>
      <c r="AF758">
        <v>6</v>
      </c>
      <c r="AG758">
        <v>1</v>
      </c>
      <c r="AH758">
        <v>0</v>
      </c>
      <c r="AI758">
        <v>48.04</v>
      </c>
      <c r="AL758" t="s">
        <v>5011</v>
      </c>
      <c r="AM758">
        <v>6000</v>
      </c>
      <c r="AS758">
        <v>2.25</v>
      </c>
      <c r="AT758" t="s">
        <v>601</v>
      </c>
      <c r="AU758" t="s">
        <v>237</v>
      </c>
      <c r="AV758" t="s">
        <v>25335</v>
      </c>
      <c r="AW758" t="s">
        <v>11447</v>
      </c>
    </row>
    <row r="759" spans="1:49">
      <c r="A759" s="1">
        <f>HYPERLINK("https://lsnyc.legalserver.org/matter/dynamic-profile/view/1906964","19-1906964")</f>
        <v>0</v>
      </c>
      <c r="B759" t="s">
        <v>177</v>
      </c>
      <c r="C759" t="s">
        <v>354</v>
      </c>
      <c r="D759" t="s">
        <v>460</v>
      </c>
      <c r="E759" t="s">
        <v>1595</v>
      </c>
      <c r="F759" t="s">
        <v>4042</v>
      </c>
      <c r="G759" t="s">
        <v>7001</v>
      </c>
      <c r="I759" t="s">
        <v>11386</v>
      </c>
      <c r="J759">
        <v>10009</v>
      </c>
      <c r="K759" t="s">
        <v>11446</v>
      </c>
      <c r="M759" t="s">
        <v>14745</v>
      </c>
      <c r="N759" t="s">
        <v>14780</v>
      </c>
      <c r="O759" t="s">
        <v>14787</v>
      </c>
      <c r="P759" t="s">
        <v>14797</v>
      </c>
      <c r="S759" t="s">
        <v>14827</v>
      </c>
      <c r="U759" t="s">
        <v>354</v>
      </c>
      <c r="V759">
        <v>0</v>
      </c>
      <c r="W759" t="s">
        <v>14859</v>
      </c>
      <c r="Y759" t="s">
        <v>14884</v>
      </c>
      <c r="Z759" t="s">
        <v>15634</v>
      </c>
      <c r="AB759" t="s">
        <v>20740</v>
      </c>
      <c r="AC759">
        <v>88</v>
      </c>
      <c r="AF759">
        <v>0</v>
      </c>
      <c r="AG759">
        <v>2</v>
      </c>
      <c r="AH759">
        <v>0</v>
      </c>
      <c r="AI759">
        <v>313.02</v>
      </c>
      <c r="AL759" t="s">
        <v>5011</v>
      </c>
      <c r="AM759">
        <v>52932</v>
      </c>
      <c r="AN759" t="s">
        <v>24731</v>
      </c>
      <c r="AS759">
        <v>42</v>
      </c>
      <c r="AT759" t="s">
        <v>460</v>
      </c>
      <c r="AU759" t="s">
        <v>177</v>
      </c>
      <c r="AV759" t="s">
        <v>25335</v>
      </c>
      <c r="AW759" t="s">
        <v>11447</v>
      </c>
    </row>
    <row r="760" spans="1:49">
      <c r="A760" s="1">
        <f>HYPERLINK("https://lsnyc.legalserver.org/matter/dynamic-profile/view/1908706","19-1908706")</f>
        <v>0</v>
      </c>
      <c r="B760" t="s">
        <v>190</v>
      </c>
      <c r="C760" t="s">
        <v>410</v>
      </c>
      <c r="D760" t="s">
        <v>460</v>
      </c>
      <c r="E760" t="s">
        <v>1299</v>
      </c>
      <c r="F760" t="s">
        <v>3696</v>
      </c>
      <c r="G760" t="s">
        <v>7002</v>
      </c>
      <c r="H760" t="s">
        <v>10649</v>
      </c>
      <c r="I760" t="s">
        <v>11386</v>
      </c>
      <c r="J760">
        <v>10034</v>
      </c>
      <c r="K760" t="s">
        <v>11446</v>
      </c>
      <c r="M760" t="s">
        <v>14743</v>
      </c>
      <c r="N760" t="s">
        <v>14778</v>
      </c>
      <c r="O760" t="s">
        <v>14786</v>
      </c>
      <c r="P760" t="s">
        <v>14797</v>
      </c>
      <c r="Q760" t="s">
        <v>11448</v>
      </c>
      <c r="S760" t="s">
        <v>14827</v>
      </c>
      <c r="V760">
        <v>1000</v>
      </c>
      <c r="W760" t="s">
        <v>14860</v>
      </c>
      <c r="X760" t="s">
        <v>14867</v>
      </c>
      <c r="Y760" t="s">
        <v>14883</v>
      </c>
      <c r="Z760" t="s">
        <v>15635</v>
      </c>
      <c r="AB760" t="s">
        <v>20741</v>
      </c>
      <c r="AC760">
        <v>32</v>
      </c>
      <c r="AD760" t="s">
        <v>24595</v>
      </c>
      <c r="AE760" t="s">
        <v>11459</v>
      </c>
      <c r="AF760">
        <v>28</v>
      </c>
      <c r="AG760">
        <v>1</v>
      </c>
      <c r="AH760">
        <v>0</v>
      </c>
      <c r="AI760">
        <v>208.17</v>
      </c>
      <c r="AL760" t="s">
        <v>5011</v>
      </c>
      <c r="AM760">
        <v>26000</v>
      </c>
      <c r="AS760">
        <v>2.1</v>
      </c>
      <c r="AT760" t="s">
        <v>589</v>
      </c>
      <c r="AU760" t="s">
        <v>137</v>
      </c>
      <c r="AV760" t="s">
        <v>25335</v>
      </c>
      <c r="AW760" t="s">
        <v>11447</v>
      </c>
    </row>
    <row r="761" spans="1:49">
      <c r="A761" s="1">
        <f>HYPERLINK("https://lsnyc.legalserver.org/matter/dynamic-profile/view/1908595","19-1908595")</f>
        <v>0</v>
      </c>
      <c r="B761" t="s">
        <v>76</v>
      </c>
      <c r="C761" t="s">
        <v>497</v>
      </c>
      <c r="D761" t="s">
        <v>475</v>
      </c>
      <c r="E761" t="s">
        <v>1350</v>
      </c>
      <c r="F761" t="s">
        <v>3561</v>
      </c>
      <c r="G761" t="s">
        <v>7003</v>
      </c>
      <c r="I761" t="s">
        <v>11385</v>
      </c>
      <c r="J761">
        <v>11209</v>
      </c>
      <c r="K761" t="s">
        <v>11446</v>
      </c>
      <c r="L761" t="s">
        <v>11465</v>
      </c>
      <c r="M761" t="s">
        <v>14746</v>
      </c>
      <c r="N761" t="s">
        <v>14778</v>
      </c>
      <c r="O761" t="s">
        <v>14786</v>
      </c>
      <c r="P761" t="s">
        <v>14797</v>
      </c>
      <c r="Q761" t="s">
        <v>11448</v>
      </c>
      <c r="S761" t="s">
        <v>14827</v>
      </c>
      <c r="T761" t="s">
        <v>14832</v>
      </c>
      <c r="U761" t="s">
        <v>462</v>
      </c>
      <c r="V761">
        <v>3000</v>
      </c>
      <c r="W761" t="s">
        <v>14859</v>
      </c>
      <c r="X761" t="s">
        <v>14866</v>
      </c>
      <c r="Y761" t="s">
        <v>14883</v>
      </c>
      <c r="Z761" t="s">
        <v>15440</v>
      </c>
      <c r="AA761" t="s">
        <v>11465</v>
      </c>
      <c r="AB761" t="s">
        <v>20742</v>
      </c>
      <c r="AC761">
        <v>1</v>
      </c>
      <c r="AD761" t="s">
        <v>11479</v>
      </c>
      <c r="AE761" t="s">
        <v>11459</v>
      </c>
      <c r="AF761">
        <v>2</v>
      </c>
      <c r="AG761">
        <v>2</v>
      </c>
      <c r="AH761">
        <v>1</v>
      </c>
      <c r="AI761">
        <v>188.99</v>
      </c>
      <c r="AL761" t="s">
        <v>5011</v>
      </c>
      <c r="AM761">
        <v>40312</v>
      </c>
      <c r="AS761">
        <v>2.1</v>
      </c>
      <c r="AT761" t="s">
        <v>462</v>
      </c>
      <c r="AU761" t="s">
        <v>25244</v>
      </c>
      <c r="AV761" t="s">
        <v>25335</v>
      </c>
      <c r="AW761" t="s">
        <v>11447</v>
      </c>
    </row>
    <row r="762" spans="1:49">
      <c r="A762" s="1">
        <f>HYPERLINK("https://lsnyc.legalserver.org/matter/dynamic-profile/view/1904277","19-1904277")</f>
        <v>0</v>
      </c>
      <c r="B762" t="s">
        <v>100</v>
      </c>
      <c r="C762" t="s">
        <v>332</v>
      </c>
      <c r="D762" t="s">
        <v>511</v>
      </c>
      <c r="E762" t="s">
        <v>1050</v>
      </c>
      <c r="F762" t="s">
        <v>4085</v>
      </c>
      <c r="G762" t="s">
        <v>7004</v>
      </c>
      <c r="H762" t="s">
        <v>10677</v>
      </c>
      <c r="I762" t="s">
        <v>11383</v>
      </c>
      <c r="J762">
        <v>10460</v>
      </c>
      <c r="K762" t="s">
        <v>11446</v>
      </c>
      <c r="L762" t="s">
        <v>11673</v>
      </c>
      <c r="M762" t="s">
        <v>14744</v>
      </c>
      <c r="N762" t="s">
        <v>14779</v>
      </c>
      <c r="O762" t="s">
        <v>14787</v>
      </c>
      <c r="P762" t="s">
        <v>14797</v>
      </c>
      <c r="Q762" t="s">
        <v>11448</v>
      </c>
      <c r="S762" t="s">
        <v>14827</v>
      </c>
      <c r="U762" t="s">
        <v>607</v>
      </c>
      <c r="V762">
        <v>1723.03</v>
      </c>
      <c r="W762" t="s">
        <v>14858</v>
      </c>
      <c r="X762" t="s">
        <v>14868</v>
      </c>
      <c r="Y762" t="s">
        <v>14885</v>
      </c>
      <c r="Z762" t="s">
        <v>15636</v>
      </c>
      <c r="AB762" t="s">
        <v>20743</v>
      </c>
      <c r="AC762">
        <v>200</v>
      </c>
      <c r="AD762" t="s">
        <v>24603</v>
      </c>
      <c r="AE762" t="s">
        <v>24610</v>
      </c>
      <c r="AF762">
        <v>3</v>
      </c>
      <c r="AG762">
        <v>2</v>
      </c>
      <c r="AH762">
        <v>0</v>
      </c>
      <c r="AI762">
        <v>83.73999999999999</v>
      </c>
      <c r="AL762" t="s">
        <v>5011</v>
      </c>
      <c r="AM762">
        <v>14160</v>
      </c>
      <c r="AS762">
        <v>2.3</v>
      </c>
      <c r="AT762" t="s">
        <v>564</v>
      </c>
      <c r="AU762" t="s">
        <v>25226</v>
      </c>
      <c r="AV762" t="s">
        <v>25335</v>
      </c>
      <c r="AW762" t="s">
        <v>11447</v>
      </c>
    </row>
    <row r="763" spans="1:49">
      <c r="A763" s="1">
        <f>HYPERLINK("https://lsnyc.legalserver.org/matter/dynamic-profile/view/1904449","19-1904449")</f>
        <v>0</v>
      </c>
      <c r="B763" t="s">
        <v>100</v>
      </c>
      <c r="C763" t="s">
        <v>607</v>
      </c>
      <c r="D763" t="s">
        <v>511</v>
      </c>
      <c r="E763" t="s">
        <v>1596</v>
      </c>
      <c r="F763" t="s">
        <v>4086</v>
      </c>
      <c r="G763" t="s">
        <v>7005</v>
      </c>
      <c r="H763" t="s">
        <v>10482</v>
      </c>
      <c r="I763" t="s">
        <v>11383</v>
      </c>
      <c r="J763">
        <v>10452</v>
      </c>
      <c r="K763" t="s">
        <v>11446</v>
      </c>
      <c r="L763" t="s">
        <v>11465</v>
      </c>
      <c r="M763" t="s">
        <v>11601</v>
      </c>
      <c r="N763" t="s">
        <v>14778</v>
      </c>
      <c r="O763" t="s">
        <v>14786</v>
      </c>
      <c r="P763" t="s">
        <v>14797</v>
      </c>
      <c r="Q763" t="s">
        <v>11448</v>
      </c>
      <c r="S763" t="s">
        <v>14827</v>
      </c>
      <c r="U763" t="s">
        <v>355</v>
      </c>
      <c r="V763">
        <v>702.21</v>
      </c>
      <c r="W763" t="s">
        <v>14858</v>
      </c>
      <c r="Y763" t="s">
        <v>14883</v>
      </c>
      <c r="Z763" t="s">
        <v>15637</v>
      </c>
      <c r="AB763" t="s">
        <v>20744</v>
      </c>
      <c r="AC763">
        <v>42</v>
      </c>
      <c r="AD763" t="s">
        <v>24600</v>
      </c>
      <c r="AE763" t="s">
        <v>11459</v>
      </c>
      <c r="AF763">
        <v>4</v>
      </c>
      <c r="AG763">
        <v>1</v>
      </c>
      <c r="AH763">
        <v>2</v>
      </c>
      <c r="AI763">
        <v>49.4</v>
      </c>
      <c r="AL763" t="s">
        <v>24632</v>
      </c>
      <c r="AM763">
        <v>10536</v>
      </c>
      <c r="AS763">
        <v>1.5</v>
      </c>
      <c r="AT763" t="s">
        <v>355</v>
      </c>
      <c r="AU763" t="s">
        <v>25236</v>
      </c>
      <c r="AV763" t="s">
        <v>25335</v>
      </c>
      <c r="AW763" t="s">
        <v>11447</v>
      </c>
    </row>
    <row r="764" spans="1:49">
      <c r="A764" s="1">
        <f>HYPERLINK("https://lsnyc.legalserver.org/matter/dynamic-profile/view/1905194","19-1905194")</f>
        <v>0</v>
      </c>
      <c r="B764" t="s">
        <v>196</v>
      </c>
      <c r="C764" t="s">
        <v>480</v>
      </c>
      <c r="D764" t="s">
        <v>511</v>
      </c>
      <c r="E764" t="s">
        <v>1597</v>
      </c>
      <c r="F764" t="s">
        <v>4087</v>
      </c>
      <c r="G764" t="s">
        <v>7006</v>
      </c>
      <c r="H764">
        <v>3</v>
      </c>
      <c r="I764" t="s">
        <v>11385</v>
      </c>
      <c r="J764">
        <v>11233</v>
      </c>
      <c r="K764" t="s">
        <v>11446</v>
      </c>
      <c r="L764" t="s">
        <v>11674</v>
      </c>
      <c r="M764" t="s">
        <v>14743</v>
      </c>
      <c r="N764" t="s">
        <v>14779</v>
      </c>
      <c r="O764" t="s">
        <v>14787</v>
      </c>
      <c r="P764" t="s">
        <v>14797</v>
      </c>
      <c r="Q764" t="s">
        <v>11448</v>
      </c>
      <c r="S764" t="s">
        <v>14827</v>
      </c>
      <c r="T764" t="s">
        <v>14832</v>
      </c>
      <c r="U764" t="s">
        <v>485</v>
      </c>
      <c r="V764">
        <v>870</v>
      </c>
      <c r="W764" t="s">
        <v>14859</v>
      </c>
      <c r="X764" t="s">
        <v>14755</v>
      </c>
      <c r="Y764" t="s">
        <v>14888</v>
      </c>
      <c r="Z764" t="s">
        <v>15638</v>
      </c>
      <c r="AB764" t="s">
        <v>20745</v>
      </c>
      <c r="AC764">
        <v>3</v>
      </c>
      <c r="AD764" t="s">
        <v>24600</v>
      </c>
      <c r="AE764" t="s">
        <v>11459</v>
      </c>
      <c r="AF764">
        <v>1</v>
      </c>
      <c r="AG764">
        <v>1</v>
      </c>
      <c r="AH764">
        <v>0</v>
      </c>
      <c r="AI764">
        <v>199.84</v>
      </c>
      <c r="AL764" t="s">
        <v>5011</v>
      </c>
      <c r="AM764">
        <v>24960</v>
      </c>
      <c r="AO764" t="s">
        <v>24930</v>
      </c>
      <c r="AP764" t="s">
        <v>24947</v>
      </c>
      <c r="AQ764" t="s">
        <v>24987</v>
      </c>
      <c r="AR764" t="s">
        <v>24996</v>
      </c>
      <c r="AS764">
        <v>2.5</v>
      </c>
      <c r="AT764" t="s">
        <v>500</v>
      </c>
      <c r="AU764" t="s">
        <v>120</v>
      </c>
      <c r="AV764" t="s">
        <v>25335</v>
      </c>
      <c r="AW764" t="s">
        <v>11447</v>
      </c>
    </row>
    <row r="765" spans="1:49">
      <c r="A765" s="1">
        <f>HYPERLINK("https://lsnyc.legalserver.org/matter/dynamic-profile/view/1911215","19-1911215")</f>
        <v>0</v>
      </c>
      <c r="B765" t="s">
        <v>197</v>
      </c>
      <c r="C765" t="s">
        <v>475</v>
      </c>
      <c r="D765" t="s">
        <v>511</v>
      </c>
      <c r="E765" t="s">
        <v>1228</v>
      </c>
      <c r="F765" t="s">
        <v>4088</v>
      </c>
      <c r="G765" t="s">
        <v>7007</v>
      </c>
      <c r="H765" t="s">
        <v>10467</v>
      </c>
      <c r="I765" t="s">
        <v>11383</v>
      </c>
      <c r="J765">
        <v>10456</v>
      </c>
      <c r="K765" t="s">
        <v>11446</v>
      </c>
      <c r="L765" t="s">
        <v>11675</v>
      </c>
      <c r="M765" t="s">
        <v>14744</v>
      </c>
      <c r="N765" t="s">
        <v>14779</v>
      </c>
      <c r="O765" t="s">
        <v>14787</v>
      </c>
      <c r="P765" t="s">
        <v>14797</v>
      </c>
      <c r="Q765" t="s">
        <v>11448</v>
      </c>
      <c r="S765" t="s">
        <v>14827</v>
      </c>
      <c r="U765" t="s">
        <v>475</v>
      </c>
      <c r="V765">
        <v>0</v>
      </c>
      <c r="W765" t="s">
        <v>14858</v>
      </c>
      <c r="X765" t="s">
        <v>14873</v>
      </c>
      <c r="Y765" t="s">
        <v>14884</v>
      </c>
      <c r="Z765" t="s">
        <v>15639</v>
      </c>
      <c r="AB765" t="s">
        <v>20746</v>
      </c>
      <c r="AC765">
        <v>35</v>
      </c>
      <c r="AE765" t="s">
        <v>11459</v>
      </c>
      <c r="AF765">
        <v>11</v>
      </c>
      <c r="AG765">
        <v>1</v>
      </c>
      <c r="AH765">
        <v>1</v>
      </c>
      <c r="AI765">
        <v>138.38</v>
      </c>
      <c r="AL765" t="s">
        <v>5011</v>
      </c>
      <c r="AM765">
        <v>23400</v>
      </c>
      <c r="AS765">
        <v>1</v>
      </c>
      <c r="AT765" t="s">
        <v>511</v>
      </c>
      <c r="AU765" t="s">
        <v>197</v>
      </c>
      <c r="AV765" t="s">
        <v>25335</v>
      </c>
      <c r="AW765" t="s">
        <v>11447</v>
      </c>
    </row>
    <row r="766" spans="1:49">
      <c r="A766" s="1">
        <f>HYPERLINK("https://lsnyc.legalserver.org/matter/dynamic-profile/view/1908687","19-1908687")</f>
        <v>0</v>
      </c>
      <c r="B766" t="s">
        <v>120</v>
      </c>
      <c r="C766" t="s">
        <v>410</v>
      </c>
      <c r="D766" t="s">
        <v>511</v>
      </c>
      <c r="E766" t="s">
        <v>1598</v>
      </c>
      <c r="F766" t="s">
        <v>4089</v>
      </c>
      <c r="G766" t="s">
        <v>7008</v>
      </c>
      <c r="H766" t="s">
        <v>10569</v>
      </c>
      <c r="I766" t="s">
        <v>11385</v>
      </c>
      <c r="J766">
        <v>11207</v>
      </c>
      <c r="K766" t="s">
        <v>11448</v>
      </c>
      <c r="L766" t="s">
        <v>11676</v>
      </c>
      <c r="M766" t="s">
        <v>14743</v>
      </c>
      <c r="N766" t="s">
        <v>14778</v>
      </c>
      <c r="O766" t="s">
        <v>14786</v>
      </c>
      <c r="P766" t="s">
        <v>14797</v>
      </c>
      <c r="Q766" t="s">
        <v>11448</v>
      </c>
      <c r="S766" t="s">
        <v>14827</v>
      </c>
      <c r="V766">
        <v>1515</v>
      </c>
      <c r="W766" t="s">
        <v>14859</v>
      </c>
      <c r="X766" t="s">
        <v>14867</v>
      </c>
      <c r="Y766" t="s">
        <v>14883</v>
      </c>
      <c r="Z766" t="s">
        <v>15640</v>
      </c>
      <c r="AB766" t="s">
        <v>20747</v>
      </c>
      <c r="AC766">
        <v>3</v>
      </c>
      <c r="AE766" t="s">
        <v>24617</v>
      </c>
      <c r="AF766">
        <v>3</v>
      </c>
      <c r="AG766">
        <v>2</v>
      </c>
      <c r="AH766">
        <v>4</v>
      </c>
      <c r="AI766">
        <v>0</v>
      </c>
      <c r="AL766" t="s">
        <v>5011</v>
      </c>
      <c r="AM766">
        <v>0</v>
      </c>
      <c r="AN766" t="s">
        <v>24712</v>
      </c>
      <c r="AS766">
        <v>1</v>
      </c>
      <c r="AT766" t="s">
        <v>410</v>
      </c>
      <c r="AU766" t="s">
        <v>25226</v>
      </c>
      <c r="AV766" t="s">
        <v>11459</v>
      </c>
      <c r="AW766" t="s">
        <v>11447</v>
      </c>
    </row>
    <row r="767" spans="1:49">
      <c r="A767" s="1">
        <f>HYPERLINK("https://lsnyc.legalserver.org/matter/dynamic-profile/view/1899726","19-1899726")</f>
        <v>0</v>
      </c>
      <c r="B767" t="s">
        <v>100</v>
      </c>
      <c r="C767" t="s">
        <v>492</v>
      </c>
      <c r="D767" t="s">
        <v>511</v>
      </c>
      <c r="E767" t="s">
        <v>1070</v>
      </c>
      <c r="F767" t="s">
        <v>4090</v>
      </c>
      <c r="G767" t="s">
        <v>7009</v>
      </c>
      <c r="H767">
        <v>220</v>
      </c>
      <c r="I767" t="s">
        <v>11383</v>
      </c>
      <c r="J767">
        <v>10459</v>
      </c>
      <c r="K767" t="s">
        <v>11446</v>
      </c>
      <c r="N767" t="s">
        <v>14779</v>
      </c>
      <c r="O767" t="s">
        <v>14787</v>
      </c>
      <c r="P767" t="s">
        <v>14797</v>
      </c>
      <c r="Q767" t="s">
        <v>11448</v>
      </c>
      <c r="S767" t="s">
        <v>14827</v>
      </c>
      <c r="V767">
        <v>1041</v>
      </c>
      <c r="W767" t="s">
        <v>14858</v>
      </c>
      <c r="X767" t="s">
        <v>14864</v>
      </c>
      <c r="Y767" t="s">
        <v>14885</v>
      </c>
      <c r="Z767" t="s">
        <v>15641</v>
      </c>
      <c r="AB767" t="s">
        <v>20748</v>
      </c>
      <c r="AC767">
        <v>141</v>
      </c>
      <c r="AD767" t="s">
        <v>11479</v>
      </c>
      <c r="AE767" t="s">
        <v>24615</v>
      </c>
      <c r="AF767">
        <v>3</v>
      </c>
      <c r="AG767">
        <v>1</v>
      </c>
      <c r="AH767">
        <v>2</v>
      </c>
      <c r="AI767">
        <v>78.95</v>
      </c>
      <c r="AL767" t="s">
        <v>24632</v>
      </c>
      <c r="AM767">
        <v>16840</v>
      </c>
      <c r="AN767" t="s">
        <v>24732</v>
      </c>
      <c r="AS767">
        <v>0.8</v>
      </c>
      <c r="AT767" t="s">
        <v>351</v>
      </c>
      <c r="AU767" t="s">
        <v>237</v>
      </c>
      <c r="AV767" t="s">
        <v>25335</v>
      </c>
      <c r="AW767" t="s">
        <v>11447</v>
      </c>
    </row>
    <row r="768" spans="1:49">
      <c r="A768" s="1">
        <f>HYPERLINK("https://lsnyc.legalserver.org/matter/dynamic-profile/view/1911209","19-1911209")</f>
        <v>0</v>
      </c>
      <c r="B768" t="s">
        <v>197</v>
      </c>
      <c r="C768" t="s">
        <v>475</v>
      </c>
      <c r="D768" t="s">
        <v>511</v>
      </c>
      <c r="E768" t="s">
        <v>1029</v>
      </c>
      <c r="F768" t="s">
        <v>4091</v>
      </c>
      <c r="G768" t="s">
        <v>6817</v>
      </c>
      <c r="H768" t="s">
        <v>10498</v>
      </c>
      <c r="I768" t="s">
        <v>11383</v>
      </c>
      <c r="J768">
        <v>10452</v>
      </c>
      <c r="K768" t="s">
        <v>11446</v>
      </c>
      <c r="M768" t="s">
        <v>14747</v>
      </c>
      <c r="N768" t="s">
        <v>14778</v>
      </c>
      <c r="O768" t="s">
        <v>14786</v>
      </c>
      <c r="P768" t="s">
        <v>14797</v>
      </c>
      <c r="Q768" t="s">
        <v>11448</v>
      </c>
      <c r="S768" t="s">
        <v>14827</v>
      </c>
      <c r="V768">
        <v>0</v>
      </c>
      <c r="W768" t="s">
        <v>14858</v>
      </c>
      <c r="Y768" t="s">
        <v>14883</v>
      </c>
      <c r="Z768" t="s">
        <v>15642</v>
      </c>
      <c r="AB768" t="s">
        <v>20749</v>
      </c>
      <c r="AC768">
        <v>0</v>
      </c>
      <c r="AE768" t="s">
        <v>11459</v>
      </c>
      <c r="AF768">
        <v>0</v>
      </c>
      <c r="AG768">
        <v>2</v>
      </c>
      <c r="AH768">
        <v>1</v>
      </c>
      <c r="AI768">
        <v>215.66</v>
      </c>
      <c r="AK768" t="s">
        <v>24628</v>
      </c>
      <c r="AL768" t="s">
        <v>5011</v>
      </c>
      <c r="AM768">
        <v>46000</v>
      </c>
      <c r="AS768">
        <v>1.75</v>
      </c>
      <c r="AT768" t="s">
        <v>511</v>
      </c>
      <c r="AU768" t="s">
        <v>197</v>
      </c>
      <c r="AV768" t="s">
        <v>25335</v>
      </c>
      <c r="AW768" t="s">
        <v>11447</v>
      </c>
    </row>
    <row r="769" spans="1:49">
      <c r="A769" s="1">
        <f>HYPERLINK("https://lsnyc.legalserver.org/matter/dynamic-profile/view/1904645","19-1904645")</f>
        <v>0</v>
      </c>
      <c r="B769" t="s">
        <v>182</v>
      </c>
      <c r="C769" t="s">
        <v>365</v>
      </c>
      <c r="D769" t="s">
        <v>467</v>
      </c>
      <c r="E769" t="s">
        <v>1599</v>
      </c>
      <c r="F769" t="s">
        <v>4092</v>
      </c>
      <c r="G769" t="s">
        <v>7010</v>
      </c>
      <c r="H769">
        <v>10</v>
      </c>
      <c r="I769" t="s">
        <v>11386</v>
      </c>
      <c r="J769">
        <v>10003</v>
      </c>
      <c r="K769" t="s">
        <v>11446</v>
      </c>
      <c r="L769" t="s">
        <v>11677</v>
      </c>
      <c r="M769" t="s">
        <v>14744</v>
      </c>
      <c r="N769" t="s">
        <v>14778</v>
      </c>
      <c r="O769" t="s">
        <v>14786</v>
      </c>
      <c r="P769" t="s">
        <v>14797</v>
      </c>
      <c r="Q769" t="s">
        <v>11448</v>
      </c>
      <c r="S769" t="s">
        <v>14827</v>
      </c>
      <c r="U769" t="s">
        <v>365</v>
      </c>
      <c r="V769">
        <v>651.63</v>
      </c>
      <c r="W769" t="s">
        <v>14860</v>
      </c>
      <c r="X769" t="s">
        <v>14865</v>
      </c>
      <c r="Y769" t="s">
        <v>14883</v>
      </c>
      <c r="Z769" t="s">
        <v>15643</v>
      </c>
      <c r="AB769" t="s">
        <v>20750</v>
      </c>
      <c r="AC769">
        <v>15</v>
      </c>
      <c r="AD769" t="s">
        <v>24595</v>
      </c>
      <c r="AE769" t="s">
        <v>24613</v>
      </c>
      <c r="AF769">
        <v>43</v>
      </c>
      <c r="AG769">
        <v>1</v>
      </c>
      <c r="AH769">
        <v>0</v>
      </c>
      <c r="AI769">
        <v>149.93</v>
      </c>
      <c r="AL769" t="s">
        <v>5011</v>
      </c>
      <c r="AM769">
        <v>18726</v>
      </c>
      <c r="AS769">
        <v>2.2</v>
      </c>
      <c r="AT769" t="s">
        <v>496</v>
      </c>
      <c r="AU769" t="s">
        <v>25276</v>
      </c>
      <c r="AV769" t="s">
        <v>25335</v>
      </c>
      <c r="AW769" t="s">
        <v>11447</v>
      </c>
    </row>
    <row r="770" spans="1:49">
      <c r="A770" s="1">
        <f>HYPERLINK("https://lsnyc.legalserver.org/matter/dynamic-profile/view/1904795","19-1904795")</f>
        <v>0</v>
      </c>
      <c r="B770" t="s">
        <v>186</v>
      </c>
      <c r="C770" t="s">
        <v>345</v>
      </c>
      <c r="D770" t="s">
        <v>467</v>
      </c>
      <c r="E770" t="s">
        <v>1249</v>
      </c>
      <c r="F770" t="s">
        <v>3769</v>
      </c>
      <c r="G770" t="s">
        <v>7011</v>
      </c>
      <c r="H770" t="s">
        <v>10715</v>
      </c>
      <c r="I770" t="s">
        <v>11383</v>
      </c>
      <c r="J770">
        <v>10457</v>
      </c>
      <c r="K770" t="s">
        <v>11446</v>
      </c>
      <c r="L770" t="s">
        <v>11465</v>
      </c>
      <c r="M770" t="s">
        <v>14745</v>
      </c>
      <c r="N770" t="s">
        <v>14779</v>
      </c>
      <c r="O770" t="s">
        <v>14787</v>
      </c>
      <c r="P770" t="s">
        <v>14797</v>
      </c>
      <c r="Q770" t="s">
        <v>11448</v>
      </c>
      <c r="S770" t="s">
        <v>14827</v>
      </c>
      <c r="U770" t="s">
        <v>511</v>
      </c>
      <c r="V770">
        <v>1476.04</v>
      </c>
      <c r="W770" t="s">
        <v>14858</v>
      </c>
      <c r="X770" t="s">
        <v>14864</v>
      </c>
      <c r="Y770" t="s">
        <v>14883</v>
      </c>
      <c r="Z770" t="s">
        <v>15644</v>
      </c>
      <c r="AB770" t="s">
        <v>20751</v>
      </c>
      <c r="AC770">
        <v>222</v>
      </c>
      <c r="AD770" t="s">
        <v>24595</v>
      </c>
      <c r="AE770" t="s">
        <v>11459</v>
      </c>
      <c r="AF770">
        <v>8</v>
      </c>
      <c r="AG770">
        <v>4</v>
      </c>
      <c r="AH770">
        <v>0</v>
      </c>
      <c r="AI770">
        <v>141.36</v>
      </c>
      <c r="AL770" t="s">
        <v>24632</v>
      </c>
      <c r="AM770">
        <v>36400</v>
      </c>
      <c r="AS770">
        <v>3.75</v>
      </c>
      <c r="AT770" t="s">
        <v>467</v>
      </c>
      <c r="AU770" t="s">
        <v>25242</v>
      </c>
      <c r="AV770" t="s">
        <v>25335</v>
      </c>
      <c r="AW770" t="s">
        <v>11447</v>
      </c>
    </row>
    <row r="771" spans="1:49">
      <c r="A771" s="1">
        <f>HYPERLINK("https://lsnyc.legalserver.org/matter/dynamic-profile/view/1909014","19-1909014")</f>
        <v>0</v>
      </c>
      <c r="B771" t="s">
        <v>186</v>
      </c>
      <c r="C771" t="s">
        <v>641</v>
      </c>
      <c r="D771" t="s">
        <v>467</v>
      </c>
      <c r="E771" t="s">
        <v>1407</v>
      </c>
      <c r="F771" t="s">
        <v>4093</v>
      </c>
      <c r="G771" t="s">
        <v>7012</v>
      </c>
      <c r="H771" t="s">
        <v>10476</v>
      </c>
      <c r="I771" t="s">
        <v>11383</v>
      </c>
      <c r="J771">
        <v>10457</v>
      </c>
      <c r="K771" t="s">
        <v>11446</v>
      </c>
      <c r="N771" t="s">
        <v>14779</v>
      </c>
      <c r="O771" t="s">
        <v>14787</v>
      </c>
      <c r="P771" t="s">
        <v>14797</v>
      </c>
      <c r="Q771" t="s">
        <v>11448</v>
      </c>
      <c r="S771" t="s">
        <v>14827</v>
      </c>
      <c r="V771">
        <v>0</v>
      </c>
      <c r="W771" t="s">
        <v>14858</v>
      </c>
      <c r="X771" t="s">
        <v>14864</v>
      </c>
      <c r="Y771" t="s">
        <v>14885</v>
      </c>
      <c r="Z771" t="s">
        <v>15645</v>
      </c>
      <c r="AB771" t="s">
        <v>20752</v>
      </c>
      <c r="AC771">
        <v>36</v>
      </c>
      <c r="AD771" t="s">
        <v>11479</v>
      </c>
      <c r="AE771" t="s">
        <v>24610</v>
      </c>
      <c r="AF771">
        <v>30</v>
      </c>
      <c r="AG771">
        <v>1</v>
      </c>
      <c r="AH771">
        <v>0</v>
      </c>
      <c r="AI771">
        <v>60.53</v>
      </c>
      <c r="AL771" t="s">
        <v>24632</v>
      </c>
      <c r="AM771">
        <v>7560</v>
      </c>
      <c r="AS771">
        <v>0.65</v>
      </c>
      <c r="AT771" t="s">
        <v>467</v>
      </c>
      <c r="AU771" t="s">
        <v>245</v>
      </c>
      <c r="AV771" t="s">
        <v>25335</v>
      </c>
      <c r="AW771" t="s">
        <v>11447</v>
      </c>
    </row>
    <row r="772" spans="1:49">
      <c r="A772" s="1">
        <f>HYPERLINK("https://lsnyc.legalserver.org/matter/dynamic-profile/view/1909023","19-1909023")</f>
        <v>0</v>
      </c>
      <c r="B772" t="s">
        <v>186</v>
      </c>
      <c r="C772" t="s">
        <v>641</v>
      </c>
      <c r="D772" t="s">
        <v>467</v>
      </c>
      <c r="E772" t="s">
        <v>1248</v>
      </c>
      <c r="F772" t="s">
        <v>3745</v>
      </c>
      <c r="G772" t="s">
        <v>6525</v>
      </c>
      <c r="H772" t="s">
        <v>10581</v>
      </c>
      <c r="I772" t="s">
        <v>11383</v>
      </c>
      <c r="J772">
        <v>10453</v>
      </c>
      <c r="K772" t="s">
        <v>11446</v>
      </c>
      <c r="N772" t="s">
        <v>14779</v>
      </c>
      <c r="O772" t="s">
        <v>14786</v>
      </c>
      <c r="P772" t="s">
        <v>14797</v>
      </c>
      <c r="Q772" t="s">
        <v>11448</v>
      </c>
      <c r="S772" t="s">
        <v>14827</v>
      </c>
      <c r="V772">
        <v>1542.96</v>
      </c>
      <c r="W772" t="s">
        <v>14858</v>
      </c>
      <c r="X772" t="s">
        <v>14864</v>
      </c>
      <c r="Y772" t="s">
        <v>14883</v>
      </c>
      <c r="Z772" t="s">
        <v>15150</v>
      </c>
      <c r="AB772" t="s">
        <v>20753</v>
      </c>
      <c r="AC772">
        <v>48</v>
      </c>
      <c r="AD772" t="s">
        <v>11479</v>
      </c>
      <c r="AE772" t="s">
        <v>11459</v>
      </c>
      <c r="AF772">
        <v>20</v>
      </c>
      <c r="AG772">
        <v>2</v>
      </c>
      <c r="AH772">
        <v>0</v>
      </c>
      <c r="AI772">
        <v>91.02</v>
      </c>
      <c r="AL772" t="s">
        <v>5011</v>
      </c>
      <c r="AM772">
        <v>15392</v>
      </c>
      <c r="AS772">
        <v>0.6</v>
      </c>
      <c r="AT772" t="s">
        <v>462</v>
      </c>
      <c r="AU772" t="s">
        <v>245</v>
      </c>
      <c r="AV772" t="s">
        <v>25335</v>
      </c>
      <c r="AW772" t="s">
        <v>11447</v>
      </c>
    </row>
    <row r="773" spans="1:49">
      <c r="A773" s="1">
        <f>HYPERLINK("https://lsnyc.legalserver.org/matter/dynamic-profile/view/1904610","19-1904610")</f>
        <v>0</v>
      </c>
      <c r="B773" t="s">
        <v>186</v>
      </c>
      <c r="C773" t="s">
        <v>467</v>
      </c>
      <c r="D773" t="s">
        <v>467</v>
      </c>
      <c r="E773" t="s">
        <v>1600</v>
      </c>
      <c r="F773" t="s">
        <v>4094</v>
      </c>
      <c r="G773" t="s">
        <v>7013</v>
      </c>
      <c r="I773" t="s">
        <v>11383</v>
      </c>
      <c r="J773">
        <v>10467</v>
      </c>
      <c r="K773" t="s">
        <v>11448</v>
      </c>
      <c r="N773" t="s">
        <v>14779</v>
      </c>
      <c r="O773" t="s">
        <v>14787</v>
      </c>
      <c r="P773" t="s">
        <v>14797</v>
      </c>
      <c r="Q773" t="s">
        <v>11448</v>
      </c>
      <c r="S773" t="s">
        <v>14829</v>
      </c>
      <c r="V773">
        <v>1254.43</v>
      </c>
      <c r="W773" t="s">
        <v>14858</v>
      </c>
      <c r="X773" t="s">
        <v>14876</v>
      </c>
      <c r="Y773" t="s">
        <v>14883</v>
      </c>
      <c r="Z773" t="s">
        <v>15646</v>
      </c>
      <c r="AB773" t="s">
        <v>20754</v>
      </c>
      <c r="AC773">
        <v>0</v>
      </c>
      <c r="AD773" t="s">
        <v>24595</v>
      </c>
      <c r="AE773" t="s">
        <v>11459</v>
      </c>
      <c r="AF773">
        <v>13</v>
      </c>
      <c r="AG773">
        <v>1</v>
      </c>
      <c r="AH773">
        <v>0</v>
      </c>
      <c r="AI773">
        <v>150.36</v>
      </c>
      <c r="AL773" t="s">
        <v>24632</v>
      </c>
      <c r="AM773">
        <v>18780</v>
      </c>
      <c r="AS773">
        <v>1.6</v>
      </c>
      <c r="AT773" t="s">
        <v>467</v>
      </c>
      <c r="AU773" t="s">
        <v>186</v>
      </c>
      <c r="AV773" t="s">
        <v>25335</v>
      </c>
      <c r="AW773" t="s">
        <v>11447</v>
      </c>
    </row>
    <row r="774" spans="1:49">
      <c r="A774" s="1">
        <f>HYPERLINK("https://lsnyc.legalserver.org/matter/dynamic-profile/view/1909129","19-1909129")</f>
        <v>0</v>
      </c>
      <c r="B774" t="s">
        <v>184</v>
      </c>
      <c r="C774" t="s">
        <v>462</v>
      </c>
      <c r="D774" t="s">
        <v>486</v>
      </c>
      <c r="E774" t="s">
        <v>1214</v>
      </c>
      <c r="F774" t="s">
        <v>3717</v>
      </c>
      <c r="G774" t="s">
        <v>6488</v>
      </c>
      <c r="H774" t="s">
        <v>10462</v>
      </c>
      <c r="I774" t="s">
        <v>11383</v>
      </c>
      <c r="J774">
        <v>10452</v>
      </c>
      <c r="K774" t="s">
        <v>11446</v>
      </c>
      <c r="M774" t="s">
        <v>11601</v>
      </c>
      <c r="N774" t="s">
        <v>14779</v>
      </c>
      <c r="O774" t="s">
        <v>14787</v>
      </c>
      <c r="P774" t="s">
        <v>14797</v>
      </c>
      <c r="Q774" t="s">
        <v>11448</v>
      </c>
      <c r="S774" t="s">
        <v>14827</v>
      </c>
      <c r="U774" t="s">
        <v>601</v>
      </c>
      <c r="V774">
        <v>1428.24</v>
      </c>
      <c r="W774" t="s">
        <v>14858</v>
      </c>
      <c r="X774" t="s">
        <v>14868</v>
      </c>
      <c r="Y774" t="s">
        <v>14885</v>
      </c>
      <c r="Z774" t="s">
        <v>15111</v>
      </c>
      <c r="AC774">
        <v>92</v>
      </c>
      <c r="AD774" t="s">
        <v>24595</v>
      </c>
      <c r="AE774" t="s">
        <v>24610</v>
      </c>
      <c r="AF774">
        <v>9</v>
      </c>
      <c r="AG774">
        <v>2</v>
      </c>
      <c r="AH774">
        <v>0</v>
      </c>
      <c r="AI774">
        <v>0</v>
      </c>
      <c r="AL774" t="s">
        <v>5011</v>
      </c>
      <c r="AM774">
        <v>0</v>
      </c>
      <c r="AS774">
        <v>2.3</v>
      </c>
      <c r="AT774" t="s">
        <v>486</v>
      </c>
      <c r="AU774" t="s">
        <v>184</v>
      </c>
      <c r="AV774" t="s">
        <v>25335</v>
      </c>
      <c r="AW774" t="s">
        <v>11447</v>
      </c>
    </row>
    <row r="775" spans="1:49">
      <c r="A775" s="1">
        <f>HYPERLINK("https://lsnyc.legalserver.org/matter/dynamic-profile/view/1910082","19-1910082")</f>
        <v>0</v>
      </c>
      <c r="B775" t="s">
        <v>184</v>
      </c>
      <c r="C775" t="s">
        <v>471</v>
      </c>
      <c r="D775" t="s">
        <v>486</v>
      </c>
      <c r="E775" t="s">
        <v>1601</v>
      </c>
      <c r="F775" t="s">
        <v>4095</v>
      </c>
      <c r="G775" t="s">
        <v>7014</v>
      </c>
      <c r="H775" t="s">
        <v>10468</v>
      </c>
      <c r="I775" t="s">
        <v>11383</v>
      </c>
      <c r="J775">
        <v>10452</v>
      </c>
      <c r="K775" t="s">
        <v>11446</v>
      </c>
      <c r="M775" t="s">
        <v>11601</v>
      </c>
      <c r="N775" t="s">
        <v>14778</v>
      </c>
      <c r="O775" t="s">
        <v>14786</v>
      </c>
      <c r="P775" t="s">
        <v>14797</v>
      </c>
      <c r="Q775" t="s">
        <v>11448</v>
      </c>
      <c r="S775" t="s">
        <v>14827</v>
      </c>
      <c r="U775" t="s">
        <v>601</v>
      </c>
      <c r="V775">
        <v>1350</v>
      </c>
      <c r="W775" t="s">
        <v>14858</v>
      </c>
      <c r="X775" t="s">
        <v>14864</v>
      </c>
      <c r="Y775" t="s">
        <v>14883</v>
      </c>
      <c r="Z775" t="s">
        <v>15647</v>
      </c>
      <c r="AB775" t="s">
        <v>20755</v>
      </c>
      <c r="AC775">
        <v>67</v>
      </c>
      <c r="AD775" t="s">
        <v>24595</v>
      </c>
      <c r="AE775" t="s">
        <v>11459</v>
      </c>
      <c r="AF775">
        <v>3</v>
      </c>
      <c r="AG775">
        <v>1</v>
      </c>
      <c r="AH775">
        <v>0</v>
      </c>
      <c r="AI775">
        <v>187.35</v>
      </c>
      <c r="AL775" t="s">
        <v>5011</v>
      </c>
      <c r="AM775">
        <v>23400</v>
      </c>
      <c r="AS775">
        <v>1.5</v>
      </c>
      <c r="AT775" t="s">
        <v>486</v>
      </c>
      <c r="AU775" t="s">
        <v>184</v>
      </c>
      <c r="AV775" t="s">
        <v>25335</v>
      </c>
      <c r="AW775" t="s">
        <v>11447</v>
      </c>
    </row>
    <row r="776" spans="1:49">
      <c r="A776" s="1">
        <f>HYPERLINK("https://lsnyc.legalserver.org/matter/dynamic-profile/view/1908982","19-1908982")</f>
        <v>0</v>
      </c>
      <c r="B776" t="s">
        <v>184</v>
      </c>
      <c r="C776" t="s">
        <v>640</v>
      </c>
      <c r="D776" t="s">
        <v>486</v>
      </c>
      <c r="E776" t="s">
        <v>1602</v>
      </c>
      <c r="F776" t="s">
        <v>4096</v>
      </c>
      <c r="G776" t="s">
        <v>7015</v>
      </c>
      <c r="H776" t="s">
        <v>10555</v>
      </c>
      <c r="I776" t="s">
        <v>11383</v>
      </c>
      <c r="J776">
        <v>10453</v>
      </c>
      <c r="K776" t="s">
        <v>11446</v>
      </c>
      <c r="M776" t="s">
        <v>11601</v>
      </c>
      <c r="N776" t="s">
        <v>14778</v>
      </c>
      <c r="O776" t="s">
        <v>14786</v>
      </c>
      <c r="P776" t="s">
        <v>14797</v>
      </c>
      <c r="Q776" t="s">
        <v>11448</v>
      </c>
      <c r="S776" t="s">
        <v>14827</v>
      </c>
      <c r="U776" t="s">
        <v>601</v>
      </c>
      <c r="V776">
        <v>1336.76</v>
      </c>
      <c r="W776" t="s">
        <v>14858</v>
      </c>
      <c r="X776" t="s">
        <v>14868</v>
      </c>
      <c r="Y776" t="s">
        <v>14883</v>
      </c>
      <c r="Z776" t="s">
        <v>15648</v>
      </c>
      <c r="AC776">
        <v>170</v>
      </c>
      <c r="AD776" t="s">
        <v>24595</v>
      </c>
      <c r="AE776" t="s">
        <v>11459</v>
      </c>
      <c r="AF776">
        <v>3</v>
      </c>
      <c r="AG776">
        <v>2</v>
      </c>
      <c r="AH776">
        <v>0</v>
      </c>
      <c r="AI776">
        <v>223.54</v>
      </c>
      <c r="AL776" t="s">
        <v>24632</v>
      </c>
      <c r="AM776">
        <v>37800</v>
      </c>
      <c r="AS776">
        <v>0.9</v>
      </c>
      <c r="AT776" t="s">
        <v>486</v>
      </c>
      <c r="AU776" t="s">
        <v>184</v>
      </c>
      <c r="AV776" t="s">
        <v>25335</v>
      </c>
      <c r="AW776" t="s">
        <v>11447</v>
      </c>
    </row>
    <row r="777" spans="1:49">
      <c r="A777" s="1">
        <f>HYPERLINK("https://lsnyc.legalserver.org/matter/dynamic-profile/view/1895441","19-1895441")</f>
        <v>0</v>
      </c>
      <c r="B777" t="s">
        <v>165</v>
      </c>
      <c r="C777" t="s">
        <v>643</v>
      </c>
      <c r="D777" t="s">
        <v>486</v>
      </c>
      <c r="E777" t="s">
        <v>1404</v>
      </c>
      <c r="F777" t="s">
        <v>4097</v>
      </c>
      <c r="G777" t="s">
        <v>7016</v>
      </c>
      <c r="H777" t="s">
        <v>10613</v>
      </c>
      <c r="I777" t="s">
        <v>11384</v>
      </c>
      <c r="J777">
        <v>10306</v>
      </c>
      <c r="K777" t="s">
        <v>11448</v>
      </c>
      <c r="L777" t="s">
        <v>11678</v>
      </c>
      <c r="M777" t="s">
        <v>14744</v>
      </c>
      <c r="N777" t="s">
        <v>14781</v>
      </c>
      <c r="O777" t="s">
        <v>14788</v>
      </c>
      <c r="P777" t="s">
        <v>14797</v>
      </c>
      <c r="Q777" t="s">
        <v>11448</v>
      </c>
      <c r="S777" t="s">
        <v>14827</v>
      </c>
      <c r="T777" t="s">
        <v>14832</v>
      </c>
      <c r="V777">
        <v>1200</v>
      </c>
      <c r="W777" t="s">
        <v>14862</v>
      </c>
      <c r="X777" t="s">
        <v>14863</v>
      </c>
      <c r="Y777" t="s">
        <v>14887</v>
      </c>
      <c r="Z777" t="s">
        <v>15649</v>
      </c>
      <c r="AC777">
        <v>0</v>
      </c>
      <c r="AF777">
        <v>2</v>
      </c>
      <c r="AG777">
        <v>2</v>
      </c>
      <c r="AH777">
        <v>0</v>
      </c>
      <c r="AI777">
        <v>114.96</v>
      </c>
      <c r="AL777" t="s">
        <v>5011</v>
      </c>
      <c r="AM777">
        <v>19440</v>
      </c>
      <c r="AS777">
        <v>17.65</v>
      </c>
      <c r="AT777" t="s">
        <v>467</v>
      </c>
      <c r="AU777" t="s">
        <v>165</v>
      </c>
      <c r="AW777" t="s">
        <v>11446</v>
      </c>
    </row>
    <row r="778" spans="1:49">
      <c r="A778" s="1">
        <f>HYPERLINK("https://lsnyc.legalserver.org/matter/dynamic-profile/view/1905577","19-1905577")</f>
        <v>0</v>
      </c>
      <c r="B778" t="s">
        <v>56</v>
      </c>
      <c r="C778" t="s">
        <v>555</v>
      </c>
      <c r="D778" t="s">
        <v>526</v>
      </c>
      <c r="E778" t="s">
        <v>1603</v>
      </c>
      <c r="F778" t="s">
        <v>4098</v>
      </c>
      <c r="G778" t="s">
        <v>7017</v>
      </c>
      <c r="H778" t="s">
        <v>10471</v>
      </c>
      <c r="I778" t="s">
        <v>11385</v>
      </c>
      <c r="J778">
        <v>11239</v>
      </c>
      <c r="K778" t="s">
        <v>11446</v>
      </c>
      <c r="L778" t="s">
        <v>11679</v>
      </c>
      <c r="M778" t="s">
        <v>14744</v>
      </c>
      <c r="N778" t="s">
        <v>14778</v>
      </c>
      <c r="O778" t="s">
        <v>14786</v>
      </c>
      <c r="P778" t="s">
        <v>14797</v>
      </c>
      <c r="Q778" t="s">
        <v>11448</v>
      </c>
      <c r="S778" t="s">
        <v>14827</v>
      </c>
      <c r="T778" t="s">
        <v>14832</v>
      </c>
      <c r="U778" t="s">
        <v>485</v>
      </c>
      <c r="V778">
        <v>989</v>
      </c>
      <c r="W778" t="s">
        <v>14859</v>
      </c>
      <c r="X778" t="s">
        <v>14863</v>
      </c>
      <c r="Y778" t="s">
        <v>14883</v>
      </c>
      <c r="Z778" t="s">
        <v>15650</v>
      </c>
      <c r="AA778" t="s">
        <v>11465</v>
      </c>
      <c r="AB778" t="s">
        <v>20756</v>
      </c>
      <c r="AC778">
        <v>55</v>
      </c>
      <c r="AD778" t="s">
        <v>11479</v>
      </c>
      <c r="AE778" t="s">
        <v>11459</v>
      </c>
      <c r="AF778">
        <v>6</v>
      </c>
      <c r="AG778">
        <v>1</v>
      </c>
      <c r="AH778">
        <v>0</v>
      </c>
      <c r="AI778">
        <v>166.53</v>
      </c>
      <c r="AL778" t="s">
        <v>5011</v>
      </c>
      <c r="AM778">
        <v>20800</v>
      </c>
      <c r="AS778">
        <v>0.6</v>
      </c>
      <c r="AT778" t="s">
        <v>526</v>
      </c>
      <c r="AU778" t="s">
        <v>25240</v>
      </c>
      <c r="AV778" t="s">
        <v>25335</v>
      </c>
      <c r="AW778" t="s">
        <v>11447</v>
      </c>
    </row>
    <row r="779" spans="1:49">
      <c r="A779" s="1">
        <f>HYPERLINK("https://lsnyc.legalserver.org/matter/dynamic-profile/view/1906981","19-1906981")</f>
        <v>0</v>
      </c>
      <c r="B779" t="s">
        <v>164</v>
      </c>
      <c r="C779" t="s">
        <v>368</v>
      </c>
      <c r="D779" t="s">
        <v>526</v>
      </c>
      <c r="E779" t="s">
        <v>1604</v>
      </c>
      <c r="F779" t="s">
        <v>4099</v>
      </c>
      <c r="G779" t="s">
        <v>7018</v>
      </c>
      <c r="I779" t="s">
        <v>11384</v>
      </c>
      <c r="J779">
        <v>10304</v>
      </c>
      <c r="K779" t="s">
        <v>11446</v>
      </c>
      <c r="L779" t="s">
        <v>11456</v>
      </c>
      <c r="M779" t="s">
        <v>11601</v>
      </c>
      <c r="N779" t="s">
        <v>14779</v>
      </c>
      <c r="O779" t="s">
        <v>14787</v>
      </c>
      <c r="P779" t="s">
        <v>14797</v>
      </c>
      <c r="Q779" t="s">
        <v>11448</v>
      </c>
      <c r="S779" t="s">
        <v>14827</v>
      </c>
      <c r="T779" t="s">
        <v>14832</v>
      </c>
      <c r="U779" t="s">
        <v>368</v>
      </c>
      <c r="V779">
        <v>1750</v>
      </c>
      <c r="W779" t="s">
        <v>14862</v>
      </c>
      <c r="X779" t="s">
        <v>14865</v>
      </c>
      <c r="Y779" t="s">
        <v>14883</v>
      </c>
      <c r="Z779" t="s">
        <v>15651</v>
      </c>
      <c r="AB779" t="s">
        <v>20757</v>
      </c>
      <c r="AC779">
        <v>1</v>
      </c>
      <c r="AD779" t="s">
        <v>24600</v>
      </c>
      <c r="AE779" t="s">
        <v>11459</v>
      </c>
      <c r="AF779">
        <v>5</v>
      </c>
      <c r="AG779">
        <v>2</v>
      </c>
      <c r="AH779">
        <v>2</v>
      </c>
      <c r="AI779">
        <v>96.33</v>
      </c>
      <c r="AL779" t="s">
        <v>5011</v>
      </c>
      <c r="AM779">
        <v>24804</v>
      </c>
      <c r="AS779">
        <v>1.65</v>
      </c>
      <c r="AT779" t="s">
        <v>526</v>
      </c>
      <c r="AU779" t="s">
        <v>25270</v>
      </c>
      <c r="AV779" t="s">
        <v>25335</v>
      </c>
      <c r="AW779" t="s">
        <v>11447</v>
      </c>
    </row>
    <row r="780" spans="1:49">
      <c r="A780" s="1">
        <f>HYPERLINK("https://lsnyc.legalserver.org/matter/dynamic-profile/view/1908992","19-1908992")</f>
        <v>0</v>
      </c>
      <c r="B780" t="s">
        <v>184</v>
      </c>
      <c r="C780" t="s">
        <v>640</v>
      </c>
      <c r="D780" t="s">
        <v>526</v>
      </c>
      <c r="E780" t="s">
        <v>1224</v>
      </c>
      <c r="F780" t="s">
        <v>4100</v>
      </c>
      <c r="G780" t="s">
        <v>7019</v>
      </c>
      <c r="H780" t="s">
        <v>10486</v>
      </c>
      <c r="I780" t="s">
        <v>11383</v>
      </c>
      <c r="J780">
        <v>10457</v>
      </c>
      <c r="K780" t="s">
        <v>11446</v>
      </c>
      <c r="M780" t="s">
        <v>11601</v>
      </c>
      <c r="N780" t="s">
        <v>14779</v>
      </c>
      <c r="O780" t="s">
        <v>14786</v>
      </c>
      <c r="P780" t="s">
        <v>14797</v>
      </c>
      <c r="Q780" t="s">
        <v>11448</v>
      </c>
      <c r="S780" t="s">
        <v>14827</v>
      </c>
      <c r="U780" t="s">
        <v>601</v>
      </c>
      <c r="V780">
        <v>2268</v>
      </c>
      <c r="W780" t="s">
        <v>14858</v>
      </c>
      <c r="X780" t="s">
        <v>14864</v>
      </c>
      <c r="Y780" t="s">
        <v>14883</v>
      </c>
      <c r="Z780" t="s">
        <v>15652</v>
      </c>
      <c r="AB780" t="s">
        <v>20758</v>
      </c>
      <c r="AC780">
        <v>3</v>
      </c>
      <c r="AD780" t="s">
        <v>24600</v>
      </c>
      <c r="AE780" t="s">
        <v>24610</v>
      </c>
      <c r="AF780">
        <v>1</v>
      </c>
      <c r="AG780">
        <v>1</v>
      </c>
      <c r="AH780">
        <v>0</v>
      </c>
      <c r="AI780">
        <v>89.45</v>
      </c>
      <c r="AL780" t="s">
        <v>24632</v>
      </c>
      <c r="AM780">
        <v>11172</v>
      </c>
      <c r="AS780">
        <v>3.5</v>
      </c>
      <c r="AT780" t="s">
        <v>526</v>
      </c>
      <c r="AU780" t="s">
        <v>184</v>
      </c>
      <c r="AV780" t="s">
        <v>25335</v>
      </c>
      <c r="AW780" t="s">
        <v>11447</v>
      </c>
    </row>
    <row r="781" spans="1:49">
      <c r="A781" s="1">
        <f>HYPERLINK("https://lsnyc.legalserver.org/matter/dynamic-profile/view/1910130","19-1910130")</f>
        <v>0</v>
      </c>
      <c r="B781" t="s">
        <v>184</v>
      </c>
      <c r="C781" t="s">
        <v>471</v>
      </c>
      <c r="D781" t="s">
        <v>526</v>
      </c>
      <c r="E781" t="s">
        <v>1605</v>
      </c>
      <c r="F781" t="s">
        <v>4101</v>
      </c>
      <c r="G781" t="s">
        <v>7020</v>
      </c>
      <c r="H781" t="s">
        <v>10716</v>
      </c>
      <c r="I781" t="s">
        <v>11383</v>
      </c>
      <c r="J781">
        <v>10452</v>
      </c>
      <c r="K781" t="s">
        <v>11446</v>
      </c>
      <c r="M781" t="s">
        <v>11601</v>
      </c>
      <c r="N781" t="s">
        <v>14778</v>
      </c>
      <c r="O781" t="s">
        <v>14786</v>
      </c>
      <c r="P781" t="s">
        <v>14797</v>
      </c>
      <c r="Q781" t="s">
        <v>11448</v>
      </c>
      <c r="S781" t="s">
        <v>14827</v>
      </c>
      <c r="U781" t="s">
        <v>601</v>
      </c>
      <c r="V781">
        <v>640</v>
      </c>
      <c r="W781" t="s">
        <v>14858</v>
      </c>
      <c r="X781" t="s">
        <v>14864</v>
      </c>
      <c r="Y781" t="s">
        <v>14883</v>
      </c>
      <c r="Z781" t="s">
        <v>15653</v>
      </c>
      <c r="AC781">
        <v>59</v>
      </c>
      <c r="AD781" t="s">
        <v>24608</v>
      </c>
      <c r="AE781" t="s">
        <v>11459</v>
      </c>
      <c r="AF781">
        <v>1</v>
      </c>
      <c r="AG781">
        <v>1</v>
      </c>
      <c r="AH781">
        <v>1</v>
      </c>
      <c r="AI781">
        <v>92.25</v>
      </c>
      <c r="AL781" t="s">
        <v>24632</v>
      </c>
      <c r="AM781">
        <v>15600</v>
      </c>
      <c r="AS781">
        <v>1.6</v>
      </c>
      <c r="AT781" t="s">
        <v>526</v>
      </c>
      <c r="AU781" t="s">
        <v>184</v>
      </c>
      <c r="AV781" t="s">
        <v>25335</v>
      </c>
      <c r="AW781" t="s">
        <v>11447</v>
      </c>
    </row>
    <row r="782" spans="1:49">
      <c r="A782" s="1">
        <f>HYPERLINK("https://lsnyc.legalserver.org/matter/dynamic-profile/view/1910061","19-1910061")</f>
        <v>0</v>
      </c>
      <c r="B782" t="s">
        <v>184</v>
      </c>
      <c r="C782" t="s">
        <v>471</v>
      </c>
      <c r="D782" t="s">
        <v>526</v>
      </c>
      <c r="E782" t="s">
        <v>1264</v>
      </c>
      <c r="F782" t="s">
        <v>4102</v>
      </c>
      <c r="G782" t="s">
        <v>7021</v>
      </c>
      <c r="H782" t="s">
        <v>10557</v>
      </c>
      <c r="I782" t="s">
        <v>11383</v>
      </c>
      <c r="J782">
        <v>10452</v>
      </c>
      <c r="K782" t="s">
        <v>11446</v>
      </c>
      <c r="M782" t="s">
        <v>11601</v>
      </c>
      <c r="N782" t="s">
        <v>14779</v>
      </c>
      <c r="O782" t="s">
        <v>14787</v>
      </c>
      <c r="P782" t="s">
        <v>14797</v>
      </c>
      <c r="Q782" t="s">
        <v>11448</v>
      </c>
      <c r="S782" t="s">
        <v>14827</v>
      </c>
      <c r="U782" t="s">
        <v>601</v>
      </c>
      <c r="V782">
        <v>930.77</v>
      </c>
      <c r="W782" t="s">
        <v>14858</v>
      </c>
      <c r="X782" t="s">
        <v>14864</v>
      </c>
      <c r="Y782" t="s">
        <v>14885</v>
      </c>
      <c r="Z782" t="s">
        <v>15654</v>
      </c>
      <c r="AB782" t="s">
        <v>20759</v>
      </c>
      <c r="AC782">
        <v>63</v>
      </c>
      <c r="AD782" t="s">
        <v>24595</v>
      </c>
      <c r="AE782" t="s">
        <v>11459</v>
      </c>
      <c r="AF782">
        <v>30</v>
      </c>
      <c r="AG782">
        <v>1</v>
      </c>
      <c r="AH782">
        <v>0</v>
      </c>
      <c r="AI782">
        <v>547.64</v>
      </c>
      <c r="AL782" t="s">
        <v>5011</v>
      </c>
      <c r="AM782">
        <v>68400</v>
      </c>
      <c r="AS782">
        <v>3.5</v>
      </c>
      <c r="AT782" t="s">
        <v>526</v>
      </c>
      <c r="AU782" t="s">
        <v>184</v>
      </c>
      <c r="AV782" t="s">
        <v>25335</v>
      </c>
      <c r="AW782" t="s">
        <v>11447</v>
      </c>
    </row>
    <row r="783" spans="1:49">
      <c r="A783" s="1">
        <f>HYPERLINK("https://lsnyc.legalserver.org/matter/dynamic-profile/view/1905507","19-1905507")</f>
        <v>0</v>
      </c>
      <c r="B783" t="s">
        <v>165</v>
      </c>
      <c r="C783" t="s">
        <v>555</v>
      </c>
      <c r="D783" t="s">
        <v>526</v>
      </c>
      <c r="E783" t="s">
        <v>1606</v>
      </c>
      <c r="F783" t="s">
        <v>4103</v>
      </c>
      <c r="G783" t="s">
        <v>7022</v>
      </c>
      <c r="H783" t="s">
        <v>10717</v>
      </c>
      <c r="I783" t="s">
        <v>11384</v>
      </c>
      <c r="J783">
        <v>10304</v>
      </c>
      <c r="K783" t="s">
        <v>11446</v>
      </c>
      <c r="L783" t="s">
        <v>11680</v>
      </c>
      <c r="M783" t="s">
        <v>14744</v>
      </c>
      <c r="N783" t="s">
        <v>14781</v>
      </c>
      <c r="O783" t="s">
        <v>14788</v>
      </c>
      <c r="P783" t="s">
        <v>14797</v>
      </c>
      <c r="Q783" t="s">
        <v>11448</v>
      </c>
      <c r="S783" t="s">
        <v>14827</v>
      </c>
      <c r="T783" t="s">
        <v>14832</v>
      </c>
      <c r="V783">
        <v>500</v>
      </c>
      <c r="W783" t="s">
        <v>14862</v>
      </c>
      <c r="X783" t="s">
        <v>14863</v>
      </c>
      <c r="Y783" t="s">
        <v>14887</v>
      </c>
      <c r="Z783" t="s">
        <v>15655</v>
      </c>
      <c r="AB783" t="s">
        <v>20760</v>
      </c>
      <c r="AC783">
        <v>361</v>
      </c>
      <c r="AD783" t="s">
        <v>24595</v>
      </c>
      <c r="AE783" t="s">
        <v>11459</v>
      </c>
      <c r="AF783">
        <v>11</v>
      </c>
      <c r="AG783">
        <v>1</v>
      </c>
      <c r="AH783">
        <v>1</v>
      </c>
      <c r="AI783">
        <v>92.25</v>
      </c>
      <c r="AL783" t="s">
        <v>5011</v>
      </c>
      <c r="AM783">
        <v>15600</v>
      </c>
      <c r="AS783">
        <v>6.15</v>
      </c>
      <c r="AT783" t="s">
        <v>526</v>
      </c>
      <c r="AU783" t="s">
        <v>25270</v>
      </c>
      <c r="AV783" t="s">
        <v>25335</v>
      </c>
      <c r="AW783" t="s">
        <v>11447</v>
      </c>
    </row>
    <row r="784" spans="1:49">
      <c r="A784" s="1">
        <f>HYPERLINK("https://lsnyc.legalserver.org/matter/dynamic-profile/view/1910667","19-1910667")</f>
        <v>0</v>
      </c>
      <c r="B784" t="s">
        <v>59</v>
      </c>
      <c r="C784" t="s">
        <v>644</v>
      </c>
      <c r="D784" t="s">
        <v>505</v>
      </c>
      <c r="E784" t="s">
        <v>1438</v>
      </c>
      <c r="F784" t="s">
        <v>3814</v>
      </c>
      <c r="G784" t="s">
        <v>7023</v>
      </c>
      <c r="H784">
        <v>2</v>
      </c>
      <c r="I784" t="s">
        <v>11410</v>
      </c>
      <c r="J784">
        <v>11692</v>
      </c>
      <c r="K784" t="s">
        <v>11446</v>
      </c>
      <c r="L784" t="s">
        <v>11594</v>
      </c>
      <c r="M784" t="s">
        <v>14743</v>
      </c>
      <c r="N784" t="s">
        <v>14778</v>
      </c>
      <c r="O784" t="s">
        <v>14786</v>
      </c>
      <c r="P784" t="s">
        <v>14797</v>
      </c>
      <c r="Q784" t="s">
        <v>11448</v>
      </c>
      <c r="S784" t="s">
        <v>14827</v>
      </c>
      <c r="T784" t="s">
        <v>14837</v>
      </c>
      <c r="U784" t="s">
        <v>644</v>
      </c>
      <c r="V784">
        <v>250</v>
      </c>
      <c r="W784" t="s">
        <v>14861</v>
      </c>
      <c r="X784" t="s">
        <v>14865</v>
      </c>
      <c r="Y784" t="s">
        <v>14883</v>
      </c>
      <c r="Z784" t="s">
        <v>15401</v>
      </c>
      <c r="AA784" t="s">
        <v>19367</v>
      </c>
      <c r="AB784" t="s">
        <v>20534</v>
      </c>
      <c r="AC784">
        <v>2</v>
      </c>
      <c r="AD784" t="s">
        <v>24600</v>
      </c>
      <c r="AE784" t="s">
        <v>24610</v>
      </c>
      <c r="AF784">
        <v>5</v>
      </c>
      <c r="AG784">
        <v>1</v>
      </c>
      <c r="AH784">
        <v>0</v>
      </c>
      <c r="AI784">
        <v>0</v>
      </c>
      <c r="AL784" t="s">
        <v>5011</v>
      </c>
      <c r="AM784">
        <v>0</v>
      </c>
      <c r="AS784">
        <v>1.4</v>
      </c>
      <c r="AT784" t="s">
        <v>663</v>
      </c>
      <c r="AU784" t="s">
        <v>25233</v>
      </c>
      <c r="AV784" t="s">
        <v>25335</v>
      </c>
      <c r="AW784" t="s">
        <v>11447</v>
      </c>
    </row>
    <row r="785" spans="1:49">
      <c r="A785" s="1">
        <f>HYPERLINK("https://lsnyc.legalserver.org/matter/dynamic-profile/view/1907361","19-1907361")</f>
        <v>0</v>
      </c>
      <c r="B785" t="s">
        <v>55</v>
      </c>
      <c r="C785" t="s">
        <v>368</v>
      </c>
      <c r="D785" t="s">
        <v>505</v>
      </c>
      <c r="E785" t="s">
        <v>1607</v>
      </c>
      <c r="F785" t="s">
        <v>4104</v>
      </c>
      <c r="G785" t="s">
        <v>7024</v>
      </c>
      <c r="H785" t="s">
        <v>10718</v>
      </c>
      <c r="I785" t="s">
        <v>11386</v>
      </c>
      <c r="J785">
        <v>10029</v>
      </c>
      <c r="K785" t="s">
        <v>11446</v>
      </c>
      <c r="N785" t="s">
        <v>14779</v>
      </c>
      <c r="O785" t="s">
        <v>14787</v>
      </c>
      <c r="P785" t="s">
        <v>14797</v>
      </c>
      <c r="S785" t="s">
        <v>14827</v>
      </c>
      <c r="V785">
        <v>488</v>
      </c>
      <c r="W785" t="s">
        <v>14860</v>
      </c>
      <c r="X785" t="s">
        <v>14863</v>
      </c>
      <c r="Y785" t="s">
        <v>14884</v>
      </c>
      <c r="Z785" t="s">
        <v>15656</v>
      </c>
      <c r="AB785" t="s">
        <v>20761</v>
      </c>
      <c r="AC785">
        <v>10</v>
      </c>
      <c r="AF785">
        <v>19</v>
      </c>
      <c r="AG785">
        <v>1</v>
      </c>
      <c r="AH785">
        <v>0</v>
      </c>
      <c r="AI785">
        <v>86.28</v>
      </c>
      <c r="AL785" t="s">
        <v>24632</v>
      </c>
      <c r="AM785">
        <v>10776</v>
      </c>
      <c r="AS785">
        <v>1.5</v>
      </c>
      <c r="AT785" t="s">
        <v>464</v>
      </c>
      <c r="AU785" t="s">
        <v>25238</v>
      </c>
      <c r="AV785" t="s">
        <v>25335</v>
      </c>
      <c r="AW785" t="s">
        <v>11447</v>
      </c>
    </row>
    <row r="786" spans="1:49">
      <c r="A786" s="1">
        <f>HYPERLINK("https://lsnyc.legalserver.org/matter/dynamic-profile/view/1908731","19-1908731")</f>
        <v>0</v>
      </c>
      <c r="B786" t="s">
        <v>55</v>
      </c>
      <c r="C786" t="s">
        <v>410</v>
      </c>
      <c r="D786" t="s">
        <v>505</v>
      </c>
      <c r="E786" t="s">
        <v>1523</v>
      </c>
      <c r="F786" t="s">
        <v>4105</v>
      </c>
      <c r="G786" t="s">
        <v>7025</v>
      </c>
      <c r="H786" t="s">
        <v>10719</v>
      </c>
      <c r="I786" t="s">
        <v>11386</v>
      </c>
      <c r="J786">
        <v>10034</v>
      </c>
      <c r="K786" t="s">
        <v>11446</v>
      </c>
      <c r="N786" t="s">
        <v>14779</v>
      </c>
      <c r="O786" t="s">
        <v>14787</v>
      </c>
      <c r="P786" t="s">
        <v>14797</v>
      </c>
      <c r="S786" t="s">
        <v>14827</v>
      </c>
      <c r="V786">
        <v>0</v>
      </c>
      <c r="W786" t="s">
        <v>14860</v>
      </c>
      <c r="Y786" t="s">
        <v>14884</v>
      </c>
      <c r="Z786" t="s">
        <v>15657</v>
      </c>
      <c r="AB786" t="s">
        <v>20762</v>
      </c>
      <c r="AC786">
        <v>0</v>
      </c>
      <c r="AF786">
        <v>0</v>
      </c>
      <c r="AG786">
        <v>1</v>
      </c>
      <c r="AH786">
        <v>0</v>
      </c>
      <c r="AI786">
        <v>134.41</v>
      </c>
      <c r="AL786" t="s">
        <v>5011</v>
      </c>
      <c r="AM786">
        <v>16788</v>
      </c>
      <c r="AS786">
        <v>0.6</v>
      </c>
      <c r="AT786" t="s">
        <v>410</v>
      </c>
      <c r="AU786" t="s">
        <v>25229</v>
      </c>
      <c r="AV786" t="s">
        <v>25335</v>
      </c>
      <c r="AW786" t="s">
        <v>11447</v>
      </c>
    </row>
    <row r="787" spans="1:49">
      <c r="A787" s="1">
        <f>HYPERLINK("https://lsnyc.legalserver.org/matter/dynamic-profile/view/1902336","19-1902336")</f>
        <v>0</v>
      </c>
      <c r="B787" t="s">
        <v>66</v>
      </c>
      <c r="C787" t="s">
        <v>362</v>
      </c>
      <c r="D787" t="s">
        <v>505</v>
      </c>
      <c r="E787" t="s">
        <v>1608</v>
      </c>
      <c r="F787" t="s">
        <v>1840</v>
      </c>
      <c r="G787" t="s">
        <v>7026</v>
      </c>
      <c r="H787">
        <v>1</v>
      </c>
      <c r="I787" t="s">
        <v>11385</v>
      </c>
      <c r="J787">
        <v>11233</v>
      </c>
      <c r="K787" t="s">
        <v>11448</v>
      </c>
      <c r="L787" t="s">
        <v>11456</v>
      </c>
      <c r="M787" t="s">
        <v>11601</v>
      </c>
      <c r="O787" t="s">
        <v>14786</v>
      </c>
      <c r="P787" t="s">
        <v>14797</v>
      </c>
      <c r="Q787" t="s">
        <v>11448</v>
      </c>
      <c r="S787" t="s">
        <v>14827</v>
      </c>
      <c r="T787" t="s">
        <v>14832</v>
      </c>
      <c r="V787">
        <v>1300</v>
      </c>
      <c r="W787" t="s">
        <v>14859</v>
      </c>
      <c r="X787" t="s">
        <v>14867</v>
      </c>
      <c r="Y787" t="s">
        <v>14883</v>
      </c>
      <c r="Z787" t="s">
        <v>15658</v>
      </c>
      <c r="AA787" t="s">
        <v>19336</v>
      </c>
      <c r="AB787" t="s">
        <v>20763</v>
      </c>
      <c r="AC787">
        <v>3</v>
      </c>
      <c r="AD787" t="s">
        <v>24600</v>
      </c>
      <c r="AE787" t="s">
        <v>11459</v>
      </c>
      <c r="AF787">
        <v>9</v>
      </c>
      <c r="AG787">
        <v>2</v>
      </c>
      <c r="AH787">
        <v>0</v>
      </c>
      <c r="AI787">
        <v>159.67</v>
      </c>
      <c r="AL787" t="s">
        <v>5011</v>
      </c>
      <c r="AM787">
        <v>27000</v>
      </c>
      <c r="AN787" t="s">
        <v>24733</v>
      </c>
      <c r="AS787">
        <v>1</v>
      </c>
      <c r="AT787" t="s">
        <v>362</v>
      </c>
      <c r="AU787" t="s">
        <v>25227</v>
      </c>
      <c r="AV787" t="s">
        <v>11459</v>
      </c>
      <c r="AW787" t="s">
        <v>11447</v>
      </c>
    </row>
    <row r="788" spans="1:49">
      <c r="A788" s="1">
        <f>HYPERLINK("https://lsnyc.legalserver.org/matter/dynamic-profile/view/1905901","19-1905901")</f>
        <v>0</v>
      </c>
      <c r="B788" t="s">
        <v>116</v>
      </c>
      <c r="C788" t="s">
        <v>500</v>
      </c>
      <c r="D788" t="s">
        <v>505</v>
      </c>
      <c r="E788" t="s">
        <v>1609</v>
      </c>
      <c r="F788" t="s">
        <v>3856</v>
      </c>
      <c r="G788" t="s">
        <v>7027</v>
      </c>
      <c r="H788">
        <v>2</v>
      </c>
      <c r="I788" t="s">
        <v>11383</v>
      </c>
      <c r="J788">
        <v>10456</v>
      </c>
      <c r="K788" t="s">
        <v>11446</v>
      </c>
      <c r="M788" t="s">
        <v>11601</v>
      </c>
      <c r="N788" t="s">
        <v>14778</v>
      </c>
      <c r="O788" t="s">
        <v>14786</v>
      </c>
      <c r="P788" t="s">
        <v>14797</v>
      </c>
      <c r="Q788" t="s">
        <v>11448</v>
      </c>
      <c r="S788" t="s">
        <v>14827</v>
      </c>
      <c r="V788">
        <v>1800.2</v>
      </c>
      <c r="W788" t="s">
        <v>14858</v>
      </c>
      <c r="X788" t="s">
        <v>14864</v>
      </c>
      <c r="Y788" t="s">
        <v>14883</v>
      </c>
      <c r="Z788" t="s">
        <v>15659</v>
      </c>
      <c r="AC788">
        <v>6</v>
      </c>
      <c r="AD788" t="s">
        <v>24595</v>
      </c>
      <c r="AE788" t="s">
        <v>24616</v>
      </c>
      <c r="AF788">
        <v>1</v>
      </c>
      <c r="AG788">
        <v>2</v>
      </c>
      <c r="AH788">
        <v>1</v>
      </c>
      <c r="AI788">
        <v>180.23</v>
      </c>
      <c r="AL788" t="s">
        <v>5011</v>
      </c>
      <c r="AM788">
        <v>38444</v>
      </c>
      <c r="AS788">
        <v>0.01</v>
      </c>
      <c r="AT788" t="s">
        <v>505</v>
      </c>
      <c r="AU788" t="s">
        <v>25242</v>
      </c>
      <c r="AV788" t="s">
        <v>25335</v>
      </c>
      <c r="AW788" t="s">
        <v>11447</v>
      </c>
    </row>
    <row r="789" spans="1:49">
      <c r="A789" s="1">
        <f>HYPERLINK("https://lsnyc.legalserver.org/matter/dynamic-profile/view/1908883","19-1908883")</f>
        <v>0</v>
      </c>
      <c r="B789" t="s">
        <v>55</v>
      </c>
      <c r="C789" t="s">
        <v>640</v>
      </c>
      <c r="D789" t="s">
        <v>505</v>
      </c>
      <c r="E789" t="s">
        <v>1610</v>
      </c>
      <c r="F789" t="s">
        <v>1272</v>
      </c>
      <c r="G789" t="s">
        <v>7028</v>
      </c>
      <c r="H789">
        <v>4</v>
      </c>
      <c r="I789" t="s">
        <v>11383</v>
      </c>
      <c r="J789">
        <v>10470</v>
      </c>
      <c r="K789" t="s">
        <v>11447</v>
      </c>
      <c r="N789" t="s">
        <v>14779</v>
      </c>
      <c r="O789" t="s">
        <v>14787</v>
      </c>
      <c r="P789" t="s">
        <v>14797</v>
      </c>
      <c r="S789" t="s">
        <v>14827</v>
      </c>
      <c r="V789">
        <v>0</v>
      </c>
      <c r="W789" t="s">
        <v>14860</v>
      </c>
      <c r="Y789" t="s">
        <v>14884</v>
      </c>
      <c r="Z789" t="s">
        <v>15660</v>
      </c>
      <c r="AB789" t="s">
        <v>20764</v>
      </c>
      <c r="AC789">
        <v>0</v>
      </c>
      <c r="AF789">
        <v>0</v>
      </c>
      <c r="AG789">
        <v>1</v>
      </c>
      <c r="AH789">
        <v>0</v>
      </c>
      <c r="AI789">
        <v>187.35</v>
      </c>
      <c r="AL789" t="s">
        <v>5011</v>
      </c>
      <c r="AM789">
        <v>23400</v>
      </c>
      <c r="AS789">
        <v>0.7</v>
      </c>
      <c r="AT789" t="s">
        <v>640</v>
      </c>
      <c r="AU789" t="s">
        <v>25229</v>
      </c>
      <c r="AW789" t="s">
        <v>11447</v>
      </c>
    </row>
    <row r="790" spans="1:49">
      <c r="A790" s="1">
        <f>HYPERLINK("https://lsnyc.legalserver.org/matter/dynamic-profile/view/1911744","19-1911744")</f>
        <v>0</v>
      </c>
      <c r="B790" t="s">
        <v>102</v>
      </c>
      <c r="C790" t="s">
        <v>505</v>
      </c>
      <c r="D790" t="s">
        <v>505</v>
      </c>
      <c r="E790" t="s">
        <v>1048</v>
      </c>
      <c r="F790" t="s">
        <v>4106</v>
      </c>
      <c r="G790" t="s">
        <v>7029</v>
      </c>
      <c r="H790" t="s">
        <v>10464</v>
      </c>
      <c r="I790" t="s">
        <v>11383</v>
      </c>
      <c r="J790">
        <v>10452</v>
      </c>
      <c r="K790" t="s">
        <v>11446</v>
      </c>
      <c r="M790" t="s">
        <v>14745</v>
      </c>
      <c r="N790" t="s">
        <v>14779</v>
      </c>
      <c r="O790" t="s">
        <v>14787</v>
      </c>
      <c r="P790" t="s">
        <v>14797</v>
      </c>
      <c r="Q790" t="s">
        <v>11448</v>
      </c>
      <c r="S790" t="s">
        <v>14827</v>
      </c>
      <c r="V790">
        <v>1038</v>
      </c>
      <c r="W790" t="s">
        <v>14858</v>
      </c>
      <c r="X790" t="s">
        <v>14867</v>
      </c>
      <c r="Y790" t="s">
        <v>14884</v>
      </c>
      <c r="Z790" t="s">
        <v>15661</v>
      </c>
      <c r="AC790">
        <v>0</v>
      </c>
      <c r="AD790" t="s">
        <v>24595</v>
      </c>
      <c r="AF790">
        <v>17</v>
      </c>
      <c r="AG790">
        <v>3</v>
      </c>
      <c r="AH790">
        <v>0</v>
      </c>
      <c r="AI790">
        <v>305.91</v>
      </c>
      <c r="AL790" t="s">
        <v>5011</v>
      </c>
      <c r="AM790">
        <v>65250</v>
      </c>
      <c r="AS790">
        <v>2.4</v>
      </c>
      <c r="AT790" t="s">
        <v>505</v>
      </c>
      <c r="AU790" t="s">
        <v>102</v>
      </c>
      <c r="AV790" t="s">
        <v>25335</v>
      </c>
      <c r="AW790" t="s">
        <v>11447</v>
      </c>
    </row>
    <row r="791" spans="1:49">
      <c r="A791" s="1">
        <f>HYPERLINK("https://lsnyc.legalserver.org/matter/dynamic-profile/view/1910053","19-1910053")</f>
        <v>0</v>
      </c>
      <c r="B791" t="s">
        <v>55</v>
      </c>
      <c r="C791" t="s">
        <v>471</v>
      </c>
      <c r="D791" t="s">
        <v>505</v>
      </c>
      <c r="E791" t="s">
        <v>1521</v>
      </c>
      <c r="F791" t="s">
        <v>4019</v>
      </c>
      <c r="G791" t="s">
        <v>6902</v>
      </c>
      <c r="H791">
        <v>33</v>
      </c>
      <c r="I791" t="s">
        <v>11386</v>
      </c>
      <c r="J791">
        <v>10040</v>
      </c>
      <c r="K791" t="s">
        <v>11446</v>
      </c>
      <c r="N791" t="s">
        <v>14779</v>
      </c>
      <c r="O791" t="s">
        <v>14787</v>
      </c>
      <c r="P791" t="s">
        <v>14797</v>
      </c>
      <c r="S791" t="s">
        <v>14827</v>
      </c>
      <c r="V791">
        <v>0</v>
      </c>
      <c r="W791" t="s">
        <v>14860</v>
      </c>
      <c r="Y791" t="s">
        <v>14884</v>
      </c>
      <c r="Z791" t="s">
        <v>15533</v>
      </c>
      <c r="AB791" t="s">
        <v>20651</v>
      </c>
      <c r="AC791">
        <v>0</v>
      </c>
      <c r="AF791">
        <v>0</v>
      </c>
      <c r="AG791">
        <v>1</v>
      </c>
      <c r="AH791">
        <v>0</v>
      </c>
      <c r="AI791">
        <v>480.38</v>
      </c>
      <c r="AL791" t="s">
        <v>5011</v>
      </c>
      <c r="AM791">
        <v>60000</v>
      </c>
      <c r="AS791">
        <v>1</v>
      </c>
      <c r="AT791" t="s">
        <v>505</v>
      </c>
      <c r="AU791" t="s">
        <v>137</v>
      </c>
      <c r="AV791" t="s">
        <v>25335</v>
      </c>
      <c r="AW791" t="s">
        <v>11447</v>
      </c>
    </row>
    <row r="792" spans="1:49">
      <c r="A792" s="1">
        <f>HYPERLINK("https://lsnyc.legalserver.org/matter/dynamic-profile/view/1911798","19-1911798")</f>
        <v>0</v>
      </c>
      <c r="B792" t="s">
        <v>56</v>
      </c>
      <c r="C792" t="s">
        <v>645</v>
      </c>
      <c r="D792" t="s">
        <v>645</v>
      </c>
      <c r="E792" t="s">
        <v>1611</v>
      </c>
      <c r="F792" t="s">
        <v>1178</v>
      </c>
      <c r="G792" t="s">
        <v>7030</v>
      </c>
      <c r="I792" t="s">
        <v>11385</v>
      </c>
      <c r="J792">
        <v>11208</v>
      </c>
      <c r="K792" t="s">
        <v>11446</v>
      </c>
      <c r="M792" t="s">
        <v>14765</v>
      </c>
      <c r="N792" t="s">
        <v>14778</v>
      </c>
      <c r="O792" t="s">
        <v>14786</v>
      </c>
      <c r="P792" t="s">
        <v>14797</v>
      </c>
      <c r="Q792" t="s">
        <v>11448</v>
      </c>
      <c r="S792" t="s">
        <v>14827</v>
      </c>
      <c r="U792" t="s">
        <v>508</v>
      </c>
      <c r="V792">
        <v>0</v>
      </c>
      <c r="W792" t="s">
        <v>14859</v>
      </c>
      <c r="X792" t="s">
        <v>14864</v>
      </c>
      <c r="Y792" t="s">
        <v>14883</v>
      </c>
      <c r="Z792" t="s">
        <v>15662</v>
      </c>
      <c r="AC792">
        <v>6</v>
      </c>
      <c r="AF792">
        <v>0</v>
      </c>
      <c r="AG792">
        <v>1</v>
      </c>
      <c r="AH792">
        <v>3</v>
      </c>
      <c r="AI792">
        <v>0</v>
      </c>
      <c r="AL792" t="s">
        <v>5011</v>
      </c>
      <c r="AM792">
        <v>0</v>
      </c>
      <c r="AS792">
        <v>0.2</v>
      </c>
      <c r="AT792" t="s">
        <v>645</v>
      </c>
      <c r="AU792" t="s">
        <v>66</v>
      </c>
      <c r="AV792" t="s">
        <v>25335</v>
      </c>
      <c r="AW792" t="s">
        <v>11447</v>
      </c>
    </row>
    <row r="793" spans="1:49">
      <c r="A793" s="1">
        <f>HYPERLINK("https://lsnyc.legalserver.org/matter/dynamic-profile/view/1911205","19-1911205")</f>
        <v>0</v>
      </c>
      <c r="B793" t="s">
        <v>198</v>
      </c>
      <c r="C793" t="s">
        <v>475</v>
      </c>
      <c r="D793" t="s">
        <v>645</v>
      </c>
      <c r="E793" t="s">
        <v>1256</v>
      </c>
      <c r="F793" t="s">
        <v>4107</v>
      </c>
      <c r="G793" t="s">
        <v>7031</v>
      </c>
      <c r="I793" t="s">
        <v>11385</v>
      </c>
      <c r="J793">
        <v>11233</v>
      </c>
      <c r="K793" t="s">
        <v>11446</v>
      </c>
      <c r="L793" t="s">
        <v>11681</v>
      </c>
      <c r="M793" t="s">
        <v>14744</v>
      </c>
      <c r="O793" t="s">
        <v>14786</v>
      </c>
      <c r="P793" t="s">
        <v>14797</v>
      </c>
      <c r="S793" t="s">
        <v>14827</v>
      </c>
      <c r="V793">
        <v>0</v>
      </c>
      <c r="W793" t="s">
        <v>14859</v>
      </c>
      <c r="X793" t="s">
        <v>14871</v>
      </c>
      <c r="Y793" t="s">
        <v>14883</v>
      </c>
      <c r="Z793" t="s">
        <v>15663</v>
      </c>
      <c r="AB793" t="s">
        <v>20765</v>
      </c>
      <c r="AC793">
        <v>0</v>
      </c>
      <c r="AF793">
        <v>0</v>
      </c>
      <c r="AG793">
        <v>1</v>
      </c>
      <c r="AH793">
        <v>2</v>
      </c>
      <c r="AI793">
        <v>0</v>
      </c>
      <c r="AL793" t="s">
        <v>5011</v>
      </c>
      <c r="AM793">
        <v>0</v>
      </c>
      <c r="AS793">
        <v>1</v>
      </c>
      <c r="AT793" t="s">
        <v>475</v>
      </c>
      <c r="AU793" t="s">
        <v>25275</v>
      </c>
      <c r="AV793" t="s">
        <v>25335</v>
      </c>
      <c r="AW793" t="s">
        <v>11447</v>
      </c>
    </row>
    <row r="794" spans="1:49">
      <c r="A794" s="1">
        <f>HYPERLINK("https://lsnyc.legalserver.org/matter/dynamic-profile/view/1908569","19-1908569")</f>
        <v>0</v>
      </c>
      <c r="B794" t="s">
        <v>172</v>
      </c>
      <c r="C794" t="s">
        <v>466</v>
      </c>
      <c r="D794" t="s">
        <v>586</v>
      </c>
      <c r="E794" t="s">
        <v>1261</v>
      </c>
      <c r="F794" t="s">
        <v>4025</v>
      </c>
      <c r="G794" t="s">
        <v>7032</v>
      </c>
      <c r="H794" t="s">
        <v>10557</v>
      </c>
      <c r="I794" t="s">
        <v>11386</v>
      </c>
      <c r="J794">
        <v>10032</v>
      </c>
      <c r="K794" t="s">
        <v>11446</v>
      </c>
      <c r="M794" t="s">
        <v>11601</v>
      </c>
      <c r="N794" t="s">
        <v>14778</v>
      </c>
      <c r="O794" t="s">
        <v>14786</v>
      </c>
      <c r="P794" t="s">
        <v>14797</v>
      </c>
      <c r="Q794" t="s">
        <v>11448</v>
      </c>
      <c r="S794" t="s">
        <v>14827</v>
      </c>
      <c r="U794" t="s">
        <v>466</v>
      </c>
      <c r="V794">
        <v>606.5599999999999</v>
      </c>
      <c r="W794" t="s">
        <v>14860</v>
      </c>
      <c r="X794" t="s">
        <v>14876</v>
      </c>
      <c r="Y794" t="s">
        <v>14883</v>
      </c>
      <c r="Z794" t="s">
        <v>15664</v>
      </c>
      <c r="AB794" t="s">
        <v>20766</v>
      </c>
      <c r="AC794">
        <v>202</v>
      </c>
      <c r="AD794" t="s">
        <v>24595</v>
      </c>
      <c r="AE794" t="s">
        <v>24613</v>
      </c>
      <c r="AF794">
        <v>7</v>
      </c>
      <c r="AG794">
        <v>1</v>
      </c>
      <c r="AH794">
        <v>0</v>
      </c>
      <c r="AI794">
        <v>101.07</v>
      </c>
      <c r="AL794" t="s">
        <v>5011</v>
      </c>
      <c r="AM794">
        <v>12624</v>
      </c>
      <c r="AS794">
        <v>2.52</v>
      </c>
      <c r="AT794" t="s">
        <v>505</v>
      </c>
      <c r="AU794" t="s">
        <v>25276</v>
      </c>
      <c r="AV794" t="s">
        <v>25335</v>
      </c>
      <c r="AW794" t="s">
        <v>11447</v>
      </c>
    </row>
    <row r="795" spans="1:49">
      <c r="A795" s="1">
        <f>HYPERLINK("https://lsnyc.legalserver.org/matter/dynamic-profile/view/1908556","19-1908556")</f>
        <v>0</v>
      </c>
      <c r="B795" t="s">
        <v>172</v>
      </c>
      <c r="C795" t="s">
        <v>466</v>
      </c>
      <c r="D795" t="s">
        <v>586</v>
      </c>
      <c r="E795" t="s">
        <v>1329</v>
      </c>
      <c r="F795" t="s">
        <v>3758</v>
      </c>
      <c r="G795" t="s">
        <v>7033</v>
      </c>
      <c r="I795" t="s">
        <v>11386</v>
      </c>
      <c r="J795">
        <v>10033</v>
      </c>
      <c r="K795" t="s">
        <v>11446</v>
      </c>
      <c r="M795" t="s">
        <v>11601</v>
      </c>
      <c r="N795" t="s">
        <v>14778</v>
      </c>
      <c r="O795" t="s">
        <v>14786</v>
      </c>
      <c r="P795" t="s">
        <v>14797</v>
      </c>
      <c r="Q795" t="s">
        <v>11448</v>
      </c>
      <c r="S795" t="s">
        <v>14827</v>
      </c>
      <c r="U795" t="s">
        <v>466</v>
      </c>
      <c r="V795">
        <v>1190</v>
      </c>
      <c r="W795" t="s">
        <v>14860</v>
      </c>
      <c r="X795" t="s">
        <v>14876</v>
      </c>
      <c r="Y795" t="s">
        <v>14883</v>
      </c>
      <c r="Z795" t="s">
        <v>15665</v>
      </c>
      <c r="AB795" t="s">
        <v>20767</v>
      </c>
      <c r="AC795">
        <v>480</v>
      </c>
      <c r="AD795" t="s">
        <v>24595</v>
      </c>
      <c r="AE795" t="s">
        <v>24610</v>
      </c>
      <c r="AF795">
        <v>9</v>
      </c>
      <c r="AG795">
        <v>2</v>
      </c>
      <c r="AH795">
        <v>0</v>
      </c>
      <c r="AI795">
        <v>224.72</v>
      </c>
      <c r="AL795" t="s">
        <v>24632</v>
      </c>
      <c r="AM795">
        <v>38000</v>
      </c>
      <c r="AS795">
        <v>2.7</v>
      </c>
      <c r="AT795" t="s">
        <v>471</v>
      </c>
      <c r="AU795" t="s">
        <v>25276</v>
      </c>
      <c r="AV795" t="s">
        <v>25335</v>
      </c>
      <c r="AW795" t="s">
        <v>11447</v>
      </c>
    </row>
    <row r="796" spans="1:49">
      <c r="A796" s="1">
        <f>HYPERLINK("https://lsnyc.legalserver.org/matter/dynamic-profile/view/1909752","19-1909752")</f>
        <v>0</v>
      </c>
      <c r="B796" t="s">
        <v>172</v>
      </c>
      <c r="C796" t="s">
        <v>519</v>
      </c>
      <c r="D796" t="s">
        <v>586</v>
      </c>
      <c r="E796" t="s">
        <v>1612</v>
      </c>
      <c r="F796" t="s">
        <v>4108</v>
      </c>
      <c r="G796" t="s">
        <v>7034</v>
      </c>
      <c r="H796">
        <v>33</v>
      </c>
      <c r="I796" t="s">
        <v>11386</v>
      </c>
      <c r="J796">
        <v>10034</v>
      </c>
      <c r="K796" t="s">
        <v>11446</v>
      </c>
      <c r="N796" t="s">
        <v>14778</v>
      </c>
      <c r="O796" t="s">
        <v>14786</v>
      </c>
      <c r="P796" t="s">
        <v>14797</v>
      </c>
      <c r="Q796" t="s">
        <v>11448</v>
      </c>
      <c r="S796" t="s">
        <v>14827</v>
      </c>
      <c r="U796" t="s">
        <v>601</v>
      </c>
      <c r="V796">
        <v>1600</v>
      </c>
      <c r="W796" t="s">
        <v>14860</v>
      </c>
      <c r="X796" t="s">
        <v>14873</v>
      </c>
      <c r="Y796" t="s">
        <v>14883</v>
      </c>
      <c r="Z796" t="s">
        <v>15666</v>
      </c>
      <c r="AB796" t="s">
        <v>20768</v>
      </c>
      <c r="AC796">
        <v>60</v>
      </c>
      <c r="AD796" t="s">
        <v>24595</v>
      </c>
      <c r="AE796" t="s">
        <v>11459</v>
      </c>
      <c r="AF796">
        <v>7</v>
      </c>
      <c r="AG796">
        <v>1</v>
      </c>
      <c r="AH796">
        <v>0</v>
      </c>
      <c r="AI796">
        <v>104.08</v>
      </c>
      <c r="AL796" t="s">
        <v>5011</v>
      </c>
      <c r="AM796">
        <v>13000</v>
      </c>
      <c r="AS796">
        <v>0.9399999999999999</v>
      </c>
      <c r="AT796" t="s">
        <v>511</v>
      </c>
      <c r="AU796" t="s">
        <v>25247</v>
      </c>
      <c r="AV796" t="s">
        <v>25335</v>
      </c>
      <c r="AW796" t="s">
        <v>11447</v>
      </c>
    </row>
    <row r="797" spans="1:49">
      <c r="A797" s="1">
        <f>HYPERLINK("https://lsnyc.legalserver.org/matter/dynamic-profile/view/1910836","19-1910836")</f>
        <v>0</v>
      </c>
      <c r="B797" t="s">
        <v>172</v>
      </c>
      <c r="C797" t="s">
        <v>601</v>
      </c>
      <c r="D797" t="s">
        <v>586</v>
      </c>
      <c r="E797" t="s">
        <v>1051</v>
      </c>
      <c r="F797" t="s">
        <v>3984</v>
      </c>
      <c r="G797" t="s">
        <v>7035</v>
      </c>
      <c r="H797" t="s">
        <v>10568</v>
      </c>
      <c r="I797" t="s">
        <v>11386</v>
      </c>
      <c r="J797">
        <v>10033</v>
      </c>
      <c r="K797" t="s">
        <v>11446</v>
      </c>
      <c r="N797" t="s">
        <v>14778</v>
      </c>
      <c r="O797" t="s">
        <v>14786</v>
      </c>
      <c r="P797" t="s">
        <v>14797</v>
      </c>
      <c r="Q797" t="s">
        <v>11448</v>
      </c>
      <c r="S797" t="s">
        <v>14827</v>
      </c>
      <c r="U797" t="s">
        <v>601</v>
      </c>
      <c r="V797">
        <v>1995.04</v>
      </c>
      <c r="W797" t="s">
        <v>14860</v>
      </c>
      <c r="X797" t="s">
        <v>14867</v>
      </c>
      <c r="Y797" t="s">
        <v>14883</v>
      </c>
      <c r="Z797" t="s">
        <v>15667</v>
      </c>
      <c r="AB797" t="s">
        <v>20769</v>
      </c>
      <c r="AC797">
        <v>29</v>
      </c>
      <c r="AD797" t="s">
        <v>24595</v>
      </c>
      <c r="AE797" t="s">
        <v>11459</v>
      </c>
      <c r="AF797">
        <v>4</v>
      </c>
      <c r="AG797">
        <v>2</v>
      </c>
      <c r="AH797">
        <v>0</v>
      </c>
      <c r="AI797">
        <v>413.96</v>
      </c>
      <c r="AL797" t="s">
        <v>5011</v>
      </c>
      <c r="AM797">
        <v>70000</v>
      </c>
      <c r="AS797">
        <v>0.23</v>
      </c>
      <c r="AT797" t="s">
        <v>505</v>
      </c>
      <c r="AU797" t="s">
        <v>137</v>
      </c>
      <c r="AV797" t="s">
        <v>25335</v>
      </c>
      <c r="AW797" t="s">
        <v>11447</v>
      </c>
    </row>
    <row r="798" spans="1:49">
      <c r="A798" s="1">
        <f>HYPERLINK("https://lsnyc.legalserver.org/matter/dynamic-profile/view/1911953","19-1911953")</f>
        <v>0</v>
      </c>
      <c r="B798" t="s">
        <v>175</v>
      </c>
      <c r="C798" t="s">
        <v>586</v>
      </c>
      <c r="D798" t="s">
        <v>586</v>
      </c>
      <c r="E798" t="s">
        <v>1613</v>
      </c>
      <c r="F798" t="s">
        <v>4109</v>
      </c>
      <c r="G798" t="s">
        <v>7036</v>
      </c>
      <c r="H798">
        <v>31</v>
      </c>
      <c r="I798" t="s">
        <v>11386</v>
      </c>
      <c r="J798">
        <v>10040</v>
      </c>
      <c r="K798" t="s">
        <v>11446</v>
      </c>
      <c r="N798" t="s">
        <v>14778</v>
      </c>
      <c r="O798" t="s">
        <v>14786</v>
      </c>
      <c r="P798" t="s">
        <v>14797</v>
      </c>
      <c r="Q798" t="s">
        <v>11448</v>
      </c>
      <c r="S798" t="s">
        <v>14827</v>
      </c>
      <c r="U798" t="s">
        <v>586</v>
      </c>
      <c r="V798">
        <v>1276.33</v>
      </c>
      <c r="W798" t="s">
        <v>14860</v>
      </c>
      <c r="X798" t="s">
        <v>14868</v>
      </c>
      <c r="Y798" t="s">
        <v>14883</v>
      </c>
      <c r="Z798" t="s">
        <v>15668</v>
      </c>
      <c r="AB798" t="s">
        <v>20770</v>
      </c>
      <c r="AC798">
        <v>40</v>
      </c>
      <c r="AD798" t="s">
        <v>24595</v>
      </c>
      <c r="AE798" t="s">
        <v>11459</v>
      </c>
      <c r="AF798">
        <v>32</v>
      </c>
      <c r="AG798">
        <v>2</v>
      </c>
      <c r="AH798">
        <v>0</v>
      </c>
      <c r="AI798">
        <v>282.44</v>
      </c>
      <c r="AL798" t="s">
        <v>24632</v>
      </c>
      <c r="AM798">
        <v>47760</v>
      </c>
      <c r="AS798">
        <v>0.5</v>
      </c>
      <c r="AT798" t="s">
        <v>586</v>
      </c>
      <c r="AU798" t="s">
        <v>137</v>
      </c>
      <c r="AV798" t="s">
        <v>25335</v>
      </c>
      <c r="AW798" t="s">
        <v>11447</v>
      </c>
    </row>
    <row r="799" spans="1:49">
      <c r="A799" s="1">
        <f>HYPERLINK("https://lsnyc.legalserver.org/matter/dynamic-profile/view/1911963","19-1911963")</f>
        <v>0</v>
      </c>
      <c r="B799" t="s">
        <v>197</v>
      </c>
      <c r="C799" t="s">
        <v>586</v>
      </c>
      <c r="D799" t="s">
        <v>586</v>
      </c>
      <c r="E799" t="s">
        <v>1614</v>
      </c>
      <c r="F799" t="s">
        <v>3986</v>
      </c>
      <c r="G799" t="s">
        <v>7037</v>
      </c>
      <c r="H799" t="s">
        <v>10720</v>
      </c>
      <c r="I799" t="s">
        <v>11383</v>
      </c>
      <c r="J799">
        <v>10462</v>
      </c>
      <c r="K799" t="s">
        <v>11446</v>
      </c>
      <c r="M799" t="s">
        <v>11601</v>
      </c>
      <c r="N799" t="s">
        <v>14779</v>
      </c>
      <c r="O799" t="s">
        <v>14787</v>
      </c>
      <c r="P799" t="s">
        <v>14797</v>
      </c>
      <c r="S799" t="s">
        <v>14827</v>
      </c>
      <c r="V799">
        <v>0</v>
      </c>
      <c r="W799" t="s">
        <v>14858</v>
      </c>
      <c r="Y799" t="s">
        <v>14884</v>
      </c>
      <c r="Z799" t="s">
        <v>15669</v>
      </c>
      <c r="AB799" t="s">
        <v>20771</v>
      </c>
      <c r="AC799">
        <v>0</v>
      </c>
      <c r="AF799">
        <v>0</v>
      </c>
      <c r="AG799">
        <v>1</v>
      </c>
      <c r="AH799">
        <v>3</v>
      </c>
      <c r="AI799">
        <v>102.52</v>
      </c>
      <c r="AK799" t="s">
        <v>24629</v>
      </c>
      <c r="AL799" t="s">
        <v>5011</v>
      </c>
      <c r="AM799">
        <v>26400</v>
      </c>
      <c r="AS799">
        <v>0.75</v>
      </c>
      <c r="AT799" t="s">
        <v>586</v>
      </c>
      <c r="AU799" t="s">
        <v>197</v>
      </c>
      <c r="AV799" t="s">
        <v>25335</v>
      </c>
      <c r="AW799" t="s">
        <v>11447</v>
      </c>
    </row>
    <row r="800" spans="1:49">
      <c r="A800" s="1">
        <f>HYPERLINK("https://lsnyc.legalserver.org/matter/dynamic-profile/view/1906820","19-1906820")</f>
        <v>0</v>
      </c>
      <c r="B800" t="s">
        <v>166</v>
      </c>
      <c r="C800" t="s">
        <v>564</v>
      </c>
      <c r="D800" t="s">
        <v>551</v>
      </c>
      <c r="E800" t="s">
        <v>1615</v>
      </c>
      <c r="F800" t="s">
        <v>4110</v>
      </c>
      <c r="G800" t="s">
        <v>7038</v>
      </c>
      <c r="H800" t="s">
        <v>10494</v>
      </c>
      <c r="I800" t="s">
        <v>11384</v>
      </c>
      <c r="J800">
        <v>10306</v>
      </c>
      <c r="K800" t="s">
        <v>11446</v>
      </c>
      <c r="L800" t="s">
        <v>11682</v>
      </c>
      <c r="M800" t="s">
        <v>14744</v>
      </c>
      <c r="N800" t="s">
        <v>14781</v>
      </c>
      <c r="O800" t="s">
        <v>14792</v>
      </c>
      <c r="P800" t="s">
        <v>14797</v>
      </c>
      <c r="Q800" t="s">
        <v>11448</v>
      </c>
      <c r="S800" t="s">
        <v>14827</v>
      </c>
      <c r="T800" t="s">
        <v>14832</v>
      </c>
      <c r="U800" t="s">
        <v>564</v>
      </c>
      <c r="V800">
        <v>1820</v>
      </c>
      <c r="W800" t="s">
        <v>14862</v>
      </c>
      <c r="X800" t="s">
        <v>14863</v>
      </c>
      <c r="Y800" t="s">
        <v>14887</v>
      </c>
      <c r="Z800" t="s">
        <v>15670</v>
      </c>
      <c r="AB800" t="s">
        <v>20772</v>
      </c>
      <c r="AC800">
        <v>3</v>
      </c>
      <c r="AD800" t="s">
        <v>24600</v>
      </c>
      <c r="AE800" t="s">
        <v>24610</v>
      </c>
      <c r="AF800">
        <v>-1</v>
      </c>
      <c r="AG800">
        <v>2</v>
      </c>
      <c r="AH800">
        <v>0</v>
      </c>
      <c r="AI800">
        <v>65.70999999999999</v>
      </c>
      <c r="AL800" t="s">
        <v>5011</v>
      </c>
      <c r="AM800">
        <v>11112</v>
      </c>
      <c r="AO800" t="s">
        <v>24937</v>
      </c>
      <c r="AP800" t="s">
        <v>24941</v>
      </c>
      <c r="AQ800" t="s">
        <v>24986</v>
      </c>
      <c r="AR800" t="s">
        <v>25019</v>
      </c>
      <c r="AS800">
        <v>26.4</v>
      </c>
      <c r="AT800" t="s">
        <v>551</v>
      </c>
      <c r="AU800" t="s">
        <v>25270</v>
      </c>
      <c r="AV800" t="s">
        <v>25335</v>
      </c>
      <c r="AW800" t="s">
        <v>11447</v>
      </c>
    </row>
    <row r="801" spans="1:49">
      <c r="A801" s="1">
        <f>HYPERLINK("https://lsnyc.legalserver.org/matter/dynamic-profile/view/1910511","19-1910511")</f>
        <v>0</v>
      </c>
      <c r="B801" t="s">
        <v>59</v>
      </c>
      <c r="C801" t="s">
        <v>508</v>
      </c>
      <c r="D801" t="s">
        <v>559</v>
      </c>
      <c r="E801" t="s">
        <v>1110</v>
      </c>
      <c r="F801" t="s">
        <v>4111</v>
      </c>
      <c r="G801" t="s">
        <v>7039</v>
      </c>
      <c r="H801" t="s">
        <v>10465</v>
      </c>
      <c r="I801" t="s">
        <v>11404</v>
      </c>
      <c r="J801">
        <v>11102</v>
      </c>
      <c r="K801" t="s">
        <v>11446</v>
      </c>
      <c r="L801" t="s">
        <v>11683</v>
      </c>
      <c r="M801" t="s">
        <v>14743</v>
      </c>
      <c r="N801" t="s">
        <v>14779</v>
      </c>
      <c r="O801" t="s">
        <v>14786</v>
      </c>
      <c r="P801" t="s">
        <v>14797</v>
      </c>
      <c r="Q801" t="s">
        <v>11448</v>
      </c>
      <c r="S801" t="s">
        <v>14827</v>
      </c>
      <c r="T801" t="s">
        <v>14832</v>
      </c>
      <c r="U801" t="s">
        <v>601</v>
      </c>
      <c r="V801">
        <v>1560</v>
      </c>
      <c r="W801" t="s">
        <v>14861</v>
      </c>
      <c r="X801" t="s">
        <v>14865</v>
      </c>
      <c r="Y801" t="s">
        <v>14883</v>
      </c>
      <c r="Z801" t="s">
        <v>15671</v>
      </c>
      <c r="AA801" t="s">
        <v>19368</v>
      </c>
      <c r="AB801" t="s">
        <v>19344</v>
      </c>
      <c r="AC801">
        <v>6</v>
      </c>
      <c r="AD801" t="s">
        <v>24600</v>
      </c>
      <c r="AE801" t="s">
        <v>11459</v>
      </c>
      <c r="AF801">
        <v>9</v>
      </c>
      <c r="AG801">
        <v>2</v>
      </c>
      <c r="AH801">
        <v>2</v>
      </c>
      <c r="AI801">
        <v>40.39</v>
      </c>
      <c r="AL801" t="s">
        <v>24632</v>
      </c>
      <c r="AM801">
        <v>10400</v>
      </c>
      <c r="AP801" t="s">
        <v>14755</v>
      </c>
      <c r="AR801" t="s">
        <v>25020</v>
      </c>
      <c r="AS801">
        <v>4.2</v>
      </c>
      <c r="AT801" t="s">
        <v>645</v>
      </c>
      <c r="AU801" t="s">
        <v>25233</v>
      </c>
      <c r="AV801" t="s">
        <v>25335</v>
      </c>
      <c r="AW801" t="s">
        <v>11447</v>
      </c>
    </row>
    <row r="802" spans="1:49">
      <c r="A802" s="1">
        <f>HYPERLINK("https://lsnyc.legalserver.org/matter/dynamic-profile/view/1910793","19-1910793")</f>
        <v>0</v>
      </c>
      <c r="B802" t="s">
        <v>98</v>
      </c>
      <c r="C802" t="s">
        <v>601</v>
      </c>
      <c r="D802" t="s">
        <v>559</v>
      </c>
      <c r="E802" t="s">
        <v>1616</v>
      </c>
      <c r="F802" t="s">
        <v>4112</v>
      </c>
      <c r="G802" t="s">
        <v>7040</v>
      </c>
      <c r="I802" t="s">
        <v>11385</v>
      </c>
      <c r="J802">
        <v>11233</v>
      </c>
      <c r="K802" t="s">
        <v>11446</v>
      </c>
      <c r="L802" t="s">
        <v>11601</v>
      </c>
      <c r="M802" t="s">
        <v>11601</v>
      </c>
      <c r="N802" t="s">
        <v>14778</v>
      </c>
      <c r="O802" t="s">
        <v>14786</v>
      </c>
      <c r="P802" t="s">
        <v>14797</v>
      </c>
      <c r="Q802" t="s">
        <v>11448</v>
      </c>
      <c r="S802" t="s">
        <v>14827</v>
      </c>
      <c r="T802" t="s">
        <v>14832</v>
      </c>
      <c r="U802" t="s">
        <v>601</v>
      </c>
      <c r="V802">
        <v>330</v>
      </c>
      <c r="W802" t="s">
        <v>14859</v>
      </c>
      <c r="X802" t="s">
        <v>14877</v>
      </c>
      <c r="Y802" t="s">
        <v>14883</v>
      </c>
      <c r="Z802" t="s">
        <v>15672</v>
      </c>
      <c r="AA802" t="s">
        <v>19354</v>
      </c>
      <c r="AB802" t="s">
        <v>20773</v>
      </c>
      <c r="AC802">
        <v>27</v>
      </c>
      <c r="AD802" t="s">
        <v>24596</v>
      </c>
      <c r="AE802" t="s">
        <v>24614</v>
      </c>
      <c r="AF802">
        <v>9</v>
      </c>
      <c r="AG802">
        <v>1</v>
      </c>
      <c r="AH802">
        <v>0</v>
      </c>
      <c r="AI802">
        <v>69.18000000000001</v>
      </c>
      <c r="AL802" t="s">
        <v>5011</v>
      </c>
      <c r="AM802">
        <v>8640</v>
      </c>
      <c r="AS802">
        <v>1.75</v>
      </c>
      <c r="AT802" t="s">
        <v>559</v>
      </c>
      <c r="AU802" t="s">
        <v>66</v>
      </c>
      <c r="AV802" t="s">
        <v>25335</v>
      </c>
      <c r="AW802" t="s">
        <v>11447</v>
      </c>
    </row>
    <row r="803" spans="1:49">
      <c r="A803" s="1">
        <f>HYPERLINK("https://lsnyc.legalserver.org/matter/dynamic-profile/view/1910992","19-1910992")</f>
        <v>0</v>
      </c>
      <c r="B803" t="s">
        <v>98</v>
      </c>
      <c r="C803" t="s">
        <v>460</v>
      </c>
      <c r="D803" t="s">
        <v>559</v>
      </c>
      <c r="E803" t="s">
        <v>1617</v>
      </c>
      <c r="F803" t="s">
        <v>3709</v>
      </c>
      <c r="G803" t="s">
        <v>7041</v>
      </c>
      <c r="I803" t="s">
        <v>11385</v>
      </c>
      <c r="J803">
        <v>11207</v>
      </c>
      <c r="K803" t="s">
        <v>11448</v>
      </c>
      <c r="L803" t="s">
        <v>11465</v>
      </c>
      <c r="M803" t="s">
        <v>11601</v>
      </c>
      <c r="O803" t="s">
        <v>14786</v>
      </c>
      <c r="P803" t="s">
        <v>14797</v>
      </c>
      <c r="Q803" t="s">
        <v>11448</v>
      </c>
      <c r="S803" t="s">
        <v>14827</v>
      </c>
      <c r="T803" t="s">
        <v>14832</v>
      </c>
      <c r="V803">
        <v>1288</v>
      </c>
      <c r="W803" t="s">
        <v>14859</v>
      </c>
      <c r="Y803" t="s">
        <v>14883</v>
      </c>
      <c r="Z803" t="s">
        <v>15673</v>
      </c>
      <c r="AA803" t="s">
        <v>11465</v>
      </c>
      <c r="AB803" t="s">
        <v>20774</v>
      </c>
      <c r="AC803">
        <v>3</v>
      </c>
      <c r="AE803" t="s">
        <v>11459</v>
      </c>
      <c r="AF803">
        <v>6</v>
      </c>
      <c r="AG803">
        <v>1</v>
      </c>
      <c r="AH803">
        <v>0</v>
      </c>
      <c r="AI803">
        <v>187.35</v>
      </c>
      <c r="AL803" t="s">
        <v>5011</v>
      </c>
      <c r="AM803">
        <v>23400</v>
      </c>
      <c r="AS803">
        <v>1.75</v>
      </c>
      <c r="AT803" t="s">
        <v>559</v>
      </c>
      <c r="AU803" t="s">
        <v>25227</v>
      </c>
      <c r="AV803" t="s">
        <v>11459</v>
      </c>
      <c r="AW803" t="s">
        <v>11447</v>
      </c>
    </row>
    <row r="804" spans="1:49">
      <c r="A804" s="1">
        <f>HYPERLINK("https://lsnyc.legalserver.org/matter/dynamic-profile/view/1912017","19-1912017")</f>
        <v>0</v>
      </c>
      <c r="B804" t="s">
        <v>197</v>
      </c>
      <c r="C804" t="s">
        <v>473</v>
      </c>
      <c r="D804" t="s">
        <v>473</v>
      </c>
      <c r="E804" t="s">
        <v>1618</v>
      </c>
      <c r="F804" t="s">
        <v>4113</v>
      </c>
      <c r="G804" t="s">
        <v>7042</v>
      </c>
      <c r="H804" t="s">
        <v>10574</v>
      </c>
      <c r="I804" t="s">
        <v>11383</v>
      </c>
      <c r="J804">
        <v>10453</v>
      </c>
      <c r="K804" t="s">
        <v>11446</v>
      </c>
      <c r="M804" t="s">
        <v>11601</v>
      </c>
      <c r="N804" t="s">
        <v>14778</v>
      </c>
      <c r="O804" t="s">
        <v>14786</v>
      </c>
      <c r="P804" t="s">
        <v>14797</v>
      </c>
      <c r="Q804" t="s">
        <v>11448</v>
      </c>
      <c r="S804" t="s">
        <v>14827</v>
      </c>
      <c r="V804">
        <v>895</v>
      </c>
      <c r="W804" t="s">
        <v>14858</v>
      </c>
      <c r="X804" t="s">
        <v>14864</v>
      </c>
      <c r="Y804" t="s">
        <v>14883</v>
      </c>
      <c r="Z804" t="s">
        <v>15674</v>
      </c>
      <c r="AB804" t="s">
        <v>20775</v>
      </c>
      <c r="AC804">
        <v>0</v>
      </c>
      <c r="AD804" t="s">
        <v>24595</v>
      </c>
      <c r="AE804" t="s">
        <v>24610</v>
      </c>
      <c r="AF804">
        <v>27</v>
      </c>
      <c r="AG804">
        <v>1</v>
      </c>
      <c r="AH804">
        <v>0</v>
      </c>
      <c r="AI804">
        <v>74.08</v>
      </c>
      <c r="AL804" t="s">
        <v>5011</v>
      </c>
      <c r="AM804">
        <v>9252</v>
      </c>
      <c r="AS804">
        <v>0.75</v>
      </c>
      <c r="AT804" t="s">
        <v>473</v>
      </c>
      <c r="AU804" t="s">
        <v>197</v>
      </c>
      <c r="AV804" t="s">
        <v>25335</v>
      </c>
      <c r="AW804" t="s">
        <v>11447</v>
      </c>
    </row>
    <row r="805" spans="1:49">
      <c r="A805" s="1">
        <f>HYPERLINK("https://lsnyc.legalserver.org/matter/dynamic-profile/view/0798503","16-0798503")</f>
        <v>0</v>
      </c>
      <c r="B805" t="s">
        <v>193</v>
      </c>
      <c r="C805" t="s">
        <v>646</v>
      </c>
      <c r="D805" t="s">
        <v>473</v>
      </c>
      <c r="E805" t="s">
        <v>1619</v>
      </c>
      <c r="F805" t="s">
        <v>3561</v>
      </c>
      <c r="G805" t="s">
        <v>7043</v>
      </c>
      <c r="H805" t="s">
        <v>10513</v>
      </c>
      <c r="I805" t="s">
        <v>11385</v>
      </c>
      <c r="J805">
        <v>11211</v>
      </c>
      <c r="K805" t="s">
        <v>11448</v>
      </c>
      <c r="N805" t="s">
        <v>14781</v>
      </c>
      <c r="O805" t="s">
        <v>14788</v>
      </c>
      <c r="P805" t="s">
        <v>14797</v>
      </c>
      <c r="R805" t="s">
        <v>14812</v>
      </c>
      <c r="S805" t="s">
        <v>14827</v>
      </c>
      <c r="V805">
        <v>0</v>
      </c>
      <c r="W805" t="s">
        <v>14859</v>
      </c>
      <c r="Y805" t="s">
        <v>14888</v>
      </c>
      <c r="Z805" t="s">
        <v>15161</v>
      </c>
      <c r="AB805" t="s">
        <v>20776</v>
      </c>
      <c r="AC805">
        <v>0</v>
      </c>
      <c r="AF805">
        <v>0</v>
      </c>
      <c r="AG805">
        <v>1</v>
      </c>
      <c r="AH805">
        <v>0</v>
      </c>
      <c r="AI805">
        <v>82.83</v>
      </c>
      <c r="AL805" t="s">
        <v>24632</v>
      </c>
      <c r="AM805">
        <v>9840</v>
      </c>
      <c r="AO805" t="s">
        <v>24937</v>
      </c>
      <c r="AQ805" t="s">
        <v>24989</v>
      </c>
      <c r="AR805" t="s">
        <v>25021</v>
      </c>
      <c r="AS805">
        <v>89.95</v>
      </c>
      <c r="AT805" t="s">
        <v>473</v>
      </c>
      <c r="AU805" t="s">
        <v>193</v>
      </c>
      <c r="AW805" t="s">
        <v>11447</v>
      </c>
    </row>
    <row r="806" spans="1:49">
      <c r="A806" s="1">
        <f>HYPERLINK("https://lsnyc.legalserver.org/matter/dynamic-profile/view/1911686","19-1911686")</f>
        <v>0</v>
      </c>
      <c r="B806" t="s">
        <v>119</v>
      </c>
      <c r="C806" t="s">
        <v>505</v>
      </c>
      <c r="D806" t="s">
        <v>489</v>
      </c>
      <c r="E806" t="s">
        <v>1620</v>
      </c>
      <c r="F806" t="s">
        <v>4114</v>
      </c>
      <c r="G806">
        <v>1150</v>
      </c>
      <c r="H806" t="s">
        <v>10721</v>
      </c>
      <c r="I806" t="s">
        <v>11383</v>
      </c>
      <c r="J806">
        <v>10459</v>
      </c>
      <c r="K806" t="s">
        <v>11446</v>
      </c>
      <c r="L806" t="s">
        <v>11684</v>
      </c>
      <c r="M806" t="s">
        <v>14744</v>
      </c>
      <c r="N806" t="s">
        <v>14779</v>
      </c>
      <c r="O806" t="s">
        <v>14787</v>
      </c>
      <c r="P806" t="s">
        <v>14797</v>
      </c>
      <c r="Q806" t="s">
        <v>11448</v>
      </c>
      <c r="S806" t="s">
        <v>14827</v>
      </c>
      <c r="T806" t="s">
        <v>14834</v>
      </c>
      <c r="U806" t="s">
        <v>473</v>
      </c>
      <c r="V806">
        <v>1039</v>
      </c>
      <c r="W806" t="s">
        <v>14858</v>
      </c>
      <c r="X806" t="s">
        <v>14864</v>
      </c>
      <c r="Y806" t="s">
        <v>14883</v>
      </c>
      <c r="Z806" t="s">
        <v>15675</v>
      </c>
      <c r="AB806" t="s">
        <v>20777</v>
      </c>
      <c r="AC806">
        <v>0</v>
      </c>
      <c r="AD806" t="s">
        <v>24595</v>
      </c>
      <c r="AE806" t="s">
        <v>24611</v>
      </c>
      <c r="AF806">
        <v>0</v>
      </c>
      <c r="AG806">
        <v>1</v>
      </c>
      <c r="AH806">
        <v>0</v>
      </c>
      <c r="AI806">
        <v>34.59</v>
      </c>
      <c r="AL806" t="s">
        <v>5011</v>
      </c>
      <c r="AM806">
        <v>4320</v>
      </c>
      <c r="AS806">
        <v>0.8</v>
      </c>
      <c r="AT806" t="s">
        <v>505</v>
      </c>
      <c r="AU806" t="s">
        <v>119</v>
      </c>
      <c r="AV806" t="s">
        <v>25335</v>
      </c>
      <c r="AW806" t="s">
        <v>11447</v>
      </c>
    </row>
    <row r="807" spans="1:49">
      <c r="A807" s="1">
        <f>HYPERLINK("https://lsnyc.legalserver.org/matter/dynamic-profile/view/1910932","19-1910932")</f>
        <v>0</v>
      </c>
      <c r="B807" t="s">
        <v>119</v>
      </c>
      <c r="C807" t="s">
        <v>604</v>
      </c>
      <c r="D807" t="s">
        <v>489</v>
      </c>
      <c r="E807" t="s">
        <v>1240</v>
      </c>
      <c r="F807" t="s">
        <v>4115</v>
      </c>
      <c r="G807" t="s">
        <v>7044</v>
      </c>
      <c r="I807" t="s">
        <v>11383</v>
      </c>
      <c r="J807">
        <v>10457</v>
      </c>
      <c r="K807" t="s">
        <v>11446</v>
      </c>
      <c r="L807" t="s">
        <v>11685</v>
      </c>
      <c r="M807" t="s">
        <v>14744</v>
      </c>
      <c r="N807" t="s">
        <v>14778</v>
      </c>
      <c r="O807" t="s">
        <v>14786</v>
      </c>
      <c r="P807" t="s">
        <v>14797</v>
      </c>
      <c r="Q807" t="s">
        <v>11448</v>
      </c>
      <c r="S807" t="s">
        <v>14827</v>
      </c>
      <c r="T807" t="s">
        <v>14832</v>
      </c>
      <c r="U807" t="s">
        <v>489</v>
      </c>
      <c r="V807">
        <v>530</v>
      </c>
      <c r="W807" t="s">
        <v>14858</v>
      </c>
      <c r="Y807" t="s">
        <v>14883</v>
      </c>
      <c r="Z807" t="s">
        <v>15676</v>
      </c>
      <c r="AB807" t="s">
        <v>20778</v>
      </c>
      <c r="AC807">
        <v>80</v>
      </c>
      <c r="AD807" t="s">
        <v>24597</v>
      </c>
      <c r="AF807">
        <v>10</v>
      </c>
      <c r="AG807">
        <v>1</v>
      </c>
      <c r="AH807">
        <v>0</v>
      </c>
      <c r="AI807">
        <v>74.08</v>
      </c>
      <c r="AL807" t="s">
        <v>5011</v>
      </c>
      <c r="AM807">
        <v>9252</v>
      </c>
      <c r="AS807">
        <v>1.7</v>
      </c>
      <c r="AT807" t="s">
        <v>505</v>
      </c>
      <c r="AU807" t="s">
        <v>25227</v>
      </c>
      <c r="AV807" t="s">
        <v>25335</v>
      </c>
      <c r="AW807" t="s">
        <v>11447</v>
      </c>
    </row>
    <row r="808" spans="1:49">
      <c r="A808" s="1">
        <f>HYPERLINK("https://lsnyc.legalserver.org/matter/dynamic-profile/view/1910931","19-1910931")</f>
        <v>0</v>
      </c>
      <c r="B808" t="s">
        <v>119</v>
      </c>
      <c r="C808" t="s">
        <v>604</v>
      </c>
      <c r="D808" t="s">
        <v>489</v>
      </c>
      <c r="E808" t="s">
        <v>1621</v>
      </c>
      <c r="F808" t="s">
        <v>4116</v>
      </c>
      <c r="G808" t="s">
        <v>7045</v>
      </c>
      <c r="H808" t="s">
        <v>10722</v>
      </c>
      <c r="I808" t="s">
        <v>11383</v>
      </c>
      <c r="J808">
        <v>10457</v>
      </c>
      <c r="K808" t="s">
        <v>11448</v>
      </c>
      <c r="L808" t="s">
        <v>11686</v>
      </c>
      <c r="M808" t="s">
        <v>14746</v>
      </c>
      <c r="N808" t="s">
        <v>14779</v>
      </c>
      <c r="O808" t="s">
        <v>14787</v>
      </c>
      <c r="P808" t="s">
        <v>14797</v>
      </c>
      <c r="Q808" t="s">
        <v>11448</v>
      </c>
      <c r="S808" t="s">
        <v>14827</v>
      </c>
      <c r="T808" t="s">
        <v>14833</v>
      </c>
      <c r="V808">
        <v>371</v>
      </c>
      <c r="W808" t="s">
        <v>14858</v>
      </c>
      <c r="X808" t="s">
        <v>14864</v>
      </c>
      <c r="Y808" t="s">
        <v>14883</v>
      </c>
      <c r="Z808" t="s">
        <v>15677</v>
      </c>
      <c r="AA808" t="s">
        <v>19369</v>
      </c>
      <c r="AB808" t="s">
        <v>20779</v>
      </c>
      <c r="AC808">
        <v>21</v>
      </c>
      <c r="AD808" t="s">
        <v>24595</v>
      </c>
      <c r="AE808" t="s">
        <v>24610</v>
      </c>
      <c r="AF808">
        <v>18</v>
      </c>
      <c r="AG808">
        <v>1</v>
      </c>
      <c r="AH808">
        <v>1</v>
      </c>
      <c r="AI808">
        <v>56.13</v>
      </c>
      <c r="AL808" t="s">
        <v>5011</v>
      </c>
      <c r="AM808">
        <v>9492</v>
      </c>
      <c r="AN808" t="s">
        <v>24734</v>
      </c>
      <c r="AS808">
        <v>2.5</v>
      </c>
      <c r="AT808" t="s">
        <v>460</v>
      </c>
      <c r="AU808" t="s">
        <v>245</v>
      </c>
      <c r="AV808" t="s">
        <v>25334</v>
      </c>
      <c r="AW808" t="s">
        <v>11447</v>
      </c>
    </row>
    <row r="809" spans="1:49">
      <c r="A809" s="1">
        <f>HYPERLINK("https://lsnyc.legalserver.org/matter/dynamic-profile/view/1904363","19-1904363")</f>
        <v>0</v>
      </c>
      <c r="B809" t="s">
        <v>166</v>
      </c>
      <c r="C809" t="s">
        <v>456</v>
      </c>
      <c r="D809" t="s">
        <v>472</v>
      </c>
      <c r="E809" t="s">
        <v>1086</v>
      </c>
      <c r="F809" t="s">
        <v>3709</v>
      </c>
      <c r="G809" t="s">
        <v>7046</v>
      </c>
      <c r="H809" t="s">
        <v>10662</v>
      </c>
      <c r="I809" t="s">
        <v>11384</v>
      </c>
      <c r="J809">
        <v>10301</v>
      </c>
      <c r="K809" t="s">
        <v>11446</v>
      </c>
      <c r="L809" t="s">
        <v>11687</v>
      </c>
      <c r="M809" t="s">
        <v>14744</v>
      </c>
      <c r="N809" t="s">
        <v>14781</v>
      </c>
      <c r="O809" t="s">
        <v>14788</v>
      </c>
      <c r="P809" t="s">
        <v>14797</v>
      </c>
      <c r="Q809" t="s">
        <v>11448</v>
      </c>
      <c r="S809" t="s">
        <v>14827</v>
      </c>
      <c r="T809" t="s">
        <v>14834</v>
      </c>
      <c r="U809" t="s">
        <v>593</v>
      </c>
      <c r="V809">
        <v>1717</v>
      </c>
      <c r="W809" t="s">
        <v>14862</v>
      </c>
      <c r="X809" t="s">
        <v>14863</v>
      </c>
      <c r="Y809" t="s">
        <v>14887</v>
      </c>
      <c r="Z809" t="s">
        <v>15678</v>
      </c>
      <c r="AB809" t="s">
        <v>20780</v>
      </c>
      <c r="AC809">
        <v>454</v>
      </c>
      <c r="AE809" t="s">
        <v>11459</v>
      </c>
      <c r="AF809">
        <v>1</v>
      </c>
      <c r="AG809">
        <v>1</v>
      </c>
      <c r="AH809">
        <v>2</v>
      </c>
      <c r="AI809">
        <v>119.46</v>
      </c>
      <c r="AL809" t="s">
        <v>5011</v>
      </c>
      <c r="AM809">
        <v>25479.96</v>
      </c>
      <c r="AO809" t="s">
        <v>24932</v>
      </c>
      <c r="AP809" t="s">
        <v>24948</v>
      </c>
      <c r="AQ809" t="s">
        <v>24986</v>
      </c>
      <c r="AR809" t="s">
        <v>25007</v>
      </c>
      <c r="AS809">
        <v>28.75</v>
      </c>
      <c r="AT809" t="s">
        <v>472</v>
      </c>
      <c r="AU809" t="s">
        <v>25270</v>
      </c>
      <c r="AV809" t="s">
        <v>25335</v>
      </c>
      <c r="AW809" t="s">
        <v>11447</v>
      </c>
    </row>
    <row r="810" spans="1:49">
      <c r="A810" s="1">
        <f>HYPERLINK("https://lsnyc.legalserver.org/matter/dynamic-profile/view/1911062","19-1911062")</f>
        <v>0</v>
      </c>
      <c r="B810" t="s">
        <v>119</v>
      </c>
      <c r="C810" t="s">
        <v>460</v>
      </c>
      <c r="D810" t="s">
        <v>472</v>
      </c>
      <c r="E810" t="s">
        <v>1025</v>
      </c>
      <c r="F810" t="s">
        <v>2640</v>
      </c>
      <c r="G810" t="s">
        <v>7047</v>
      </c>
      <c r="H810" t="s">
        <v>10547</v>
      </c>
      <c r="I810" t="s">
        <v>11383</v>
      </c>
      <c r="J810">
        <v>10452</v>
      </c>
      <c r="K810" t="s">
        <v>11446</v>
      </c>
      <c r="L810" t="s">
        <v>11688</v>
      </c>
      <c r="M810" t="s">
        <v>14746</v>
      </c>
      <c r="N810" t="s">
        <v>14779</v>
      </c>
      <c r="O810" t="s">
        <v>14786</v>
      </c>
      <c r="P810" t="s">
        <v>14797</v>
      </c>
      <c r="Q810" t="s">
        <v>11448</v>
      </c>
      <c r="S810" t="s">
        <v>14827</v>
      </c>
      <c r="T810" t="s">
        <v>14832</v>
      </c>
      <c r="U810" t="s">
        <v>586</v>
      </c>
      <c r="V810">
        <v>1432</v>
      </c>
      <c r="W810" t="s">
        <v>14858</v>
      </c>
      <c r="X810" t="s">
        <v>14870</v>
      </c>
      <c r="Y810" t="s">
        <v>14883</v>
      </c>
      <c r="Z810" t="s">
        <v>15679</v>
      </c>
      <c r="AB810" t="s">
        <v>20781</v>
      </c>
      <c r="AC810">
        <v>100</v>
      </c>
      <c r="AD810" t="s">
        <v>24595</v>
      </c>
      <c r="AE810" t="s">
        <v>24610</v>
      </c>
      <c r="AF810">
        <v>45</v>
      </c>
      <c r="AG810">
        <v>1</v>
      </c>
      <c r="AH810">
        <v>0</v>
      </c>
      <c r="AI810">
        <v>57.65</v>
      </c>
      <c r="AL810" t="s">
        <v>5011</v>
      </c>
      <c r="AM810">
        <v>7200</v>
      </c>
      <c r="AS810">
        <v>3.6</v>
      </c>
      <c r="AT810" t="s">
        <v>578</v>
      </c>
      <c r="AU810" t="s">
        <v>25226</v>
      </c>
      <c r="AV810" t="s">
        <v>25335</v>
      </c>
      <c r="AW810" t="s">
        <v>11447</v>
      </c>
    </row>
    <row r="811" spans="1:49">
      <c r="A811" s="1">
        <f>HYPERLINK("https://lsnyc.legalserver.org/matter/dynamic-profile/view/1911766","19-1911766")</f>
        <v>0</v>
      </c>
      <c r="B811" t="s">
        <v>119</v>
      </c>
      <c r="C811" t="s">
        <v>505</v>
      </c>
      <c r="D811" t="s">
        <v>472</v>
      </c>
      <c r="E811" t="s">
        <v>1622</v>
      </c>
      <c r="F811" t="s">
        <v>4101</v>
      </c>
      <c r="G811" t="s">
        <v>7048</v>
      </c>
      <c r="H811">
        <v>2</v>
      </c>
      <c r="I811" t="s">
        <v>11383</v>
      </c>
      <c r="J811">
        <v>10456</v>
      </c>
      <c r="K811" t="s">
        <v>11446</v>
      </c>
      <c r="M811" t="s">
        <v>14760</v>
      </c>
      <c r="N811" t="s">
        <v>14778</v>
      </c>
      <c r="O811" t="s">
        <v>14786</v>
      </c>
      <c r="P811" t="s">
        <v>14797</v>
      </c>
      <c r="Q811" t="s">
        <v>11448</v>
      </c>
      <c r="S811" t="s">
        <v>14827</v>
      </c>
      <c r="T811" t="s">
        <v>14832</v>
      </c>
      <c r="V811">
        <v>1600</v>
      </c>
      <c r="W811" t="s">
        <v>14858</v>
      </c>
      <c r="X811" t="s">
        <v>14864</v>
      </c>
      <c r="Y811" t="s">
        <v>14883</v>
      </c>
      <c r="Z811" t="s">
        <v>15680</v>
      </c>
      <c r="AB811" t="s">
        <v>20782</v>
      </c>
      <c r="AC811">
        <v>2</v>
      </c>
      <c r="AD811" t="s">
        <v>24607</v>
      </c>
      <c r="AE811" t="s">
        <v>24610</v>
      </c>
      <c r="AF811">
        <v>14</v>
      </c>
      <c r="AG811">
        <v>3</v>
      </c>
      <c r="AH811">
        <v>1</v>
      </c>
      <c r="AI811">
        <v>62.14</v>
      </c>
      <c r="AL811" t="s">
        <v>24632</v>
      </c>
      <c r="AM811">
        <v>16000</v>
      </c>
      <c r="AS811">
        <v>0.8</v>
      </c>
      <c r="AT811" t="s">
        <v>505</v>
      </c>
      <c r="AU811" t="s">
        <v>119</v>
      </c>
      <c r="AV811" t="s">
        <v>25335</v>
      </c>
      <c r="AW811" t="s">
        <v>11447</v>
      </c>
    </row>
    <row r="812" spans="1:49">
      <c r="A812" s="1">
        <f>HYPERLINK("https://lsnyc.legalserver.org/matter/dynamic-profile/view/1911774","19-1911774")</f>
        <v>0</v>
      </c>
      <c r="B812" t="s">
        <v>119</v>
      </c>
      <c r="C812" t="s">
        <v>505</v>
      </c>
      <c r="D812" t="s">
        <v>472</v>
      </c>
      <c r="E812" t="s">
        <v>1487</v>
      </c>
      <c r="F812" t="s">
        <v>4117</v>
      </c>
      <c r="G812" t="s">
        <v>7049</v>
      </c>
      <c r="H812">
        <v>1</v>
      </c>
      <c r="I812" t="s">
        <v>11383</v>
      </c>
      <c r="J812">
        <v>10452</v>
      </c>
      <c r="K812" t="s">
        <v>11446</v>
      </c>
      <c r="M812" t="s">
        <v>14758</v>
      </c>
      <c r="N812" t="s">
        <v>14778</v>
      </c>
      <c r="O812" t="s">
        <v>14786</v>
      </c>
      <c r="P812" t="s">
        <v>14797</v>
      </c>
      <c r="S812" t="s">
        <v>14829</v>
      </c>
      <c r="T812" t="s">
        <v>14832</v>
      </c>
      <c r="V812">
        <v>0</v>
      </c>
      <c r="W812" t="s">
        <v>14858</v>
      </c>
      <c r="Y812" t="s">
        <v>14883</v>
      </c>
      <c r="Z812" t="s">
        <v>15681</v>
      </c>
      <c r="AB812" t="s">
        <v>20783</v>
      </c>
      <c r="AC812">
        <v>0</v>
      </c>
      <c r="AD812" t="s">
        <v>24600</v>
      </c>
      <c r="AF812">
        <v>0</v>
      </c>
      <c r="AG812">
        <v>1</v>
      </c>
      <c r="AH812">
        <v>0</v>
      </c>
      <c r="AI812">
        <v>120.1</v>
      </c>
      <c r="AL812" t="s">
        <v>24632</v>
      </c>
      <c r="AM812">
        <v>15000</v>
      </c>
      <c r="AS812">
        <v>0.6</v>
      </c>
      <c r="AT812" t="s">
        <v>505</v>
      </c>
      <c r="AU812" t="s">
        <v>119</v>
      </c>
      <c r="AV812" t="s">
        <v>25335</v>
      </c>
      <c r="AW812" t="s">
        <v>11447</v>
      </c>
    </row>
    <row r="813" spans="1:49">
      <c r="A813" s="1">
        <f>HYPERLINK("https://lsnyc.legalserver.org/matter/dynamic-profile/view/1906538","19-1906538")</f>
        <v>0</v>
      </c>
      <c r="B813" t="s">
        <v>76</v>
      </c>
      <c r="C813" t="s">
        <v>354</v>
      </c>
      <c r="D813" t="s">
        <v>578</v>
      </c>
      <c r="E813" t="s">
        <v>1089</v>
      </c>
      <c r="F813" t="s">
        <v>4118</v>
      </c>
      <c r="G813" t="s">
        <v>7050</v>
      </c>
      <c r="H813" t="s">
        <v>10523</v>
      </c>
      <c r="I813" t="s">
        <v>11385</v>
      </c>
      <c r="J813">
        <v>11220</v>
      </c>
      <c r="K813" t="s">
        <v>11446</v>
      </c>
      <c r="L813" t="s">
        <v>11689</v>
      </c>
      <c r="M813" t="s">
        <v>14744</v>
      </c>
      <c r="N813" t="s">
        <v>14781</v>
      </c>
      <c r="O813" t="s">
        <v>14788</v>
      </c>
      <c r="P813" t="s">
        <v>14797</v>
      </c>
      <c r="Q813" t="s">
        <v>11448</v>
      </c>
      <c r="S813" t="s">
        <v>14827</v>
      </c>
      <c r="T813" t="s">
        <v>14832</v>
      </c>
      <c r="U813" t="s">
        <v>377</v>
      </c>
      <c r="V813">
        <v>1938</v>
      </c>
      <c r="W813" t="s">
        <v>14859</v>
      </c>
      <c r="X813" t="s">
        <v>14877</v>
      </c>
      <c r="Y813" t="s">
        <v>14888</v>
      </c>
      <c r="Z813" t="s">
        <v>15682</v>
      </c>
      <c r="AA813" t="s">
        <v>19370</v>
      </c>
      <c r="AB813" t="s">
        <v>20784</v>
      </c>
      <c r="AC813">
        <v>60</v>
      </c>
      <c r="AD813" t="s">
        <v>24595</v>
      </c>
      <c r="AE813" t="s">
        <v>11459</v>
      </c>
      <c r="AF813">
        <v>2</v>
      </c>
      <c r="AG813">
        <v>1</v>
      </c>
      <c r="AH813">
        <v>1</v>
      </c>
      <c r="AI813">
        <v>0</v>
      </c>
      <c r="AL813" t="s">
        <v>5011</v>
      </c>
      <c r="AM813">
        <v>0</v>
      </c>
      <c r="AP813" t="s">
        <v>14755</v>
      </c>
      <c r="AQ813" t="s">
        <v>24987</v>
      </c>
      <c r="AR813" t="s">
        <v>25022</v>
      </c>
      <c r="AS813">
        <v>23.7</v>
      </c>
      <c r="AT813" t="s">
        <v>578</v>
      </c>
      <c r="AU813" t="s">
        <v>120</v>
      </c>
      <c r="AV813" t="s">
        <v>25335</v>
      </c>
      <c r="AW813" t="s">
        <v>11447</v>
      </c>
    </row>
    <row r="814" spans="1:49">
      <c r="A814" s="1">
        <f>HYPERLINK("https://lsnyc.legalserver.org/matter/dynamic-profile/view/1912638","19-1912638")</f>
        <v>0</v>
      </c>
      <c r="B814" t="s">
        <v>119</v>
      </c>
      <c r="C814" t="s">
        <v>472</v>
      </c>
      <c r="D814" t="s">
        <v>578</v>
      </c>
      <c r="E814" t="s">
        <v>1502</v>
      </c>
      <c r="F814" t="s">
        <v>3579</v>
      </c>
      <c r="G814" t="s">
        <v>7051</v>
      </c>
      <c r="H814" t="s">
        <v>10471</v>
      </c>
      <c r="I814" t="s">
        <v>11383</v>
      </c>
      <c r="J814">
        <v>10463</v>
      </c>
      <c r="K814" t="s">
        <v>11446</v>
      </c>
      <c r="M814" t="s">
        <v>11601</v>
      </c>
      <c r="N814" t="s">
        <v>14778</v>
      </c>
      <c r="O814" t="s">
        <v>14786</v>
      </c>
      <c r="P814" t="s">
        <v>14797</v>
      </c>
      <c r="Q814" t="s">
        <v>11448</v>
      </c>
      <c r="S814" t="s">
        <v>14827</v>
      </c>
      <c r="V814">
        <v>1450</v>
      </c>
      <c r="W814" t="s">
        <v>14858</v>
      </c>
      <c r="X814" t="s">
        <v>14864</v>
      </c>
      <c r="Y814" t="s">
        <v>14883</v>
      </c>
      <c r="Z814" t="s">
        <v>15683</v>
      </c>
      <c r="AC814">
        <v>45</v>
      </c>
      <c r="AD814" t="s">
        <v>24595</v>
      </c>
      <c r="AE814" t="s">
        <v>11459</v>
      </c>
      <c r="AF814">
        <v>3</v>
      </c>
      <c r="AG814">
        <v>2</v>
      </c>
      <c r="AH814">
        <v>0</v>
      </c>
      <c r="AI814">
        <v>415.67</v>
      </c>
      <c r="AL814" t="s">
        <v>5011</v>
      </c>
      <c r="AM814">
        <v>70290</v>
      </c>
      <c r="AS814">
        <v>1</v>
      </c>
      <c r="AT814" t="s">
        <v>25135</v>
      </c>
      <c r="AU814" t="s">
        <v>245</v>
      </c>
      <c r="AV814" t="s">
        <v>25335</v>
      </c>
      <c r="AW814" t="s">
        <v>11447</v>
      </c>
    </row>
    <row r="815" spans="1:49">
      <c r="A815" s="1">
        <f>HYPERLINK("https://lsnyc.legalserver.org/matter/dynamic-profile/view/1905662","19-1905662")</f>
        <v>0</v>
      </c>
      <c r="B815" t="s">
        <v>87</v>
      </c>
      <c r="C815" t="s">
        <v>377</v>
      </c>
      <c r="D815" t="s">
        <v>470</v>
      </c>
      <c r="E815" t="s">
        <v>1623</v>
      </c>
      <c r="F815" t="s">
        <v>4119</v>
      </c>
      <c r="G815" t="s">
        <v>7052</v>
      </c>
      <c r="H815" t="s">
        <v>10723</v>
      </c>
      <c r="I815" t="s">
        <v>11384</v>
      </c>
      <c r="J815">
        <v>10304</v>
      </c>
      <c r="K815" t="s">
        <v>11446</v>
      </c>
      <c r="L815" t="s">
        <v>11690</v>
      </c>
      <c r="M815" t="s">
        <v>14744</v>
      </c>
      <c r="N815" t="s">
        <v>14781</v>
      </c>
      <c r="O815" t="s">
        <v>14788</v>
      </c>
      <c r="P815" t="s">
        <v>14797</v>
      </c>
      <c r="Q815" t="s">
        <v>11448</v>
      </c>
      <c r="S815" t="s">
        <v>14827</v>
      </c>
      <c r="T815" t="s">
        <v>14832</v>
      </c>
      <c r="U815" t="s">
        <v>373</v>
      </c>
      <c r="V815">
        <v>583</v>
      </c>
      <c r="W815" t="s">
        <v>14862</v>
      </c>
      <c r="X815" t="s">
        <v>14863</v>
      </c>
      <c r="Y815" t="s">
        <v>14887</v>
      </c>
      <c r="Z815" t="s">
        <v>15684</v>
      </c>
      <c r="AB815" t="s">
        <v>20785</v>
      </c>
      <c r="AC815">
        <v>134</v>
      </c>
      <c r="AD815" t="s">
        <v>24596</v>
      </c>
      <c r="AE815" t="s">
        <v>11459</v>
      </c>
      <c r="AF815">
        <v>4</v>
      </c>
      <c r="AG815">
        <v>1</v>
      </c>
      <c r="AH815">
        <v>0</v>
      </c>
      <c r="AI815">
        <v>200.16</v>
      </c>
      <c r="AL815" t="s">
        <v>5011</v>
      </c>
      <c r="AM815">
        <v>25000</v>
      </c>
      <c r="AO815" t="s">
        <v>24934</v>
      </c>
      <c r="AP815" t="s">
        <v>24942</v>
      </c>
      <c r="AQ815" t="s">
        <v>24986</v>
      </c>
      <c r="AR815" t="s">
        <v>25023</v>
      </c>
      <c r="AS815">
        <v>7.7</v>
      </c>
      <c r="AT815" t="s">
        <v>574</v>
      </c>
      <c r="AU815" t="s">
        <v>25271</v>
      </c>
      <c r="AV815" t="s">
        <v>25335</v>
      </c>
      <c r="AW815" t="s">
        <v>11447</v>
      </c>
    </row>
    <row r="816" spans="1:49">
      <c r="A816" s="1">
        <f>HYPERLINK("https://lsnyc.legalserver.org/matter/dynamic-profile/view/1906584","19-1906584")</f>
        <v>0</v>
      </c>
      <c r="B816" t="s">
        <v>78</v>
      </c>
      <c r="C816" t="s">
        <v>373</v>
      </c>
      <c r="D816" t="s">
        <v>470</v>
      </c>
      <c r="E816" t="s">
        <v>1030</v>
      </c>
      <c r="F816" t="s">
        <v>3814</v>
      </c>
      <c r="G816" t="s">
        <v>7053</v>
      </c>
      <c r="H816" t="s">
        <v>10449</v>
      </c>
      <c r="I816" t="s">
        <v>11383</v>
      </c>
      <c r="J816">
        <v>10452</v>
      </c>
      <c r="K816" t="s">
        <v>11446</v>
      </c>
      <c r="M816" t="s">
        <v>11601</v>
      </c>
      <c r="N816" t="s">
        <v>14778</v>
      </c>
      <c r="O816" t="s">
        <v>14786</v>
      </c>
      <c r="P816" t="s">
        <v>14797</v>
      </c>
      <c r="Q816" t="s">
        <v>11448</v>
      </c>
      <c r="S816" t="s">
        <v>14827</v>
      </c>
      <c r="U816" t="s">
        <v>601</v>
      </c>
      <c r="V816">
        <v>640</v>
      </c>
      <c r="W816" t="s">
        <v>14858</v>
      </c>
      <c r="X816" t="s">
        <v>14868</v>
      </c>
      <c r="Y816" t="s">
        <v>14883</v>
      </c>
      <c r="Z816" t="s">
        <v>15685</v>
      </c>
      <c r="AB816" t="s">
        <v>20786</v>
      </c>
      <c r="AC816">
        <v>52</v>
      </c>
      <c r="AD816" t="s">
        <v>24595</v>
      </c>
      <c r="AE816" t="s">
        <v>24610</v>
      </c>
      <c r="AF816">
        <v>6</v>
      </c>
      <c r="AG816">
        <v>1</v>
      </c>
      <c r="AH816">
        <v>0</v>
      </c>
      <c r="AI816">
        <v>74.36</v>
      </c>
      <c r="AL816" t="s">
        <v>5011</v>
      </c>
      <c r="AM816">
        <v>9288</v>
      </c>
      <c r="AS816">
        <v>2</v>
      </c>
      <c r="AT816" t="s">
        <v>465</v>
      </c>
      <c r="AU816" t="s">
        <v>25226</v>
      </c>
      <c r="AV816" t="s">
        <v>25335</v>
      </c>
      <c r="AW816" t="s">
        <v>11447</v>
      </c>
    </row>
    <row r="817" spans="1:49">
      <c r="A817" s="1">
        <f>HYPERLINK("https://lsnyc.legalserver.org/matter/dynamic-profile/view/1907244","19-1907244")</f>
        <v>0</v>
      </c>
      <c r="B817" t="s">
        <v>184</v>
      </c>
      <c r="C817" t="s">
        <v>366</v>
      </c>
      <c r="D817" t="s">
        <v>603</v>
      </c>
      <c r="E817" t="s">
        <v>1029</v>
      </c>
      <c r="F817" t="s">
        <v>4011</v>
      </c>
      <c r="G817" t="s">
        <v>6891</v>
      </c>
      <c r="H817" t="s">
        <v>10510</v>
      </c>
      <c r="I817" t="s">
        <v>11383</v>
      </c>
      <c r="J817">
        <v>10470</v>
      </c>
      <c r="K817" t="s">
        <v>11446</v>
      </c>
      <c r="L817" t="s">
        <v>11465</v>
      </c>
      <c r="M817" t="s">
        <v>11601</v>
      </c>
      <c r="N817" t="s">
        <v>14778</v>
      </c>
      <c r="O817" t="s">
        <v>14786</v>
      </c>
      <c r="P817" t="s">
        <v>14797</v>
      </c>
      <c r="Q817" t="s">
        <v>11448</v>
      </c>
      <c r="S817" t="s">
        <v>14827</v>
      </c>
      <c r="U817" t="s">
        <v>458</v>
      </c>
      <c r="V817">
        <v>1486.4</v>
      </c>
      <c r="W817" t="s">
        <v>14858</v>
      </c>
      <c r="X817" t="s">
        <v>14864</v>
      </c>
      <c r="Y817" t="s">
        <v>14883</v>
      </c>
      <c r="Z817" t="s">
        <v>15522</v>
      </c>
      <c r="AC817">
        <v>84</v>
      </c>
      <c r="AD817" t="s">
        <v>24595</v>
      </c>
      <c r="AE817" t="s">
        <v>11459</v>
      </c>
      <c r="AF817">
        <v>12</v>
      </c>
      <c r="AG817">
        <v>1</v>
      </c>
      <c r="AH817">
        <v>0</v>
      </c>
      <c r="AI817">
        <v>0</v>
      </c>
      <c r="AL817" t="s">
        <v>5011</v>
      </c>
      <c r="AM817">
        <v>0</v>
      </c>
      <c r="AS817">
        <v>2</v>
      </c>
      <c r="AT817" t="s">
        <v>603</v>
      </c>
      <c r="AU817" t="s">
        <v>184</v>
      </c>
      <c r="AV817" t="s">
        <v>25335</v>
      </c>
      <c r="AW817" t="s">
        <v>11447</v>
      </c>
    </row>
    <row r="818" spans="1:49">
      <c r="A818" s="1">
        <f>HYPERLINK("https://lsnyc.legalserver.org/matter/dynamic-profile/view/1910867","19-1910867")</f>
        <v>0</v>
      </c>
      <c r="B818" t="s">
        <v>76</v>
      </c>
      <c r="C818" t="s">
        <v>601</v>
      </c>
      <c r="D818" t="s">
        <v>515</v>
      </c>
      <c r="E818" t="s">
        <v>1624</v>
      </c>
      <c r="F818" t="s">
        <v>3797</v>
      </c>
      <c r="G818" t="s">
        <v>7054</v>
      </c>
      <c r="I818" t="s">
        <v>11385</v>
      </c>
      <c r="J818">
        <v>11212</v>
      </c>
      <c r="K818" t="s">
        <v>11446</v>
      </c>
      <c r="L818" t="s">
        <v>11691</v>
      </c>
      <c r="M818" t="s">
        <v>14744</v>
      </c>
      <c r="N818" t="s">
        <v>14778</v>
      </c>
      <c r="O818" t="s">
        <v>14786</v>
      </c>
      <c r="P818" t="s">
        <v>14797</v>
      </c>
      <c r="Q818" t="s">
        <v>11448</v>
      </c>
      <c r="S818" t="s">
        <v>14827</v>
      </c>
      <c r="T818" t="s">
        <v>14832</v>
      </c>
      <c r="U818" t="s">
        <v>601</v>
      </c>
      <c r="V818">
        <v>1800</v>
      </c>
      <c r="W818" t="s">
        <v>14859</v>
      </c>
      <c r="X818" t="s">
        <v>14873</v>
      </c>
      <c r="Y818" t="s">
        <v>14883</v>
      </c>
      <c r="Z818" t="s">
        <v>15538</v>
      </c>
      <c r="AB818" t="s">
        <v>20787</v>
      </c>
      <c r="AC818">
        <v>0</v>
      </c>
      <c r="AD818" t="s">
        <v>24603</v>
      </c>
      <c r="AE818" t="s">
        <v>24610</v>
      </c>
      <c r="AF818">
        <v>1</v>
      </c>
      <c r="AG818">
        <v>2</v>
      </c>
      <c r="AH818">
        <v>1</v>
      </c>
      <c r="AI818">
        <v>109.7</v>
      </c>
      <c r="AL818" t="s">
        <v>5011</v>
      </c>
      <c r="AM818">
        <v>23400</v>
      </c>
      <c r="AS818">
        <v>2.8</v>
      </c>
      <c r="AT818" t="s">
        <v>473</v>
      </c>
      <c r="AU818" t="s">
        <v>25226</v>
      </c>
      <c r="AV818" t="s">
        <v>25335</v>
      </c>
      <c r="AW818" t="s">
        <v>11447</v>
      </c>
    </row>
    <row r="819" spans="1:49">
      <c r="A819" s="1">
        <f>HYPERLINK("https://lsnyc.legalserver.org/matter/dynamic-profile/view/1912618","19-1912618")</f>
        <v>0</v>
      </c>
      <c r="B819" t="s">
        <v>199</v>
      </c>
      <c r="C819" t="s">
        <v>505</v>
      </c>
      <c r="D819" t="s">
        <v>483</v>
      </c>
      <c r="E819" t="s">
        <v>1032</v>
      </c>
      <c r="F819" t="s">
        <v>4120</v>
      </c>
      <c r="G819" t="s">
        <v>7055</v>
      </c>
      <c r="I819" t="s">
        <v>11383</v>
      </c>
      <c r="J819">
        <v>10456</v>
      </c>
      <c r="K819" t="s">
        <v>11446</v>
      </c>
      <c r="L819" t="s">
        <v>11465</v>
      </c>
      <c r="M819" t="s">
        <v>11601</v>
      </c>
      <c r="N819" t="s">
        <v>14778</v>
      </c>
      <c r="O819" t="s">
        <v>14786</v>
      </c>
      <c r="P819" t="s">
        <v>14797</v>
      </c>
      <c r="Q819" t="s">
        <v>11448</v>
      </c>
      <c r="S819" t="s">
        <v>14827</v>
      </c>
      <c r="U819" t="s">
        <v>603</v>
      </c>
      <c r="V819">
        <v>0</v>
      </c>
      <c r="W819" t="s">
        <v>14858</v>
      </c>
      <c r="X819" t="s">
        <v>14864</v>
      </c>
      <c r="Y819" t="s">
        <v>14883</v>
      </c>
      <c r="Z819" t="s">
        <v>15686</v>
      </c>
      <c r="AB819" t="s">
        <v>20788</v>
      </c>
      <c r="AC819">
        <v>2</v>
      </c>
      <c r="AE819" t="s">
        <v>11459</v>
      </c>
      <c r="AF819">
        <v>1</v>
      </c>
      <c r="AG819">
        <v>1</v>
      </c>
      <c r="AH819">
        <v>0</v>
      </c>
      <c r="AI819">
        <v>230.58</v>
      </c>
      <c r="AL819" t="s">
        <v>5011</v>
      </c>
      <c r="AM819">
        <v>28800</v>
      </c>
      <c r="AS819">
        <v>0.75</v>
      </c>
      <c r="AT819" t="s">
        <v>483</v>
      </c>
      <c r="AU819" t="s">
        <v>237</v>
      </c>
      <c r="AV819" t="s">
        <v>25335</v>
      </c>
      <c r="AW819" t="s">
        <v>11447</v>
      </c>
    </row>
    <row r="820" spans="1:49">
      <c r="A820" s="1">
        <f>HYPERLINK("https://lsnyc.legalserver.org/matter/dynamic-profile/view/1912622","19-1912622")</f>
        <v>0</v>
      </c>
      <c r="B820" t="s">
        <v>199</v>
      </c>
      <c r="C820" t="s">
        <v>505</v>
      </c>
      <c r="D820" t="s">
        <v>483</v>
      </c>
      <c r="E820" t="s">
        <v>1249</v>
      </c>
      <c r="F820" t="s">
        <v>4001</v>
      </c>
      <c r="G820" t="s">
        <v>6876</v>
      </c>
      <c r="I820" t="s">
        <v>11383</v>
      </c>
      <c r="J820">
        <v>10452</v>
      </c>
      <c r="K820" t="s">
        <v>11446</v>
      </c>
      <c r="L820" t="s">
        <v>11465</v>
      </c>
      <c r="M820" t="s">
        <v>11601</v>
      </c>
      <c r="N820" t="s">
        <v>14778</v>
      </c>
      <c r="O820" t="s">
        <v>14786</v>
      </c>
      <c r="P820" t="s">
        <v>14797</v>
      </c>
      <c r="Q820" t="s">
        <v>11448</v>
      </c>
      <c r="S820" t="s">
        <v>14827</v>
      </c>
      <c r="U820" t="s">
        <v>603</v>
      </c>
      <c r="V820">
        <v>1550</v>
      </c>
      <c r="W820" t="s">
        <v>14858</v>
      </c>
      <c r="X820" t="s">
        <v>14864</v>
      </c>
      <c r="Y820" t="s">
        <v>14883</v>
      </c>
      <c r="Z820" t="s">
        <v>15507</v>
      </c>
      <c r="AB820" t="s">
        <v>20625</v>
      </c>
      <c r="AC820">
        <v>45</v>
      </c>
      <c r="AD820" t="s">
        <v>24607</v>
      </c>
      <c r="AE820" t="s">
        <v>11459</v>
      </c>
      <c r="AF820">
        <v>2</v>
      </c>
      <c r="AG820">
        <v>1</v>
      </c>
      <c r="AH820">
        <v>0</v>
      </c>
      <c r="AI820">
        <v>374.7</v>
      </c>
      <c r="AL820" t="s">
        <v>5011</v>
      </c>
      <c r="AM820">
        <v>46800</v>
      </c>
      <c r="AS820">
        <v>0.75</v>
      </c>
      <c r="AT820" t="s">
        <v>483</v>
      </c>
      <c r="AU820" t="s">
        <v>237</v>
      </c>
      <c r="AV820" t="s">
        <v>25335</v>
      </c>
      <c r="AW820" t="s">
        <v>11447</v>
      </c>
    </row>
    <row r="821" spans="1:49">
      <c r="A821" s="1">
        <f>HYPERLINK("https://lsnyc.legalserver.org/matter/dynamic-profile/view/1912671","19-1912671")</f>
        <v>0</v>
      </c>
      <c r="B821" t="s">
        <v>199</v>
      </c>
      <c r="C821" t="s">
        <v>505</v>
      </c>
      <c r="D821" t="s">
        <v>483</v>
      </c>
      <c r="E821" t="s">
        <v>1625</v>
      </c>
      <c r="F821" t="s">
        <v>4121</v>
      </c>
      <c r="G821" t="s">
        <v>7056</v>
      </c>
      <c r="H821">
        <v>3</v>
      </c>
      <c r="I821" t="s">
        <v>11383</v>
      </c>
      <c r="J821">
        <v>10451</v>
      </c>
      <c r="K821" t="s">
        <v>11446</v>
      </c>
      <c r="L821" t="s">
        <v>11465</v>
      </c>
      <c r="M821" t="s">
        <v>11601</v>
      </c>
      <c r="N821" t="s">
        <v>14778</v>
      </c>
      <c r="O821" t="s">
        <v>14786</v>
      </c>
      <c r="P821" t="s">
        <v>14797</v>
      </c>
      <c r="Q821" t="s">
        <v>11448</v>
      </c>
      <c r="S821" t="s">
        <v>14827</v>
      </c>
      <c r="U821" t="s">
        <v>484</v>
      </c>
      <c r="V821">
        <v>1950</v>
      </c>
      <c r="W821" t="s">
        <v>14858</v>
      </c>
      <c r="X821" t="s">
        <v>14864</v>
      </c>
      <c r="Y821" t="s">
        <v>14883</v>
      </c>
      <c r="Z821" t="s">
        <v>15687</v>
      </c>
      <c r="AC821">
        <v>3</v>
      </c>
      <c r="AE821" t="s">
        <v>11459</v>
      </c>
      <c r="AF821">
        <v>1</v>
      </c>
      <c r="AG821">
        <v>2</v>
      </c>
      <c r="AH821">
        <v>2</v>
      </c>
      <c r="AI821">
        <v>100.97</v>
      </c>
      <c r="AL821" t="s">
        <v>24632</v>
      </c>
      <c r="AM821">
        <v>26000</v>
      </c>
      <c r="AS821">
        <v>2</v>
      </c>
      <c r="AT821" t="s">
        <v>483</v>
      </c>
      <c r="AU821" t="s">
        <v>237</v>
      </c>
      <c r="AV821" t="s">
        <v>25335</v>
      </c>
      <c r="AW821" t="s">
        <v>11447</v>
      </c>
    </row>
    <row r="822" spans="1:49">
      <c r="A822" s="1">
        <f>HYPERLINK("https://lsnyc.legalserver.org/matter/dynamic-profile/view/1912586","19-1912586")</f>
        <v>0</v>
      </c>
      <c r="B822" t="s">
        <v>140</v>
      </c>
      <c r="C822" t="s">
        <v>472</v>
      </c>
      <c r="D822" t="s">
        <v>483</v>
      </c>
      <c r="E822" t="s">
        <v>1626</v>
      </c>
      <c r="F822" t="s">
        <v>4122</v>
      </c>
      <c r="G822" t="s">
        <v>6928</v>
      </c>
      <c r="H822" t="s">
        <v>10724</v>
      </c>
      <c r="I822" t="s">
        <v>11383</v>
      </c>
      <c r="J822">
        <v>10457</v>
      </c>
      <c r="K822" t="s">
        <v>11446</v>
      </c>
      <c r="L822" t="s">
        <v>11692</v>
      </c>
      <c r="M822" t="s">
        <v>14744</v>
      </c>
      <c r="N822" t="s">
        <v>14778</v>
      </c>
      <c r="O822" t="s">
        <v>14786</v>
      </c>
      <c r="P822" t="s">
        <v>14797</v>
      </c>
      <c r="S822" t="s">
        <v>14827</v>
      </c>
      <c r="V822">
        <v>466</v>
      </c>
      <c r="W822" t="s">
        <v>14858</v>
      </c>
      <c r="X822" t="s">
        <v>14755</v>
      </c>
      <c r="Y822" t="s">
        <v>14883</v>
      </c>
      <c r="Z822" t="s">
        <v>15688</v>
      </c>
      <c r="AB822" t="s">
        <v>20789</v>
      </c>
      <c r="AC822">
        <v>60</v>
      </c>
      <c r="AD822" t="s">
        <v>24606</v>
      </c>
      <c r="AF822">
        <v>37</v>
      </c>
      <c r="AG822">
        <v>1</v>
      </c>
      <c r="AH822">
        <v>0</v>
      </c>
      <c r="AI822">
        <v>4</v>
      </c>
      <c r="AL822" t="s">
        <v>5011</v>
      </c>
      <c r="AM822">
        <v>500</v>
      </c>
      <c r="AS822">
        <v>2.4</v>
      </c>
      <c r="AT822" t="s">
        <v>483</v>
      </c>
      <c r="AU822" t="s">
        <v>25229</v>
      </c>
      <c r="AV822" t="s">
        <v>25335</v>
      </c>
      <c r="AW822" t="s">
        <v>11447</v>
      </c>
    </row>
    <row r="823" spans="1:49">
      <c r="A823" s="1">
        <f>HYPERLINK("https://lsnyc.legalserver.org/matter/dynamic-profile/view/1913334","19-1913334")</f>
        <v>0</v>
      </c>
      <c r="B823" t="s">
        <v>140</v>
      </c>
      <c r="C823" t="s">
        <v>483</v>
      </c>
      <c r="D823" t="s">
        <v>483</v>
      </c>
      <c r="E823" t="s">
        <v>1627</v>
      </c>
      <c r="F823" t="s">
        <v>3758</v>
      </c>
      <c r="G823" t="s">
        <v>6545</v>
      </c>
      <c r="H823" t="s">
        <v>10547</v>
      </c>
      <c r="I823" t="s">
        <v>11383</v>
      </c>
      <c r="J823">
        <v>10460</v>
      </c>
      <c r="K823" t="s">
        <v>11446</v>
      </c>
      <c r="L823" t="s">
        <v>11693</v>
      </c>
      <c r="M823" t="s">
        <v>14744</v>
      </c>
      <c r="N823" t="s">
        <v>14778</v>
      </c>
      <c r="O823" t="s">
        <v>14786</v>
      </c>
      <c r="P823" t="s">
        <v>14797</v>
      </c>
      <c r="S823" t="s">
        <v>14827</v>
      </c>
      <c r="T823" t="s">
        <v>14832</v>
      </c>
      <c r="V823">
        <v>1720</v>
      </c>
      <c r="W823" t="s">
        <v>14858</v>
      </c>
      <c r="Y823" t="s">
        <v>14883</v>
      </c>
      <c r="Z823" t="s">
        <v>15689</v>
      </c>
      <c r="AB823" t="s">
        <v>20790</v>
      </c>
      <c r="AC823">
        <v>0</v>
      </c>
      <c r="AD823" t="s">
        <v>24595</v>
      </c>
      <c r="AF823">
        <v>3</v>
      </c>
      <c r="AG823">
        <v>3</v>
      </c>
      <c r="AH823">
        <v>0</v>
      </c>
      <c r="AI823">
        <v>84.39</v>
      </c>
      <c r="AM823">
        <v>18000</v>
      </c>
      <c r="AS823">
        <v>1.5</v>
      </c>
      <c r="AT823" t="s">
        <v>483</v>
      </c>
      <c r="AU823" t="s">
        <v>140</v>
      </c>
      <c r="AV823" t="s">
        <v>25335</v>
      </c>
      <c r="AW823" t="s">
        <v>11447</v>
      </c>
    </row>
    <row r="824" spans="1:49">
      <c r="A824" s="1">
        <f>HYPERLINK("https://lsnyc.legalserver.org/matter/dynamic-profile/view/1903782","19-1903782")</f>
        <v>0</v>
      </c>
      <c r="B824" t="s">
        <v>165</v>
      </c>
      <c r="C824" t="s">
        <v>621</v>
      </c>
      <c r="D824" t="s">
        <v>483</v>
      </c>
      <c r="E824" t="s">
        <v>1628</v>
      </c>
      <c r="F824" t="s">
        <v>4123</v>
      </c>
      <c r="G824" t="s">
        <v>7057</v>
      </c>
      <c r="H824" t="s">
        <v>10465</v>
      </c>
      <c r="I824" t="s">
        <v>11384</v>
      </c>
      <c r="J824">
        <v>10301</v>
      </c>
      <c r="K824" t="s">
        <v>11446</v>
      </c>
      <c r="L824" t="s">
        <v>11694</v>
      </c>
      <c r="M824" t="s">
        <v>14744</v>
      </c>
      <c r="N824" t="s">
        <v>14781</v>
      </c>
      <c r="O824" t="s">
        <v>14788</v>
      </c>
      <c r="P824" t="s">
        <v>14797</v>
      </c>
      <c r="Q824" t="s">
        <v>11448</v>
      </c>
      <c r="S824" t="s">
        <v>14827</v>
      </c>
      <c r="T824" t="s">
        <v>14832</v>
      </c>
      <c r="V824">
        <v>1400</v>
      </c>
      <c r="W824" t="s">
        <v>14862</v>
      </c>
      <c r="X824" t="s">
        <v>14863</v>
      </c>
      <c r="Y824" t="s">
        <v>14887</v>
      </c>
      <c r="Z824" t="s">
        <v>15690</v>
      </c>
      <c r="AB824" t="s">
        <v>20791</v>
      </c>
      <c r="AC824">
        <v>0</v>
      </c>
      <c r="AD824" t="s">
        <v>24600</v>
      </c>
      <c r="AE824" t="s">
        <v>11459</v>
      </c>
      <c r="AF824">
        <v>4</v>
      </c>
      <c r="AG824">
        <v>1</v>
      </c>
      <c r="AH824">
        <v>0</v>
      </c>
      <c r="AI824">
        <v>96.08</v>
      </c>
      <c r="AL824" t="s">
        <v>5011</v>
      </c>
      <c r="AM824">
        <v>12000</v>
      </c>
      <c r="AP824" t="s">
        <v>24949</v>
      </c>
      <c r="AQ824" t="s">
        <v>24986</v>
      </c>
      <c r="AR824" t="s">
        <v>25024</v>
      </c>
      <c r="AS824">
        <v>9.9</v>
      </c>
      <c r="AT824" t="s">
        <v>526</v>
      </c>
      <c r="AU824" t="s">
        <v>25270</v>
      </c>
      <c r="AV824" t="s">
        <v>25335</v>
      </c>
      <c r="AW824" t="s">
        <v>11447</v>
      </c>
    </row>
    <row r="825" spans="1:49">
      <c r="A825" s="1">
        <f>HYPERLINK("https://lsnyc.legalserver.org/matter/dynamic-profile/view/1912497","19-1912497")</f>
        <v>0</v>
      </c>
      <c r="B825" t="s">
        <v>140</v>
      </c>
      <c r="C825" t="s">
        <v>489</v>
      </c>
      <c r="D825" t="s">
        <v>483</v>
      </c>
      <c r="E825" t="s">
        <v>1223</v>
      </c>
      <c r="F825" t="s">
        <v>3809</v>
      </c>
      <c r="G825" t="s">
        <v>7058</v>
      </c>
      <c r="H825">
        <v>312</v>
      </c>
      <c r="I825" t="s">
        <v>11383</v>
      </c>
      <c r="J825">
        <v>10457</v>
      </c>
      <c r="K825" t="s">
        <v>11446</v>
      </c>
      <c r="L825" t="s">
        <v>11695</v>
      </c>
      <c r="N825" t="s">
        <v>14778</v>
      </c>
      <c r="O825" t="s">
        <v>14786</v>
      </c>
      <c r="P825" t="s">
        <v>14797</v>
      </c>
      <c r="S825" t="s">
        <v>14827</v>
      </c>
      <c r="V825">
        <v>1514</v>
      </c>
      <c r="W825" t="s">
        <v>14858</v>
      </c>
      <c r="X825" t="s">
        <v>14864</v>
      </c>
      <c r="Y825" t="s">
        <v>14883</v>
      </c>
      <c r="Z825" t="s">
        <v>15691</v>
      </c>
      <c r="AB825" t="s">
        <v>20792</v>
      </c>
      <c r="AC825">
        <v>30</v>
      </c>
      <c r="AD825" t="s">
        <v>24595</v>
      </c>
      <c r="AE825" t="s">
        <v>24610</v>
      </c>
      <c r="AF825">
        <v>0</v>
      </c>
      <c r="AG825">
        <v>1</v>
      </c>
      <c r="AH825">
        <v>0</v>
      </c>
      <c r="AI825">
        <v>145.72</v>
      </c>
      <c r="AL825" t="s">
        <v>5011</v>
      </c>
      <c r="AM825">
        <v>18200</v>
      </c>
      <c r="AS825">
        <v>2</v>
      </c>
      <c r="AT825" t="s">
        <v>483</v>
      </c>
      <c r="AU825" t="s">
        <v>25226</v>
      </c>
      <c r="AV825" t="s">
        <v>25335</v>
      </c>
      <c r="AW825" t="s">
        <v>11447</v>
      </c>
    </row>
    <row r="826" spans="1:49">
      <c r="A826" s="1">
        <f>HYPERLINK("https://lsnyc.legalserver.org/matter/dynamic-profile/view/1901836","19-1901836")</f>
        <v>0</v>
      </c>
      <c r="B826" t="s">
        <v>56</v>
      </c>
      <c r="C826" t="s">
        <v>487</v>
      </c>
      <c r="D826" t="s">
        <v>484</v>
      </c>
      <c r="E826" t="s">
        <v>1245</v>
      </c>
      <c r="F826" t="s">
        <v>3797</v>
      </c>
      <c r="G826" t="s">
        <v>7059</v>
      </c>
      <c r="H826" t="s">
        <v>10725</v>
      </c>
      <c r="I826" t="s">
        <v>11385</v>
      </c>
      <c r="J826">
        <v>11233</v>
      </c>
      <c r="K826" t="s">
        <v>11446</v>
      </c>
      <c r="L826" t="s">
        <v>11696</v>
      </c>
      <c r="M826" t="s">
        <v>14744</v>
      </c>
      <c r="N826" t="s">
        <v>14781</v>
      </c>
      <c r="O826" t="s">
        <v>14788</v>
      </c>
      <c r="P826" t="s">
        <v>14797</v>
      </c>
      <c r="Q826" t="s">
        <v>11448</v>
      </c>
      <c r="S826" t="s">
        <v>14827</v>
      </c>
      <c r="T826" t="s">
        <v>14834</v>
      </c>
      <c r="U826" t="s">
        <v>485</v>
      </c>
      <c r="V826">
        <v>146</v>
      </c>
      <c r="W826" t="s">
        <v>14859</v>
      </c>
      <c r="X826" t="s">
        <v>14879</v>
      </c>
      <c r="Y826" t="s">
        <v>14894</v>
      </c>
      <c r="Z826" t="s">
        <v>15692</v>
      </c>
      <c r="AA826" t="s">
        <v>19371</v>
      </c>
      <c r="AB826" t="s">
        <v>20793</v>
      </c>
      <c r="AC826">
        <v>36</v>
      </c>
      <c r="AD826" t="s">
        <v>24595</v>
      </c>
      <c r="AE826" t="s">
        <v>24610</v>
      </c>
      <c r="AF826">
        <v>15</v>
      </c>
      <c r="AG826">
        <v>2</v>
      </c>
      <c r="AH826">
        <v>0</v>
      </c>
      <c r="AI826">
        <v>64.87</v>
      </c>
      <c r="AL826" t="s">
        <v>5011</v>
      </c>
      <c r="AM826">
        <v>10970.16</v>
      </c>
      <c r="AS826">
        <v>21.5</v>
      </c>
      <c r="AT826" t="s">
        <v>467</v>
      </c>
      <c r="AU826" t="s">
        <v>25225</v>
      </c>
      <c r="AV826" t="s">
        <v>25334</v>
      </c>
      <c r="AW826" t="s">
        <v>11447</v>
      </c>
    </row>
    <row r="827" spans="1:49">
      <c r="A827" s="1">
        <f>HYPERLINK("https://lsnyc.legalserver.org/matter/dynamic-profile/view/1907517","19-1907517")</f>
        <v>0</v>
      </c>
      <c r="B827" t="s">
        <v>183</v>
      </c>
      <c r="C827" t="s">
        <v>465</v>
      </c>
      <c r="D827" t="s">
        <v>484</v>
      </c>
      <c r="E827" t="s">
        <v>1629</v>
      </c>
      <c r="F827" t="s">
        <v>4124</v>
      </c>
      <c r="G827" t="s">
        <v>6985</v>
      </c>
      <c r="H827" t="s">
        <v>10549</v>
      </c>
      <c r="I827" t="s">
        <v>11385</v>
      </c>
      <c r="J827">
        <v>11233</v>
      </c>
      <c r="K827" t="s">
        <v>11446</v>
      </c>
      <c r="L827" t="s">
        <v>11697</v>
      </c>
      <c r="M827" t="s">
        <v>14744</v>
      </c>
      <c r="N827" t="s">
        <v>14781</v>
      </c>
      <c r="O827" t="s">
        <v>14789</v>
      </c>
      <c r="P827" t="s">
        <v>14797</v>
      </c>
      <c r="Q827" t="s">
        <v>11448</v>
      </c>
      <c r="S827" t="s">
        <v>14827</v>
      </c>
      <c r="T827" t="s">
        <v>14832</v>
      </c>
      <c r="U827" t="s">
        <v>465</v>
      </c>
      <c r="V827">
        <v>997.45</v>
      </c>
      <c r="W827" t="s">
        <v>14859</v>
      </c>
      <c r="X827" t="s">
        <v>14755</v>
      </c>
      <c r="Y827" t="s">
        <v>14887</v>
      </c>
      <c r="Z827" t="s">
        <v>15693</v>
      </c>
      <c r="AA827" t="s">
        <v>19372</v>
      </c>
      <c r="AC827">
        <v>359</v>
      </c>
      <c r="AD827" t="s">
        <v>24595</v>
      </c>
      <c r="AE827" t="s">
        <v>11459</v>
      </c>
      <c r="AF827">
        <v>9</v>
      </c>
      <c r="AG827">
        <v>3</v>
      </c>
      <c r="AH827">
        <v>0</v>
      </c>
      <c r="AI827">
        <v>0</v>
      </c>
      <c r="AL827" t="s">
        <v>5011</v>
      </c>
      <c r="AM827">
        <v>0</v>
      </c>
      <c r="AQ827" t="s">
        <v>24986</v>
      </c>
      <c r="AR827" t="s">
        <v>25025</v>
      </c>
      <c r="AS827">
        <v>18.5</v>
      </c>
      <c r="AT827" t="s">
        <v>460</v>
      </c>
      <c r="AU827" t="s">
        <v>120</v>
      </c>
      <c r="AV827" t="s">
        <v>25335</v>
      </c>
      <c r="AW827" t="s">
        <v>11447</v>
      </c>
    </row>
    <row r="828" spans="1:49">
      <c r="A828" s="1">
        <f>HYPERLINK("https://lsnyc.legalserver.org/matter/dynamic-profile/view/1906523","19-1906523")</f>
        <v>0</v>
      </c>
      <c r="B828" t="s">
        <v>183</v>
      </c>
      <c r="C828" t="s">
        <v>380</v>
      </c>
      <c r="D828" t="s">
        <v>484</v>
      </c>
      <c r="E828" t="s">
        <v>1630</v>
      </c>
      <c r="F828" t="s">
        <v>4125</v>
      </c>
      <c r="G828" t="s">
        <v>7060</v>
      </c>
      <c r="H828" t="s">
        <v>10649</v>
      </c>
      <c r="I828" t="s">
        <v>11385</v>
      </c>
      <c r="J828">
        <v>11212</v>
      </c>
      <c r="K828" t="s">
        <v>11446</v>
      </c>
      <c r="L828" t="s">
        <v>11698</v>
      </c>
      <c r="M828" t="s">
        <v>14744</v>
      </c>
      <c r="N828" t="s">
        <v>14779</v>
      </c>
      <c r="O828" t="s">
        <v>14787</v>
      </c>
      <c r="P828" t="s">
        <v>14797</v>
      </c>
      <c r="Q828" t="s">
        <v>11448</v>
      </c>
      <c r="S828" t="s">
        <v>14827</v>
      </c>
      <c r="T828" t="s">
        <v>14833</v>
      </c>
      <c r="U828" t="s">
        <v>465</v>
      </c>
      <c r="V828">
        <v>2001</v>
      </c>
      <c r="W828" t="s">
        <v>14859</v>
      </c>
      <c r="X828" t="s">
        <v>14870</v>
      </c>
      <c r="Y828" t="s">
        <v>14883</v>
      </c>
      <c r="Z828" t="s">
        <v>15694</v>
      </c>
      <c r="AA828" t="s">
        <v>11465</v>
      </c>
      <c r="AB828" t="s">
        <v>20794</v>
      </c>
      <c r="AC828">
        <v>74</v>
      </c>
      <c r="AD828" t="s">
        <v>24596</v>
      </c>
      <c r="AE828" t="s">
        <v>24614</v>
      </c>
      <c r="AF828">
        <v>11</v>
      </c>
      <c r="AG828">
        <v>2</v>
      </c>
      <c r="AH828">
        <v>1</v>
      </c>
      <c r="AI828">
        <v>73.14</v>
      </c>
      <c r="AL828" t="s">
        <v>5011</v>
      </c>
      <c r="AM828">
        <v>15600</v>
      </c>
      <c r="AS828">
        <v>2</v>
      </c>
      <c r="AT828" t="s">
        <v>524</v>
      </c>
      <c r="AU828" t="s">
        <v>66</v>
      </c>
      <c r="AV828" t="s">
        <v>25335</v>
      </c>
      <c r="AW828" t="s">
        <v>11447</v>
      </c>
    </row>
    <row r="829" spans="1:49">
      <c r="A829" s="1">
        <f>HYPERLINK("https://lsnyc.legalserver.org/matter/dynamic-profile/view/1909465","19-1909465")</f>
        <v>0</v>
      </c>
      <c r="B829" t="s">
        <v>76</v>
      </c>
      <c r="C829" t="s">
        <v>488</v>
      </c>
      <c r="D829" t="s">
        <v>484</v>
      </c>
      <c r="E829" t="s">
        <v>1631</v>
      </c>
      <c r="F829" t="s">
        <v>4126</v>
      </c>
      <c r="G829" t="s">
        <v>7061</v>
      </c>
      <c r="H829" t="s">
        <v>10648</v>
      </c>
      <c r="I829" t="s">
        <v>11385</v>
      </c>
      <c r="J829">
        <v>11207</v>
      </c>
      <c r="K829" t="s">
        <v>11446</v>
      </c>
      <c r="L829" t="s">
        <v>11699</v>
      </c>
      <c r="M829" t="s">
        <v>14743</v>
      </c>
      <c r="N829" t="s">
        <v>14778</v>
      </c>
      <c r="O829" t="s">
        <v>14786</v>
      </c>
      <c r="P829" t="s">
        <v>14797</v>
      </c>
      <c r="Q829" t="s">
        <v>11448</v>
      </c>
      <c r="S829" t="s">
        <v>14827</v>
      </c>
      <c r="T829" t="s">
        <v>14832</v>
      </c>
      <c r="U829" t="s">
        <v>1015</v>
      </c>
      <c r="V829">
        <v>0</v>
      </c>
      <c r="W829" t="s">
        <v>14859</v>
      </c>
      <c r="Y829" t="s">
        <v>14883</v>
      </c>
      <c r="Z829" t="s">
        <v>15695</v>
      </c>
      <c r="AB829" t="s">
        <v>20795</v>
      </c>
      <c r="AC829">
        <v>3</v>
      </c>
      <c r="AD829" t="s">
        <v>24600</v>
      </c>
      <c r="AF829">
        <v>35</v>
      </c>
      <c r="AG829">
        <v>1</v>
      </c>
      <c r="AH829">
        <v>0</v>
      </c>
      <c r="AI829">
        <v>192.15</v>
      </c>
      <c r="AL829" t="s">
        <v>5011</v>
      </c>
      <c r="AM829">
        <v>24000</v>
      </c>
      <c r="AS829">
        <v>2.3</v>
      </c>
      <c r="AT829" t="s">
        <v>460</v>
      </c>
      <c r="AU829" t="s">
        <v>25230</v>
      </c>
      <c r="AV829" t="s">
        <v>25335</v>
      </c>
      <c r="AW829" t="s">
        <v>11447</v>
      </c>
    </row>
    <row r="830" spans="1:49">
      <c r="A830" s="1">
        <f>HYPERLINK("https://lsnyc.legalserver.org/matter/dynamic-profile/view/1908740","19-1908740")</f>
        <v>0</v>
      </c>
      <c r="B830" t="s">
        <v>56</v>
      </c>
      <c r="C830" t="s">
        <v>410</v>
      </c>
      <c r="D830" t="s">
        <v>484</v>
      </c>
      <c r="E830" t="s">
        <v>1245</v>
      </c>
      <c r="F830" t="s">
        <v>4127</v>
      </c>
      <c r="G830" t="s">
        <v>7062</v>
      </c>
      <c r="H830" t="s">
        <v>10581</v>
      </c>
      <c r="I830" t="s">
        <v>11385</v>
      </c>
      <c r="J830">
        <v>11233</v>
      </c>
      <c r="K830" t="s">
        <v>11446</v>
      </c>
      <c r="L830" t="s">
        <v>11700</v>
      </c>
      <c r="M830" t="s">
        <v>14743</v>
      </c>
      <c r="N830" t="s">
        <v>14781</v>
      </c>
      <c r="O830" t="s">
        <v>14788</v>
      </c>
      <c r="P830" t="s">
        <v>14797</v>
      </c>
      <c r="Q830" t="s">
        <v>11448</v>
      </c>
      <c r="S830" t="s">
        <v>14827</v>
      </c>
      <c r="T830" t="s">
        <v>14832</v>
      </c>
      <c r="U830" t="s">
        <v>471</v>
      </c>
      <c r="V830">
        <v>1129</v>
      </c>
      <c r="W830" t="s">
        <v>14859</v>
      </c>
      <c r="X830" t="s">
        <v>14873</v>
      </c>
      <c r="Y830" t="s">
        <v>14888</v>
      </c>
      <c r="Z830" t="s">
        <v>15696</v>
      </c>
      <c r="AA830" t="s">
        <v>11465</v>
      </c>
      <c r="AB830" t="s">
        <v>20796</v>
      </c>
      <c r="AC830">
        <v>8</v>
      </c>
      <c r="AD830" t="s">
        <v>24595</v>
      </c>
      <c r="AE830" t="s">
        <v>11459</v>
      </c>
      <c r="AF830">
        <v>3</v>
      </c>
      <c r="AG830">
        <v>1</v>
      </c>
      <c r="AH830">
        <v>0</v>
      </c>
      <c r="AI830">
        <v>0</v>
      </c>
      <c r="AL830" t="s">
        <v>5011</v>
      </c>
      <c r="AM830">
        <v>0</v>
      </c>
      <c r="AS830">
        <v>2.7</v>
      </c>
      <c r="AT830" t="s">
        <v>484</v>
      </c>
      <c r="AU830" t="s">
        <v>66</v>
      </c>
      <c r="AV830" t="s">
        <v>25335</v>
      </c>
      <c r="AW830" t="s">
        <v>11447</v>
      </c>
    </row>
    <row r="831" spans="1:49">
      <c r="A831" s="1">
        <f>HYPERLINK("https://lsnyc.legalserver.org/matter/dynamic-profile/view/1910678","19-1910678")</f>
        <v>0</v>
      </c>
      <c r="B831" t="s">
        <v>56</v>
      </c>
      <c r="C831" t="s">
        <v>644</v>
      </c>
      <c r="D831" t="s">
        <v>484</v>
      </c>
      <c r="E831" t="s">
        <v>1190</v>
      </c>
      <c r="F831" t="s">
        <v>4128</v>
      </c>
      <c r="G831" t="s">
        <v>7063</v>
      </c>
      <c r="I831" t="s">
        <v>11385</v>
      </c>
      <c r="J831">
        <v>11207</v>
      </c>
      <c r="K831" t="s">
        <v>11446</v>
      </c>
      <c r="L831" t="s">
        <v>11601</v>
      </c>
      <c r="M831" t="s">
        <v>14748</v>
      </c>
      <c r="N831" t="s">
        <v>14778</v>
      </c>
      <c r="O831" t="s">
        <v>14786</v>
      </c>
      <c r="P831" t="s">
        <v>14797</v>
      </c>
      <c r="Q831" t="s">
        <v>11448</v>
      </c>
      <c r="S831" t="s">
        <v>14827</v>
      </c>
      <c r="U831" t="s">
        <v>644</v>
      </c>
      <c r="V831">
        <v>680</v>
      </c>
      <c r="W831" t="s">
        <v>14859</v>
      </c>
      <c r="X831" t="s">
        <v>14868</v>
      </c>
      <c r="Y831" t="s">
        <v>14883</v>
      </c>
      <c r="Z831" t="s">
        <v>15697</v>
      </c>
      <c r="AA831" t="s">
        <v>19373</v>
      </c>
      <c r="AB831" t="s">
        <v>20797</v>
      </c>
      <c r="AC831">
        <v>3</v>
      </c>
      <c r="AD831" t="s">
        <v>11479</v>
      </c>
      <c r="AE831" t="s">
        <v>24613</v>
      </c>
      <c r="AF831">
        <v>34</v>
      </c>
      <c r="AG831">
        <v>1</v>
      </c>
      <c r="AH831">
        <v>0</v>
      </c>
      <c r="AI831">
        <v>83.23</v>
      </c>
      <c r="AL831" t="s">
        <v>24632</v>
      </c>
      <c r="AM831">
        <v>10396</v>
      </c>
      <c r="AS831">
        <v>0.9</v>
      </c>
      <c r="AT831" t="s">
        <v>486</v>
      </c>
      <c r="AU831" t="s">
        <v>66</v>
      </c>
      <c r="AV831" t="s">
        <v>25335</v>
      </c>
      <c r="AW831" t="s">
        <v>11447</v>
      </c>
    </row>
    <row r="832" spans="1:49">
      <c r="A832" s="1">
        <f>HYPERLINK("https://lsnyc.legalserver.org/matter/dynamic-profile/view/1911000","19-1911000")</f>
        <v>0</v>
      </c>
      <c r="B832" t="s">
        <v>149</v>
      </c>
      <c r="C832" t="s">
        <v>460</v>
      </c>
      <c r="D832" t="s">
        <v>484</v>
      </c>
      <c r="E832" t="s">
        <v>1632</v>
      </c>
      <c r="F832" t="s">
        <v>4129</v>
      </c>
      <c r="G832" t="s">
        <v>6985</v>
      </c>
      <c r="I832" t="s">
        <v>11385</v>
      </c>
      <c r="J832">
        <v>11233</v>
      </c>
      <c r="K832" t="s">
        <v>11446</v>
      </c>
      <c r="M832" t="s">
        <v>14766</v>
      </c>
      <c r="N832" t="s">
        <v>14778</v>
      </c>
      <c r="O832" t="s">
        <v>14786</v>
      </c>
      <c r="P832" t="s">
        <v>14797</v>
      </c>
      <c r="Q832" t="s">
        <v>11448</v>
      </c>
      <c r="S832" t="s">
        <v>14827</v>
      </c>
      <c r="T832" t="s">
        <v>14832</v>
      </c>
      <c r="U832" t="s">
        <v>475</v>
      </c>
      <c r="V832">
        <v>1400</v>
      </c>
      <c r="W832" t="s">
        <v>14859</v>
      </c>
      <c r="X832" t="s">
        <v>14868</v>
      </c>
      <c r="Y832" t="s">
        <v>14883</v>
      </c>
      <c r="Z832" t="s">
        <v>15698</v>
      </c>
      <c r="AA832" t="s">
        <v>11459</v>
      </c>
      <c r="AB832" t="s">
        <v>20798</v>
      </c>
      <c r="AC832">
        <v>359</v>
      </c>
      <c r="AD832" t="s">
        <v>24595</v>
      </c>
      <c r="AF832">
        <v>7</v>
      </c>
      <c r="AG832">
        <v>2</v>
      </c>
      <c r="AH832">
        <v>2</v>
      </c>
      <c r="AI832">
        <v>151.46</v>
      </c>
      <c r="AL832" t="s">
        <v>5011</v>
      </c>
      <c r="AM832">
        <v>39000</v>
      </c>
      <c r="AS832">
        <v>4.3</v>
      </c>
      <c r="AT832" t="s">
        <v>645</v>
      </c>
      <c r="AU832" t="s">
        <v>120</v>
      </c>
      <c r="AV832" t="s">
        <v>25335</v>
      </c>
      <c r="AW832" t="s">
        <v>11447</v>
      </c>
    </row>
    <row r="833" spans="1:49">
      <c r="A833" s="1">
        <f>HYPERLINK("https://lsnyc.legalserver.org/matter/dynamic-profile/view/1909255","19-1909255")</f>
        <v>0</v>
      </c>
      <c r="B833" t="s">
        <v>76</v>
      </c>
      <c r="C833" t="s">
        <v>589</v>
      </c>
      <c r="D833" t="s">
        <v>484</v>
      </c>
      <c r="E833" t="s">
        <v>1633</v>
      </c>
      <c r="F833" t="s">
        <v>4130</v>
      </c>
      <c r="G833" t="s">
        <v>7064</v>
      </c>
      <c r="H833">
        <v>2</v>
      </c>
      <c r="I833" t="s">
        <v>11385</v>
      </c>
      <c r="J833">
        <v>11233</v>
      </c>
      <c r="K833" t="s">
        <v>11446</v>
      </c>
      <c r="L833" t="s">
        <v>11465</v>
      </c>
      <c r="M833" t="s">
        <v>14746</v>
      </c>
      <c r="N833" t="s">
        <v>14778</v>
      </c>
      <c r="O833" t="s">
        <v>14786</v>
      </c>
      <c r="P833" t="s">
        <v>14797</v>
      </c>
      <c r="Q833" t="s">
        <v>11448</v>
      </c>
      <c r="S833" t="s">
        <v>14827</v>
      </c>
      <c r="T833" t="s">
        <v>14832</v>
      </c>
      <c r="U833" t="s">
        <v>467</v>
      </c>
      <c r="V833">
        <v>2450</v>
      </c>
      <c r="W833" t="s">
        <v>14859</v>
      </c>
      <c r="X833" t="s">
        <v>14755</v>
      </c>
      <c r="Y833" t="s">
        <v>14883</v>
      </c>
      <c r="Z833" t="s">
        <v>15699</v>
      </c>
      <c r="AA833" t="s">
        <v>11465</v>
      </c>
      <c r="AC833">
        <v>3</v>
      </c>
      <c r="AD833" t="s">
        <v>11479</v>
      </c>
      <c r="AE833" t="s">
        <v>11459</v>
      </c>
      <c r="AF833">
        <v>1</v>
      </c>
      <c r="AG833">
        <v>1</v>
      </c>
      <c r="AH833">
        <v>0</v>
      </c>
      <c r="AI833">
        <v>147.28</v>
      </c>
      <c r="AL833" t="s">
        <v>5011</v>
      </c>
      <c r="AM833">
        <v>18395</v>
      </c>
      <c r="AS833">
        <v>1.5</v>
      </c>
      <c r="AT833" t="s">
        <v>467</v>
      </c>
      <c r="AU833" t="s">
        <v>25244</v>
      </c>
      <c r="AV833" t="s">
        <v>25335</v>
      </c>
      <c r="AW833" t="s">
        <v>11447</v>
      </c>
    </row>
    <row r="834" spans="1:49">
      <c r="A834" s="1">
        <f>HYPERLINK("https://lsnyc.legalserver.org/matter/dynamic-profile/view/1908285","19-1908285")</f>
        <v>0</v>
      </c>
      <c r="B834" t="s">
        <v>56</v>
      </c>
      <c r="C834" t="s">
        <v>375</v>
      </c>
      <c r="D834" t="s">
        <v>484</v>
      </c>
      <c r="E834" t="s">
        <v>1634</v>
      </c>
      <c r="F834" t="s">
        <v>3901</v>
      </c>
      <c r="G834" t="s">
        <v>7065</v>
      </c>
      <c r="H834" t="s">
        <v>10499</v>
      </c>
      <c r="I834" t="s">
        <v>11385</v>
      </c>
      <c r="J834">
        <v>11233</v>
      </c>
      <c r="K834" t="s">
        <v>11446</v>
      </c>
      <c r="L834" t="s">
        <v>11701</v>
      </c>
      <c r="M834" t="s">
        <v>14744</v>
      </c>
      <c r="N834" t="s">
        <v>14781</v>
      </c>
      <c r="O834" t="s">
        <v>14788</v>
      </c>
      <c r="P834" t="s">
        <v>14797</v>
      </c>
      <c r="Q834" t="s">
        <v>11448</v>
      </c>
      <c r="S834" t="s">
        <v>14827</v>
      </c>
      <c r="T834" t="s">
        <v>14832</v>
      </c>
      <c r="U834" t="s">
        <v>526</v>
      </c>
      <c r="V834">
        <v>1000</v>
      </c>
      <c r="W834" t="s">
        <v>14859</v>
      </c>
      <c r="X834" t="s">
        <v>14868</v>
      </c>
      <c r="Y834" t="s">
        <v>14887</v>
      </c>
      <c r="Z834" t="s">
        <v>15700</v>
      </c>
      <c r="AA834" t="s">
        <v>11459</v>
      </c>
      <c r="AB834" t="s">
        <v>20799</v>
      </c>
      <c r="AC834">
        <v>3</v>
      </c>
      <c r="AD834" t="s">
        <v>24599</v>
      </c>
      <c r="AE834" t="s">
        <v>11459</v>
      </c>
      <c r="AF834">
        <v>7</v>
      </c>
      <c r="AG834">
        <v>2</v>
      </c>
      <c r="AH834">
        <v>2</v>
      </c>
      <c r="AI834">
        <v>276.72</v>
      </c>
      <c r="AL834" t="s">
        <v>5011</v>
      </c>
      <c r="AM834">
        <v>71256</v>
      </c>
      <c r="AS834">
        <v>2.5</v>
      </c>
      <c r="AT834" t="s">
        <v>586</v>
      </c>
      <c r="AU834" t="s">
        <v>120</v>
      </c>
      <c r="AV834" t="s">
        <v>25335</v>
      </c>
      <c r="AW834" t="s">
        <v>11447</v>
      </c>
    </row>
    <row r="835" spans="1:49">
      <c r="A835" s="1">
        <f>HYPERLINK("https://lsnyc.legalserver.org/matter/dynamic-profile/view/1912884","19-1912884")</f>
        <v>0</v>
      </c>
      <c r="B835" t="s">
        <v>184</v>
      </c>
      <c r="C835" t="s">
        <v>470</v>
      </c>
      <c r="D835" t="s">
        <v>484</v>
      </c>
      <c r="E835" t="s">
        <v>1635</v>
      </c>
      <c r="F835" t="s">
        <v>2002</v>
      </c>
      <c r="G835" t="s">
        <v>7066</v>
      </c>
      <c r="H835" t="s">
        <v>10726</v>
      </c>
      <c r="I835" t="s">
        <v>11383</v>
      </c>
      <c r="J835">
        <v>10452</v>
      </c>
      <c r="K835" t="s">
        <v>11446</v>
      </c>
      <c r="M835" t="s">
        <v>14762</v>
      </c>
      <c r="N835" t="s">
        <v>14779</v>
      </c>
      <c r="O835" t="s">
        <v>14787</v>
      </c>
      <c r="P835" t="s">
        <v>14797</v>
      </c>
      <c r="Q835" t="s">
        <v>11448</v>
      </c>
      <c r="S835" t="s">
        <v>14827</v>
      </c>
      <c r="U835" t="s">
        <v>470</v>
      </c>
      <c r="V835">
        <v>895.65</v>
      </c>
      <c r="W835" t="s">
        <v>14858</v>
      </c>
      <c r="X835" t="s">
        <v>14864</v>
      </c>
      <c r="Y835" t="s">
        <v>14885</v>
      </c>
      <c r="Z835" t="s">
        <v>15701</v>
      </c>
      <c r="AB835" t="s">
        <v>20800</v>
      </c>
      <c r="AC835">
        <v>61</v>
      </c>
      <c r="AD835" t="s">
        <v>24595</v>
      </c>
      <c r="AE835" t="s">
        <v>11459</v>
      </c>
      <c r="AF835">
        <v>30</v>
      </c>
      <c r="AG835">
        <v>1</v>
      </c>
      <c r="AH835">
        <v>0</v>
      </c>
      <c r="AI835">
        <v>180.05</v>
      </c>
      <c r="AL835" t="s">
        <v>24632</v>
      </c>
      <c r="AM835">
        <v>22488</v>
      </c>
      <c r="AS835">
        <v>1.7</v>
      </c>
      <c r="AT835" t="s">
        <v>484</v>
      </c>
      <c r="AU835" t="s">
        <v>184</v>
      </c>
      <c r="AV835" t="s">
        <v>25335</v>
      </c>
      <c r="AW835" t="s">
        <v>11447</v>
      </c>
    </row>
    <row r="836" spans="1:49">
      <c r="A836" s="1">
        <f>HYPERLINK("https://lsnyc.legalserver.org/matter/dynamic-profile/view/1912271","19-1912271")</f>
        <v>0</v>
      </c>
      <c r="B836" t="s">
        <v>184</v>
      </c>
      <c r="C836" t="s">
        <v>559</v>
      </c>
      <c r="D836" t="s">
        <v>484</v>
      </c>
      <c r="E836" t="s">
        <v>1636</v>
      </c>
      <c r="F836" t="s">
        <v>3802</v>
      </c>
      <c r="G836" t="s">
        <v>7067</v>
      </c>
      <c r="H836" t="s">
        <v>10727</v>
      </c>
      <c r="I836" t="s">
        <v>11383</v>
      </c>
      <c r="J836">
        <v>10457</v>
      </c>
      <c r="K836" t="s">
        <v>11446</v>
      </c>
      <c r="M836" t="s">
        <v>11601</v>
      </c>
      <c r="N836" t="s">
        <v>14779</v>
      </c>
      <c r="O836" t="s">
        <v>14787</v>
      </c>
      <c r="P836" t="s">
        <v>14797</v>
      </c>
      <c r="Q836" t="s">
        <v>11448</v>
      </c>
      <c r="S836" t="s">
        <v>14827</v>
      </c>
      <c r="U836" t="s">
        <v>483</v>
      </c>
      <c r="V836">
        <v>867.4400000000001</v>
      </c>
      <c r="W836" t="s">
        <v>14858</v>
      </c>
      <c r="X836" t="s">
        <v>14755</v>
      </c>
      <c r="Y836" t="s">
        <v>14885</v>
      </c>
      <c r="Z836" t="s">
        <v>15702</v>
      </c>
      <c r="AB836" t="s">
        <v>20801</v>
      </c>
      <c r="AC836">
        <v>50</v>
      </c>
      <c r="AD836" t="s">
        <v>24595</v>
      </c>
      <c r="AE836" t="s">
        <v>24613</v>
      </c>
      <c r="AF836">
        <v>49</v>
      </c>
      <c r="AG836">
        <v>1</v>
      </c>
      <c r="AH836">
        <v>0</v>
      </c>
      <c r="AI836">
        <v>159.68</v>
      </c>
      <c r="AL836" t="s">
        <v>5011</v>
      </c>
      <c r="AM836">
        <v>19944</v>
      </c>
      <c r="AS836">
        <v>2.1</v>
      </c>
      <c r="AT836" t="s">
        <v>537</v>
      </c>
      <c r="AU836" t="s">
        <v>25244</v>
      </c>
      <c r="AV836" t="s">
        <v>25335</v>
      </c>
      <c r="AW836" t="s">
        <v>11447</v>
      </c>
    </row>
    <row r="837" spans="1:49">
      <c r="A837" s="1">
        <f>HYPERLINK("https://lsnyc.legalserver.org/matter/dynamic-profile/view/1913025","19-1913025")</f>
        <v>0</v>
      </c>
      <c r="B837" t="s">
        <v>184</v>
      </c>
      <c r="C837" t="s">
        <v>603</v>
      </c>
      <c r="D837" t="s">
        <v>484</v>
      </c>
      <c r="E837" t="s">
        <v>1635</v>
      </c>
      <c r="F837" t="s">
        <v>2002</v>
      </c>
      <c r="G837" t="s">
        <v>7066</v>
      </c>
      <c r="H837" t="s">
        <v>10726</v>
      </c>
      <c r="I837" t="s">
        <v>11383</v>
      </c>
      <c r="J837">
        <v>10452</v>
      </c>
      <c r="K837" t="s">
        <v>11446</v>
      </c>
      <c r="M837" t="s">
        <v>14748</v>
      </c>
      <c r="N837" t="s">
        <v>14779</v>
      </c>
      <c r="O837" t="s">
        <v>14787</v>
      </c>
      <c r="P837" t="s">
        <v>14797</v>
      </c>
      <c r="Q837" t="s">
        <v>11448</v>
      </c>
      <c r="S837" t="s">
        <v>14827</v>
      </c>
      <c r="U837" t="s">
        <v>483</v>
      </c>
      <c r="V837">
        <v>895.65</v>
      </c>
      <c r="W837" t="s">
        <v>14858</v>
      </c>
      <c r="X837" t="s">
        <v>14864</v>
      </c>
      <c r="Y837" t="s">
        <v>14885</v>
      </c>
      <c r="Z837" t="s">
        <v>15701</v>
      </c>
      <c r="AB837" t="s">
        <v>20800</v>
      </c>
      <c r="AC837">
        <v>61</v>
      </c>
      <c r="AD837" t="s">
        <v>24595</v>
      </c>
      <c r="AE837" t="s">
        <v>11459</v>
      </c>
      <c r="AF837">
        <v>30</v>
      </c>
      <c r="AG837">
        <v>1</v>
      </c>
      <c r="AH837">
        <v>0</v>
      </c>
      <c r="AI837">
        <v>180.05</v>
      </c>
      <c r="AL837" t="s">
        <v>24632</v>
      </c>
      <c r="AM837">
        <v>22488</v>
      </c>
      <c r="AS837">
        <v>1.8</v>
      </c>
      <c r="AT837" t="s">
        <v>484</v>
      </c>
      <c r="AU837" t="s">
        <v>184</v>
      </c>
      <c r="AV837" t="s">
        <v>25335</v>
      </c>
      <c r="AW837" t="s">
        <v>11447</v>
      </c>
    </row>
    <row r="838" spans="1:49">
      <c r="A838" s="1">
        <f>HYPERLINK("https://lsnyc.legalserver.org/matter/dynamic-profile/view/1888023","19-1888023")</f>
        <v>0</v>
      </c>
      <c r="B838" t="s">
        <v>197</v>
      </c>
      <c r="C838" t="s">
        <v>632</v>
      </c>
      <c r="D838" t="s">
        <v>484</v>
      </c>
      <c r="E838" t="s">
        <v>1247</v>
      </c>
      <c r="F838" t="s">
        <v>4131</v>
      </c>
      <c r="G838" t="s">
        <v>7068</v>
      </c>
      <c r="H838">
        <v>606</v>
      </c>
      <c r="I838" t="s">
        <v>11383</v>
      </c>
      <c r="J838">
        <v>10457</v>
      </c>
      <c r="K838" t="s">
        <v>11447</v>
      </c>
      <c r="M838" t="s">
        <v>14747</v>
      </c>
      <c r="N838" t="s">
        <v>14778</v>
      </c>
      <c r="O838" t="s">
        <v>14786</v>
      </c>
      <c r="P838" t="s">
        <v>14797</v>
      </c>
      <c r="S838" t="s">
        <v>14827</v>
      </c>
      <c r="V838">
        <v>833</v>
      </c>
      <c r="W838" t="s">
        <v>14858</v>
      </c>
      <c r="Y838" t="s">
        <v>14883</v>
      </c>
      <c r="Z838" t="s">
        <v>15703</v>
      </c>
      <c r="AB838" t="s">
        <v>20802</v>
      </c>
      <c r="AC838">
        <v>88</v>
      </c>
      <c r="AF838">
        <v>7</v>
      </c>
      <c r="AG838">
        <v>1</v>
      </c>
      <c r="AH838">
        <v>0</v>
      </c>
      <c r="AI838">
        <v>137.73</v>
      </c>
      <c r="AL838" t="s">
        <v>5011</v>
      </c>
      <c r="AM838">
        <v>16720</v>
      </c>
      <c r="AN838" t="s">
        <v>24735</v>
      </c>
      <c r="AS838">
        <v>2.7</v>
      </c>
      <c r="AT838" t="s">
        <v>484</v>
      </c>
      <c r="AU838" t="s">
        <v>25227</v>
      </c>
      <c r="AW838" t="s">
        <v>11447</v>
      </c>
    </row>
    <row r="839" spans="1:49">
      <c r="A839" s="1">
        <f>HYPERLINK("https://lsnyc.legalserver.org/matter/dynamic-profile/view/1906918","19-1906918")</f>
        <v>0</v>
      </c>
      <c r="B839" t="s">
        <v>95</v>
      </c>
      <c r="C839" t="s">
        <v>354</v>
      </c>
      <c r="D839" t="s">
        <v>484</v>
      </c>
      <c r="E839" t="s">
        <v>1637</v>
      </c>
      <c r="F839" t="s">
        <v>3758</v>
      </c>
      <c r="G839" t="s">
        <v>7069</v>
      </c>
      <c r="H839" t="s">
        <v>10638</v>
      </c>
      <c r="I839" t="s">
        <v>11383</v>
      </c>
      <c r="J839">
        <v>10457</v>
      </c>
      <c r="K839" t="s">
        <v>11446</v>
      </c>
      <c r="L839" t="s">
        <v>11702</v>
      </c>
      <c r="M839" t="s">
        <v>11601</v>
      </c>
      <c r="N839" t="s">
        <v>14779</v>
      </c>
      <c r="O839" t="s">
        <v>14787</v>
      </c>
      <c r="P839" t="s">
        <v>14797</v>
      </c>
      <c r="Q839" t="s">
        <v>11448</v>
      </c>
      <c r="S839" t="s">
        <v>14827</v>
      </c>
      <c r="V839">
        <v>873</v>
      </c>
      <c r="W839" t="s">
        <v>14858</v>
      </c>
      <c r="X839" t="s">
        <v>14867</v>
      </c>
      <c r="Y839" t="s">
        <v>14884</v>
      </c>
      <c r="Z839" t="s">
        <v>15704</v>
      </c>
      <c r="AB839" t="s">
        <v>20803</v>
      </c>
      <c r="AC839">
        <v>0</v>
      </c>
      <c r="AD839" t="s">
        <v>24595</v>
      </c>
      <c r="AE839" t="s">
        <v>11459</v>
      </c>
      <c r="AF839">
        <v>6</v>
      </c>
      <c r="AG839">
        <v>1</v>
      </c>
      <c r="AH839">
        <v>0</v>
      </c>
      <c r="AI839">
        <v>160.93</v>
      </c>
      <c r="AL839" t="s">
        <v>5011</v>
      </c>
      <c r="AM839">
        <v>20100</v>
      </c>
      <c r="AS839">
        <v>0.2</v>
      </c>
      <c r="AT839" t="s">
        <v>484</v>
      </c>
      <c r="AU839" t="s">
        <v>95</v>
      </c>
      <c r="AV839" t="s">
        <v>25335</v>
      </c>
      <c r="AW839" t="s">
        <v>11447</v>
      </c>
    </row>
    <row r="840" spans="1:49">
      <c r="A840" s="1">
        <f>HYPERLINK("https://lsnyc.legalserver.org/matter/dynamic-profile/view/1905411","19-1905411")</f>
        <v>0</v>
      </c>
      <c r="B840" t="s">
        <v>67</v>
      </c>
      <c r="C840" t="s">
        <v>520</v>
      </c>
      <c r="D840" t="s">
        <v>484</v>
      </c>
      <c r="E840" t="s">
        <v>1372</v>
      </c>
      <c r="F840" t="s">
        <v>4132</v>
      </c>
      <c r="G840" t="s">
        <v>7070</v>
      </c>
      <c r="H840" t="s">
        <v>10465</v>
      </c>
      <c r="I840" t="s">
        <v>11383</v>
      </c>
      <c r="J840">
        <v>10457</v>
      </c>
      <c r="K840" t="s">
        <v>11446</v>
      </c>
      <c r="N840" t="s">
        <v>14779</v>
      </c>
      <c r="O840" t="s">
        <v>14787</v>
      </c>
      <c r="P840" t="s">
        <v>14797</v>
      </c>
      <c r="Q840" t="s">
        <v>11448</v>
      </c>
      <c r="S840" t="s">
        <v>14827</v>
      </c>
      <c r="V840">
        <v>924.22</v>
      </c>
      <c r="W840" t="s">
        <v>14858</v>
      </c>
      <c r="X840" t="s">
        <v>14864</v>
      </c>
      <c r="Y840" t="s">
        <v>14883</v>
      </c>
      <c r="Z840" t="s">
        <v>15705</v>
      </c>
      <c r="AC840">
        <v>10</v>
      </c>
      <c r="AD840" t="s">
        <v>11479</v>
      </c>
      <c r="AE840" t="s">
        <v>11459</v>
      </c>
      <c r="AF840">
        <v>28</v>
      </c>
      <c r="AG840">
        <v>2</v>
      </c>
      <c r="AH840">
        <v>0</v>
      </c>
      <c r="AI840">
        <v>212.89</v>
      </c>
      <c r="AL840" t="s">
        <v>24632</v>
      </c>
      <c r="AM840">
        <v>36000</v>
      </c>
      <c r="AS840">
        <v>5.5</v>
      </c>
      <c r="AT840" t="s">
        <v>515</v>
      </c>
      <c r="AU840" t="s">
        <v>25242</v>
      </c>
      <c r="AV840" t="s">
        <v>25335</v>
      </c>
      <c r="AW840" t="s">
        <v>11447</v>
      </c>
    </row>
    <row r="841" spans="1:49">
      <c r="A841" s="1">
        <f>HYPERLINK("https://lsnyc.legalserver.org/matter/dynamic-profile/view/0779614","15-0779614")</f>
        <v>0</v>
      </c>
      <c r="B841" t="s">
        <v>200</v>
      </c>
      <c r="C841" t="s">
        <v>647</v>
      </c>
      <c r="D841" t="s">
        <v>1017</v>
      </c>
      <c r="E841" t="s">
        <v>1495</v>
      </c>
      <c r="F841" t="s">
        <v>4133</v>
      </c>
      <c r="G841" t="s">
        <v>7071</v>
      </c>
      <c r="I841" t="s">
        <v>11385</v>
      </c>
      <c r="J841">
        <v>11216</v>
      </c>
      <c r="K841" t="s">
        <v>11448</v>
      </c>
      <c r="L841" t="s">
        <v>11703</v>
      </c>
      <c r="M841" t="s">
        <v>14743</v>
      </c>
      <c r="N841" t="s">
        <v>14781</v>
      </c>
      <c r="O841" t="s">
        <v>14788</v>
      </c>
      <c r="P841" t="s">
        <v>14797</v>
      </c>
      <c r="R841" t="s">
        <v>14812</v>
      </c>
      <c r="S841" t="s">
        <v>14827</v>
      </c>
      <c r="V841">
        <v>0</v>
      </c>
      <c r="W841" t="s">
        <v>14859</v>
      </c>
      <c r="Y841" t="s">
        <v>14887</v>
      </c>
      <c r="Z841" t="s">
        <v>15706</v>
      </c>
      <c r="AB841" t="s">
        <v>20804</v>
      </c>
      <c r="AC841">
        <v>0</v>
      </c>
      <c r="AD841" t="s">
        <v>24600</v>
      </c>
      <c r="AF841">
        <v>8</v>
      </c>
      <c r="AG841">
        <v>1</v>
      </c>
      <c r="AH841">
        <v>0</v>
      </c>
      <c r="AI841">
        <v>0</v>
      </c>
      <c r="AL841" t="s">
        <v>5011</v>
      </c>
      <c r="AM841">
        <v>0</v>
      </c>
      <c r="AN841" t="s">
        <v>24736</v>
      </c>
      <c r="AS841">
        <v>28.5</v>
      </c>
      <c r="AT841" t="s">
        <v>1017</v>
      </c>
      <c r="AU841" t="s">
        <v>200</v>
      </c>
      <c r="AW841" t="s">
        <v>11447</v>
      </c>
    </row>
    <row r="842" spans="1:49">
      <c r="A842" s="1">
        <f>HYPERLINK("https://lsnyc.legalserver.org/matter/dynamic-profile/view/1911238","19-1911238")</f>
        <v>0</v>
      </c>
      <c r="B842" t="s">
        <v>190</v>
      </c>
      <c r="C842" t="s">
        <v>511</v>
      </c>
      <c r="D842" t="s">
        <v>477</v>
      </c>
      <c r="E842" t="s">
        <v>1638</v>
      </c>
      <c r="F842" t="s">
        <v>4134</v>
      </c>
      <c r="G842" t="s">
        <v>7072</v>
      </c>
      <c r="H842" t="s">
        <v>10552</v>
      </c>
      <c r="I842" t="s">
        <v>11386</v>
      </c>
      <c r="J842">
        <v>10034</v>
      </c>
      <c r="K842" t="s">
        <v>11446</v>
      </c>
      <c r="M842" t="s">
        <v>14747</v>
      </c>
      <c r="N842" t="s">
        <v>14778</v>
      </c>
      <c r="O842" t="s">
        <v>14786</v>
      </c>
      <c r="P842" t="s">
        <v>14797</v>
      </c>
      <c r="Q842" t="s">
        <v>11448</v>
      </c>
      <c r="S842" t="s">
        <v>14827</v>
      </c>
      <c r="U842" t="s">
        <v>511</v>
      </c>
      <c r="V842">
        <v>1162.16</v>
      </c>
      <c r="W842" t="s">
        <v>14860</v>
      </c>
      <c r="X842" t="s">
        <v>14868</v>
      </c>
      <c r="Y842" t="s">
        <v>14883</v>
      </c>
      <c r="Z842" t="s">
        <v>15707</v>
      </c>
      <c r="AB842" t="s">
        <v>20805</v>
      </c>
      <c r="AC842">
        <v>121</v>
      </c>
      <c r="AD842" t="s">
        <v>24595</v>
      </c>
      <c r="AE842" t="s">
        <v>24615</v>
      </c>
      <c r="AF842">
        <v>12</v>
      </c>
      <c r="AG842">
        <v>2</v>
      </c>
      <c r="AH842">
        <v>1</v>
      </c>
      <c r="AI842">
        <v>132.6</v>
      </c>
      <c r="AL842" t="s">
        <v>5011</v>
      </c>
      <c r="AM842">
        <v>28284</v>
      </c>
      <c r="AS842">
        <v>1.9</v>
      </c>
      <c r="AT842" t="s">
        <v>477</v>
      </c>
      <c r="AU842" t="s">
        <v>137</v>
      </c>
      <c r="AV842" t="s">
        <v>25335</v>
      </c>
      <c r="AW842" t="s">
        <v>11447</v>
      </c>
    </row>
    <row r="843" spans="1:49">
      <c r="A843" s="1">
        <f>HYPERLINK("https://lsnyc.legalserver.org/matter/dynamic-profile/view/1881716","18-1881716")</f>
        <v>0</v>
      </c>
      <c r="B843" t="s">
        <v>201</v>
      </c>
      <c r="C843" t="s">
        <v>648</v>
      </c>
      <c r="D843" t="s">
        <v>477</v>
      </c>
      <c r="E843" t="s">
        <v>1319</v>
      </c>
      <c r="F843" t="s">
        <v>3667</v>
      </c>
      <c r="G843" t="s">
        <v>7073</v>
      </c>
      <c r="H843" t="s">
        <v>10728</v>
      </c>
      <c r="I843" t="s">
        <v>11383</v>
      </c>
      <c r="J843">
        <v>10451</v>
      </c>
      <c r="K843" t="s">
        <v>11446</v>
      </c>
      <c r="L843" t="s">
        <v>11704</v>
      </c>
      <c r="M843" t="s">
        <v>14747</v>
      </c>
      <c r="N843" t="s">
        <v>14779</v>
      </c>
      <c r="O843" t="s">
        <v>14786</v>
      </c>
      <c r="P843" t="s">
        <v>14797</v>
      </c>
      <c r="Q843" t="s">
        <v>11448</v>
      </c>
      <c r="S843" t="s">
        <v>14827</v>
      </c>
      <c r="T843" t="s">
        <v>14832</v>
      </c>
      <c r="U843" t="s">
        <v>515</v>
      </c>
      <c r="V843">
        <v>357</v>
      </c>
      <c r="W843" t="s">
        <v>14858</v>
      </c>
      <c r="X843" t="s">
        <v>14755</v>
      </c>
      <c r="Y843" t="s">
        <v>14883</v>
      </c>
      <c r="Z843" t="s">
        <v>15708</v>
      </c>
      <c r="AA843" t="s">
        <v>19374</v>
      </c>
      <c r="AB843" t="s">
        <v>20806</v>
      </c>
      <c r="AC843">
        <v>0</v>
      </c>
      <c r="AD843" t="s">
        <v>24597</v>
      </c>
      <c r="AF843">
        <v>6</v>
      </c>
      <c r="AG843">
        <v>2</v>
      </c>
      <c r="AH843">
        <v>1</v>
      </c>
      <c r="AI843">
        <v>118.73</v>
      </c>
      <c r="AL843" t="s">
        <v>5011</v>
      </c>
      <c r="AM843">
        <v>24672</v>
      </c>
      <c r="AN843" t="s">
        <v>24737</v>
      </c>
      <c r="AS843">
        <v>25.6</v>
      </c>
      <c r="AT843" t="s">
        <v>477</v>
      </c>
      <c r="AU843" t="s">
        <v>237</v>
      </c>
      <c r="AV843" t="s">
        <v>25335</v>
      </c>
      <c r="AW843" t="s">
        <v>11446</v>
      </c>
    </row>
    <row r="844" spans="1:49">
      <c r="A844" s="1">
        <f>HYPERLINK("https://lsnyc.legalserver.org/matter/dynamic-profile/view/1913414","19-1913414")</f>
        <v>0</v>
      </c>
      <c r="B844" t="s">
        <v>120</v>
      </c>
      <c r="C844" t="s">
        <v>483</v>
      </c>
      <c r="D844" t="s">
        <v>477</v>
      </c>
      <c r="E844" t="s">
        <v>1639</v>
      </c>
      <c r="F844" t="s">
        <v>4135</v>
      </c>
      <c r="G844" t="s">
        <v>7074</v>
      </c>
      <c r="H844">
        <v>2</v>
      </c>
      <c r="I844" t="s">
        <v>11385</v>
      </c>
      <c r="J844">
        <v>11236</v>
      </c>
      <c r="K844" t="s">
        <v>11447</v>
      </c>
      <c r="L844" t="s">
        <v>11601</v>
      </c>
      <c r="M844" t="s">
        <v>11601</v>
      </c>
      <c r="O844" t="s">
        <v>14786</v>
      </c>
      <c r="P844" t="s">
        <v>14797</v>
      </c>
      <c r="Q844" t="s">
        <v>11448</v>
      </c>
      <c r="S844" t="s">
        <v>14827</v>
      </c>
      <c r="V844">
        <v>1000</v>
      </c>
      <c r="W844" t="s">
        <v>14859</v>
      </c>
      <c r="Y844" t="s">
        <v>14883</v>
      </c>
      <c r="Z844" t="s">
        <v>15709</v>
      </c>
      <c r="AB844" t="s">
        <v>20807</v>
      </c>
      <c r="AC844">
        <v>2</v>
      </c>
      <c r="AD844" t="s">
        <v>24600</v>
      </c>
      <c r="AE844" t="s">
        <v>11459</v>
      </c>
      <c r="AF844">
        <v>27</v>
      </c>
      <c r="AG844">
        <v>2</v>
      </c>
      <c r="AH844">
        <v>0</v>
      </c>
      <c r="AI844">
        <v>192.1</v>
      </c>
      <c r="AL844" t="s">
        <v>5011</v>
      </c>
      <c r="AM844">
        <v>32484</v>
      </c>
      <c r="AS844">
        <v>0.1</v>
      </c>
      <c r="AT844" t="s">
        <v>477</v>
      </c>
      <c r="AU844" t="s">
        <v>120</v>
      </c>
      <c r="AW844" t="s">
        <v>11447</v>
      </c>
    </row>
    <row r="845" spans="1:49">
      <c r="A845" s="1">
        <f>HYPERLINK("https://lsnyc.legalserver.org/matter/dynamic-profile/view/1911197","19-1911197")</f>
        <v>0</v>
      </c>
      <c r="B845" t="s">
        <v>170</v>
      </c>
      <c r="C845" t="s">
        <v>475</v>
      </c>
      <c r="D845" t="s">
        <v>476</v>
      </c>
      <c r="E845" t="s">
        <v>1640</v>
      </c>
      <c r="F845" t="s">
        <v>3742</v>
      </c>
      <c r="G845" t="s">
        <v>7075</v>
      </c>
      <c r="H845">
        <v>2504</v>
      </c>
      <c r="I845" t="s">
        <v>11386</v>
      </c>
      <c r="J845">
        <v>10035</v>
      </c>
      <c r="K845" t="s">
        <v>11446</v>
      </c>
      <c r="M845" t="s">
        <v>11601</v>
      </c>
      <c r="N845" t="s">
        <v>14778</v>
      </c>
      <c r="O845" t="s">
        <v>14786</v>
      </c>
      <c r="P845" t="s">
        <v>14797</v>
      </c>
      <c r="Q845" t="s">
        <v>11448</v>
      </c>
      <c r="S845" t="s">
        <v>14827</v>
      </c>
      <c r="T845" t="s">
        <v>14832</v>
      </c>
      <c r="U845" t="s">
        <v>505</v>
      </c>
      <c r="V845">
        <v>1389</v>
      </c>
      <c r="W845" t="s">
        <v>14860</v>
      </c>
      <c r="X845" t="s">
        <v>14868</v>
      </c>
      <c r="Y845" t="s">
        <v>14883</v>
      </c>
      <c r="Z845" t="s">
        <v>15710</v>
      </c>
      <c r="AB845" t="s">
        <v>20808</v>
      </c>
      <c r="AC845">
        <v>100</v>
      </c>
      <c r="AD845" t="s">
        <v>11479</v>
      </c>
      <c r="AE845" t="s">
        <v>24610</v>
      </c>
      <c r="AF845">
        <v>32</v>
      </c>
      <c r="AG845">
        <v>2</v>
      </c>
      <c r="AH845">
        <v>0</v>
      </c>
      <c r="AI845">
        <v>279.03</v>
      </c>
      <c r="AL845" t="s">
        <v>5011</v>
      </c>
      <c r="AM845">
        <v>47184</v>
      </c>
      <c r="AS845">
        <v>2.75</v>
      </c>
      <c r="AT845" t="s">
        <v>559</v>
      </c>
      <c r="AU845" t="s">
        <v>25244</v>
      </c>
      <c r="AV845" t="s">
        <v>25335</v>
      </c>
      <c r="AW845" t="s">
        <v>11447</v>
      </c>
    </row>
    <row r="846" spans="1:49">
      <c r="A846" s="1">
        <f>HYPERLINK("https://lsnyc.legalserver.org/matter/dynamic-profile/view/1910139","19-1910139")</f>
        <v>0</v>
      </c>
      <c r="B846" t="s">
        <v>184</v>
      </c>
      <c r="C846" t="s">
        <v>471</v>
      </c>
      <c r="D846" t="s">
        <v>490</v>
      </c>
      <c r="E846" t="s">
        <v>1035</v>
      </c>
      <c r="F846" t="s">
        <v>4136</v>
      </c>
      <c r="G846" t="s">
        <v>7076</v>
      </c>
      <c r="H846" t="s">
        <v>10729</v>
      </c>
      <c r="I846" t="s">
        <v>11383</v>
      </c>
      <c r="J846">
        <v>10451</v>
      </c>
      <c r="K846" t="s">
        <v>11446</v>
      </c>
      <c r="M846" t="s">
        <v>11601</v>
      </c>
      <c r="N846" t="s">
        <v>14778</v>
      </c>
      <c r="O846" t="s">
        <v>14786</v>
      </c>
      <c r="P846" t="s">
        <v>14797</v>
      </c>
      <c r="Q846" t="s">
        <v>11448</v>
      </c>
      <c r="S846" t="s">
        <v>14827</v>
      </c>
      <c r="U846" t="s">
        <v>601</v>
      </c>
      <c r="V846">
        <v>1061</v>
      </c>
      <c r="W846" t="s">
        <v>14858</v>
      </c>
      <c r="X846" t="s">
        <v>14864</v>
      </c>
      <c r="Y846" t="s">
        <v>14883</v>
      </c>
      <c r="Z846" t="s">
        <v>14939</v>
      </c>
      <c r="AB846" t="s">
        <v>20809</v>
      </c>
      <c r="AC846">
        <v>176</v>
      </c>
      <c r="AD846" t="s">
        <v>24595</v>
      </c>
      <c r="AE846" t="s">
        <v>24617</v>
      </c>
      <c r="AF846">
        <v>3</v>
      </c>
      <c r="AG846">
        <v>2</v>
      </c>
      <c r="AH846">
        <v>0</v>
      </c>
      <c r="AI846">
        <v>73.73</v>
      </c>
      <c r="AL846" t="s">
        <v>5011</v>
      </c>
      <c r="AM846">
        <v>12468</v>
      </c>
      <c r="AS846">
        <v>2.1</v>
      </c>
      <c r="AT846" t="s">
        <v>490</v>
      </c>
      <c r="AU846" t="s">
        <v>184</v>
      </c>
      <c r="AV846" t="s">
        <v>25335</v>
      </c>
      <c r="AW846" t="s">
        <v>11447</v>
      </c>
    </row>
    <row r="847" spans="1:49">
      <c r="A847" s="1">
        <f>HYPERLINK("https://lsnyc.legalserver.org/matter/dynamic-profile/view/1912808","19-1912808")</f>
        <v>0</v>
      </c>
      <c r="B847" t="s">
        <v>98</v>
      </c>
      <c r="C847" t="s">
        <v>470</v>
      </c>
      <c r="D847" t="s">
        <v>580</v>
      </c>
      <c r="E847" t="s">
        <v>1274</v>
      </c>
      <c r="F847" t="s">
        <v>3901</v>
      </c>
      <c r="G847" t="s">
        <v>7077</v>
      </c>
      <c r="I847" t="s">
        <v>11385</v>
      </c>
      <c r="J847">
        <v>11233</v>
      </c>
      <c r="K847" t="s">
        <v>11446</v>
      </c>
      <c r="L847" t="s">
        <v>11601</v>
      </c>
      <c r="M847" t="s">
        <v>14757</v>
      </c>
      <c r="N847" t="s">
        <v>14778</v>
      </c>
      <c r="O847" t="s">
        <v>14786</v>
      </c>
      <c r="P847" t="s">
        <v>14797</v>
      </c>
      <c r="Q847" t="s">
        <v>11448</v>
      </c>
      <c r="S847" t="s">
        <v>14827</v>
      </c>
      <c r="T847" t="s">
        <v>14832</v>
      </c>
      <c r="U847" t="s">
        <v>470</v>
      </c>
      <c r="V847">
        <v>1588</v>
      </c>
      <c r="W847" t="s">
        <v>14859</v>
      </c>
      <c r="X847" t="s">
        <v>14867</v>
      </c>
      <c r="Y847" t="s">
        <v>14883</v>
      </c>
      <c r="Z847" t="s">
        <v>15711</v>
      </c>
      <c r="AA847" t="s">
        <v>19375</v>
      </c>
      <c r="AB847" t="s">
        <v>20810</v>
      </c>
      <c r="AC847">
        <v>19</v>
      </c>
      <c r="AE847" t="s">
        <v>24610</v>
      </c>
      <c r="AF847">
        <v>6</v>
      </c>
      <c r="AG847">
        <v>1</v>
      </c>
      <c r="AH847">
        <v>3</v>
      </c>
      <c r="AI847">
        <v>35.4</v>
      </c>
      <c r="AL847" t="s">
        <v>5011</v>
      </c>
      <c r="AM847">
        <v>9116</v>
      </c>
      <c r="AS847">
        <v>0.75</v>
      </c>
      <c r="AT847" t="s">
        <v>580</v>
      </c>
      <c r="AU847" t="s">
        <v>66</v>
      </c>
      <c r="AV847" t="s">
        <v>25335</v>
      </c>
      <c r="AW847" t="s">
        <v>11447</v>
      </c>
    </row>
    <row r="848" spans="1:49">
      <c r="A848" s="1">
        <f>HYPERLINK("https://lsnyc.legalserver.org/matter/dynamic-profile/view/1907929","19-1907929")</f>
        <v>0</v>
      </c>
      <c r="B848" t="s">
        <v>202</v>
      </c>
      <c r="C848" t="s">
        <v>458</v>
      </c>
      <c r="D848" t="s">
        <v>539</v>
      </c>
      <c r="E848" t="s">
        <v>1230</v>
      </c>
      <c r="F848" t="s">
        <v>4137</v>
      </c>
      <c r="G848" t="s">
        <v>7078</v>
      </c>
      <c r="I848" t="s">
        <v>11389</v>
      </c>
      <c r="J848">
        <v>11358</v>
      </c>
      <c r="K848" t="s">
        <v>11446</v>
      </c>
      <c r="L848" t="s">
        <v>11705</v>
      </c>
      <c r="M848" t="s">
        <v>14743</v>
      </c>
      <c r="N848" t="s">
        <v>14781</v>
      </c>
      <c r="O848" t="s">
        <v>14788</v>
      </c>
      <c r="P848" t="s">
        <v>14797</v>
      </c>
      <c r="Q848" t="s">
        <v>11448</v>
      </c>
      <c r="S848" t="s">
        <v>14827</v>
      </c>
      <c r="T848" t="s">
        <v>14832</v>
      </c>
      <c r="U848" t="s">
        <v>458</v>
      </c>
      <c r="V848">
        <v>1</v>
      </c>
      <c r="W848" t="s">
        <v>14861</v>
      </c>
      <c r="X848" t="s">
        <v>14865</v>
      </c>
      <c r="Y848" t="s">
        <v>14887</v>
      </c>
      <c r="Z848" t="s">
        <v>15712</v>
      </c>
      <c r="AA848" t="s">
        <v>11459</v>
      </c>
      <c r="AB848" t="s">
        <v>20811</v>
      </c>
      <c r="AC848">
        <v>1</v>
      </c>
      <c r="AD848" t="s">
        <v>24600</v>
      </c>
      <c r="AE848" t="s">
        <v>11459</v>
      </c>
      <c r="AF848">
        <v>8</v>
      </c>
      <c r="AG848">
        <v>3</v>
      </c>
      <c r="AH848">
        <v>1</v>
      </c>
      <c r="AI848">
        <v>127.77</v>
      </c>
      <c r="AL848" t="s">
        <v>24648</v>
      </c>
      <c r="AM848">
        <v>32900</v>
      </c>
      <c r="AO848" t="s">
        <v>24932</v>
      </c>
      <c r="AP848" t="s">
        <v>24941</v>
      </c>
      <c r="AQ848" t="s">
        <v>24986</v>
      </c>
      <c r="AR848" t="s">
        <v>25026</v>
      </c>
      <c r="AS848">
        <v>12.15</v>
      </c>
      <c r="AT848" t="s">
        <v>477</v>
      </c>
      <c r="AU848" t="s">
        <v>292</v>
      </c>
      <c r="AV848" t="s">
        <v>25335</v>
      </c>
      <c r="AW848" t="s">
        <v>11447</v>
      </c>
    </row>
    <row r="849" spans="1:49">
      <c r="A849" s="1">
        <f>HYPERLINK("https://lsnyc.legalserver.org/matter/dynamic-profile/view/1909907","19-1909907")</f>
        <v>0</v>
      </c>
      <c r="B849" t="s">
        <v>76</v>
      </c>
      <c r="C849" t="s">
        <v>468</v>
      </c>
      <c r="D849" t="s">
        <v>539</v>
      </c>
      <c r="E849" t="s">
        <v>1641</v>
      </c>
      <c r="F849" t="s">
        <v>4138</v>
      </c>
      <c r="G849" t="s">
        <v>7079</v>
      </c>
      <c r="H849" t="s">
        <v>10524</v>
      </c>
      <c r="I849" t="s">
        <v>11385</v>
      </c>
      <c r="J849">
        <v>11233</v>
      </c>
      <c r="K849" t="s">
        <v>11446</v>
      </c>
      <c r="L849" t="s">
        <v>11706</v>
      </c>
      <c r="M849" t="s">
        <v>14744</v>
      </c>
      <c r="N849" t="s">
        <v>14781</v>
      </c>
      <c r="O849" t="s">
        <v>14788</v>
      </c>
      <c r="P849" t="s">
        <v>14797</v>
      </c>
      <c r="Q849" t="s">
        <v>11448</v>
      </c>
      <c r="S849" t="s">
        <v>14827</v>
      </c>
      <c r="T849" t="s">
        <v>14834</v>
      </c>
      <c r="U849" t="s">
        <v>604</v>
      </c>
      <c r="V849">
        <v>1096.4</v>
      </c>
      <c r="W849" t="s">
        <v>14859</v>
      </c>
      <c r="X849" t="s">
        <v>14864</v>
      </c>
      <c r="Y849" t="s">
        <v>14887</v>
      </c>
      <c r="Z849" t="s">
        <v>15713</v>
      </c>
      <c r="AA849" t="s">
        <v>19376</v>
      </c>
      <c r="AB849" t="s">
        <v>20812</v>
      </c>
      <c r="AC849">
        <v>24</v>
      </c>
      <c r="AD849" t="s">
        <v>24599</v>
      </c>
      <c r="AF849">
        <v>12</v>
      </c>
      <c r="AG849">
        <v>2</v>
      </c>
      <c r="AH849">
        <v>0</v>
      </c>
      <c r="AI849">
        <v>124.54</v>
      </c>
      <c r="AL849" t="s">
        <v>5011</v>
      </c>
      <c r="AM849">
        <v>21060</v>
      </c>
      <c r="AP849" t="s">
        <v>24942</v>
      </c>
      <c r="AQ849" t="s">
        <v>24986</v>
      </c>
      <c r="AR849" t="s">
        <v>25027</v>
      </c>
      <c r="AS849">
        <v>5.44</v>
      </c>
      <c r="AT849" t="s">
        <v>580</v>
      </c>
      <c r="AU849" t="s">
        <v>25247</v>
      </c>
      <c r="AV849" t="s">
        <v>25334</v>
      </c>
      <c r="AW849" t="s">
        <v>11447</v>
      </c>
    </row>
    <row r="850" spans="1:49">
      <c r="A850" s="1">
        <f>HYPERLINK("https://lsnyc.legalserver.org/matter/dynamic-profile/view/1911932","19-1911932")</f>
        <v>0</v>
      </c>
      <c r="B850" t="s">
        <v>175</v>
      </c>
      <c r="C850" t="s">
        <v>586</v>
      </c>
      <c r="D850" t="s">
        <v>539</v>
      </c>
      <c r="E850" t="s">
        <v>1642</v>
      </c>
      <c r="F850" t="s">
        <v>4139</v>
      </c>
      <c r="G850" t="s">
        <v>7080</v>
      </c>
      <c r="H850" t="s">
        <v>10730</v>
      </c>
      <c r="I850" t="s">
        <v>11386</v>
      </c>
      <c r="J850">
        <v>10034</v>
      </c>
      <c r="K850" t="s">
        <v>11446</v>
      </c>
      <c r="N850" t="s">
        <v>14778</v>
      </c>
      <c r="O850" t="s">
        <v>14786</v>
      </c>
      <c r="P850" t="s">
        <v>14797</v>
      </c>
      <c r="Q850" t="s">
        <v>11448</v>
      </c>
      <c r="S850" t="s">
        <v>14827</v>
      </c>
      <c r="U850" t="s">
        <v>586</v>
      </c>
      <c r="V850">
        <v>1409</v>
      </c>
      <c r="W850" t="s">
        <v>14860</v>
      </c>
      <c r="X850" t="s">
        <v>14868</v>
      </c>
      <c r="Y850" t="s">
        <v>14883</v>
      </c>
      <c r="Z850" t="s">
        <v>15714</v>
      </c>
      <c r="AB850" t="s">
        <v>20813</v>
      </c>
      <c r="AC850">
        <v>228</v>
      </c>
      <c r="AD850" t="s">
        <v>24595</v>
      </c>
      <c r="AE850" t="s">
        <v>11459</v>
      </c>
      <c r="AF850">
        <v>19</v>
      </c>
      <c r="AG850">
        <v>1</v>
      </c>
      <c r="AH850">
        <v>0</v>
      </c>
      <c r="AI850">
        <v>14.36</v>
      </c>
      <c r="AL850" t="s">
        <v>5011</v>
      </c>
      <c r="AM850">
        <v>1794</v>
      </c>
      <c r="AS850">
        <v>3.75</v>
      </c>
      <c r="AT850" t="s">
        <v>539</v>
      </c>
      <c r="AU850" t="s">
        <v>137</v>
      </c>
      <c r="AV850" t="s">
        <v>25335</v>
      </c>
      <c r="AW850" t="s">
        <v>11447</v>
      </c>
    </row>
    <row r="851" spans="1:49">
      <c r="A851" s="1">
        <f>HYPERLINK("https://lsnyc.legalserver.org/matter/dynamic-profile/view/1912771","19-1912771")</f>
        <v>0</v>
      </c>
      <c r="B851" t="s">
        <v>102</v>
      </c>
      <c r="C851" t="s">
        <v>470</v>
      </c>
      <c r="D851" t="s">
        <v>539</v>
      </c>
      <c r="E851" t="s">
        <v>1643</v>
      </c>
      <c r="F851" t="s">
        <v>4140</v>
      </c>
      <c r="G851" t="s">
        <v>7081</v>
      </c>
      <c r="H851" t="s">
        <v>10460</v>
      </c>
      <c r="I851" t="s">
        <v>11383</v>
      </c>
      <c r="J851">
        <v>10452</v>
      </c>
      <c r="K851" t="s">
        <v>11446</v>
      </c>
      <c r="M851" t="s">
        <v>14744</v>
      </c>
      <c r="N851" t="s">
        <v>14779</v>
      </c>
      <c r="O851" t="s">
        <v>14787</v>
      </c>
      <c r="P851" t="s">
        <v>14797</v>
      </c>
      <c r="Q851" t="s">
        <v>11448</v>
      </c>
      <c r="S851" t="s">
        <v>14827</v>
      </c>
      <c r="U851" t="s">
        <v>484</v>
      </c>
      <c r="V851">
        <v>1450</v>
      </c>
      <c r="W851" t="s">
        <v>14858</v>
      </c>
      <c r="X851" t="s">
        <v>14864</v>
      </c>
      <c r="Y851" t="s">
        <v>14884</v>
      </c>
      <c r="Z851" t="s">
        <v>15715</v>
      </c>
      <c r="AB851" t="s">
        <v>20814</v>
      </c>
      <c r="AC851">
        <v>52</v>
      </c>
      <c r="AD851" t="s">
        <v>24595</v>
      </c>
      <c r="AE851" t="s">
        <v>11459</v>
      </c>
      <c r="AF851">
        <v>6</v>
      </c>
      <c r="AG851">
        <v>1</v>
      </c>
      <c r="AH851">
        <v>1</v>
      </c>
      <c r="AI851">
        <v>121.82</v>
      </c>
      <c r="AL851" t="s">
        <v>5011</v>
      </c>
      <c r="AM851">
        <v>20600</v>
      </c>
      <c r="AS851">
        <v>0.1</v>
      </c>
      <c r="AT851" t="s">
        <v>539</v>
      </c>
      <c r="AU851" t="s">
        <v>25242</v>
      </c>
      <c r="AV851" t="s">
        <v>25335</v>
      </c>
      <c r="AW851" t="s">
        <v>11447</v>
      </c>
    </row>
    <row r="852" spans="1:49">
      <c r="A852" s="1">
        <f>HYPERLINK("https://lsnyc.legalserver.org/matter/dynamic-profile/view/1913349","19-1913349")</f>
        <v>0</v>
      </c>
      <c r="B852" t="s">
        <v>81</v>
      </c>
      <c r="C852" t="s">
        <v>483</v>
      </c>
      <c r="D852" t="s">
        <v>539</v>
      </c>
      <c r="E852" t="s">
        <v>1644</v>
      </c>
      <c r="F852" t="s">
        <v>3965</v>
      </c>
      <c r="G852" t="s">
        <v>7082</v>
      </c>
      <c r="H852" t="s">
        <v>10731</v>
      </c>
      <c r="I852" t="s">
        <v>11383</v>
      </c>
      <c r="J852">
        <v>10467</v>
      </c>
      <c r="K852" t="s">
        <v>11448</v>
      </c>
      <c r="L852" t="s">
        <v>11707</v>
      </c>
      <c r="M852" t="s">
        <v>11601</v>
      </c>
      <c r="N852" t="s">
        <v>14778</v>
      </c>
      <c r="O852" t="s">
        <v>14786</v>
      </c>
      <c r="P852" t="s">
        <v>14797</v>
      </c>
      <c r="Q852" t="s">
        <v>11448</v>
      </c>
      <c r="S852" t="s">
        <v>14827</v>
      </c>
      <c r="V852">
        <v>0</v>
      </c>
      <c r="W852" t="s">
        <v>14858</v>
      </c>
      <c r="X852" t="s">
        <v>14871</v>
      </c>
      <c r="Y852" t="s">
        <v>14883</v>
      </c>
      <c r="Z852" t="s">
        <v>15716</v>
      </c>
      <c r="AB852" t="s">
        <v>20815</v>
      </c>
      <c r="AC852">
        <v>4</v>
      </c>
      <c r="AD852" t="s">
        <v>24600</v>
      </c>
      <c r="AF852">
        <v>0</v>
      </c>
      <c r="AG852">
        <v>2</v>
      </c>
      <c r="AH852">
        <v>0</v>
      </c>
      <c r="AI852">
        <v>47.66</v>
      </c>
      <c r="AL852" t="s">
        <v>5011</v>
      </c>
      <c r="AM852">
        <v>8060.04</v>
      </c>
      <c r="AN852" t="s">
        <v>24738</v>
      </c>
      <c r="AS852">
        <v>0.5</v>
      </c>
      <c r="AT852" t="s">
        <v>539</v>
      </c>
      <c r="AU852" t="s">
        <v>145</v>
      </c>
      <c r="AV852" t="s">
        <v>11459</v>
      </c>
      <c r="AW852" t="s">
        <v>11447</v>
      </c>
    </row>
    <row r="853" spans="1:49">
      <c r="A853" s="1">
        <f>HYPERLINK("https://lsnyc.legalserver.org/matter/dynamic-profile/view/1911974","19-1911974")</f>
        <v>0</v>
      </c>
      <c r="B853" t="s">
        <v>175</v>
      </c>
      <c r="C853" t="s">
        <v>586</v>
      </c>
      <c r="D853" t="s">
        <v>506</v>
      </c>
      <c r="E853" t="s">
        <v>1645</v>
      </c>
      <c r="F853" t="s">
        <v>3758</v>
      </c>
      <c r="G853" t="s">
        <v>7083</v>
      </c>
      <c r="H853" t="s">
        <v>10593</v>
      </c>
      <c r="I853" t="s">
        <v>11386</v>
      </c>
      <c r="J853">
        <v>10033</v>
      </c>
      <c r="K853" t="s">
        <v>11446</v>
      </c>
      <c r="N853" t="s">
        <v>14782</v>
      </c>
      <c r="O853" t="s">
        <v>14786</v>
      </c>
      <c r="P853" t="s">
        <v>14797</v>
      </c>
      <c r="Q853" t="s">
        <v>11448</v>
      </c>
      <c r="S853" t="s">
        <v>14827</v>
      </c>
      <c r="U853" t="s">
        <v>586</v>
      </c>
      <c r="V853">
        <v>215</v>
      </c>
      <c r="W853" t="s">
        <v>14860</v>
      </c>
      <c r="X853" t="s">
        <v>14867</v>
      </c>
      <c r="Y853" t="s">
        <v>14883</v>
      </c>
      <c r="Z853" t="s">
        <v>15717</v>
      </c>
      <c r="AB853" t="s">
        <v>20816</v>
      </c>
      <c r="AC853">
        <v>57</v>
      </c>
      <c r="AD853" t="s">
        <v>24595</v>
      </c>
      <c r="AE853" t="s">
        <v>24610</v>
      </c>
      <c r="AF853">
        <v>8</v>
      </c>
      <c r="AG853">
        <v>1</v>
      </c>
      <c r="AH853">
        <v>0</v>
      </c>
      <c r="AI853">
        <v>20.66</v>
      </c>
      <c r="AL853" t="s">
        <v>5011</v>
      </c>
      <c r="AM853">
        <v>2580</v>
      </c>
      <c r="AS853">
        <v>1</v>
      </c>
      <c r="AT853" t="s">
        <v>586</v>
      </c>
      <c r="AU853" t="s">
        <v>137</v>
      </c>
      <c r="AV853" t="s">
        <v>25335</v>
      </c>
      <c r="AW853" t="s">
        <v>11447</v>
      </c>
    </row>
    <row r="854" spans="1:49">
      <c r="A854" s="1">
        <f>HYPERLINK("https://lsnyc.legalserver.org/matter/dynamic-profile/view/1905286","19-1905286")</f>
        <v>0</v>
      </c>
      <c r="B854" t="s">
        <v>177</v>
      </c>
      <c r="C854" t="s">
        <v>480</v>
      </c>
      <c r="D854" t="s">
        <v>506</v>
      </c>
      <c r="E854" t="s">
        <v>1035</v>
      </c>
      <c r="F854" t="s">
        <v>4141</v>
      </c>
      <c r="G854" t="s">
        <v>7084</v>
      </c>
      <c r="H854">
        <v>4</v>
      </c>
      <c r="I854" t="s">
        <v>11385</v>
      </c>
      <c r="J854">
        <v>11206</v>
      </c>
      <c r="K854" t="s">
        <v>11447</v>
      </c>
      <c r="O854" t="s">
        <v>14786</v>
      </c>
      <c r="P854" t="s">
        <v>14797</v>
      </c>
      <c r="S854" t="s">
        <v>14827</v>
      </c>
      <c r="V854">
        <v>0</v>
      </c>
      <c r="W854" t="s">
        <v>14859</v>
      </c>
      <c r="Y854" t="s">
        <v>14883</v>
      </c>
      <c r="Z854" t="s">
        <v>15718</v>
      </c>
      <c r="AB854" t="s">
        <v>20817</v>
      </c>
      <c r="AC854">
        <v>0</v>
      </c>
      <c r="AF854">
        <v>0</v>
      </c>
      <c r="AG854">
        <v>2</v>
      </c>
      <c r="AH854">
        <v>0</v>
      </c>
      <c r="AI854">
        <v>0</v>
      </c>
      <c r="AL854" t="s">
        <v>5011</v>
      </c>
      <c r="AM854">
        <v>0</v>
      </c>
      <c r="AS854">
        <v>1.1</v>
      </c>
      <c r="AT854" t="s">
        <v>506</v>
      </c>
      <c r="AU854" t="s">
        <v>177</v>
      </c>
      <c r="AW854" t="s">
        <v>11447</v>
      </c>
    </row>
    <row r="855" spans="1:49">
      <c r="A855" s="1">
        <f>HYPERLINK("https://lsnyc.legalserver.org/matter/dynamic-profile/view/1905470","19-1905470")</f>
        <v>0</v>
      </c>
      <c r="B855" t="s">
        <v>177</v>
      </c>
      <c r="C855" t="s">
        <v>520</v>
      </c>
      <c r="D855" t="s">
        <v>506</v>
      </c>
      <c r="E855" t="s">
        <v>1034</v>
      </c>
      <c r="F855" t="s">
        <v>4142</v>
      </c>
      <c r="G855" t="s">
        <v>6583</v>
      </c>
      <c r="H855" t="s">
        <v>10462</v>
      </c>
      <c r="I855" t="s">
        <v>11385</v>
      </c>
      <c r="J855">
        <v>11230</v>
      </c>
      <c r="K855" t="s">
        <v>11447</v>
      </c>
      <c r="O855" t="s">
        <v>14786</v>
      </c>
      <c r="P855" t="s">
        <v>14797</v>
      </c>
      <c r="S855" t="s">
        <v>14827</v>
      </c>
      <c r="V855">
        <v>0</v>
      </c>
      <c r="W855" t="s">
        <v>14859</v>
      </c>
      <c r="Y855" t="s">
        <v>14883</v>
      </c>
      <c r="Z855" t="s">
        <v>15208</v>
      </c>
      <c r="AB855" t="s">
        <v>20818</v>
      </c>
      <c r="AC855">
        <v>0</v>
      </c>
      <c r="AF855">
        <v>0</v>
      </c>
      <c r="AG855">
        <v>2</v>
      </c>
      <c r="AH855">
        <v>0</v>
      </c>
      <c r="AI855">
        <v>70.73</v>
      </c>
      <c r="AL855" t="s">
        <v>5011</v>
      </c>
      <c r="AM855">
        <v>11960</v>
      </c>
      <c r="AS855">
        <v>0.9</v>
      </c>
      <c r="AT855" t="s">
        <v>506</v>
      </c>
      <c r="AU855" t="s">
        <v>177</v>
      </c>
      <c r="AW855" t="s">
        <v>11447</v>
      </c>
    </row>
    <row r="856" spans="1:49">
      <c r="A856" s="1">
        <f>HYPERLINK("https://lsnyc.legalserver.org/matter/dynamic-profile/view/1912448","19-1912448")</f>
        <v>0</v>
      </c>
      <c r="B856" t="s">
        <v>119</v>
      </c>
      <c r="C856" t="s">
        <v>489</v>
      </c>
      <c r="D856" t="s">
        <v>506</v>
      </c>
      <c r="E856" t="s">
        <v>1646</v>
      </c>
      <c r="F856" t="s">
        <v>3944</v>
      </c>
      <c r="G856" t="s">
        <v>7085</v>
      </c>
      <c r="H856" t="s">
        <v>10465</v>
      </c>
      <c r="I856" t="s">
        <v>11383</v>
      </c>
      <c r="J856">
        <v>10457</v>
      </c>
      <c r="K856" t="s">
        <v>11446</v>
      </c>
      <c r="M856" t="s">
        <v>14745</v>
      </c>
      <c r="N856" t="s">
        <v>14779</v>
      </c>
      <c r="O856" t="s">
        <v>14787</v>
      </c>
      <c r="P856" t="s">
        <v>14797</v>
      </c>
      <c r="Q856" t="s">
        <v>11446</v>
      </c>
      <c r="S856" t="s">
        <v>14827</v>
      </c>
      <c r="V856">
        <v>1022.34</v>
      </c>
      <c r="W856" t="s">
        <v>14858</v>
      </c>
      <c r="X856" t="s">
        <v>14864</v>
      </c>
      <c r="Y856" t="s">
        <v>14895</v>
      </c>
      <c r="Z856" t="s">
        <v>15719</v>
      </c>
      <c r="AB856" t="s">
        <v>20819</v>
      </c>
      <c r="AC856">
        <v>48</v>
      </c>
      <c r="AD856" t="s">
        <v>24595</v>
      </c>
      <c r="AE856" t="s">
        <v>24610</v>
      </c>
      <c r="AF856">
        <v>15</v>
      </c>
      <c r="AG856">
        <v>1</v>
      </c>
      <c r="AH856">
        <v>0</v>
      </c>
      <c r="AI856">
        <v>176.94</v>
      </c>
      <c r="AL856" t="s">
        <v>24632</v>
      </c>
      <c r="AM856">
        <v>22100</v>
      </c>
      <c r="AS856">
        <v>1.4</v>
      </c>
      <c r="AT856" t="s">
        <v>539</v>
      </c>
      <c r="AU856" t="s">
        <v>245</v>
      </c>
      <c r="AV856" t="s">
        <v>25335</v>
      </c>
      <c r="AW856" t="s">
        <v>11447</v>
      </c>
    </row>
    <row r="857" spans="1:49">
      <c r="A857" s="1">
        <f>HYPERLINK("https://lsnyc.legalserver.org/matter/dynamic-profile/view/1909733","19-1909733")</f>
        <v>0</v>
      </c>
      <c r="B857" t="s">
        <v>177</v>
      </c>
      <c r="C857" t="s">
        <v>519</v>
      </c>
      <c r="D857" t="s">
        <v>506</v>
      </c>
      <c r="E857" t="s">
        <v>1470</v>
      </c>
      <c r="F857" t="s">
        <v>4143</v>
      </c>
      <c r="G857" t="s">
        <v>7086</v>
      </c>
      <c r="H857" t="s">
        <v>10562</v>
      </c>
      <c r="I857" t="s">
        <v>11385</v>
      </c>
      <c r="J857">
        <v>11228</v>
      </c>
      <c r="K857" t="s">
        <v>11447</v>
      </c>
      <c r="O857" t="s">
        <v>14786</v>
      </c>
      <c r="P857" t="s">
        <v>14797</v>
      </c>
      <c r="S857" t="s">
        <v>14827</v>
      </c>
      <c r="V857">
        <v>0</v>
      </c>
      <c r="W857" t="s">
        <v>14859</v>
      </c>
      <c r="Y857" t="s">
        <v>14883</v>
      </c>
      <c r="Z857" t="s">
        <v>15720</v>
      </c>
      <c r="AB857" t="s">
        <v>20820</v>
      </c>
      <c r="AC857">
        <v>0</v>
      </c>
      <c r="AF857">
        <v>0</v>
      </c>
      <c r="AG857">
        <v>1</v>
      </c>
      <c r="AH857">
        <v>0</v>
      </c>
      <c r="AI857">
        <v>178.13</v>
      </c>
      <c r="AL857" t="s">
        <v>5011</v>
      </c>
      <c r="AM857">
        <v>22248</v>
      </c>
      <c r="AS857">
        <v>0.6</v>
      </c>
      <c r="AT857" t="s">
        <v>506</v>
      </c>
      <c r="AU857" t="s">
        <v>177</v>
      </c>
      <c r="AW857" t="s">
        <v>11447</v>
      </c>
    </row>
    <row r="858" spans="1:49">
      <c r="A858" s="1">
        <f>HYPERLINK("https://lsnyc.legalserver.org/matter/dynamic-profile/view/1905728","19-1905728")</f>
        <v>0</v>
      </c>
      <c r="B858" t="s">
        <v>203</v>
      </c>
      <c r="C858" t="s">
        <v>496</v>
      </c>
      <c r="D858" t="s">
        <v>506</v>
      </c>
      <c r="E858" t="s">
        <v>1620</v>
      </c>
      <c r="F858" t="s">
        <v>3756</v>
      </c>
      <c r="G858" t="s">
        <v>7087</v>
      </c>
      <c r="H858" t="s">
        <v>10638</v>
      </c>
      <c r="I858" t="s">
        <v>11385</v>
      </c>
      <c r="J858">
        <v>11233</v>
      </c>
      <c r="K858" t="s">
        <v>11446</v>
      </c>
      <c r="L858" t="s">
        <v>11456</v>
      </c>
      <c r="M858" t="s">
        <v>14745</v>
      </c>
      <c r="N858" t="s">
        <v>14779</v>
      </c>
      <c r="O858" t="s">
        <v>14787</v>
      </c>
      <c r="P858" t="s">
        <v>14797</v>
      </c>
      <c r="Q858" t="s">
        <v>11446</v>
      </c>
      <c r="S858" t="s">
        <v>14827</v>
      </c>
      <c r="T858" t="s">
        <v>14832</v>
      </c>
      <c r="V858">
        <v>1200</v>
      </c>
      <c r="W858" t="s">
        <v>14859</v>
      </c>
      <c r="X858" t="s">
        <v>14868</v>
      </c>
      <c r="Y858" t="s">
        <v>14884</v>
      </c>
      <c r="Z858" t="s">
        <v>15721</v>
      </c>
      <c r="AA858" t="s">
        <v>11459</v>
      </c>
      <c r="AB858" t="s">
        <v>20821</v>
      </c>
      <c r="AC858">
        <v>6</v>
      </c>
      <c r="AD858" t="s">
        <v>24595</v>
      </c>
      <c r="AE858" t="s">
        <v>11459</v>
      </c>
      <c r="AF858">
        <v>6</v>
      </c>
      <c r="AG858">
        <v>1</v>
      </c>
      <c r="AH858">
        <v>0</v>
      </c>
      <c r="AI858">
        <v>464.37</v>
      </c>
      <c r="AL858" t="s">
        <v>5011</v>
      </c>
      <c r="AM858">
        <v>58000</v>
      </c>
      <c r="AN858" t="s">
        <v>24739</v>
      </c>
      <c r="AS858">
        <v>0.1</v>
      </c>
      <c r="AT858" t="s">
        <v>511</v>
      </c>
      <c r="AU858" t="s">
        <v>66</v>
      </c>
      <c r="AV858" t="s">
        <v>25335</v>
      </c>
      <c r="AW858" t="s">
        <v>11447</v>
      </c>
    </row>
    <row r="859" spans="1:49">
      <c r="A859" s="1">
        <f>HYPERLINK("https://lsnyc.legalserver.org/matter/dynamic-profile/view/1914532","19-1914532")</f>
        <v>0</v>
      </c>
      <c r="B859" t="s">
        <v>84</v>
      </c>
      <c r="C859" t="s">
        <v>478</v>
      </c>
      <c r="D859" t="s">
        <v>478</v>
      </c>
      <c r="E859" t="s">
        <v>1647</v>
      </c>
      <c r="F859" t="s">
        <v>4144</v>
      </c>
      <c r="G859" t="s">
        <v>7088</v>
      </c>
      <c r="H859" t="s">
        <v>10468</v>
      </c>
      <c r="I859" t="s">
        <v>11383</v>
      </c>
      <c r="J859">
        <v>10453</v>
      </c>
      <c r="K859" t="s">
        <v>11446</v>
      </c>
      <c r="L859" t="s">
        <v>11708</v>
      </c>
      <c r="M859" t="s">
        <v>14744</v>
      </c>
      <c r="N859" t="s">
        <v>14778</v>
      </c>
      <c r="O859" t="s">
        <v>14786</v>
      </c>
      <c r="P859" t="s">
        <v>14797</v>
      </c>
      <c r="Q859" t="s">
        <v>11448</v>
      </c>
      <c r="S859" t="s">
        <v>14827</v>
      </c>
      <c r="T859" t="s">
        <v>14837</v>
      </c>
      <c r="V859">
        <v>935.12</v>
      </c>
      <c r="W859" t="s">
        <v>14858</v>
      </c>
      <c r="X859" t="s">
        <v>14864</v>
      </c>
      <c r="Y859" t="s">
        <v>14883</v>
      </c>
      <c r="Z859" t="s">
        <v>15722</v>
      </c>
      <c r="AA859" t="s">
        <v>19377</v>
      </c>
      <c r="AC859">
        <v>11</v>
      </c>
      <c r="AD859" t="s">
        <v>24595</v>
      </c>
      <c r="AE859" t="s">
        <v>24616</v>
      </c>
      <c r="AF859">
        <v>10</v>
      </c>
      <c r="AG859">
        <v>1</v>
      </c>
      <c r="AH859">
        <v>2</v>
      </c>
      <c r="AI859">
        <v>21.94</v>
      </c>
      <c r="AL859" t="s">
        <v>5011</v>
      </c>
      <c r="AM859">
        <v>4680</v>
      </c>
      <c r="AS859">
        <v>1</v>
      </c>
      <c r="AT859" t="s">
        <v>506</v>
      </c>
      <c r="AU859" t="s">
        <v>84</v>
      </c>
      <c r="AV859" t="s">
        <v>25335</v>
      </c>
      <c r="AW859" t="s">
        <v>11447</v>
      </c>
    </row>
    <row r="860" spans="1:49">
      <c r="A860" s="1">
        <f>HYPERLINK("https://lsnyc.legalserver.org/matter/dynamic-profile/view/1905846","19-1905846")</f>
        <v>0</v>
      </c>
      <c r="B860" t="s">
        <v>100</v>
      </c>
      <c r="C860" t="s">
        <v>530</v>
      </c>
      <c r="D860" t="s">
        <v>478</v>
      </c>
      <c r="E860" t="s">
        <v>1648</v>
      </c>
      <c r="F860" t="s">
        <v>4145</v>
      </c>
      <c r="G860" t="s">
        <v>7089</v>
      </c>
      <c r="H860" t="s">
        <v>10732</v>
      </c>
      <c r="I860" t="s">
        <v>11383</v>
      </c>
      <c r="J860">
        <v>10452</v>
      </c>
      <c r="K860" t="s">
        <v>11446</v>
      </c>
      <c r="L860" t="s">
        <v>11465</v>
      </c>
      <c r="N860" t="s">
        <v>14778</v>
      </c>
      <c r="O860" t="s">
        <v>14786</v>
      </c>
      <c r="P860" t="s">
        <v>14797</v>
      </c>
      <c r="Q860" t="s">
        <v>11448</v>
      </c>
      <c r="S860" t="s">
        <v>14827</v>
      </c>
      <c r="V860">
        <v>1075</v>
      </c>
      <c r="W860" t="s">
        <v>14858</v>
      </c>
      <c r="X860" t="s">
        <v>14864</v>
      </c>
      <c r="Y860" t="s">
        <v>14883</v>
      </c>
      <c r="Z860" t="s">
        <v>15723</v>
      </c>
      <c r="AA860" t="s">
        <v>19378</v>
      </c>
      <c r="AC860">
        <v>58</v>
      </c>
      <c r="AD860" t="s">
        <v>24607</v>
      </c>
      <c r="AE860" t="s">
        <v>24615</v>
      </c>
      <c r="AF860">
        <v>8</v>
      </c>
      <c r="AG860">
        <v>2</v>
      </c>
      <c r="AH860">
        <v>3</v>
      </c>
      <c r="AI860">
        <v>39.77</v>
      </c>
      <c r="AL860" t="s">
        <v>5011</v>
      </c>
      <c r="AM860">
        <v>12000</v>
      </c>
      <c r="AS860">
        <v>0.1</v>
      </c>
      <c r="AT860" t="s">
        <v>478</v>
      </c>
      <c r="AU860" t="s">
        <v>237</v>
      </c>
      <c r="AV860" t="s">
        <v>25335</v>
      </c>
      <c r="AW860" t="s">
        <v>11447</v>
      </c>
    </row>
    <row r="861" spans="1:49">
      <c r="A861" s="1">
        <f>HYPERLINK("https://lsnyc.legalserver.org/matter/dynamic-profile/view/1914529","19-1914529")</f>
        <v>0</v>
      </c>
      <c r="B861" t="s">
        <v>84</v>
      </c>
      <c r="C861" t="s">
        <v>506</v>
      </c>
      <c r="D861" t="s">
        <v>478</v>
      </c>
      <c r="E861" t="s">
        <v>1649</v>
      </c>
      <c r="F861" t="s">
        <v>4146</v>
      </c>
      <c r="G861" t="s">
        <v>7090</v>
      </c>
      <c r="H861" t="s">
        <v>10501</v>
      </c>
      <c r="I861" t="s">
        <v>11383</v>
      </c>
      <c r="J861">
        <v>10453</v>
      </c>
      <c r="K861" t="s">
        <v>11446</v>
      </c>
      <c r="M861" t="s">
        <v>14743</v>
      </c>
      <c r="N861" t="s">
        <v>14778</v>
      </c>
      <c r="O861" t="s">
        <v>14786</v>
      </c>
      <c r="P861" t="s">
        <v>14797</v>
      </c>
      <c r="S861" t="s">
        <v>14827</v>
      </c>
      <c r="T861" t="s">
        <v>14832</v>
      </c>
      <c r="V861">
        <v>0</v>
      </c>
      <c r="W861" t="s">
        <v>14858</v>
      </c>
      <c r="X861" t="s">
        <v>14864</v>
      </c>
      <c r="Y861" t="s">
        <v>14883</v>
      </c>
      <c r="Z861" t="s">
        <v>15724</v>
      </c>
      <c r="AB861" t="s">
        <v>20822</v>
      </c>
      <c r="AC861">
        <v>50</v>
      </c>
      <c r="AD861" t="s">
        <v>24595</v>
      </c>
      <c r="AF861">
        <v>36</v>
      </c>
      <c r="AG861">
        <v>2</v>
      </c>
      <c r="AH861">
        <v>0</v>
      </c>
      <c r="AI861">
        <v>60.39</v>
      </c>
      <c r="AL861" t="s">
        <v>24632</v>
      </c>
      <c r="AM861">
        <v>10212</v>
      </c>
      <c r="AS861">
        <v>1.5</v>
      </c>
      <c r="AT861" t="s">
        <v>521</v>
      </c>
      <c r="AU861" t="s">
        <v>84</v>
      </c>
      <c r="AV861" t="s">
        <v>25335</v>
      </c>
      <c r="AW861" t="s">
        <v>11447</v>
      </c>
    </row>
    <row r="862" spans="1:49">
      <c r="A862" s="1">
        <f>HYPERLINK("https://lsnyc.legalserver.org/matter/dynamic-profile/view/1914480","19-1914480")</f>
        <v>0</v>
      </c>
      <c r="B862" t="s">
        <v>84</v>
      </c>
      <c r="C862" t="s">
        <v>506</v>
      </c>
      <c r="D862" t="s">
        <v>478</v>
      </c>
      <c r="E862" t="s">
        <v>1650</v>
      </c>
      <c r="F862" t="s">
        <v>3696</v>
      </c>
      <c r="G862" t="s">
        <v>7091</v>
      </c>
      <c r="H862" t="s">
        <v>10493</v>
      </c>
      <c r="I862" t="s">
        <v>11383</v>
      </c>
      <c r="J862">
        <v>10452</v>
      </c>
      <c r="K862" t="s">
        <v>11446</v>
      </c>
      <c r="L862" t="s">
        <v>11709</v>
      </c>
      <c r="M862" t="s">
        <v>14760</v>
      </c>
      <c r="N862" t="s">
        <v>14778</v>
      </c>
      <c r="O862" t="s">
        <v>14786</v>
      </c>
      <c r="P862" t="s">
        <v>14797</v>
      </c>
      <c r="Q862" t="s">
        <v>11448</v>
      </c>
      <c r="S862" t="s">
        <v>14829</v>
      </c>
      <c r="T862" t="s">
        <v>14837</v>
      </c>
      <c r="V862">
        <v>1350</v>
      </c>
      <c r="W862" t="s">
        <v>14858</v>
      </c>
      <c r="Y862" t="s">
        <v>14883</v>
      </c>
      <c r="Z862" t="s">
        <v>15725</v>
      </c>
      <c r="AA862">
        <v>6050360</v>
      </c>
      <c r="AB862" t="s">
        <v>20823</v>
      </c>
      <c r="AC862">
        <v>3</v>
      </c>
      <c r="AD862" t="s">
        <v>24600</v>
      </c>
      <c r="AE862" t="s">
        <v>24610</v>
      </c>
      <c r="AF862">
        <v>1</v>
      </c>
      <c r="AG862">
        <v>1</v>
      </c>
      <c r="AH862">
        <v>0</v>
      </c>
      <c r="AI862">
        <v>91.18000000000001</v>
      </c>
      <c r="AL862" t="s">
        <v>5011</v>
      </c>
      <c r="AM862">
        <v>11388</v>
      </c>
      <c r="AS862">
        <v>1.15</v>
      </c>
      <c r="AT862" t="s">
        <v>521</v>
      </c>
      <c r="AU862" t="s">
        <v>84</v>
      </c>
      <c r="AV862" t="s">
        <v>25335</v>
      </c>
      <c r="AW862" t="s">
        <v>11447</v>
      </c>
    </row>
    <row r="863" spans="1:49">
      <c r="A863" s="1">
        <f>HYPERLINK("https://lsnyc.legalserver.org/matter/dynamic-profile/view/1892218","19-1892218")</f>
        <v>0</v>
      </c>
      <c r="B863" t="s">
        <v>67</v>
      </c>
      <c r="C863" t="s">
        <v>474</v>
      </c>
      <c r="D863" t="s">
        <v>478</v>
      </c>
      <c r="E863" t="s">
        <v>1651</v>
      </c>
      <c r="F863" t="s">
        <v>4147</v>
      </c>
      <c r="G863" t="s">
        <v>7092</v>
      </c>
      <c r="H863" t="s">
        <v>10733</v>
      </c>
      <c r="I863" t="s">
        <v>11383</v>
      </c>
      <c r="J863">
        <v>10461</v>
      </c>
      <c r="K863" t="s">
        <v>11447</v>
      </c>
      <c r="M863" t="s">
        <v>14747</v>
      </c>
      <c r="N863" t="s">
        <v>14779</v>
      </c>
      <c r="O863" t="s">
        <v>14787</v>
      </c>
      <c r="P863" t="s">
        <v>14797</v>
      </c>
      <c r="Q863" t="s">
        <v>11448</v>
      </c>
      <c r="S863" t="s">
        <v>14831</v>
      </c>
      <c r="V863">
        <v>1500</v>
      </c>
      <c r="W863" t="s">
        <v>14858</v>
      </c>
      <c r="X863" t="s">
        <v>14868</v>
      </c>
      <c r="Y863" t="s">
        <v>14883</v>
      </c>
      <c r="Z863" t="s">
        <v>15726</v>
      </c>
      <c r="AB863" t="s">
        <v>20824</v>
      </c>
      <c r="AC863">
        <v>125</v>
      </c>
      <c r="AD863" t="s">
        <v>24595</v>
      </c>
      <c r="AE863" t="s">
        <v>24610</v>
      </c>
      <c r="AF863">
        <v>14</v>
      </c>
      <c r="AG863">
        <v>1</v>
      </c>
      <c r="AH863">
        <v>0</v>
      </c>
      <c r="AI863">
        <v>161.73</v>
      </c>
      <c r="AL863" t="s">
        <v>24632</v>
      </c>
      <c r="AM863">
        <v>20200</v>
      </c>
      <c r="AN863" t="s">
        <v>24740</v>
      </c>
      <c r="AS863">
        <v>23.7</v>
      </c>
      <c r="AT863" t="s">
        <v>375</v>
      </c>
      <c r="AU863" t="s">
        <v>25242</v>
      </c>
      <c r="AV863" t="s">
        <v>25335</v>
      </c>
      <c r="AW863" t="s">
        <v>11447</v>
      </c>
    </row>
    <row r="864" spans="1:49">
      <c r="A864" s="1">
        <f>HYPERLINK("https://lsnyc.legalserver.org/matter/dynamic-profile/view/1914537","19-1914537")</f>
        <v>0</v>
      </c>
      <c r="B864" t="s">
        <v>84</v>
      </c>
      <c r="C864" t="s">
        <v>478</v>
      </c>
      <c r="D864" t="s">
        <v>478</v>
      </c>
      <c r="E864" t="s">
        <v>1652</v>
      </c>
      <c r="F864" t="s">
        <v>4148</v>
      </c>
      <c r="G864" t="s">
        <v>7015</v>
      </c>
      <c r="H864" t="s">
        <v>10734</v>
      </c>
      <c r="I864" t="s">
        <v>11383</v>
      </c>
      <c r="J864">
        <v>10453</v>
      </c>
      <c r="K864" t="s">
        <v>11446</v>
      </c>
      <c r="N864" t="s">
        <v>14778</v>
      </c>
      <c r="O864" t="s">
        <v>14786</v>
      </c>
      <c r="P864" t="s">
        <v>14797</v>
      </c>
      <c r="S864" t="s">
        <v>14827</v>
      </c>
      <c r="V864">
        <v>0</v>
      </c>
      <c r="W864" t="s">
        <v>14858</v>
      </c>
      <c r="Y864" t="s">
        <v>14883</v>
      </c>
      <c r="Z864" t="s">
        <v>15727</v>
      </c>
      <c r="AB864" t="s">
        <v>20825</v>
      </c>
      <c r="AC864">
        <v>0</v>
      </c>
      <c r="AF864">
        <v>0</v>
      </c>
      <c r="AG864">
        <v>1</v>
      </c>
      <c r="AH864">
        <v>0</v>
      </c>
      <c r="AI864">
        <v>278.62</v>
      </c>
      <c r="AL864" t="s">
        <v>5011</v>
      </c>
      <c r="AM864">
        <v>34800</v>
      </c>
      <c r="AS864">
        <v>0.8</v>
      </c>
      <c r="AT864" t="s">
        <v>506</v>
      </c>
      <c r="AU864" t="s">
        <v>84</v>
      </c>
      <c r="AV864" t="s">
        <v>25335</v>
      </c>
      <c r="AW864" t="s">
        <v>11447</v>
      </c>
    </row>
    <row r="865" spans="1:49">
      <c r="A865" s="1">
        <f>HYPERLINK("https://lsnyc.legalserver.org/matter/dynamic-profile/view/1912649","19-1912649")</f>
        <v>0</v>
      </c>
      <c r="B865" t="s">
        <v>59</v>
      </c>
      <c r="C865" t="s">
        <v>472</v>
      </c>
      <c r="D865" t="s">
        <v>491</v>
      </c>
      <c r="E865" t="s">
        <v>1653</v>
      </c>
      <c r="F865" t="s">
        <v>4149</v>
      </c>
      <c r="G865" t="s">
        <v>7093</v>
      </c>
      <c r="I865" t="s">
        <v>11423</v>
      </c>
      <c r="J865">
        <v>11413</v>
      </c>
      <c r="K865" t="s">
        <v>11446</v>
      </c>
      <c r="L865" t="s">
        <v>11710</v>
      </c>
      <c r="M865" t="s">
        <v>14743</v>
      </c>
      <c r="N865" t="s">
        <v>14778</v>
      </c>
      <c r="O865" t="s">
        <v>14786</v>
      </c>
      <c r="P865" t="s">
        <v>14797</v>
      </c>
      <c r="Q865" t="s">
        <v>11448</v>
      </c>
      <c r="S865" t="s">
        <v>14827</v>
      </c>
      <c r="T865" t="s">
        <v>14832</v>
      </c>
      <c r="U865" t="s">
        <v>470</v>
      </c>
      <c r="V865">
        <v>1800</v>
      </c>
      <c r="W865" t="s">
        <v>14861</v>
      </c>
      <c r="X865" t="s">
        <v>14865</v>
      </c>
      <c r="Y865" t="s">
        <v>14883</v>
      </c>
      <c r="Z865" t="s">
        <v>15728</v>
      </c>
      <c r="AB865" t="s">
        <v>20826</v>
      </c>
      <c r="AC865">
        <v>1</v>
      </c>
      <c r="AD865" t="s">
        <v>24600</v>
      </c>
      <c r="AE865" t="s">
        <v>11459</v>
      </c>
      <c r="AF865">
        <v>-1</v>
      </c>
      <c r="AG865">
        <v>1</v>
      </c>
      <c r="AH865">
        <v>0</v>
      </c>
      <c r="AI865">
        <v>62.45</v>
      </c>
      <c r="AL865" t="s">
        <v>5011</v>
      </c>
      <c r="AM865">
        <v>7800</v>
      </c>
      <c r="AS865">
        <v>1.92</v>
      </c>
      <c r="AT865" t="s">
        <v>478</v>
      </c>
      <c r="AU865" t="s">
        <v>25233</v>
      </c>
      <c r="AV865" t="s">
        <v>25335</v>
      </c>
      <c r="AW865" t="s">
        <v>11447</v>
      </c>
    </row>
    <row r="866" spans="1:49">
      <c r="A866" s="1">
        <f>HYPERLINK("https://lsnyc.legalserver.org/matter/dynamic-profile/view/1913831","19-1913831")</f>
        <v>0</v>
      </c>
      <c r="B866" t="s">
        <v>204</v>
      </c>
      <c r="C866" t="s">
        <v>533</v>
      </c>
      <c r="D866" t="s">
        <v>491</v>
      </c>
      <c r="E866" t="s">
        <v>1654</v>
      </c>
      <c r="F866" t="s">
        <v>4150</v>
      </c>
      <c r="G866" t="s">
        <v>7094</v>
      </c>
      <c r="H866" t="s">
        <v>10648</v>
      </c>
      <c r="I866" t="s">
        <v>11389</v>
      </c>
      <c r="J866">
        <v>11354</v>
      </c>
      <c r="K866" t="s">
        <v>11446</v>
      </c>
      <c r="L866" t="s">
        <v>11711</v>
      </c>
      <c r="M866" t="s">
        <v>14743</v>
      </c>
      <c r="N866" t="s">
        <v>14778</v>
      </c>
      <c r="O866" t="s">
        <v>14786</v>
      </c>
      <c r="P866" t="s">
        <v>14797</v>
      </c>
      <c r="Q866" t="s">
        <v>11448</v>
      </c>
      <c r="S866" t="s">
        <v>14827</v>
      </c>
      <c r="T866" t="s">
        <v>14832</v>
      </c>
      <c r="U866" t="s">
        <v>539</v>
      </c>
      <c r="V866">
        <v>1500</v>
      </c>
      <c r="W866" t="s">
        <v>14861</v>
      </c>
      <c r="X866" t="s">
        <v>14865</v>
      </c>
      <c r="Y866" t="s">
        <v>14883</v>
      </c>
      <c r="Z866" t="s">
        <v>15729</v>
      </c>
      <c r="AB866" t="s">
        <v>20827</v>
      </c>
      <c r="AC866">
        <v>3</v>
      </c>
      <c r="AD866" t="s">
        <v>24600</v>
      </c>
      <c r="AE866" t="s">
        <v>11459</v>
      </c>
      <c r="AF866">
        <v>5</v>
      </c>
      <c r="AG866">
        <v>2</v>
      </c>
      <c r="AH866">
        <v>0</v>
      </c>
      <c r="AI866">
        <v>112.36</v>
      </c>
      <c r="AL866" t="s">
        <v>24633</v>
      </c>
      <c r="AM866">
        <v>19000</v>
      </c>
      <c r="AS866">
        <v>2.53</v>
      </c>
      <c r="AT866" t="s">
        <v>506</v>
      </c>
      <c r="AU866" t="s">
        <v>25233</v>
      </c>
      <c r="AV866" t="s">
        <v>25335</v>
      </c>
      <c r="AW866" t="s">
        <v>11447</v>
      </c>
    </row>
    <row r="867" spans="1:49">
      <c r="A867" s="1">
        <f>HYPERLINK("https://lsnyc.legalserver.org/matter/dynamic-profile/view/1909649","19-1909649")</f>
        <v>0</v>
      </c>
      <c r="B867" t="s">
        <v>57</v>
      </c>
      <c r="C867" t="s">
        <v>463</v>
      </c>
      <c r="D867" t="s">
        <v>491</v>
      </c>
      <c r="E867" t="s">
        <v>1025</v>
      </c>
      <c r="F867" t="s">
        <v>4151</v>
      </c>
      <c r="G867" t="s">
        <v>7095</v>
      </c>
      <c r="H867">
        <v>45</v>
      </c>
      <c r="I867" t="s">
        <v>11383</v>
      </c>
      <c r="J867">
        <v>10456</v>
      </c>
      <c r="K867" t="s">
        <v>11446</v>
      </c>
      <c r="M867" t="s">
        <v>11601</v>
      </c>
      <c r="N867" t="s">
        <v>14778</v>
      </c>
      <c r="O867" t="s">
        <v>14786</v>
      </c>
      <c r="P867" t="s">
        <v>14797</v>
      </c>
      <c r="Q867" t="s">
        <v>11448</v>
      </c>
      <c r="S867" t="s">
        <v>14827</v>
      </c>
      <c r="V867">
        <v>0</v>
      </c>
      <c r="W867" t="s">
        <v>14858</v>
      </c>
      <c r="Y867" t="s">
        <v>14883</v>
      </c>
      <c r="Z867" t="s">
        <v>15730</v>
      </c>
      <c r="AB867" t="s">
        <v>20828</v>
      </c>
      <c r="AC867">
        <v>0</v>
      </c>
      <c r="AE867" t="s">
        <v>11459</v>
      </c>
      <c r="AF867">
        <v>30</v>
      </c>
      <c r="AG867">
        <v>1</v>
      </c>
      <c r="AH867">
        <v>0</v>
      </c>
      <c r="AI867">
        <v>0</v>
      </c>
      <c r="AL867" t="s">
        <v>24632</v>
      </c>
      <c r="AM867">
        <v>0</v>
      </c>
      <c r="AS867">
        <v>0.1</v>
      </c>
      <c r="AT867" t="s">
        <v>601</v>
      </c>
      <c r="AU867" t="s">
        <v>57</v>
      </c>
      <c r="AV867" t="s">
        <v>25335</v>
      </c>
      <c r="AW867" t="s">
        <v>11447</v>
      </c>
    </row>
    <row r="868" spans="1:49">
      <c r="A868" s="1">
        <f>HYPERLINK("https://lsnyc.legalserver.org/matter/dynamic-profile/view/1904468","19-1904468")</f>
        <v>0</v>
      </c>
      <c r="B868" t="s">
        <v>140</v>
      </c>
      <c r="C868" t="s">
        <v>608</v>
      </c>
      <c r="D868" t="s">
        <v>491</v>
      </c>
      <c r="E868" t="s">
        <v>1655</v>
      </c>
      <c r="F868" t="s">
        <v>3547</v>
      </c>
      <c r="G868" t="s">
        <v>7096</v>
      </c>
      <c r="H868" t="s">
        <v>10460</v>
      </c>
      <c r="I868" t="s">
        <v>11383</v>
      </c>
      <c r="J868">
        <v>10470</v>
      </c>
      <c r="K868" t="s">
        <v>11446</v>
      </c>
      <c r="L868" t="s">
        <v>11712</v>
      </c>
      <c r="M868" t="s">
        <v>14746</v>
      </c>
      <c r="N868" t="s">
        <v>14781</v>
      </c>
      <c r="O868" t="s">
        <v>14788</v>
      </c>
      <c r="P868" t="s">
        <v>14797</v>
      </c>
      <c r="Q868" t="s">
        <v>11446</v>
      </c>
      <c r="S868" t="s">
        <v>14827</v>
      </c>
      <c r="V868">
        <v>1532.94</v>
      </c>
      <c r="W868" t="s">
        <v>14858</v>
      </c>
      <c r="X868" t="s">
        <v>14864</v>
      </c>
      <c r="Y868" t="s">
        <v>14886</v>
      </c>
      <c r="Z868" t="s">
        <v>15731</v>
      </c>
      <c r="AB868" t="s">
        <v>20829</v>
      </c>
      <c r="AC868">
        <v>63</v>
      </c>
      <c r="AD868" t="s">
        <v>11479</v>
      </c>
      <c r="AE868" t="s">
        <v>24616</v>
      </c>
      <c r="AF868">
        <v>4</v>
      </c>
      <c r="AG868">
        <v>1</v>
      </c>
      <c r="AH868">
        <v>3</v>
      </c>
      <c r="AI868">
        <v>21.06</v>
      </c>
      <c r="AL868" t="s">
        <v>5011</v>
      </c>
      <c r="AM868">
        <v>5424</v>
      </c>
      <c r="AS868">
        <v>0.5</v>
      </c>
      <c r="AT868" t="s">
        <v>491</v>
      </c>
      <c r="AU868" t="s">
        <v>237</v>
      </c>
      <c r="AV868" t="s">
        <v>25335</v>
      </c>
      <c r="AW868" t="s">
        <v>11447</v>
      </c>
    </row>
    <row r="869" spans="1:49">
      <c r="A869" s="1">
        <f>HYPERLINK("https://lsnyc.legalserver.org/matter/dynamic-profile/view/1904532","19-1904532")</f>
        <v>0</v>
      </c>
      <c r="B869" t="s">
        <v>140</v>
      </c>
      <c r="C869" t="s">
        <v>469</v>
      </c>
      <c r="D869" t="s">
        <v>491</v>
      </c>
      <c r="E869" t="s">
        <v>1140</v>
      </c>
      <c r="F869" t="s">
        <v>4152</v>
      </c>
      <c r="G869" t="s">
        <v>7097</v>
      </c>
      <c r="H869" t="s">
        <v>10522</v>
      </c>
      <c r="I869" t="s">
        <v>11383</v>
      </c>
      <c r="J869">
        <v>10470</v>
      </c>
      <c r="K869" t="s">
        <v>11446</v>
      </c>
      <c r="L869" t="s">
        <v>11712</v>
      </c>
      <c r="M869" t="s">
        <v>14746</v>
      </c>
      <c r="N869" t="s">
        <v>14781</v>
      </c>
      <c r="O869" t="s">
        <v>14788</v>
      </c>
      <c r="P869" t="s">
        <v>14797</v>
      </c>
      <c r="Q869" t="s">
        <v>11446</v>
      </c>
      <c r="S869" t="s">
        <v>14827</v>
      </c>
      <c r="V869">
        <v>961</v>
      </c>
      <c r="W869" t="s">
        <v>14858</v>
      </c>
      <c r="X869" t="s">
        <v>14864</v>
      </c>
      <c r="Y869" t="s">
        <v>14886</v>
      </c>
      <c r="Z869" t="s">
        <v>15732</v>
      </c>
      <c r="AB869" t="s">
        <v>20830</v>
      </c>
      <c r="AC869">
        <v>63</v>
      </c>
      <c r="AD869" t="s">
        <v>24607</v>
      </c>
      <c r="AE869" t="s">
        <v>24612</v>
      </c>
      <c r="AF869">
        <v>24</v>
      </c>
      <c r="AG869">
        <v>3</v>
      </c>
      <c r="AH869">
        <v>1</v>
      </c>
      <c r="AI869">
        <v>44.04</v>
      </c>
      <c r="AL869" t="s">
        <v>5011</v>
      </c>
      <c r="AM869">
        <v>11340</v>
      </c>
      <c r="AS869">
        <v>0.25</v>
      </c>
      <c r="AT869" t="s">
        <v>491</v>
      </c>
      <c r="AU869" t="s">
        <v>237</v>
      </c>
      <c r="AV869" t="s">
        <v>25335</v>
      </c>
      <c r="AW869" t="s">
        <v>11447</v>
      </c>
    </row>
    <row r="870" spans="1:49">
      <c r="A870" s="1">
        <f>HYPERLINK("https://lsnyc.legalserver.org/matter/dynamic-profile/view/1910603","19-1910603")</f>
        <v>0</v>
      </c>
      <c r="B870" t="s">
        <v>57</v>
      </c>
      <c r="C870" t="s">
        <v>644</v>
      </c>
      <c r="D870" t="s">
        <v>491</v>
      </c>
      <c r="E870" t="s">
        <v>1372</v>
      </c>
      <c r="F870" t="s">
        <v>3547</v>
      </c>
      <c r="G870" t="s">
        <v>7098</v>
      </c>
      <c r="H870" t="s">
        <v>10552</v>
      </c>
      <c r="I870" t="s">
        <v>11383</v>
      </c>
      <c r="J870">
        <v>10459</v>
      </c>
      <c r="K870" t="s">
        <v>11446</v>
      </c>
      <c r="M870" t="s">
        <v>11601</v>
      </c>
      <c r="N870" t="s">
        <v>14778</v>
      </c>
      <c r="O870" t="s">
        <v>14786</v>
      </c>
      <c r="P870" t="s">
        <v>14797</v>
      </c>
      <c r="Q870" t="s">
        <v>11448</v>
      </c>
      <c r="S870" t="s">
        <v>14827</v>
      </c>
      <c r="V870">
        <v>678.54</v>
      </c>
      <c r="W870" t="s">
        <v>14858</v>
      </c>
      <c r="Y870" t="s">
        <v>14883</v>
      </c>
      <c r="Z870" t="s">
        <v>15733</v>
      </c>
      <c r="AB870" t="s">
        <v>20831</v>
      </c>
      <c r="AC870">
        <v>0</v>
      </c>
      <c r="AD870" t="s">
        <v>24595</v>
      </c>
      <c r="AE870" t="s">
        <v>24613</v>
      </c>
      <c r="AF870">
        <v>35</v>
      </c>
      <c r="AG870">
        <v>1</v>
      </c>
      <c r="AH870">
        <v>0</v>
      </c>
      <c r="AI870">
        <v>62.45</v>
      </c>
      <c r="AL870" t="s">
        <v>24632</v>
      </c>
      <c r="AM870">
        <v>7800</v>
      </c>
      <c r="AS870">
        <v>1</v>
      </c>
      <c r="AT870" t="s">
        <v>644</v>
      </c>
      <c r="AU870" t="s">
        <v>57</v>
      </c>
      <c r="AV870" t="s">
        <v>25335</v>
      </c>
      <c r="AW870" t="s">
        <v>11447</v>
      </c>
    </row>
    <row r="871" spans="1:49">
      <c r="A871" s="1">
        <f>HYPERLINK("https://lsnyc.legalserver.org/matter/dynamic-profile/view/1884815","18-1884815")</f>
        <v>0</v>
      </c>
      <c r="B871" t="s">
        <v>176</v>
      </c>
      <c r="C871" t="s">
        <v>600</v>
      </c>
      <c r="D871" t="s">
        <v>491</v>
      </c>
      <c r="E871" t="s">
        <v>1656</v>
      </c>
      <c r="F871" t="s">
        <v>4153</v>
      </c>
      <c r="G871" t="s">
        <v>7099</v>
      </c>
      <c r="H871" t="s">
        <v>10649</v>
      </c>
      <c r="I871" t="s">
        <v>11385</v>
      </c>
      <c r="J871">
        <v>11207</v>
      </c>
      <c r="K871" t="s">
        <v>11447</v>
      </c>
      <c r="L871" t="s">
        <v>11713</v>
      </c>
      <c r="M871" t="s">
        <v>14743</v>
      </c>
      <c r="O871" t="s">
        <v>14793</v>
      </c>
      <c r="P871" t="s">
        <v>14797</v>
      </c>
      <c r="S871" t="s">
        <v>14827</v>
      </c>
      <c r="V871">
        <v>1200</v>
      </c>
      <c r="W871" t="s">
        <v>14859</v>
      </c>
      <c r="X871" t="s">
        <v>14866</v>
      </c>
      <c r="Y871" t="s">
        <v>14888</v>
      </c>
      <c r="Z871" t="s">
        <v>15734</v>
      </c>
      <c r="AB871" t="s">
        <v>20832</v>
      </c>
      <c r="AC871">
        <v>3</v>
      </c>
      <c r="AE871" t="s">
        <v>24616</v>
      </c>
      <c r="AF871">
        <v>4</v>
      </c>
      <c r="AG871">
        <v>1</v>
      </c>
      <c r="AH871">
        <v>0</v>
      </c>
      <c r="AI871">
        <v>82.73</v>
      </c>
      <c r="AL871" t="s">
        <v>5011</v>
      </c>
      <c r="AM871">
        <v>10044</v>
      </c>
      <c r="AO871" t="s">
        <v>24938</v>
      </c>
      <c r="AQ871" t="s">
        <v>24987</v>
      </c>
      <c r="AR871" t="s">
        <v>25018</v>
      </c>
      <c r="AS871">
        <v>60.25</v>
      </c>
      <c r="AT871" t="s">
        <v>491</v>
      </c>
      <c r="AU871" t="s">
        <v>25241</v>
      </c>
      <c r="AW871" t="s">
        <v>11447</v>
      </c>
    </row>
    <row r="872" spans="1:49">
      <c r="A872" s="1">
        <f>HYPERLINK("https://lsnyc.legalserver.org/matter/dynamic-profile/view/1904575","19-1904575")</f>
        <v>0</v>
      </c>
      <c r="B872" t="s">
        <v>140</v>
      </c>
      <c r="C872" t="s">
        <v>522</v>
      </c>
      <c r="D872" t="s">
        <v>491</v>
      </c>
      <c r="E872" t="s">
        <v>1657</v>
      </c>
      <c r="F872" t="s">
        <v>2228</v>
      </c>
      <c r="G872" t="s">
        <v>7100</v>
      </c>
      <c r="H872" t="s">
        <v>10542</v>
      </c>
      <c r="I872" t="s">
        <v>11383</v>
      </c>
      <c r="J872">
        <v>10470</v>
      </c>
      <c r="K872" t="s">
        <v>11446</v>
      </c>
      <c r="L872" t="s">
        <v>11712</v>
      </c>
      <c r="M872" t="s">
        <v>14746</v>
      </c>
      <c r="N872" t="s">
        <v>14781</v>
      </c>
      <c r="O872" t="s">
        <v>14788</v>
      </c>
      <c r="P872" t="s">
        <v>14797</v>
      </c>
      <c r="Q872" t="s">
        <v>11446</v>
      </c>
      <c r="S872" t="s">
        <v>14827</v>
      </c>
      <c r="V872">
        <v>1276</v>
      </c>
      <c r="W872" t="s">
        <v>14858</v>
      </c>
      <c r="X872" t="s">
        <v>14864</v>
      </c>
      <c r="Y872" t="s">
        <v>14886</v>
      </c>
      <c r="Z872" t="s">
        <v>15735</v>
      </c>
      <c r="AC872">
        <v>63</v>
      </c>
      <c r="AD872" t="s">
        <v>24595</v>
      </c>
      <c r="AE872" t="s">
        <v>11459</v>
      </c>
      <c r="AF872">
        <v>8</v>
      </c>
      <c r="AG872">
        <v>2</v>
      </c>
      <c r="AH872">
        <v>1</v>
      </c>
      <c r="AI872">
        <v>97.52</v>
      </c>
      <c r="AL872" t="s">
        <v>5011</v>
      </c>
      <c r="AM872">
        <v>20800</v>
      </c>
      <c r="AN872" t="s">
        <v>24741</v>
      </c>
      <c r="AS872">
        <v>0.5</v>
      </c>
      <c r="AT872" t="s">
        <v>491</v>
      </c>
      <c r="AU872" t="s">
        <v>237</v>
      </c>
      <c r="AV872" t="s">
        <v>25335</v>
      </c>
      <c r="AW872" t="s">
        <v>11447</v>
      </c>
    </row>
    <row r="873" spans="1:49">
      <c r="A873" s="1">
        <f>HYPERLINK("https://lsnyc.legalserver.org/matter/dynamic-profile/view/1904489","19-1904489")</f>
        <v>0</v>
      </c>
      <c r="B873" t="s">
        <v>140</v>
      </c>
      <c r="C873" t="s">
        <v>493</v>
      </c>
      <c r="D873" t="s">
        <v>491</v>
      </c>
      <c r="E873" t="s">
        <v>1642</v>
      </c>
      <c r="F873" t="s">
        <v>4154</v>
      </c>
      <c r="G873" t="s">
        <v>7096</v>
      </c>
      <c r="H873" t="s">
        <v>10620</v>
      </c>
      <c r="I873" t="s">
        <v>11383</v>
      </c>
      <c r="J873">
        <v>10470</v>
      </c>
      <c r="K873" t="s">
        <v>11446</v>
      </c>
      <c r="L873" t="s">
        <v>11712</v>
      </c>
      <c r="M873" t="s">
        <v>14746</v>
      </c>
      <c r="N873" t="s">
        <v>14781</v>
      </c>
      <c r="O873" t="s">
        <v>14788</v>
      </c>
      <c r="P873" t="s">
        <v>14797</v>
      </c>
      <c r="Q873" t="s">
        <v>11446</v>
      </c>
      <c r="S873" t="s">
        <v>14827</v>
      </c>
      <c r="V873">
        <v>806.16</v>
      </c>
      <c r="W873" t="s">
        <v>14858</v>
      </c>
      <c r="X873" t="s">
        <v>14864</v>
      </c>
      <c r="Y873" t="s">
        <v>14886</v>
      </c>
      <c r="Z873" t="s">
        <v>15736</v>
      </c>
      <c r="AB873" t="s">
        <v>20833</v>
      </c>
      <c r="AC873">
        <v>63</v>
      </c>
      <c r="AD873" t="s">
        <v>24595</v>
      </c>
      <c r="AE873" t="s">
        <v>11459</v>
      </c>
      <c r="AF873">
        <v>44</v>
      </c>
      <c r="AG873">
        <v>2</v>
      </c>
      <c r="AH873">
        <v>0</v>
      </c>
      <c r="AI873">
        <v>99.51000000000001</v>
      </c>
      <c r="AL873" t="s">
        <v>5011</v>
      </c>
      <c r="AM873">
        <v>16826.4</v>
      </c>
      <c r="AS873">
        <v>0.25</v>
      </c>
      <c r="AT873" t="s">
        <v>491</v>
      </c>
      <c r="AU873" t="s">
        <v>25242</v>
      </c>
      <c r="AV873" t="s">
        <v>25335</v>
      </c>
      <c r="AW873" t="s">
        <v>11447</v>
      </c>
    </row>
    <row r="874" spans="1:49">
      <c r="A874" s="1">
        <f>HYPERLINK("https://lsnyc.legalserver.org/matter/dynamic-profile/view/1904486","19-1904486")</f>
        <v>0</v>
      </c>
      <c r="B874" t="s">
        <v>140</v>
      </c>
      <c r="C874" t="s">
        <v>493</v>
      </c>
      <c r="D874" t="s">
        <v>491</v>
      </c>
      <c r="E874" t="s">
        <v>1556</v>
      </c>
      <c r="F874" t="s">
        <v>4155</v>
      </c>
      <c r="G874" t="s">
        <v>7096</v>
      </c>
      <c r="H874" t="s">
        <v>10569</v>
      </c>
      <c r="I874" t="s">
        <v>11383</v>
      </c>
      <c r="J874">
        <v>10470</v>
      </c>
      <c r="K874" t="s">
        <v>11446</v>
      </c>
      <c r="L874" t="s">
        <v>11712</v>
      </c>
      <c r="M874" t="s">
        <v>14746</v>
      </c>
      <c r="N874" t="s">
        <v>14781</v>
      </c>
      <c r="O874" t="s">
        <v>14788</v>
      </c>
      <c r="P874" t="s">
        <v>14797</v>
      </c>
      <c r="Q874" t="s">
        <v>11446</v>
      </c>
      <c r="S874" t="s">
        <v>14827</v>
      </c>
      <c r="V874">
        <v>1450</v>
      </c>
      <c r="W874" t="s">
        <v>14858</v>
      </c>
      <c r="X874" t="s">
        <v>14864</v>
      </c>
      <c r="Y874" t="s">
        <v>14886</v>
      </c>
      <c r="Z874" t="s">
        <v>15737</v>
      </c>
      <c r="AB874" t="s">
        <v>20834</v>
      </c>
      <c r="AC874">
        <v>63</v>
      </c>
      <c r="AD874" t="s">
        <v>24596</v>
      </c>
      <c r="AE874" t="s">
        <v>24610</v>
      </c>
      <c r="AF874">
        <v>16</v>
      </c>
      <c r="AG874">
        <v>1</v>
      </c>
      <c r="AH874">
        <v>0</v>
      </c>
      <c r="AI874">
        <v>104.22</v>
      </c>
      <c r="AL874" t="s">
        <v>5011</v>
      </c>
      <c r="AM874">
        <v>13017.6</v>
      </c>
      <c r="AS874">
        <v>3.75</v>
      </c>
      <c r="AT874" t="s">
        <v>491</v>
      </c>
      <c r="AU874" t="s">
        <v>25242</v>
      </c>
      <c r="AV874" t="s">
        <v>25335</v>
      </c>
      <c r="AW874" t="s">
        <v>11447</v>
      </c>
    </row>
    <row r="875" spans="1:49">
      <c r="A875" s="1">
        <f>HYPERLINK("https://lsnyc.legalserver.org/matter/dynamic-profile/view/1904483","19-1904483")</f>
        <v>0</v>
      </c>
      <c r="B875" t="s">
        <v>140</v>
      </c>
      <c r="C875" t="s">
        <v>493</v>
      </c>
      <c r="D875" t="s">
        <v>491</v>
      </c>
      <c r="E875" t="s">
        <v>1658</v>
      </c>
      <c r="F875" t="s">
        <v>3761</v>
      </c>
      <c r="G875" t="s">
        <v>7096</v>
      </c>
      <c r="H875" t="s">
        <v>10524</v>
      </c>
      <c r="I875" t="s">
        <v>11383</v>
      </c>
      <c r="J875">
        <v>10470</v>
      </c>
      <c r="K875" t="s">
        <v>11446</v>
      </c>
      <c r="L875" t="s">
        <v>11712</v>
      </c>
      <c r="M875" t="s">
        <v>14746</v>
      </c>
      <c r="N875" t="s">
        <v>14781</v>
      </c>
      <c r="O875" t="s">
        <v>14788</v>
      </c>
      <c r="P875" t="s">
        <v>14797</v>
      </c>
      <c r="Q875" t="s">
        <v>11446</v>
      </c>
      <c r="S875" t="s">
        <v>14827</v>
      </c>
      <c r="V875">
        <v>1107.88</v>
      </c>
      <c r="W875" t="s">
        <v>14858</v>
      </c>
      <c r="X875" t="s">
        <v>14864</v>
      </c>
      <c r="Y875" t="s">
        <v>14886</v>
      </c>
      <c r="Z875" t="s">
        <v>15738</v>
      </c>
      <c r="AB875" t="s">
        <v>20835</v>
      </c>
      <c r="AC875">
        <v>63</v>
      </c>
      <c r="AD875" t="s">
        <v>11479</v>
      </c>
      <c r="AE875" t="s">
        <v>24613</v>
      </c>
      <c r="AF875">
        <v>20</v>
      </c>
      <c r="AG875">
        <v>1</v>
      </c>
      <c r="AH875">
        <v>0</v>
      </c>
      <c r="AI875">
        <v>106.44</v>
      </c>
      <c r="AM875">
        <v>13294.56</v>
      </c>
      <c r="AS875">
        <v>0.75</v>
      </c>
      <c r="AT875" t="s">
        <v>491</v>
      </c>
      <c r="AU875" t="s">
        <v>25242</v>
      </c>
      <c r="AV875" t="s">
        <v>25335</v>
      </c>
      <c r="AW875" t="s">
        <v>11447</v>
      </c>
    </row>
    <row r="876" spans="1:49">
      <c r="A876" s="1">
        <f>HYPERLINK("https://lsnyc.legalserver.org/matter/dynamic-profile/view/1904539","19-1904539")</f>
        <v>0</v>
      </c>
      <c r="B876" t="s">
        <v>140</v>
      </c>
      <c r="C876" t="s">
        <v>545</v>
      </c>
      <c r="D876" t="s">
        <v>491</v>
      </c>
      <c r="E876" t="s">
        <v>1659</v>
      </c>
      <c r="F876" t="s">
        <v>4156</v>
      </c>
      <c r="G876" t="s">
        <v>7097</v>
      </c>
      <c r="H876" t="s">
        <v>10581</v>
      </c>
      <c r="I876" t="s">
        <v>11383</v>
      </c>
      <c r="J876">
        <v>10470</v>
      </c>
      <c r="K876" t="s">
        <v>11446</v>
      </c>
      <c r="L876" t="s">
        <v>11712</v>
      </c>
      <c r="M876" t="s">
        <v>14746</v>
      </c>
      <c r="N876" t="s">
        <v>14781</v>
      </c>
      <c r="O876" t="s">
        <v>14788</v>
      </c>
      <c r="P876" t="s">
        <v>14797</v>
      </c>
      <c r="Q876" t="s">
        <v>11446</v>
      </c>
      <c r="S876" t="s">
        <v>14827</v>
      </c>
      <c r="V876">
        <v>1734</v>
      </c>
      <c r="W876" t="s">
        <v>14858</v>
      </c>
      <c r="X876" t="s">
        <v>14864</v>
      </c>
      <c r="Y876" t="s">
        <v>14886</v>
      </c>
      <c r="Z876" t="s">
        <v>15739</v>
      </c>
      <c r="AA876" t="s">
        <v>19379</v>
      </c>
      <c r="AC876">
        <v>63</v>
      </c>
      <c r="AD876" t="s">
        <v>24600</v>
      </c>
      <c r="AE876" t="s">
        <v>14755</v>
      </c>
      <c r="AF876">
        <v>3</v>
      </c>
      <c r="AG876">
        <v>1</v>
      </c>
      <c r="AH876">
        <v>1</v>
      </c>
      <c r="AI876">
        <v>127.74</v>
      </c>
      <c r="AL876" t="s">
        <v>5011</v>
      </c>
      <c r="AM876">
        <v>21600</v>
      </c>
      <c r="AS876">
        <v>0.75</v>
      </c>
      <c r="AT876" t="s">
        <v>491</v>
      </c>
      <c r="AU876" t="s">
        <v>237</v>
      </c>
      <c r="AV876" t="s">
        <v>25335</v>
      </c>
      <c r="AW876" t="s">
        <v>11447</v>
      </c>
    </row>
    <row r="877" spans="1:49">
      <c r="A877" s="1">
        <f>HYPERLINK("https://lsnyc.legalserver.org/matter/dynamic-profile/view/1904464","19-1904464")</f>
        <v>0</v>
      </c>
      <c r="B877" t="s">
        <v>140</v>
      </c>
      <c r="C877" t="s">
        <v>378</v>
      </c>
      <c r="D877" t="s">
        <v>491</v>
      </c>
      <c r="E877" t="s">
        <v>1120</v>
      </c>
      <c r="F877" t="s">
        <v>4157</v>
      </c>
      <c r="G877" t="s">
        <v>7096</v>
      </c>
      <c r="I877" t="s">
        <v>11383</v>
      </c>
      <c r="J877">
        <v>10470</v>
      </c>
      <c r="K877" t="s">
        <v>11446</v>
      </c>
      <c r="L877" t="s">
        <v>11712</v>
      </c>
      <c r="M877" t="s">
        <v>14746</v>
      </c>
      <c r="N877" t="s">
        <v>14781</v>
      </c>
      <c r="O877" t="s">
        <v>14788</v>
      </c>
      <c r="P877" t="s">
        <v>14797</v>
      </c>
      <c r="Q877" t="s">
        <v>11446</v>
      </c>
      <c r="S877" t="s">
        <v>14827</v>
      </c>
      <c r="V877">
        <v>1564</v>
      </c>
      <c r="W877" t="s">
        <v>14858</v>
      </c>
      <c r="X877" t="s">
        <v>14864</v>
      </c>
      <c r="Y877" t="s">
        <v>14886</v>
      </c>
      <c r="Z877" t="s">
        <v>15635</v>
      </c>
      <c r="AB877" t="s">
        <v>20836</v>
      </c>
      <c r="AC877">
        <v>63</v>
      </c>
      <c r="AD877" t="s">
        <v>11479</v>
      </c>
      <c r="AE877" t="s">
        <v>24616</v>
      </c>
      <c r="AF877">
        <v>4</v>
      </c>
      <c r="AG877">
        <v>1</v>
      </c>
      <c r="AH877">
        <v>2</v>
      </c>
      <c r="AI877">
        <v>129.96</v>
      </c>
      <c r="AL877" t="s">
        <v>5011</v>
      </c>
      <c r="AM877">
        <v>27720</v>
      </c>
      <c r="AS877">
        <v>3</v>
      </c>
      <c r="AT877" t="s">
        <v>491</v>
      </c>
      <c r="AU877" t="s">
        <v>237</v>
      </c>
      <c r="AV877" t="s">
        <v>25335</v>
      </c>
      <c r="AW877" t="s">
        <v>11447</v>
      </c>
    </row>
    <row r="878" spans="1:49">
      <c r="A878" s="1">
        <f>HYPERLINK("https://lsnyc.legalserver.org/matter/dynamic-profile/view/1901325","19-1901325")</f>
        <v>0</v>
      </c>
      <c r="B878" t="s">
        <v>59</v>
      </c>
      <c r="C878" t="s">
        <v>649</v>
      </c>
      <c r="D878" t="s">
        <v>491</v>
      </c>
      <c r="E878" t="s">
        <v>1227</v>
      </c>
      <c r="F878" t="s">
        <v>4158</v>
      </c>
      <c r="G878" t="s">
        <v>6720</v>
      </c>
      <c r="H878" t="s">
        <v>10735</v>
      </c>
      <c r="I878" t="s">
        <v>11389</v>
      </c>
      <c r="J878">
        <v>11354</v>
      </c>
      <c r="K878" t="s">
        <v>11447</v>
      </c>
      <c r="L878" t="s">
        <v>11456</v>
      </c>
      <c r="M878" t="s">
        <v>11601</v>
      </c>
      <c r="N878" t="s">
        <v>14778</v>
      </c>
      <c r="O878" t="s">
        <v>14786</v>
      </c>
      <c r="P878" t="s">
        <v>14797</v>
      </c>
      <c r="Q878" t="s">
        <v>11448</v>
      </c>
      <c r="S878" t="s">
        <v>14827</v>
      </c>
      <c r="T878" t="s">
        <v>14832</v>
      </c>
      <c r="V878">
        <v>1700</v>
      </c>
      <c r="W878" t="s">
        <v>14861</v>
      </c>
      <c r="X878" t="s">
        <v>14863</v>
      </c>
      <c r="Y878" t="s">
        <v>14883</v>
      </c>
      <c r="Z878" t="s">
        <v>15740</v>
      </c>
      <c r="AA878" t="s">
        <v>11459</v>
      </c>
      <c r="AB878" t="s">
        <v>20837</v>
      </c>
      <c r="AC878">
        <v>104</v>
      </c>
      <c r="AD878" t="s">
        <v>24598</v>
      </c>
      <c r="AE878" t="s">
        <v>11459</v>
      </c>
      <c r="AF878">
        <v>3</v>
      </c>
      <c r="AG878">
        <v>2</v>
      </c>
      <c r="AH878">
        <v>0</v>
      </c>
      <c r="AI878">
        <v>159.67</v>
      </c>
      <c r="AL878" t="s">
        <v>24638</v>
      </c>
      <c r="AM878">
        <v>27000</v>
      </c>
      <c r="AS878">
        <v>3.7</v>
      </c>
      <c r="AT878" t="s">
        <v>506</v>
      </c>
      <c r="AU878" t="s">
        <v>25225</v>
      </c>
      <c r="AW878" t="s">
        <v>11447</v>
      </c>
    </row>
    <row r="879" spans="1:49">
      <c r="A879" s="1">
        <f>HYPERLINK("https://lsnyc.legalserver.org/matter/dynamic-profile/view/1904484","19-1904484")</f>
        <v>0</v>
      </c>
      <c r="B879" t="s">
        <v>140</v>
      </c>
      <c r="C879" t="s">
        <v>493</v>
      </c>
      <c r="D879" t="s">
        <v>491</v>
      </c>
      <c r="E879" t="s">
        <v>1660</v>
      </c>
      <c r="F879" t="s">
        <v>3696</v>
      </c>
      <c r="G879" t="s">
        <v>7096</v>
      </c>
      <c r="H879" t="s">
        <v>10450</v>
      </c>
      <c r="I879" t="s">
        <v>11383</v>
      </c>
      <c r="J879">
        <v>10470</v>
      </c>
      <c r="K879" t="s">
        <v>11448</v>
      </c>
      <c r="L879" t="s">
        <v>11712</v>
      </c>
      <c r="M879" t="s">
        <v>14746</v>
      </c>
      <c r="N879" t="s">
        <v>14781</v>
      </c>
      <c r="O879" t="s">
        <v>14788</v>
      </c>
      <c r="P879" t="s">
        <v>14797</v>
      </c>
      <c r="Q879" t="s">
        <v>11448</v>
      </c>
      <c r="S879" t="s">
        <v>14827</v>
      </c>
      <c r="V879">
        <v>966.6</v>
      </c>
      <c r="W879" t="s">
        <v>14858</v>
      </c>
      <c r="X879" t="s">
        <v>14864</v>
      </c>
      <c r="Y879" t="s">
        <v>14886</v>
      </c>
      <c r="Z879" t="s">
        <v>15741</v>
      </c>
      <c r="AB879" t="s">
        <v>20838</v>
      </c>
      <c r="AC879">
        <v>63</v>
      </c>
      <c r="AD879" t="s">
        <v>24595</v>
      </c>
      <c r="AE879" t="s">
        <v>11459</v>
      </c>
      <c r="AF879">
        <v>10</v>
      </c>
      <c r="AG879">
        <v>2</v>
      </c>
      <c r="AH879">
        <v>0</v>
      </c>
      <c r="AI879">
        <v>331.28</v>
      </c>
      <c r="AL879" t="s">
        <v>5011</v>
      </c>
      <c r="AM879">
        <v>56020</v>
      </c>
      <c r="AN879" t="s">
        <v>24742</v>
      </c>
      <c r="AS879">
        <v>60</v>
      </c>
      <c r="AT879" t="s">
        <v>491</v>
      </c>
      <c r="AU879" t="s">
        <v>25242</v>
      </c>
      <c r="AV879" t="s">
        <v>25335</v>
      </c>
      <c r="AW879" t="s">
        <v>11447</v>
      </c>
    </row>
    <row r="880" spans="1:49">
      <c r="A880" s="1">
        <f>HYPERLINK("https://lsnyc.legalserver.org/matter/dynamic-profile/view/1904499","19-1904499")</f>
        <v>0</v>
      </c>
      <c r="B880" t="s">
        <v>140</v>
      </c>
      <c r="C880" t="s">
        <v>493</v>
      </c>
      <c r="D880" t="s">
        <v>491</v>
      </c>
      <c r="E880" t="s">
        <v>1661</v>
      </c>
      <c r="F880" t="s">
        <v>4037</v>
      </c>
      <c r="G880" t="s">
        <v>7097</v>
      </c>
      <c r="H880" t="s">
        <v>10569</v>
      </c>
      <c r="I880" t="s">
        <v>11383</v>
      </c>
      <c r="J880">
        <v>10470</v>
      </c>
      <c r="K880" t="s">
        <v>11446</v>
      </c>
      <c r="L880" t="s">
        <v>11712</v>
      </c>
      <c r="M880" t="s">
        <v>14746</v>
      </c>
      <c r="N880" t="s">
        <v>14781</v>
      </c>
      <c r="O880" t="s">
        <v>14788</v>
      </c>
      <c r="P880" t="s">
        <v>14797</v>
      </c>
      <c r="Q880" t="s">
        <v>11446</v>
      </c>
      <c r="S880" t="s">
        <v>14827</v>
      </c>
      <c r="V880">
        <v>1402.5</v>
      </c>
      <c r="W880" t="s">
        <v>14858</v>
      </c>
      <c r="X880" t="s">
        <v>14864</v>
      </c>
      <c r="Y880" t="s">
        <v>14886</v>
      </c>
      <c r="Z880" t="s">
        <v>15742</v>
      </c>
      <c r="AB880" t="s">
        <v>20839</v>
      </c>
      <c r="AC880">
        <v>63</v>
      </c>
      <c r="AD880" t="s">
        <v>24595</v>
      </c>
      <c r="AE880" t="s">
        <v>11459</v>
      </c>
      <c r="AF880">
        <v>3</v>
      </c>
      <c r="AG880">
        <v>1</v>
      </c>
      <c r="AH880">
        <v>0</v>
      </c>
      <c r="AI880">
        <v>624.5</v>
      </c>
      <c r="AL880" t="s">
        <v>5011</v>
      </c>
      <c r="AM880">
        <v>78000</v>
      </c>
      <c r="AS880">
        <v>0.5</v>
      </c>
      <c r="AT880" t="s">
        <v>491</v>
      </c>
      <c r="AU880" t="s">
        <v>25242</v>
      </c>
      <c r="AV880" t="s">
        <v>25335</v>
      </c>
      <c r="AW880" t="s">
        <v>11447</v>
      </c>
    </row>
    <row r="881" spans="1:49">
      <c r="A881" s="1">
        <f>HYPERLINK("https://lsnyc.legalserver.org/matter/dynamic-profile/view/1904494","19-1904494")</f>
        <v>0</v>
      </c>
      <c r="B881" t="s">
        <v>140</v>
      </c>
      <c r="C881" t="s">
        <v>493</v>
      </c>
      <c r="D881" t="s">
        <v>491</v>
      </c>
      <c r="E881" t="s">
        <v>1662</v>
      </c>
      <c r="F881" t="s">
        <v>4159</v>
      </c>
      <c r="G881" t="s">
        <v>7096</v>
      </c>
      <c r="H881" t="s">
        <v>10575</v>
      </c>
      <c r="I881" t="s">
        <v>11383</v>
      </c>
      <c r="J881">
        <v>10470</v>
      </c>
      <c r="K881" t="s">
        <v>11446</v>
      </c>
      <c r="L881" t="s">
        <v>11712</v>
      </c>
      <c r="M881" t="s">
        <v>14746</v>
      </c>
      <c r="N881" t="s">
        <v>14781</v>
      </c>
      <c r="O881" t="s">
        <v>14788</v>
      </c>
      <c r="P881" t="s">
        <v>14797</v>
      </c>
      <c r="Q881" t="s">
        <v>11446</v>
      </c>
      <c r="S881" t="s">
        <v>14827</v>
      </c>
      <c r="V881">
        <v>931</v>
      </c>
      <c r="W881" t="s">
        <v>14858</v>
      </c>
      <c r="X881" t="s">
        <v>14863</v>
      </c>
      <c r="Y881" t="s">
        <v>14886</v>
      </c>
      <c r="Z881" t="s">
        <v>15743</v>
      </c>
      <c r="AB881" t="s">
        <v>20840</v>
      </c>
      <c r="AC881">
        <v>63</v>
      </c>
      <c r="AD881" t="s">
        <v>11479</v>
      </c>
      <c r="AE881" t="s">
        <v>11459</v>
      </c>
      <c r="AF881">
        <v>11</v>
      </c>
      <c r="AG881">
        <v>2</v>
      </c>
      <c r="AH881">
        <v>0</v>
      </c>
      <c r="AI881">
        <v>739.21</v>
      </c>
      <c r="AL881" t="s">
        <v>5011</v>
      </c>
      <c r="AM881">
        <v>125000</v>
      </c>
      <c r="AS881">
        <v>0.25</v>
      </c>
      <c r="AT881" t="s">
        <v>491</v>
      </c>
      <c r="AU881" t="s">
        <v>25242</v>
      </c>
      <c r="AV881" t="s">
        <v>25335</v>
      </c>
      <c r="AW881" t="s">
        <v>11447</v>
      </c>
    </row>
    <row r="882" spans="1:49">
      <c r="A882" s="1">
        <f>HYPERLINK("https://lsnyc.legalserver.org/matter/dynamic-profile/view/1908080","19-1908080")</f>
        <v>0</v>
      </c>
      <c r="B882" t="s">
        <v>57</v>
      </c>
      <c r="C882" t="s">
        <v>458</v>
      </c>
      <c r="D882" t="s">
        <v>592</v>
      </c>
      <c r="E882" t="s">
        <v>1114</v>
      </c>
      <c r="F882" t="s">
        <v>4160</v>
      </c>
      <c r="G882" t="s">
        <v>7101</v>
      </c>
      <c r="H882" t="s">
        <v>10497</v>
      </c>
      <c r="I882" t="s">
        <v>11383</v>
      </c>
      <c r="J882">
        <v>10452</v>
      </c>
      <c r="K882" t="s">
        <v>11446</v>
      </c>
      <c r="L882" t="s">
        <v>11465</v>
      </c>
      <c r="M882" t="s">
        <v>14744</v>
      </c>
      <c r="N882" t="s">
        <v>14778</v>
      </c>
      <c r="O882" t="s">
        <v>14786</v>
      </c>
      <c r="P882" t="s">
        <v>14797</v>
      </c>
      <c r="Q882" t="s">
        <v>11448</v>
      </c>
      <c r="S882" t="s">
        <v>14827</v>
      </c>
      <c r="T882" t="s">
        <v>14832</v>
      </c>
      <c r="U882" t="s">
        <v>586</v>
      </c>
      <c r="V882">
        <v>687.8</v>
      </c>
      <c r="W882" t="s">
        <v>14858</v>
      </c>
      <c r="X882" t="s">
        <v>14864</v>
      </c>
      <c r="Y882" t="s">
        <v>14883</v>
      </c>
      <c r="Z882" t="s">
        <v>15744</v>
      </c>
      <c r="AB882" t="s">
        <v>20841</v>
      </c>
      <c r="AC882">
        <v>73</v>
      </c>
      <c r="AD882" t="s">
        <v>24595</v>
      </c>
      <c r="AE882" t="s">
        <v>11459</v>
      </c>
      <c r="AF882">
        <v>5</v>
      </c>
      <c r="AG882">
        <v>2</v>
      </c>
      <c r="AH882">
        <v>0</v>
      </c>
      <c r="AI882">
        <v>28.39</v>
      </c>
      <c r="AL882" t="s">
        <v>5011</v>
      </c>
      <c r="AM882">
        <v>4800</v>
      </c>
      <c r="AS882">
        <v>3</v>
      </c>
      <c r="AT882" t="s">
        <v>641</v>
      </c>
      <c r="AU882" t="s">
        <v>57</v>
      </c>
      <c r="AV882" t="s">
        <v>25335</v>
      </c>
      <c r="AW882" t="s">
        <v>11447</v>
      </c>
    </row>
    <row r="883" spans="1:49">
      <c r="A883" s="1">
        <f>HYPERLINK("https://lsnyc.legalserver.org/matter/dynamic-profile/view/1912566","19-1912566")</f>
        <v>0</v>
      </c>
      <c r="B883" t="s">
        <v>56</v>
      </c>
      <c r="C883" t="s">
        <v>472</v>
      </c>
      <c r="D883" t="s">
        <v>592</v>
      </c>
      <c r="E883" t="s">
        <v>1242</v>
      </c>
      <c r="F883" t="s">
        <v>4161</v>
      </c>
      <c r="G883" t="s">
        <v>7102</v>
      </c>
      <c r="H883">
        <v>2</v>
      </c>
      <c r="I883" t="s">
        <v>11385</v>
      </c>
      <c r="J883">
        <v>11208</v>
      </c>
      <c r="K883" t="s">
        <v>11448</v>
      </c>
      <c r="L883" t="s">
        <v>11714</v>
      </c>
      <c r="M883" t="s">
        <v>14744</v>
      </c>
      <c r="N883" t="s">
        <v>14778</v>
      </c>
      <c r="O883" t="s">
        <v>14786</v>
      </c>
      <c r="P883" t="s">
        <v>14797</v>
      </c>
      <c r="Q883" t="s">
        <v>11448</v>
      </c>
      <c r="S883" t="s">
        <v>14827</v>
      </c>
      <c r="V883">
        <v>2200</v>
      </c>
      <c r="W883" t="s">
        <v>14859</v>
      </c>
      <c r="X883" t="s">
        <v>14755</v>
      </c>
      <c r="Y883" t="s">
        <v>14883</v>
      </c>
      <c r="Z883" t="s">
        <v>15745</v>
      </c>
      <c r="AB883" t="s">
        <v>20842</v>
      </c>
      <c r="AC883">
        <v>3</v>
      </c>
      <c r="AD883" t="s">
        <v>24600</v>
      </c>
      <c r="AE883" t="s">
        <v>11459</v>
      </c>
      <c r="AF883">
        <v>3</v>
      </c>
      <c r="AG883">
        <v>1</v>
      </c>
      <c r="AH883">
        <v>0</v>
      </c>
      <c r="AI883">
        <v>0</v>
      </c>
      <c r="AL883" t="s">
        <v>5011</v>
      </c>
      <c r="AM883">
        <v>0</v>
      </c>
      <c r="AN883" t="s">
        <v>24743</v>
      </c>
      <c r="AS883">
        <v>0.2</v>
      </c>
      <c r="AT883" t="s">
        <v>592</v>
      </c>
      <c r="AU883" t="s">
        <v>120</v>
      </c>
      <c r="AV883" t="s">
        <v>25335</v>
      </c>
      <c r="AW883" t="s">
        <v>11447</v>
      </c>
    </row>
    <row r="884" spans="1:49">
      <c r="A884" s="1">
        <f>HYPERLINK("https://lsnyc.legalserver.org/matter/dynamic-profile/view/1910837","19-1910837")</f>
        <v>0</v>
      </c>
      <c r="B884" t="s">
        <v>57</v>
      </c>
      <c r="C884" t="s">
        <v>644</v>
      </c>
      <c r="D884" t="s">
        <v>592</v>
      </c>
      <c r="E884" t="s">
        <v>1650</v>
      </c>
      <c r="F884" t="s">
        <v>4152</v>
      </c>
      <c r="G884" t="s">
        <v>7085</v>
      </c>
      <c r="I884" t="s">
        <v>11383</v>
      </c>
      <c r="J884">
        <v>10457</v>
      </c>
      <c r="K884" t="s">
        <v>11446</v>
      </c>
      <c r="M884" t="s">
        <v>11601</v>
      </c>
      <c r="N884" t="s">
        <v>14778</v>
      </c>
      <c r="O884" t="s">
        <v>14786</v>
      </c>
      <c r="P884" t="s">
        <v>14797</v>
      </c>
      <c r="Q884" t="s">
        <v>11448</v>
      </c>
      <c r="S884" t="s">
        <v>14827</v>
      </c>
      <c r="V884">
        <v>944</v>
      </c>
      <c r="W884" t="s">
        <v>14858</v>
      </c>
      <c r="X884" t="s">
        <v>14864</v>
      </c>
      <c r="Y884" t="s">
        <v>14883</v>
      </c>
      <c r="Z884" t="s">
        <v>15746</v>
      </c>
      <c r="AC884">
        <v>0</v>
      </c>
      <c r="AD884" t="s">
        <v>24595</v>
      </c>
      <c r="AE884" t="s">
        <v>11459</v>
      </c>
      <c r="AF884">
        <v>24</v>
      </c>
      <c r="AG884">
        <v>2</v>
      </c>
      <c r="AH884">
        <v>0</v>
      </c>
      <c r="AI884">
        <v>0</v>
      </c>
      <c r="AL884" t="s">
        <v>5011</v>
      </c>
      <c r="AM884">
        <v>0</v>
      </c>
      <c r="AS884">
        <v>0.5</v>
      </c>
      <c r="AT884" t="s">
        <v>601</v>
      </c>
      <c r="AU884" t="s">
        <v>57</v>
      </c>
      <c r="AV884" t="s">
        <v>25335</v>
      </c>
      <c r="AW884" t="s">
        <v>11447</v>
      </c>
    </row>
    <row r="885" spans="1:49">
      <c r="A885" s="1">
        <f>HYPERLINK("https://lsnyc.legalserver.org/matter/dynamic-profile/view/1912775","19-1912775")</f>
        <v>0</v>
      </c>
      <c r="B885" t="s">
        <v>102</v>
      </c>
      <c r="C885" t="s">
        <v>470</v>
      </c>
      <c r="D885" t="s">
        <v>592</v>
      </c>
      <c r="E885" t="s">
        <v>1663</v>
      </c>
      <c r="F885" t="s">
        <v>4162</v>
      </c>
      <c r="G885" t="s">
        <v>7103</v>
      </c>
      <c r="H885" t="s">
        <v>10569</v>
      </c>
      <c r="I885" t="s">
        <v>11383</v>
      </c>
      <c r="J885">
        <v>10456</v>
      </c>
      <c r="K885" t="s">
        <v>11446</v>
      </c>
      <c r="L885" t="s">
        <v>11715</v>
      </c>
      <c r="M885" t="s">
        <v>14744</v>
      </c>
      <c r="N885" t="s">
        <v>14778</v>
      </c>
      <c r="O885" t="s">
        <v>14786</v>
      </c>
      <c r="P885" t="s">
        <v>14797</v>
      </c>
      <c r="Q885" t="s">
        <v>11448</v>
      </c>
      <c r="S885" t="s">
        <v>14827</v>
      </c>
      <c r="V885">
        <v>928.11</v>
      </c>
      <c r="W885" t="s">
        <v>14858</v>
      </c>
      <c r="X885" t="s">
        <v>14864</v>
      </c>
      <c r="Y885" t="s">
        <v>14883</v>
      </c>
      <c r="Z885" t="s">
        <v>15747</v>
      </c>
      <c r="AB885" t="s">
        <v>20843</v>
      </c>
      <c r="AC885">
        <v>45</v>
      </c>
      <c r="AE885" t="s">
        <v>11459</v>
      </c>
      <c r="AF885">
        <v>17</v>
      </c>
      <c r="AG885">
        <v>1</v>
      </c>
      <c r="AH885">
        <v>0</v>
      </c>
      <c r="AI885">
        <v>57.65</v>
      </c>
      <c r="AL885" t="s">
        <v>5011</v>
      </c>
      <c r="AM885">
        <v>7200</v>
      </c>
      <c r="AS885">
        <v>0.1</v>
      </c>
      <c r="AT885" t="s">
        <v>592</v>
      </c>
      <c r="AU885" t="s">
        <v>25242</v>
      </c>
      <c r="AV885" t="s">
        <v>25335</v>
      </c>
      <c r="AW885" t="s">
        <v>11447</v>
      </c>
    </row>
    <row r="886" spans="1:49">
      <c r="A886" s="1">
        <f>HYPERLINK("https://lsnyc.legalserver.org/matter/dynamic-profile/view/1911375","19-1911375")</f>
        <v>0</v>
      </c>
      <c r="B886" t="s">
        <v>76</v>
      </c>
      <c r="C886" t="s">
        <v>467</v>
      </c>
      <c r="D886" t="s">
        <v>592</v>
      </c>
      <c r="E886" t="s">
        <v>1616</v>
      </c>
      <c r="F886" t="s">
        <v>4112</v>
      </c>
      <c r="G886" t="s">
        <v>7040</v>
      </c>
      <c r="I886" t="s">
        <v>11385</v>
      </c>
      <c r="J886">
        <v>11233</v>
      </c>
      <c r="K886" t="s">
        <v>11446</v>
      </c>
      <c r="L886" t="s">
        <v>11456</v>
      </c>
      <c r="M886" t="s">
        <v>11601</v>
      </c>
      <c r="O886" t="s">
        <v>14786</v>
      </c>
      <c r="P886" t="s">
        <v>14797</v>
      </c>
      <c r="Q886" t="s">
        <v>11448</v>
      </c>
      <c r="S886" t="s">
        <v>14827</v>
      </c>
      <c r="V886">
        <v>330</v>
      </c>
      <c r="W886" t="s">
        <v>14859</v>
      </c>
      <c r="X886" t="s">
        <v>14877</v>
      </c>
      <c r="Y886" t="s">
        <v>14883</v>
      </c>
      <c r="Z886" t="s">
        <v>15672</v>
      </c>
      <c r="AA886" t="s">
        <v>19380</v>
      </c>
      <c r="AB886" t="s">
        <v>20773</v>
      </c>
      <c r="AC886">
        <v>27</v>
      </c>
      <c r="AD886" t="s">
        <v>24596</v>
      </c>
      <c r="AE886" t="s">
        <v>24614</v>
      </c>
      <c r="AF886">
        <v>9</v>
      </c>
      <c r="AG886">
        <v>1</v>
      </c>
      <c r="AH886">
        <v>0</v>
      </c>
      <c r="AI886">
        <v>69.18000000000001</v>
      </c>
      <c r="AL886" t="s">
        <v>5011</v>
      </c>
      <c r="AM886">
        <v>8640</v>
      </c>
      <c r="AS886">
        <v>1</v>
      </c>
      <c r="AT886" t="s">
        <v>478</v>
      </c>
      <c r="AU886" t="s">
        <v>66</v>
      </c>
      <c r="AV886" t="s">
        <v>25335</v>
      </c>
      <c r="AW886" t="s">
        <v>11447</v>
      </c>
    </row>
    <row r="887" spans="1:49">
      <c r="A887" s="1">
        <f>HYPERLINK("https://lsnyc.legalserver.org/matter/dynamic-profile/view/1908086","19-1908086")</f>
        <v>0</v>
      </c>
      <c r="B887" t="s">
        <v>57</v>
      </c>
      <c r="C887" t="s">
        <v>458</v>
      </c>
      <c r="D887" t="s">
        <v>592</v>
      </c>
      <c r="E887" t="s">
        <v>1178</v>
      </c>
      <c r="F887" t="s">
        <v>4163</v>
      </c>
      <c r="G887" t="s">
        <v>7104</v>
      </c>
      <c r="H887" t="s">
        <v>10736</v>
      </c>
      <c r="I887" t="s">
        <v>11383</v>
      </c>
      <c r="J887">
        <v>10459</v>
      </c>
      <c r="K887" t="s">
        <v>11446</v>
      </c>
      <c r="N887" t="s">
        <v>14779</v>
      </c>
      <c r="O887" t="s">
        <v>14786</v>
      </c>
      <c r="P887" t="s">
        <v>14797</v>
      </c>
      <c r="Q887" t="s">
        <v>11448</v>
      </c>
      <c r="S887" t="s">
        <v>14827</v>
      </c>
      <c r="V887">
        <v>1200</v>
      </c>
      <c r="W887" t="s">
        <v>14858</v>
      </c>
      <c r="Y887" t="s">
        <v>14883</v>
      </c>
      <c r="Z887" t="s">
        <v>15748</v>
      </c>
      <c r="AB887" t="s">
        <v>20844</v>
      </c>
      <c r="AC887">
        <v>0</v>
      </c>
      <c r="AF887">
        <v>11</v>
      </c>
      <c r="AG887">
        <v>1</v>
      </c>
      <c r="AH887">
        <v>0</v>
      </c>
      <c r="AI887">
        <v>74.08</v>
      </c>
      <c r="AL887" t="s">
        <v>24632</v>
      </c>
      <c r="AM887">
        <v>9252</v>
      </c>
      <c r="AS887">
        <v>2.25</v>
      </c>
      <c r="AT887" t="s">
        <v>455</v>
      </c>
      <c r="AU887" t="s">
        <v>57</v>
      </c>
      <c r="AV887" t="s">
        <v>25335</v>
      </c>
      <c r="AW887" t="s">
        <v>11447</v>
      </c>
    </row>
    <row r="888" spans="1:49">
      <c r="A888" s="1">
        <f>HYPERLINK("https://lsnyc.legalserver.org/matter/dynamic-profile/view/1912709","19-1912709")</f>
        <v>0</v>
      </c>
      <c r="B888" t="s">
        <v>57</v>
      </c>
      <c r="C888" t="s">
        <v>559</v>
      </c>
      <c r="D888" t="s">
        <v>592</v>
      </c>
      <c r="E888" t="s">
        <v>1664</v>
      </c>
      <c r="F888" t="s">
        <v>4164</v>
      </c>
      <c r="G888" t="s">
        <v>7105</v>
      </c>
      <c r="H888" t="s">
        <v>10471</v>
      </c>
      <c r="I888" t="s">
        <v>11383</v>
      </c>
      <c r="J888">
        <v>10452</v>
      </c>
      <c r="K888" t="s">
        <v>11446</v>
      </c>
      <c r="M888" t="s">
        <v>11601</v>
      </c>
      <c r="N888" t="s">
        <v>14778</v>
      </c>
      <c r="O888" t="s">
        <v>14786</v>
      </c>
      <c r="P888" t="s">
        <v>14797</v>
      </c>
      <c r="Q888" t="s">
        <v>11448</v>
      </c>
      <c r="S888" t="s">
        <v>14827</v>
      </c>
      <c r="V888">
        <v>1400</v>
      </c>
      <c r="W888" t="s">
        <v>14858</v>
      </c>
      <c r="X888" t="s">
        <v>14864</v>
      </c>
      <c r="Y888" t="s">
        <v>14883</v>
      </c>
      <c r="Z888" t="s">
        <v>15749</v>
      </c>
      <c r="AB888" t="s">
        <v>20845</v>
      </c>
      <c r="AC888">
        <v>48</v>
      </c>
      <c r="AD888" t="s">
        <v>24595</v>
      </c>
      <c r="AE888" t="s">
        <v>24610</v>
      </c>
      <c r="AF888">
        <v>12</v>
      </c>
      <c r="AG888">
        <v>1</v>
      </c>
      <c r="AH888">
        <v>0</v>
      </c>
      <c r="AI888">
        <v>78.78</v>
      </c>
      <c r="AL888" t="s">
        <v>5011</v>
      </c>
      <c r="AM888">
        <v>9840</v>
      </c>
      <c r="AS888">
        <v>2.25</v>
      </c>
      <c r="AT888" t="s">
        <v>509</v>
      </c>
      <c r="AU888" t="s">
        <v>57</v>
      </c>
      <c r="AV888" t="s">
        <v>25335</v>
      </c>
      <c r="AW888" t="s">
        <v>11447</v>
      </c>
    </row>
    <row r="889" spans="1:49">
      <c r="A889" s="1">
        <f>HYPERLINK("https://lsnyc.legalserver.org/matter/dynamic-profile/view/1907945","19-1907945")</f>
        <v>0</v>
      </c>
      <c r="B889" t="s">
        <v>119</v>
      </c>
      <c r="C889" t="s">
        <v>458</v>
      </c>
      <c r="D889" t="s">
        <v>592</v>
      </c>
      <c r="E889" t="s">
        <v>1025</v>
      </c>
      <c r="F889" t="s">
        <v>3547</v>
      </c>
      <c r="G889" t="s">
        <v>6870</v>
      </c>
      <c r="H889" t="s">
        <v>10737</v>
      </c>
      <c r="I889" t="s">
        <v>11383</v>
      </c>
      <c r="J889">
        <v>10458</v>
      </c>
      <c r="K889" t="s">
        <v>11446</v>
      </c>
      <c r="L889" t="s">
        <v>11716</v>
      </c>
      <c r="M889" t="s">
        <v>14762</v>
      </c>
      <c r="N889" t="s">
        <v>14779</v>
      </c>
      <c r="O889" t="s">
        <v>14787</v>
      </c>
      <c r="P889" t="s">
        <v>14797</v>
      </c>
      <c r="Q889" t="s">
        <v>11446</v>
      </c>
      <c r="S889" t="s">
        <v>14827</v>
      </c>
      <c r="V889">
        <v>1209.23</v>
      </c>
      <c r="W889" t="s">
        <v>14858</v>
      </c>
      <c r="X889" t="s">
        <v>14864</v>
      </c>
      <c r="Y889" t="s">
        <v>14884</v>
      </c>
      <c r="Z889" t="s">
        <v>15750</v>
      </c>
      <c r="AB889" t="s">
        <v>20846</v>
      </c>
      <c r="AC889">
        <v>136</v>
      </c>
      <c r="AD889" t="s">
        <v>24595</v>
      </c>
      <c r="AE889" t="s">
        <v>24613</v>
      </c>
      <c r="AF889">
        <v>16</v>
      </c>
      <c r="AG889">
        <v>3</v>
      </c>
      <c r="AH889">
        <v>0</v>
      </c>
      <c r="AI889">
        <v>104.19</v>
      </c>
      <c r="AL889" t="s">
        <v>5011</v>
      </c>
      <c r="AM889">
        <v>22224</v>
      </c>
      <c r="AS889">
        <v>1</v>
      </c>
      <c r="AT889" t="s">
        <v>524</v>
      </c>
      <c r="AU889" t="s">
        <v>245</v>
      </c>
      <c r="AW889" t="s">
        <v>11447</v>
      </c>
    </row>
    <row r="890" spans="1:49">
      <c r="A890" s="1">
        <f>HYPERLINK("https://lsnyc.legalserver.org/matter/dynamic-profile/view/1908730","19-1908730")</f>
        <v>0</v>
      </c>
      <c r="B890" t="s">
        <v>57</v>
      </c>
      <c r="C890" t="s">
        <v>410</v>
      </c>
      <c r="D890" t="s">
        <v>592</v>
      </c>
      <c r="E890" t="s">
        <v>1665</v>
      </c>
      <c r="F890" t="s">
        <v>3547</v>
      </c>
      <c r="G890" t="s">
        <v>7106</v>
      </c>
      <c r="H890">
        <v>22</v>
      </c>
      <c r="I890" t="s">
        <v>11383</v>
      </c>
      <c r="J890">
        <v>10453</v>
      </c>
      <c r="K890" t="s">
        <v>11446</v>
      </c>
      <c r="M890" t="s">
        <v>11601</v>
      </c>
      <c r="N890" t="s">
        <v>14778</v>
      </c>
      <c r="O890" t="s">
        <v>14786</v>
      </c>
      <c r="P890" t="s">
        <v>14797</v>
      </c>
      <c r="Q890" t="s">
        <v>11448</v>
      </c>
      <c r="S890" t="s">
        <v>14827</v>
      </c>
      <c r="V890">
        <v>1400</v>
      </c>
      <c r="W890" t="s">
        <v>14858</v>
      </c>
      <c r="X890" t="s">
        <v>14868</v>
      </c>
      <c r="Y890" t="s">
        <v>14883</v>
      </c>
      <c r="Z890" t="s">
        <v>15751</v>
      </c>
      <c r="AB890" t="s">
        <v>20847</v>
      </c>
      <c r="AC890">
        <v>6</v>
      </c>
      <c r="AE890" t="s">
        <v>24616</v>
      </c>
      <c r="AF890">
        <v>8</v>
      </c>
      <c r="AG890">
        <v>2</v>
      </c>
      <c r="AH890">
        <v>0</v>
      </c>
      <c r="AI890">
        <v>109.07</v>
      </c>
      <c r="AL890" t="s">
        <v>24632</v>
      </c>
      <c r="AM890">
        <v>18444</v>
      </c>
      <c r="AS890">
        <v>4.75</v>
      </c>
      <c r="AT890" t="s">
        <v>519</v>
      </c>
      <c r="AU890" t="s">
        <v>25247</v>
      </c>
      <c r="AV890" t="s">
        <v>25335</v>
      </c>
      <c r="AW890" t="s">
        <v>11447</v>
      </c>
    </row>
    <row r="891" spans="1:49">
      <c r="A891" s="1">
        <f>HYPERLINK("https://lsnyc.legalserver.org/matter/dynamic-profile/view/1912719","19-1912719")</f>
        <v>0</v>
      </c>
      <c r="B891" t="s">
        <v>57</v>
      </c>
      <c r="C891" t="s">
        <v>559</v>
      </c>
      <c r="D891" t="s">
        <v>592</v>
      </c>
      <c r="E891" t="s">
        <v>1163</v>
      </c>
      <c r="F891" t="s">
        <v>4165</v>
      </c>
      <c r="G891" t="s">
        <v>6868</v>
      </c>
      <c r="I891" t="s">
        <v>11383</v>
      </c>
      <c r="J891">
        <v>10456</v>
      </c>
      <c r="K891" t="s">
        <v>11446</v>
      </c>
      <c r="M891" t="s">
        <v>11601</v>
      </c>
      <c r="N891" t="s">
        <v>14778</v>
      </c>
      <c r="O891" t="s">
        <v>14786</v>
      </c>
      <c r="P891" t="s">
        <v>14797</v>
      </c>
      <c r="Q891" t="s">
        <v>11448</v>
      </c>
      <c r="S891" t="s">
        <v>14827</v>
      </c>
      <c r="V891">
        <v>1102.5</v>
      </c>
      <c r="W891" t="s">
        <v>14858</v>
      </c>
      <c r="X891" t="s">
        <v>14864</v>
      </c>
      <c r="Y891" t="s">
        <v>14883</v>
      </c>
      <c r="Z891" t="s">
        <v>15752</v>
      </c>
      <c r="AB891" t="s">
        <v>20848</v>
      </c>
      <c r="AC891">
        <v>0</v>
      </c>
      <c r="AD891" t="s">
        <v>24595</v>
      </c>
      <c r="AE891" t="s">
        <v>11459</v>
      </c>
      <c r="AF891">
        <v>6</v>
      </c>
      <c r="AG891">
        <v>2</v>
      </c>
      <c r="AH891">
        <v>0</v>
      </c>
      <c r="AI891">
        <v>177.41</v>
      </c>
      <c r="AL891" t="s">
        <v>24632</v>
      </c>
      <c r="AM891">
        <v>30000</v>
      </c>
      <c r="AS891">
        <v>1</v>
      </c>
      <c r="AT891" t="s">
        <v>559</v>
      </c>
      <c r="AU891" t="s">
        <v>57</v>
      </c>
      <c r="AV891" t="s">
        <v>25335</v>
      </c>
      <c r="AW891" t="s">
        <v>11447</v>
      </c>
    </row>
    <row r="892" spans="1:49">
      <c r="A892" s="1">
        <f>HYPERLINK("https://lsnyc.legalserver.org/matter/dynamic-profile/view/1908585","19-1908585")</f>
        <v>0</v>
      </c>
      <c r="B892" t="s">
        <v>205</v>
      </c>
      <c r="C892" t="s">
        <v>497</v>
      </c>
      <c r="D892" t="s">
        <v>537</v>
      </c>
      <c r="E892" t="s">
        <v>1666</v>
      </c>
      <c r="F892" t="s">
        <v>4166</v>
      </c>
      <c r="G892" t="s">
        <v>7107</v>
      </c>
      <c r="H892" t="s">
        <v>10738</v>
      </c>
      <c r="I892" t="s">
        <v>11386</v>
      </c>
      <c r="J892">
        <v>10035</v>
      </c>
      <c r="K892" t="s">
        <v>11446</v>
      </c>
      <c r="M892" t="s">
        <v>11601</v>
      </c>
      <c r="N892" t="s">
        <v>14778</v>
      </c>
      <c r="O892" t="s">
        <v>14786</v>
      </c>
      <c r="P892" t="s">
        <v>14797</v>
      </c>
      <c r="Q892" t="s">
        <v>11448</v>
      </c>
      <c r="S892" t="s">
        <v>14827</v>
      </c>
      <c r="T892" t="s">
        <v>14832</v>
      </c>
      <c r="U892" t="s">
        <v>524</v>
      </c>
      <c r="V892">
        <v>354</v>
      </c>
      <c r="W892" t="s">
        <v>14860</v>
      </c>
      <c r="X892" t="s">
        <v>14876</v>
      </c>
      <c r="Y892" t="s">
        <v>14883</v>
      </c>
      <c r="Z892" t="s">
        <v>15753</v>
      </c>
      <c r="AB892" t="s">
        <v>20849</v>
      </c>
      <c r="AC892">
        <v>24</v>
      </c>
      <c r="AD892" t="s">
        <v>11479</v>
      </c>
      <c r="AE892" t="s">
        <v>11459</v>
      </c>
      <c r="AF892">
        <v>33</v>
      </c>
      <c r="AG892">
        <v>1</v>
      </c>
      <c r="AH892">
        <v>0</v>
      </c>
      <c r="AI892">
        <v>73.79000000000001</v>
      </c>
      <c r="AL892" t="s">
        <v>24632</v>
      </c>
      <c r="AM892">
        <v>9216</v>
      </c>
      <c r="AS892">
        <v>1</v>
      </c>
      <c r="AT892" t="s">
        <v>372</v>
      </c>
      <c r="AU892" t="s">
        <v>25266</v>
      </c>
      <c r="AV892" t="s">
        <v>25335</v>
      </c>
      <c r="AW892" t="s">
        <v>11447</v>
      </c>
    </row>
    <row r="893" spans="1:49">
      <c r="A893" s="1">
        <f>HYPERLINK("https://lsnyc.legalserver.org/matter/dynamic-profile/view/1908313","19-1908313")</f>
        <v>0</v>
      </c>
      <c r="B893" t="s">
        <v>76</v>
      </c>
      <c r="C893" t="s">
        <v>375</v>
      </c>
      <c r="D893" t="s">
        <v>537</v>
      </c>
      <c r="E893" t="s">
        <v>1048</v>
      </c>
      <c r="F893" t="s">
        <v>4167</v>
      </c>
      <c r="G893" t="s">
        <v>6985</v>
      </c>
      <c r="H893" t="s">
        <v>10673</v>
      </c>
      <c r="I893" t="s">
        <v>11385</v>
      </c>
      <c r="J893">
        <v>11233</v>
      </c>
      <c r="K893" t="s">
        <v>11446</v>
      </c>
      <c r="L893" t="s">
        <v>11717</v>
      </c>
      <c r="M893" t="s">
        <v>14744</v>
      </c>
      <c r="N893" t="s">
        <v>14781</v>
      </c>
      <c r="O893" t="s">
        <v>14788</v>
      </c>
      <c r="P893" t="s">
        <v>14797</v>
      </c>
      <c r="Q893" t="s">
        <v>11448</v>
      </c>
      <c r="S893" t="s">
        <v>14827</v>
      </c>
      <c r="T893" t="s">
        <v>14832</v>
      </c>
      <c r="U893" t="s">
        <v>375</v>
      </c>
      <c r="V893">
        <v>955.08</v>
      </c>
      <c r="W893" t="s">
        <v>14859</v>
      </c>
      <c r="X893" t="s">
        <v>14868</v>
      </c>
      <c r="Y893" t="s">
        <v>14887</v>
      </c>
      <c r="Z893" t="s">
        <v>15754</v>
      </c>
      <c r="AA893">
        <v>6004868123</v>
      </c>
      <c r="AB893" t="s">
        <v>20850</v>
      </c>
      <c r="AC893">
        <v>359</v>
      </c>
      <c r="AD893" t="s">
        <v>24595</v>
      </c>
      <c r="AE893" t="s">
        <v>11459</v>
      </c>
      <c r="AF893">
        <v>16</v>
      </c>
      <c r="AG893">
        <v>1</v>
      </c>
      <c r="AH893">
        <v>0</v>
      </c>
      <c r="AI893">
        <v>104.08</v>
      </c>
      <c r="AL893" t="s">
        <v>5011</v>
      </c>
      <c r="AM893">
        <v>13000</v>
      </c>
      <c r="AS893">
        <v>10.6</v>
      </c>
      <c r="AT893" t="s">
        <v>592</v>
      </c>
      <c r="AU893" t="s">
        <v>66</v>
      </c>
      <c r="AV893" t="s">
        <v>25335</v>
      </c>
      <c r="AW893" t="s">
        <v>11447</v>
      </c>
    </row>
    <row r="894" spans="1:49">
      <c r="A894" s="1">
        <f>HYPERLINK("https://lsnyc.legalserver.org/matter/dynamic-profile/view/1914309","19-1914309")</f>
        <v>0</v>
      </c>
      <c r="B894" t="s">
        <v>175</v>
      </c>
      <c r="C894" t="s">
        <v>539</v>
      </c>
      <c r="D894" t="s">
        <v>537</v>
      </c>
      <c r="E894" t="s">
        <v>1316</v>
      </c>
      <c r="F894" t="s">
        <v>4168</v>
      </c>
      <c r="G894" t="s">
        <v>7108</v>
      </c>
      <c r="H894" t="s">
        <v>10739</v>
      </c>
      <c r="I894" t="s">
        <v>11386</v>
      </c>
      <c r="J894">
        <v>10034</v>
      </c>
      <c r="K894" t="s">
        <v>11446</v>
      </c>
      <c r="L894" t="s">
        <v>11718</v>
      </c>
      <c r="M894" t="s">
        <v>14743</v>
      </c>
      <c r="N894" t="s">
        <v>14778</v>
      </c>
      <c r="O894" t="s">
        <v>14786</v>
      </c>
      <c r="P894" t="s">
        <v>14797</v>
      </c>
      <c r="Q894" t="s">
        <v>11448</v>
      </c>
      <c r="S894" t="s">
        <v>14827</v>
      </c>
      <c r="U894" t="s">
        <v>537</v>
      </c>
      <c r="V894">
        <v>0</v>
      </c>
      <c r="W894" t="s">
        <v>14860</v>
      </c>
      <c r="X894" t="s">
        <v>14868</v>
      </c>
      <c r="Y894" t="s">
        <v>14883</v>
      </c>
      <c r="Z894" t="s">
        <v>15755</v>
      </c>
      <c r="AB894" t="s">
        <v>20851</v>
      </c>
      <c r="AC894">
        <v>0</v>
      </c>
      <c r="AD894" t="s">
        <v>24595</v>
      </c>
      <c r="AE894" t="s">
        <v>11459</v>
      </c>
      <c r="AF894">
        <v>26</v>
      </c>
      <c r="AG894">
        <v>1</v>
      </c>
      <c r="AH894">
        <v>0</v>
      </c>
      <c r="AI894">
        <v>19.89</v>
      </c>
      <c r="AL894" t="s">
        <v>24632</v>
      </c>
      <c r="AM894">
        <v>2484</v>
      </c>
      <c r="AS894">
        <v>1</v>
      </c>
      <c r="AT894" t="s">
        <v>539</v>
      </c>
      <c r="AU894" t="s">
        <v>137</v>
      </c>
      <c r="AV894" t="s">
        <v>25335</v>
      </c>
      <c r="AW894" t="s">
        <v>11447</v>
      </c>
    </row>
    <row r="895" spans="1:49">
      <c r="A895" s="1">
        <f>HYPERLINK("https://lsnyc.legalserver.org/matter/dynamic-profile/view/1914321","19-1914321")</f>
        <v>0</v>
      </c>
      <c r="B895" t="s">
        <v>175</v>
      </c>
      <c r="C895" t="s">
        <v>539</v>
      </c>
      <c r="D895" t="s">
        <v>537</v>
      </c>
      <c r="E895" t="s">
        <v>1667</v>
      </c>
      <c r="F895" t="s">
        <v>3685</v>
      </c>
      <c r="G895" t="s">
        <v>7109</v>
      </c>
      <c r="H895" t="s">
        <v>10471</v>
      </c>
      <c r="I895" t="s">
        <v>11386</v>
      </c>
      <c r="J895">
        <v>10034</v>
      </c>
      <c r="K895" t="s">
        <v>11446</v>
      </c>
      <c r="L895" t="s">
        <v>11719</v>
      </c>
      <c r="M895" t="s">
        <v>14743</v>
      </c>
      <c r="N895" t="s">
        <v>14778</v>
      </c>
      <c r="O895" t="s">
        <v>14786</v>
      </c>
      <c r="P895" t="s">
        <v>14797</v>
      </c>
      <c r="Q895" t="s">
        <v>11448</v>
      </c>
      <c r="S895" t="s">
        <v>14827</v>
      </c>
      <c r="U895" t="s">
        <v>537</v>
      </c>
      <c r="V895">
        <v>692.33</v>
      </c>
      <c r="W895" t="s">
        <v>14860</v>
      </c>
      <c r="X895" t="s">
        <v>14867</v>
      </c>
      <c r="Y895" t="s">
        <v>14883</v>
      </c>
      <c r="Z895" t="s">
        <v>15756</v>
      </c>
      <c r="AC895">
        <v>72</v>
      </c>
      <c r="AD895" t="s">
        <v>24595</v>
      </c>
      <c r="AE895" t="s">
        <v>11459</v>
      </c>
      <c r="AF895">
        <v>27</v>
      </c>
      <c r="AG895">
        <v>2</v>
      </c>
      <c r="AH895">
        <v>0</v>
      </c>
      <c r="AI895">
        <v>183.28</v>
      </c>
      <c r="AL895" t="s">
        <v>24632</v>
      </c>
      <c r="AM895">
        <v>30992</v>
      </c>
      <c r="AS895">
        <v>1</v>
      </c>
      <c r="AT895" t="s">
        <v>539</v>
      </c>
      <c r="AU895" t="s">
        <v>137</v>
      </c>
      <c r="AV895" t="s">
        <v>25335</v>
      </c>
      <c r="AW895" t="s">
        <v>11447</v>
      </c>
    </row>
    <row r="896" spans="1:49">
      <c r="A896" s="1">
        <f>HYPERLINK("https://lsnyc.legalserver.org/matter/dynamic-profile/view/1911920","19-1911920")</f>
        <v>0</v>
      </c>
      <c r="B896" t="s">
        <v>120</v>
      </c>
      <c r="C896" t="s">
        <v>586</v>
      </c>
      <c r="D896" t="s">
        <v>537</v>
      </c>
      <c r="E896" t="s">
        <v>1544</v>
      </c>
      <c r="F896" t="s">
        <v>3662</v>
      </c>
      <c r="G896" t="s">
        <v>6932</v>
      </c>
      <c r="I896" t="s">
        <v>11385</v>
      </c>
      <c r="J896">
        <v>11208</v>
      </c>
      <c r="K896" t="s">
        <v>11448</v>
      </c>
      <c r="L896" t="s">
        <v>11720</v>
      </c>
      <c r="M896" t="s">
        <v>14743</v>
      </c>
      <c r="O896" t="s">
        <v>14786</v>
      </c>
      <c r="P896" t="s">
        <v>14797</v>
      </c>
      <c r="Q896" t="s">
        <v>11448</v>
      </c>
      <c r="S896" t="s">
        <v>14827</v>
      </c>
      <c r="V896">
        <v>1063</v>
      </c>
      <c r="W896" t="s">
        <v>14859</v>
      </c>
      <c r="X896" t="s">
        <v>14866</v>
      </c>
      <c r="Y896" t="s">
        <v>14883</v>
      </c>
      <c r="Z896" t="s">
        <v>15564</v>
      </c>
      <c r="AB896" t="s">
        <v>20852</v>
      </c>
      <c r="AC896">
        <v>2</v>
      </c>
      <c r="AD896" t="s">
        <v>24600</v>
      </c>
      <c r="AF896">
        <v>14</v>
      </c>
      <c r="AG896">
        <v>2</v>
      </c>
      <c r="AH896">
        <v>0</v>
      </c>
      <c r="AI896">
        <v>55.21</v>
      </c>
      <c r="AL896" t="s">
        <v>24632</v>
      </c>
      <c r="AM896">
        <v>9336</v>
      </c>
      <c r="AN896" t="s">
        <v>24715</v>
      </c>
      <c r="AS896">
        <v>0.6</v>
      </c>
      <c r="AT896" t="s">
        <v>586</v>
      </c>
      <c r="AU896" t="s">
        <v>25229</v>
      </c>
      <c r="AV896" t="s">
        <v>11459</v>
      </c>
      <c r="AW896" t="s">
        <v>11447</v>
      </c>
    </row>
    <row r="897" spans="1:49">
      <c r="A897" s="1">
        <f>HYPERLINK("https://lsnyc.legalserver.org/matter/dynamic-profile/view/1905853","19-1905853")</f>
        <v>0</v>
      </c>
      <c r="B897" t="s">
        <v>206</v>
      </c>
      <c r="C897" t="s">
        <v>500</v>
      </c>
      <c r="D897" t="s">
        <v>537</v>
      </c>
      <c r="E897" t="s">
        <v>1650</v>
      </c>
      <c r="F897" t="s">
        <v>3742</v>
      </c>
      <c r="G897" t="s">
        <v>7110</v>
      </c>
      <c r="H897" t="s">
        <v>10448</v>
      </c>
      <c r="I897" t="s">
        <v>11386</v>
      </c>
      <c r="J897">
        <v>10034</v>
      </c>
      <c r="K897" t="s">
        <v>11447</v>
      </c>
      <c r="O897" t="s">
        <v>14786</v>
      </c>
      <c r="P897" t="s">
        <v>14797</v>
      </c>
      <c r="Q897" t="s">
        <v>11446</v>
      </c>
      <c r="S897" t="s">
        <v>14829</v>
      </c>
      <c r="V897">
        <v>1300</v>
      </c>
      <c r="W897" t="s">
        <v>14860</v>
      </c>
      <c r="Y897" t="s">
        <v>14883</v>
      </c>
      <c r="Z897" t="s">
        <v>15757</v>
      </c>
      <c r="AB897" t="s">
        <v>20853</v>
      </c>
      <c r="AC897">
        <v>50</v>
      </c>
      <c r="AD897" t="s">
        <v>24599</v>
      </c>
      <c r="AE897" t="s">
        <v>24611</v>
      </c>
      <c r="AF897">
        <v>8</v>
      </c>
      <c r="AG897">
        <v>1</v>
      </c>
      <c r="AH897">
        <v>0</v>
      </c>
      <c r="AI897">
        <v>74.08</v>
      </c>
      <c r="AL897" t="s">
        <v>5011</v>
      </c>
      <c r="AM897">
        <v>9252</v>
      </c>
      <c r="AS897">
        <v>1.85</v>
      </c>
      <c r="AT897" t="s">
        <v>537</v>
      </c>
      <c r="AU897" t="s">
        <v>25237</v>
      </c>
      <c r="AW897" t="s">
        <v>11447</v>
      </c>
    </row>
    <row r="898" spans="1:49">
      <c r="A898" s="1">
        <f>HYPERLINK("https://lsnyc.legalserver.org/matter/dynamic-profile/view/1914737","19-1914737")</f>
        <v>0</v>
      </c>
      <c r="B898" t="s">
        <v>66</v>
      </c>
      <c r="C898" t="s">
        <v>592</v>
      </c>
      <c r="D898" t="s">
        <v>537</v>
      </c>
      <c r="E898" t="s">
        <v>1036</v>
      </c>
      <c r="F898" t="s">
        <v>4169</v>
      </c>
      <c r="G898" t="s">
        <v>7111</v>
      </c>
      <c r="H898" t="s">
        <v>10522</v>
      </c>
      <c r="I898" t="s">
        <v>11385</v>
      </c>
      <c r="J898">
        <v>11207</v>
      </c>
      <c r="K898" t="s">
        <v>11448</v>
      </c>
      <c r="L898" t="s">
        <v>11456</v>
      </c>
      <c r="M898" t="s">
        <v>11601</v>
      </c>
      <c r="N898" t="s">
        <v>14778</v>
      </c>
      <c r="O898" t="s">
        <v>14786</v>
      </c>
      <c r="P898" t="s">
        <v>14797</v>
      </c>
      <c r="Q898" t="s">
        <v>11448</v>
      </c>
      <c r="S898" t="s">
        <v>14827</v>
      </c>
      <c r="T898" t="s">
        <v>14832</v>
      </c>
      <c r="V898">
        <v>1500</v>
      </c>
      <c r="W898" t="s">
        <v>14859</v>
      </c>
      <c r="X898" t="s">
        <v>14755</v>
      </c>
      <c r="Y898" t="s">
        <v>14883</v>
      </c>
      <c r="Z898" t="s">
        <v>15758</v>
      </c>
      <c r="AA898" t="s">
        <v>11465</v>
      </c>
      <c r="AB898" t="s">
        <v>20854</v>
      </c>
      <c r="AC898">
        <v>4</v>
      </c>
      <c r="AD898" t="s">
        <v>11479</v>
      </c>
      <c r="AE898" t="s">
        <v>11459</v>
      </c>
      <c r="AF898">
        <v>1</v>
      </c>
      <c r="AG898">
        <v>1</v>
      </c>
      <c r="AH898">
        <v>2</v>
      </c>
      <c r="AI898">
        <v>102.39</v>
      </c>
      <c r="AL898" t="s">
        <v>5011</v>
      </c>
      <c r="AM898">
        <v>21840</v>
      </c>
      <c r="AN898" t="s">
        <v>24744</v>
      </c>
      <c r="AS898">
        <v>0.5</v>
      </c>
      <c r="AT898" t="s">
        <v>592</v>
      </c>
      <c r="AU898" t="s">
        <v>25244</v>
      </c>
      <c r="AV898" t="s">
        <v>11459</v>
      </c>
      <c r="AW898" t="s">
        <v>11447</v>
      </c>
    </row>
    <row r="899" spans="1:49">
      <c r="A899" s="1">
        <f>HYPERLINK("https://lsnyc.legalserver.org/matter/dynamic-profile/view/1867765","18-1867765")</f>
        <v>0</v>
      </c>
      <c r="B899" t="s">
        <v>207</v>
      </c>
      <c r="C899" t="s">
        <v>650</v>
      </c>
      <c r="D899" t="s">
        <v>537</v>
      </c>
      <c r="E899" t="s">
        <v>1668</v>
      </c>
      <c r="F899" t="s">
        <v>3814</v>
      </c>
      <c r="G899" t="s">
        <v>7112</v>
      </c>
      <c r="H899" t="s">
        <v>10481</v>
      </c>
      <c r="I899" t="s">
        <v>11386</v>
      </c>
      <c r="J899">
        <v>10030</v>
      </c>
      <c r="K899" t="s">
        <v>11447</v>
      </c>
      <c r="O899" t="s">
        <v>14787</v>
      </c>
      <c r="P899" t="s">
        <v>14797</v>
      </c>
      <c r="S899" t="s">
        <v>14827</v>
      </c>
      <c r="V899">
        <v>0</v>
      </c>
      <c r="W899" t="s">
        <v>14860</v>
      </c>
      <c r="Y899" t="s">
        <v>14883</v>
      </c>
      <c r="Z899" t="s">
        <v>15759</v>
      </c>
      <c r="AB899" t="s">
        <v>20855</v>
      </c>
      <c r="AC899">
        <v>0</v>
      </c>
      <c r="AF899">
        <v>0</v>
      </c>
      <c r="AG899">
        <v>1</v>
      </c>
      <c r="AH899">
        <v>1</v>
      </c>
      <c r="AI899">
        <v>118.47</v>
      </c>
      <c r="AL899" t="s">
        <v>5011</v>
      </c>
      <c r="AM899">
        <v>19500</v>
      </c>
      <c r="AS899">
        <v>1.2</v>
      </c>
      <c r="AT899" t="s">
        <v>442</v>
      </c>
      <c r="AU899" t="s">
        <v>25278</v>
      </c>
      <c r="AW899" t="s">
        <v>11447</v>
      </c>
    </row>
    <row r="900" spans="1:49">
      <c r="A900" s="1">
        <f>HYPERLINK("https://lsnyc.legalserver.org/matter/dynamic-profile/view/1908673","19-1908673")</f>
        <v>0</v>
      </c>
      <c r="B900" t="s">
        <v>190</v>
      </c>
      <c r="C900" t="s">
        <v>410</v>
      </c>
      <c r="D900" t="s">
        <v>521</v>
      </c>
      <c r="E900" t="s">
        <v>1669</v>
      </c>
      <c r="F900" t="s">
        <v>3628</v>
      </c>
      <c r="G900" t="s">
        <v>7113</v>
      </c>
      <c r="H900" t="s">
        <v>10740</v>
      </c>
      <c r="I900" t="s">
        <v>11386</v>
      </c>
      <c r="J900">
        <v>10040</v>
      </c>
      <c r="K900" t="s">
        <v>11446</v>
      </c>
      <c r="M900" t="s">
        <v>14744</v>
      </c>
      <c r="N900" t="s">
        <v>14779</v>
      </c>
      <c r="O900" t="s">
        <v>14787</v>
      </c>
      <c r="P900" t="s">
        <v>14797</v>
      </c>
      <c r="Q900" t="s">
        <v>11448</v>
      </c>
      <c r="S900" t="s">
        <v>14827</v>
      </c>
      <c r="U900" t="s">
        <v>410</v>
      </c>
      <c r="V900">
        <v>215</v>
      </c>
      <c r="W900" t="s">
        <v>14860</v>
      </c>
      <c r="X900" t="s">
        <v>14867</v>
      </c>
      <c r="Y900" t="s">
        <v>14883</v>
      </c>
      <c r="Z900" t="s">
        <v>15760</v>
      </c>
      <c r="AB900" t="s">
        <v>20856</v>
      </c>
      <c r="AC900">
        <v>37</v>
      </c>
      <c r="AD900" t="s">
        <v>24595</v>
      </c>
      <c r="AE900" t="s">
        <v>14755</v>
      </c>
      <c r="AF900">
        <v>5</v>
      </c>
      <c r="AG900">
        <v>1</v>
      </c>
      <c r="AH900">
        <v>0</v>
      </c>
      <c r="AI900">
        <v>70.62</v>
      </c>
      <c r="AL900" t="s">
        <v>24632</v>
      </c>
      <c r="AM900">
        <v>8820</v>
      </c>
      <c r="AQ900" t="s">
        <v>24986</v>
      </c>
      <c r="AS900">
        <v>4.6</v>
      </c>
      <c r="AT900" t="s">
        <v>537</v>
      </c>
      <c r="AU900" t="s">
        <v>137</v>
      </c>
      <c r="AV900" t="s">
        <v>25335</v>
      </c>
      <c r="AW900" t="s">
        <v>11447</v>
      </c>
    </row>
    <row r="901" spans="1:49">
      <c r="A901" s="1">
        <f>HYPERLINK("https://lsnyc.legalserver.org/matter/dynamic-profile/view/1908678","19-1908678")</f>
        <v>0</v>
      </c>
      <c r="B901" t="s">
        <v>190</v>
      </c>
      <c r="C901" t="s">
        <v>410</v>
      </c>
      <c r="D901" t="s">
        <v>521</v>
      </c>
      <c r="E901" t="s">
        <v>1670</v>
      </c>
      <c r="F901" t="s">
        <v>4170</v>
      </c>
      <c r="G901" t="s">
        <v>7114</v>
      </c>
      <c r="H901" t="s">
        <v>10559</v>
      </c>
      <c r="I901" t="s">
        <v>11386</v>
      </c>
      <c r="J901">
        <v>10040</v>
      </c>
      <c r="K901" t="s">
        <v>11446</v>
      </c>
      <c r="M901" t="s">
        <v>14743</v>
      </c>
      <c r="N901" t="s">
        <v>14781</v>
      </c>
      <c r="O901" t="s">
        <v>14792</v>
      </c>
      <c r="P901" t="s">
        <v>14797</v>
      </c>
      <c r="Q901" t="s">
        <v>11448</v>
      </c>
      <c r="S901" t="s">
        <v>14827</v>
      </c>
      <c r="U901" t="s">
        <v>410</v>
      </c>
      <c r="V901">
        <v>294.4</v>
      </c>
      <c r="W901" t="s">
        <v>14860</v>
      </c>
      <c r="X901" t="s">
        <v>14867</v>
      </c>
      <c r="Y901" t="s">
        <v>14884</v>
      </c>
      <c r="Z901" t="s">
        <v>15761</v>
      </c>
      <c r="AB901" t="s">
        <v>20857</v>
      </c>
      <c r="AC901">
        <v>22</v>
      </c>
      <c r="AD901" t="s">
        <v>24595</v>
      </c>
      <c r="AE901" t="s">
        <v>14755</v>
      </c>
      <c r="AF901">
        <v>20</v>
      </c>
      <c r="AG901">
        <v>1</v>
      </c>
      <c r="AH901">
        <v>0</v>
      </c>
      <c r="AI901">
        <v>122.86</v>
      </c>
      <c r="AL901" t="s">
        <v>5011</v>
      </c>
      <c r="AM901">
        <v>15345.6</v>
      </c>
      <c r="AS901">
        <v>13.3</v>
      </c>
      <c r="AT901" t="s">
        <v>574</v>
      </c>
      <c r="AU901" t="s">
        <v>137</v>
      </c>
      <c r="AV901" t="s">
        <v>25335</v>
      </c>
      <c r="AW901" t="s">
        <v>11447</v>
      </c>
    </row>
    <row r="902" spans="1:49">
      <c r="A902" s="1">
        <f>HYPERLINK("https://lsnyc.legalserver.org/matter/dynamic-profile/view/1902565","19-1902565")</f>
        <v>0</v>
      </c>
      <c r="B902" t="s">
        <v>190</v>
      </c>
      <c r="C902" t="s">
        <v>517</v>
      </c>
      <c r="D902" t="s">
        <v>521</v>
      </c>
      <c r="E902" t="s">
        <v>1671</v>
      </c>
      <c r="F902" t="s">
        <v>4171</v>
      </c>
      <c r="G902" t="s">
        <v>7115</v>
      </c>
      <c r="H902" t="s">
        <v>10598</v>
      </c>
      <c r="I902" t="s">
        <v>11386</v>
      </c>
      <c r="J902">
        <v>10034</v>
      </c>
      <c r="K902" t="s">
        <v>11446</v>
      </c>
      <c r="M902" t="s">
        <v>11601</v>
      </c>
      <c r="N902" t="s">
        <v>14778</v>
      </c>
      <c r="O902" t="s">
        <v>14786</v>
      </c>
      <c r="P902" t="s">
        <v>14797</v>
      </c>
      <c r="Q902" t="s">
        <v>11448</v>
      </c>
      <c r="S902" t="s">
        <v>14827</v>
      </c>
      <c r="U902" t="s">
        <v>504</v>
      </c>
      <c r="V902">
        <v>1061</v>
      </c>
      <c r="W902" t="s">
        <v>14860</v>
      </c>
      <c r="X902" t="s">
        <v>14867</v>
      </c>
      <c r="Y902" t="s">
        <v>14883</v>
      </c>
      <c r="Z902" t="s">
        <v>15047</v>
      </c>
      <c r="AB902" t="s">
        <v>20858</v>
      </c>
      <c r="AC902">
        <v>30</v>
      </c>
      <c r="AD902" t="s">
        <v>11479</v>
      </c>
      <c r="AE902" t="s">
        <v>11459</v>
      </c>
      <c r="AF902">
        <v>4</v>
      </c>
      <c r="AG902">
        <v>2</v>
      </c>
      <c r="AH902">
        <v>0</v>
      </c>
      <c r="AI902">
        <v>106.45</v>
      </c>
      <c r="AL902" t="s">
        <v>24632</v>
      </c>
      <c r="AM902">
        <v>18000</v>
      </c>
      <c r="AQ902" t="s">
        <v>24986</v>
      </c>
      <c r="AS902">
        <v>2</v>
      </c>
      <c r="AT902" t="s">
        <v>504</v>
      </c>
      <c r="AU902" t="s">
        <v>25236</v>
      </c>
      <c r="AV902" t="s">
        <v>25335</v>
      </c>
      <c r="AW902" t="s">
        <v>11447</v>
      </c>
    </row>
    <row r="903" spans="1:49">
      <c r="A903" s="1">
        <f>HYPERLINK("https://lsnyc.legalserver.org/matter/dynamic-profile/view/1913993","19-1913993")</f>
        <v>0</v>
      </c>
      <c r="B903" t="s">
        <v>175</v>
      </c>
      <c r="C903" t="s">
        <v>490</v>
      </c>
      <c r="D903" t="s">
        <v>521</v>
      </c>
      <c r="E903" t="s">
        <v>1672</v>
      </c>
      <c r="F903" t="s">
        <v>1718</v>
      </c>
      <c r="G903" t="s">
        <v>7116</v>
      </c>
      <c r="H903" t="s">
        <v>10541</v>
      </c>
      <c r="I903" t="s">
        <v>11386</v>
      </c>
      <c r="J903">
        <v>10032</v>
      </c>
      <c r="K903" t="s">
        <v>11446</v>
      </c>
      <c r="M903" t="s">
        <v>14747</v>
      </c>
      <c r="N903" t="s">
        <v>14779</v>
      </c>
      <c r="O903" t="s">
        <v>14787</v>
      </c>
      <c r="P903" t="s">
        <v>14797</v>
      </c>
      <c r="Q903" t="s">
        <v>11448</v>
      </c>
      <c r="S903" t="s">
        <v>14827</v>
      </c>
      <c r="U903" t="s">
        <v>490</v>
      </c>
      <c r="V903">
        <v>950</v>
      </c>
      <c r="W903" t="s">
        <v>14860</v>
      </c>
      <c r="X903" t="s">
        <v>14867</v>
      </c>
      <c r="Y903" t="s">
        <v>14883</v>
      </c>
      <c r="Z903" t="s">
        <v>15762</v>
      </c>
      <c r="AB903" t="s">
        <v>20859</v>
      </c>
      <c r="AC903">
        <v>22</v>
      </c>
      <c r="AD903" t="s">
        <v>24595</v>
      </c>
      <c r="AE903" t="s">
        <v>11459</v>
      </c>
      <c r="AF903">
        <v>39</v>
      </c>
      <c r="AG903">
        <v>3</v>
      </c>
      <c r="AH903">
        <v>2</v>
      </c>
      <c r="AI903">
        <v>89.17</v>
      </c>
      <c r="AL903" t="s">
        <v>24632</v>
      </c>
      <c r="AM903">
        <v>26904</v>
      </c>
      <c r="AS903">
        <v>0.1</v>
      </c>
      <c r="AT903" t="s">
        <v>539</v>
      </c>
      <c r="AU903" t="s">
        <v>137</v>
      </c>
      <c r="AV903" t="s">
        <v>25335</v>
      </c>
      <c r="AW903" t="s">
        <v>11447</v>
      </c>
    </row>
    <row r="904" spans="1:49">
      <c r="A904" s="1">
        <f>HYPERLINK("https://lsnyc.legalserver.org/matter/dynamic-profile/view/1908074","19-1908074")</f>
        <v>0</v>
      </c>
      <c r="B904" t="s">
        <v>57</v>
      </c>
      <c r="C904" t="s">
        <v>458</v>
      </c>
      <c r="D904" t="s">
        <v>521</v>
      </c>
      <c r="E904" t="s">
        <v>1404</v>
      </c>
      <c r="F904" t="s">
        <v>4172</v>
      </c>
      <c r="G904" t="s">
        <v>7117</v>
      </c>
      <c r="H904" t="s">
        <v>10741</v>
      </c>
      <c r="I904" t="s">
        <v>11383</v>
      </c>
      <c r="J904">
        <v>10452</v>
      </c>
      <c r="K904" t="s">
        <v>11446</v>
      </c>
      <c r="N904" t="s">
        <v>14778</v>
      </c>
      <c r="O904" t="s">
        <v>14786</v>
      </c>
      <c r="P904" t="s">
        <v>14797</v>
      </c>
      <c r="Q904" t="s">
        <v>11448</v>
      </c>
      <c r="S904" t="s">
        <v>14827</v>
      </c>
      <c r="V904">
        <v>1750</v>
      </c>
      <c r="W904" t="s">
        <v>14858</v>
      </c>
      <c r="X904" t="s">
        <v>14868</v>
      </c>
      <c r="Y904" t="s">
        <v>14883</v>
      </c>
      <c r="Z904" t="s">
        <v>15763</v>
      </c>
      <c r="AB904" t="s">
        <v>20860</v>
      </c>
      <c r="AC904">
        <v>0</v>
      </c>
      <c r="AD904" t="s">
        <v>24595</v>
      </c>
      <c r="AE904" t="s">
        <v>24616</v>
      </c>
      <c r="AF904">
        <v>7</v>
      </c>
      <c r="AG904">
        <v>1</v>
      </c>
      <c r="AH904">
        <v>3</v>
      </c>
      <c r="AI904">
        <v>50.49</v>
      </c>
      <c r="AL904" t="s">
        <v>5011</v>
      </c>
      <c r="AM904">
        <v>13000</v>
      </c>
      <c r="AS904">
        <v>6.1</v>
      </c>
      <c r="AT904" t="s">
        <v>460</v>
      </c>
      <c r="AU904" t="s">
        <v>57</v>
      </c>
      <c r="AV904" t="s">
        <v>25335</v>
      </c>
      <c r="AW904" t="s">
        <v>11447</v>
      </c>
    </row>
    <row r="905" spans="1:49">
      <c r="A905" s="1">
        <f>HYPERLINK("https://lsnyc.legalserver.org/matter/dynamic-profile/view/1902136","19-1902136")</f>
        <v>0</v>
      </c>
      <c r="B905" t="s">
        <v>140</v>
      </c>
      <c r="C905" t="s">
        <v>538</v>
      </c>
      <c r="D905" t="s">
        <v>521</v>
      </c>
      <c r="E905" t="s">
        <v>1673</v>
      </c>
      <c r="F905" t="s">
        <v>4173</v>
      </c>
      <c r="G905" t="s">
        <v>7118</v>
      </c>
      <c r="H905">
        <v>1</v>
      </c>
      <c r="I905" t="s">
        <v>11383</v>
      </c>
      <c r="J905">
        <v>10459</v>
      </c>
      <c r="K905" t="s">
        <v>11448</v>
      </c>
      <c r="M905" t="s">
        <v>11601</v>
      </c>
      <c r="O905" t="s">
        <v>14786</v>
      </c>
      <c r="P905" t="s">
        <v>14797</v>
      </c>
      <c r="Q905" t="s">
        <v>11448</v>
      </c>
      <c r="S905" t="s">
        <v>14827</v>
      </c>
      <c r="V905">
        <v>1200</v>
      </c>
      <c r="W905" t="s">
        <v>14858</v>
      </c>
      <c r="Y905" t="s">
        <v>14883</v>
      </c>
      <c r="Z905" t="s">
        <v>15764</v>
      </c>
      <c r="AC905">
        <v>3</v>
      </c>
      <c r="AD905" t="s">
        <v>11479</v>
      </c>
      <c r="AE905" t="s">
        <v>11459</v>
      </c>
      <c r="AF905">
        <v>11</v>
      </c>
      <c r="AG905">
        <v>2</v>
      </c>
      <c r="AH905">
        <v>1</v>
      </c>
      <c r="AI905">
        <v>60.95</v>
      </c>
      <c r="AL905" t="s">
        <v>24632</v>
      </c>
      <c r="AM905">
        <v>13000</v>
      </c>
      <c r="AN905" t="s">
        <v>24745</v>
      </c>
      <c r="AS905">
        <v>2.5</v>
      </c>
      <c r="AT905" t="s">
        <v>469</v>
      </c>
      <c r="AU905" t="s">
        <v>25236</v>
      </c>
      <c r="AV905" t="s">
        <v>11459</v>
      </c>
      <c r="AW905" t="s">
        <v>11447</v>
      </c>
    </row>
    <row r="906" spans="1:49">
      <c r="A906" s="1">
        <f>HYPERLINK("https://lsnyc.legalserver.org/matter/dynamic-profile/view/1914886","19-1914886")</f>
        <v>0</v>
      </c>
      <c r="B906" t="s">
        <v>66</v>
      </c>
      <c r="C906" t="s">
        <v>537</v>
      </c>
      <c r="D906" t="s">
        <v>521</v>
      </c>
      <c r="E906" t="s">
        <v>1249</v>
      </c>
      <c r="F906" t="s">
        <v>1816</v>
      </c>
      <c r="G906" t="s">
        <v>7119</v>
      </c>
      <c r="H906" t="s">
        <v>10717</v>
      </c>
      <c r="I906" t="s">
        <v>11385</v>
      </c>
      <c r="J906">
        <v>11212</v>
      </c>
      <c r="K906" t="s">
        <v>11448</v>
      </c>
      <c r="L906" t="s">
        <v>11474</v>
      </c>
      <c r="M906" t="s">
        <v>11601</v>
      </c>
      <c r="N906" t="s">
        <v>14778</v>
      </c>
      <c r="O906" t="s">
        <v>14786</v>
      </c>
      <c r="P906" t="s">
        <v>14797</v>
      </c>
      <c r="Q906" t="s">
        <v>11448</v>
      </c>
      <c r="S906" t="s">
        <v>14827</v>
      </c>
      <c r="T906" t="s">
        <v>14832</v>
      </c>
      <c r="V906">
        <v>1600</v>
      </c>
      <c r="W906" t="s">
        <v>14859</v>
      </c>
      <c r="Y906" t="s">
        <v>14883</v>
      </c>
      <c r="Z906" t="s">
        <v>15765</v>
      </c>
      <c r="AA906" t="s">
        <v>19381</v>
      </c>
      <c r="AB906" t="s">
        <v>20861</v>
      </c>
      <c r="AC906">
        <v>20</v>
      </c>
      <c r="AD906" t="s">
        <v>24596</v>
      </c>
      <c r="AE906" t="s">
        <v>24610</v>
      </c>
      <c r="AF906">
        <v>6</v>
      </c>
      <c r="AG906">
        <v>1</v>
      </c>
      <c r="AH906">
        <v>0</v>
      </c>
      <c r="AI906">
        <v>74.75</v>
      </c>
      <c r="AL906" t="s">
        <v>5011</v>
      </c>
      <c r="AM906">
        <v>9336</v>
      </c>
      <c r="AN906" t="s">
        <v>24746</v>
      </c>
      <c r="AS906">
        <v>1</v>
      </c>
      <c r="AT906" t="s">
        <v>537</v>
      </c>
      <c r="AU906" t="s">
        <v>25226</v>
      </c>
      <c r="AV906" t="s">
        <v>11459</v>
      </c>
      <c r="AW906" t="s">
        <v>11447</v>
      </c>
    </row>
    <row r="907" spans="1:49">
      <c r="A907" s="1">
        <f>HYPERLINK("https://lsnyc.legalserver.org/matter/dynamic-profile/view/0793777","15-0793777")</f>
        <v>0</v>
      </c>
      <c r="B907" t="s">
        <v>105</v>
      </c>
      <c r="C907" t="s">
        <v>651</v>
      </c>
      <c r="D907" t="s">
        <v>521</v>
      </c>
      <c r="E907" t="s">
        <v>1674</v>
      </c>
      <c r="F907" t="s">
        <v>3696</v>
      </c>
      <c r="G907" t="s">
        <v>7120</v>
      </c>
      <c r="H907" t="s">
        <v>10502</v>
      </c>
      <c r="I907" t="s">
        <v>11386</v>
      </c>
      <c r="J907">
        <v>10034</v>
      </c>
      <c r="K907" t="s">
        <v>11448</v>
      </c>
      <c r="M907" t="s">
        <v>11601</v>
      </c>
      <c r="N907" t="s">
        <v>14778</v>
      </c>
      <c r="O907" t="s">
        <v>14786</v>
      </c>
      <c r="P907" t="s">
        <v>14797</v>
      </c>
      <c r="Q907" t="s">
        <v>11448</v>
      </c>
      <c r="S907" t="s">
        <v>14827</v>
      </c>
      <c r="V907">
        <v>692</v>
      </c>
      <c r="W907" t="s">
        <v>14860</v>
      </c>
      <c r="X907" t="s">
        <v>14867</v>
      </c>
      <c r="Y907" t="s">
        <v>14883</v>
      </c>
      <c r="Z907" t="s">
        <v>15766</v>
      </c>
      <c r="AB907" t="s">
        <v>20862</v>
      </c>
      <c r="AC907">
        <v>46</v>
      </c>
      <c r="AD907" t="s">
        <v>24595</v>
      </c>
      <c r="AF907">
        <v>9</v>
      </c>
      <c r="AG907">
        <v>1</v>
      </c>
      <c r="AH907">
        <v>0</v>
      </c>
      <c r="AI907">
        <v>81.56</v>
      </c>
      <c r="AL907" t="s">
        <v>24632</v>
      </c>
      <c r="AM907">
        <v>9600</v>
      </c>
      <c r="AS907">
        <v>0.75</v>
      </c>
      <c r="AT907" t="s">
        <v>651</v>
      </c>
      <c r="AU907" t="s">
        <v>98</v>
      </c>
      <c r="AW907" t="s">
        <v>11447</v>
      </c>
    </row>
    <row r="908" spans="1:49">
      <c r="A908" s="1">
        <f>HYPERLINK("https://lsnyc.legalserver.org/matter/dynamic-profile/view/1910843","19-1910843")</f>
        <v>0</v>
      </c>
      <c r="B908" t="s">
        <v>57</v>
      </c>
      <c r="C908" t="s">
        <v>644</v>
      </c>
      <c r="D908" t="s">
        <v>521</v>
      </c>
      <c r="E908" t="s">
        <v>1675</v>
      </c>
      <c r="F908" t="s">
        <v>3840</v>
      </c>
      <c r="G908" t="s">
        <v>7121</v>
      </c>
      <c r="H908">
        <v>2</v>
      </c>
      <c r="I908" t="s">
        <v>11383</v>
      </c>
      <c r="J908">
        <v>10453</v>
      </c>
      <c r="K908" t="s">
        <v>11446</v>
      </c>
      <c r="M908" t="s">
        <v>11601</v>
      </c>
      <c r="N908" t="s">
        <v>14778</v>
      </c>
      <c r="O908" t="s">
        <v>14786</v>
      </c>
      <c r="P908" t="s">
        <v>14797</v>
      </c>
      <c r="S908" t="s">
        <v>14827</v>
      </c>
      <c r="V908">
        <v>900</v>
      </c>
      <c r="W908" t="s">
        <v>14858</v>
      </c>
      <c r="X908" t="s">
        <v>14864</v>
      </c>
      <c r="Y908" t="s">
        <v>14883</v>
      </c>
      <c r="Z908" t="s">
        <v>15767</v>
      </c>
      <c r="AB908" t="s">
        <v>20863</v>
      </c>
      <c r="AC908">
        <v>0</v>
      </c>
      <c r="AD908" t="s">
        <v>24595</v>
      </c>
      <c r="AE908" t="s">
        <v>24610</v>
      </c>
      <c r="AF908">
        <v>24</v>
      </c>
      <c r="AG908">
        <v>2</v>
      </c>
      <c r="AH908">
        <v>0</v>
      </c>
      <c r="AI908">
        <v>107.63</v>
      </c>
      <c r="AL908" t="s">
        <v>24632</v>
      </c>
      <c r="AM908">
        <v>18200</v>
      </c>
      <c r="AS908">
        <v>1</v>
      </c>
      <c r="AT908" t="s">
        <v>467</v>
      </c>
      <c r="AU908" t="s">
        <v>57</v>
      </c>
      <c r="AV908" t="s">
        <v>25335</v>
      </c>
      <c r="AW908" t="s">
        <v>11447</v>
      </c>
    </row>
    <row r="909" spans="1:49">
      <c r="A909" s="1">
        <f>HYPERLINK("https://lsnyc.legalserver.org/matter/dynamic-profile/view/1906257","19-1906257")</f>
        <v>0</v>
      </c>
      <c r="B909" t="s">
        <v>57</v>
      </c>
      <c r="C909" t="s">
        <v>500</v>
      </c>
      <c r="D909" t="s">
        <v>521</v>
      </c>
      <c r="E909" t="s">
        <v>1276</v>
      </c>
      <c r="F909" t="s">
        <v>4174</v>
      </c>
      <c r="G909" t="s">
        <v>7122</v>
      </c>
      <c r="H909" t="s">
        <v>10742</v>
      </c>
      <c r="I909" t="s">
        <v>11383</v>
      </c>
      <c r="J909">
        <v>10472</v>
      </c>
      <c r="K909" t="s">
        <v>11446</v>
      </c>
      <c r="M909" t="s">
        <v>11601</v>
      </c>
      <c r="N909" t="s">
        <v>14778</v>
      </c>
      <c r="O909" t="s">
        <v>14786</v>
      </c>
      <c r="P909" t="s">
        <v>14797</v>
      </c>
      <c r="Q909" t="s">
        <v>11448</v>
      </c>
      <c r="S909" t="s">
        <v>14827</v>
      </c>
      <c r="V909">
        <v>1907</v>
      </c>
      <c r="W909" t="s">
        <v>14858</v>
      </c>
      <c r="X909" t="s">
        <v>14864</v>
      </c>
      <c r="Y909" t="s">
        <v>14883</v>
      </c>
      <c r="AB909" t="s">
        <v>20864</v>
      </c>
      <c r="AC909">
        <v>59</v>
      </c>
      <c r="AD909" t="s">
        <v>24595</v>
      </c>
      <c r="AE909" t="s">
        <v>11459</v>
      </c>
      <c r="AF909">
        <v>7</v>
      </c>
      <c r="AG909">
        <v>2</v>
      </c>
      <c r="AH909">
        <v>2</v>
      </c>
      <c r="AI909">
        <v>222.14</v>
      </c>
      <c r="AL909" t="s">
        <v>5011</v>
      </c>
      <c r="AM909">
        <v>57200</v>
      </c>
      <c r="AS909">
        <v>1.8</v>
      </c>
      <c r="AT909" t="s">
        <v>465</v>
      </c>
      <c r="AU909" t="s">
        <v>57</v>
      </c>
      <c r="AV909" t="s">
        <v>25335</v>
      </c>
      <c r="AW909" t="s">
        <v>11447</v>
      </c>
    </row>
    <row r="910" spans="1:49">
      <c r="A910" s="1">
        <f>HYPERLINK("https://lsnyc.legalserver.org/matter/dynamic-profile/view/1905740","19-1905740")</f>
        <v>0</v>
      </c>
      <c r="B910" t="s">
        <v>92</v>
      </c>
      <c r="C910" t="s">
        <v>496</v>
      </c>
      <c r="D910" t="s">
        <v>516</v>
      </c>
      <c r="E910" t="s">
        <v>1354</v>
      </c>
      <c r="F910" t="s">
        <v>3797</v>
      </c>
      <c r="G910" t="s">
        <v>7123</v>
      </c>
      <c r="H910" t="s">
        <v>10491</v>
      </c>
      <c r="I910" t="s">
        <v>11383</v>
      </c>
      <c r="J910">
        <v>10453</v>
      </c>
      <c r="K910" t="s">
        <v>11447</v>
      </c>
      <c r="L910" t="s">
        <v>11721</v>
      </c>
      <c r="M910" t="s">
        <v>14744</v>
      </c>
      <c r="N910" t="s">
        <v>14781</v>
      </c>
      <c r="O910" t="s">
        <v>14788</v>
      </c>
      <c r="P910" t="s">
        <v>14797</v>
      </c>
      <c r="Q910" t="s">
        <v>11448</v>
      </c>
      <c r="S910" t="s">
        <v>14827</v>
      </c>
      <c r="T910" t="s">
        <v>14833</v>
      </c>
      <c r="V910">
        <v>1250</v>
      </c>
      <c r="W910" t="s">
        <v>14858</v>
      </c>
      <c r="X910" t="s">
        <v>14864</v>
      </c>
      <c r="Y910" t="s">
        <v>14894</v>
      </c>
      <c r="Z910" t="s">
        <v>15768</v>
      </c>
      <c r="AA910" t="s">
        <v>19382</v>
      </c>
      <c r="AB910" t="s">
        <v>20865</v>
      </c>
      <c r="AC910">
        <v>50</v>
      </c>
      <c r="AD910" t="s">
        <v>24595</v>
      </c>
      <c r="AE910" t="s">
        <v>24616</v>
      </c>
      <c r="AF910">
        <v>2</v>
      </c>
      <c r="AG910">
        <v>1</v>
      </c>
      <c r="AH910">
        <v>0</v>
      </c>
      <c r="AI910">
        <v>33.82</v>
      </c>
      <c r="AL910" t="s">
        <v>5011</v>
      </c>
      <c r="AM910">
        <v>4224</v>
      </c>
      <c r="AS910">
        <v>24.35</v>
      </c>
      <c r="AT910" t="s">
        <v>483</v>
      </c>
      <c r="AU910" t="s">
        <v>25256</v>
      </c>
      <c r="AW910" t="s">
        <v>11447</v>
      </c>
    </row>
    <row r="911" spans="1:49">
      <c r="A911" s="1">
        <f>HYPERLINK("https://lsnyc.legalserver.org/matter/dynamic-profile/view/1862262","18-1862262")</f>
        <v>0</v>
      </c>
      <c r="B911" t="s">
        <v>64</v>
      </c>
      <c r="C911" t="s">
        <v>652</v>
      </c>
      <c r="D911" t="s">
        <v>516</v>
      </c>
      <c r="E911" t="s">
        <v>1492</v>
      </c>
      <c r="F911" t="s">
        <v>4175</v>
      </c>
      <c r="G911" t="s">
        <v>7124</v>
      </c>
      <c r="H911" t="s">
        <v>10542</v>
      </c>
      <c r="I911" t="s">
        <v>11386</v>
      </c>
      <c r="J911">
        <v>10030</v>
      </c>
      <c r="K911" t="s">
        <v>11448</v>
      </c>
      <c r="L911" t="s">
        <v>11722</v>
      </c>
      <c r="M911" t="s">
        <v>14744</v>
      </c>
      <c r="N911" t="s">
        <v>14778</v>
      </c>
      <c r="O911" t="s">
        <v>14786</v>
      </c>
      <c r="P911" t="s">
        <v>14797</v>
      </c>
      <c r="S911" t="s">
        <v>14827</v>
      </c>
      <c r="V911">
        <v>249</v>
      </c>
      <c r="W911" t="s">
        <v>14860</v>
      </c>
      <c r="Y911" t="s">
        <v>14883</v>
      </c>
      <c r="Z911" t="s">
        <v>15769</v>
      </c>
      <c r="AB911" t="s">
        <v>20866</v>
      </c>
      <c r="AC911">
        <v>0</v>
      </c>
      <c r="AE911" t="s">
        <v>24614</v>
      </c>
      <c r="AF911">
        <v>7</v>
      </c>
      <c r="AG911">
        <v>2</v>
      </c>
      <c r="AH911">
        <v>2</v>
      </c>
      <c r="AI911">
        <v>34.16</v>
      </c>
      <c r="AM911">
        <v>8574.6</v>
      </c>
      <c r="AS911">
        <v>0.2</v>
      </c>
      <c r="AT911" t="s">
        <v>750</v>
      </c>
      <c r="AU911" t="s">
        <v>25280</v>
      </c>
      <c r="AW911" t="s">
        <v>11447</v>
      </c>
    </row>
    <row r="912" spans="1:49">
      <c r="A912" s="1">
        <f>HYPERLINK("https://lsnyc.legalserver.org/matter/dynamic-profile/view/1860080","18-1860080")</f>
        <v>0</v>
      </c>
      <c r="B912" t="s">
        <v>208</v>
      </c>
      <c r="C912" t="s">
        <v>653</v>
      </c>
      <c r="D912" t="s">
        <v>516</v>
      </c>
      <c r="E912" t="s">
        <v>1676</v>
      </c>
      <c r="F912" t="s">
        <v>3765</v>
      </c>
      <c r="G912" t="s">
        <v>7125</v>
      </c>
      <c r="H912" t="s">
        <v>10476</v>
      </c>
      <c r="I912" t="s">
        <v>11386</v>
      </c>
      <c r="J912">
        <v>10034</v>
      </c>
      <c r="K912" t="s">
        <v>11447</v>
      </c>
      <c r="M912" t="s">
        <v>11601</v>
      </c>
      <c r="N912" t="s">
        <v>14782</v>
      </c>
      <c r="O912" t="s">
        <v>14786</v>
      </c>
      <c r="P912" t="s">
        <v>14797</v>
      </c>
      <c r="Q912" t="s">
        <v>11448</v>
      </c>
      <c r="S912" t="s">
        <v>14830</v>
      </c>
      <c r="V912">
        <v>560</v>
      </c>
      <c r="W912" t="s">
        <v>14860</v>
      </c>
      <c r="Y912" t="s">
        <v>14890</v>
      </c>
      <c r="Z912" t="s">
        <v>15566</v>
      </c>
      <c r="AB912" t="s">
        <v>20867</v>
      </c>
      <c r="AC912">
        <v>25</v>
      </c>
      <c r="AD912" t="s">
        <v>11479</v>
      </c>
      <c r="AE912" t="s">
        <v>11459</v>
      </c>
      <c r="AF912">
        <v>3</v>
      </c>
      <c r="AG912">
        <v>1</v>
      </c>
      <c r="AH912">
        <v>0</v>
      </c>
      <c r="AI912">
        <v>149.25</v>
      </c>
      <c r="AL912" t="s">
        <v>5011</v>
      </c>
      <c r="AM912">
        <v>18000</v>
      </c>
      <c r="AS912">
        <v>0.5</v>
      </c>
      <c r="AT912" t="s">
        <v>653</v>
      </c>
      <c r="AU912" t="s">
        <v>25236</v>
      </c>
      <c r="AW912" t="s">
        <v>11447</v>
      </c>
    </row>
    <row r="913" spans="1:49">
      <c r="A913" s="1">
        <f>HYPERLINK("https://lsnyc.legalserver.org/matter/dynamic-profile/view/1905475","19-1905475")</f>
        <v>0</v>
      </c>
      <c r="B913" t="s">
        <v>92</v>
      </c>
      <c r="C913" t="s">
        <v>520</v>
      </c>
      <c r="D913" t="s">
        <v>516</v>
      </c>
      <c r="E913" t="s">
        <v>1249</v>
      </c>
      <c r="F913" t="s">
        <v>4176</v>
      </c>
      <c r="G913" t="s">
        <v>7126</v>
      </c>
      <c r="H913" t="s">
        <v>10743</v>
      </c>
      <c r="I913" t="s">
        <v>11383</v>
      </c>
      <c r="J913">
        <v>10460</v>
      </c>
      <c r="K913" t="s">
        <v>11447</v>
      </c>
      <c r="M913" t="s">
        <v>14744</v>
      </c>
      <c r="N913" t="s">
        <v>14778</v>
      </c>
      <c r="O913" t="s">
        <v>14786</v>
      </c>
      <c r="P913" t="s">
        <v>14797</v>
      </c>
      <c r="S913" t="s">
        <v>14827</v>
      </c>
      <c r="V913">
        <v>1900</v>
      </c>
      <c r="W913" t="s">
        <v>14858</v>
      </c>
      <c r="X913" t="s">
        <v>14755</v>
      </c>
      <c r="Y913" t="s">
        <v>14883</v>
      </c>
      <c r="Z913" t="s">
        <v>15357</v>
      </c>
      <c r="AC913">
        <v>3</v>
      </c>
      <c r="AD913" t="s">
        <v>11479</v>
      </c>
      <c r="AE913" t="s">
        <v>11459</v>
      </c>
      <c r="AF913">
        <v>9</v>
      </c>
      <c r="AG913">
        <v>1</v>
      </c>
      <c r="AH913">
        <v>0</v>
      </c>
      <c r="AI913">
        <v>184.47</v>
      </c>
      <c r="AL913" t="s">
        <v>5011</v>
      </c>
      <c r="AM913">
        <v>23040</v>
      </c>
      <c r="AN913" t="s">
        <v>24747</v>
      </c>
      <c r="AS913">
        <v>1.3</v>
      </c>
      <c r="AT913" t="s">
        <v>366</v>
      </c>
      <c r="AU913" t="s">
        <v>25244</v>
      </c>
      <c r="AW913" t="s">
        <v>11447</v>
      </c>
    </row>
    <row r="914" spans="1:49">
      <c r="A914" s="1">
        <f>HYPERLINK("https://lsnyc.legalserver.org/matter/dynamic-profile/view/1894949","19-1894949")</f>
        <v>0</v>
      </c>
      <c r="B914" t="s">
        <v>200</v>
      </c>
      <c r="C914" t="s">
        <v>594</v>
      </c>
      <c r="D914" t="s">
        <v>655</v>
      </c>
      <c r="E914" t="s">
        <v>1677</v>
      </c>
      <c r="F914" t="s">
        <v>4157</v>
      </c>
      <c r="G914" t="s">
        <v>7127</v>
      </c>
      <c r="H914" t="s">
        <v>10744</v>
      </c>
      <c r="I914" t="s">
        <v>11385</v>
      </c>
      <c r="J914">
        <v>11207</v>
      </c>
      <c r="K914" t="s">
        <v>11446</v>
      </c>
      <c r="L914" t="s">
        <v>11723</v>
      </c>
      <c r="M914" t="s">
        <v>14743</v>
      </c>
      <c r="N914" t="s">
        <v>14781</v>
      </c>
      <c r="O914" t="s">
        <v>14788</v>
      </c>
      <c r="P914" t="s">
        <v>14797</v>
      </c>
      <c r="Q914" t="s">
        <v>11446</v>
      </c>
      <c r="S914" t="s">
        <v>14827</v>
      </c>
      <c r="T914" t="s">
        <v>14832</v>
      </c>
      <c r="U914" t="s">
        <v>545</v>
      </c>
      <c r="V914">
        <v>0</v>
      </c>
      <c r="W914" t="s">
        <v>14859</v>
      </c>
      <c r="Y914" t="s">
        <v>14888</v>
      </c>
      <c r="Z914" t="s">
        <v>15770</v>
      </c>
      <c r="AC914">
        <v>2</v>
      </c>
      <c r="AE914" t="s">
        <v>14755</v>
      </c>
      <c r="AF914">
        <v>1</v>
      </c>
      <c r="AG914">
        <v>2</v>
      </c>
      <c r="AH914">
        <v>0</v>
      </c>
      <c r="AI914">
        <v>236.55</v>
      </c>
      <c r="AM914">
        <v>40000</v>
      </c>
      <c r="AN914" t="s">
        <v>24748</v>
      </c>
      <c r="AS914">
        <v>0.5</v>
      </c>
      <c r="AT914" t="s">
        <v>655</v>
      </c>
      <c r="AU914" t="s">
        <v>66</v>
      </c>
      <c r="AV914" t="s">
        <v>25335</v>
      </c>
      <c r="AW914" t="s">
        <v>11446</v>
      </c>
    </row>
    <row r="915" spans="1:49">
      <c r="A915" s="1">
        <f>HYPERLINK("https://lsnyc.legalserver.org/matter/dynamic-profile/view/1901745","19-1901745")</f>
        <v>0</v>
      </c>
      <c r="B915" t="s">
        <v>103</v>
      </c>
      <c r="C915" t="s">
        <v>487</v>
      </c>
      <c r="D915" t="s">
        <v>509</v>
      </c>
      <c r="E915" t="s">
        <v>1678</v>
      </c>
      <c r="F915" t="s">
        <v>4177</v>
      </c>
      <c r="G915" t="s">
        <v>7128</v>
      </c>
      <c r="H915" t="s">
        <v>10569</v>
      </c>
      <c r="I915" t="s">
        <v>11385</v>
      </c>
      <c r="J915">
        <v>11233</v>
      </c>
      <c r="K915" t="s">
        <v>11446</v>
      </c>
      <c r="L915" t="s">
        <v>11724</v>
      </c>
      <c r="M915" t="s">
        <v>14744</v>
      </c>
      <c r="N915" t="s">
        <v>14781</v>
      </c>
      <c r="O915" t="s">
        <v>14789</v>
      </c>
      <c r="P915" t="s">
        <v>14797</v>
      </c>
      <c r="Q915" t="s">
        <v>11448</v>
      </c>
      <c r="S915" t="s">
        <v>14827</v>
      </c>
      <c r="T915" t="s">
        <v>14832</v>
      </c>
      <c r="U915" t="s">
        <v>485</v>
      </c>
      <c r="V915">
        <v>1032</v>
      </c>
      <c r="W915" t="s">
        <v>14859</v>
      </c>
      <c r="Y915" t="s">
        <v>14887</v>
      </c>
      <c r="Z915" t="s">
        <v>15771</v>
      </c>
      <c r="AA915" t="s">
        <v>11465</v>
      </c>
      <c r="AB915" t="s">
        <v>20868</v>
      </c>
      <c r="AC915">
        <v>6</v>
      </c>
      <c r="AD915" t="s">
        <v>24595</v>
      </c>
      <c r="AE915" t="s">
        <v>11459</v>
      </c>
      <c r="AF915">
        <v>3</v>
      </c>
      <c r="AG915">
        <v>1</v>
      </c>
      <c r="AH915">
        <v>0</v>
      </c>
      <c r="AI915">
        <v>134.51</v>
      </c>
      <c r="AL915" t="s">
        <v>5011</v>
      </c>
      <c r="AM915">
        <v>16800</v>
      </c>
      <c r="AS915">
        <v>25.75</v>
      </c>
      <c r="AT915" t="s">
        <v>509</v>
      </c>
      <c r="AU915" t="s">
        <v>25227</v>
      </c>
      <c r="AV915" t="s">
        <v>25335</v>
      </c>
      <c r="AW915" t="s">
        <v>11447</v>
      </c>
    </row>
    <row r="916" spans="1:49">
      <c r="A916" s="1">
        <f>HYPERLINK("https://lsnyc.legalserver.org/matter/dynamic-profile/view/1900699","19-1900699")</f>
        <v>0</v>
      </c>
      <c r="B916" t="s">
        <v>209</v>
      </c>
      <c r="C916" t="s">
        <v>612</v>
      </c>
      <c r="D916" t="s">
        <v>509</v>
      </c>
      <c r="E916" t="s">
        <v>1679</v>
      </c>
      <c r="F916" t="s">
        <v>4178</v>
      </c>
      <c r="G916" t="s">
        <v>7129</v>
      </c>
      <c r="I916" t="s">
        <v>11407</v>
      </c>
      <c r="J916">
        <v>11415</v>
      </c>
      <c r="K916" t="s">
        <v>11446</v>
      </c>
      <c r="M916" t="s">
        <v>11601</v>
      </c>
      <c r="N916" t="s">
        <v>14780</v>
      </c>
      <c r="O916" t="s">
        <v>14787</v>
      </c>
      <c r="P916" t="s">
        <v>14797</v>
      </c>
      <c r="Q916" t="s">
        <v>11448</v>
      </c>
      <c r="S916" t="s">
        <v>14827</v>
      </c>
      <c r="T916" t="s">
        <v>14832</v>
      </c>
      <c r="U916" t="s">
        <v>377</v>
      </c>
      <c r="V916">
        <v>1800</v>
      </c>
      <c r="W916" t="s">
        <v>14861</v>
      </c>
      <c r="X916" t="s">
        <v>14868</v>
      </c>
      <c r="Y916" t="s">
        <v>14884</v>
      </c>
      <c r="Z916" t="s">
        <v>15772</v>
      </c>
      <c r="AA916" t="s">
        <v>19383</v>
      </c>
      <c r="AB916" t="s">
        <v>20869</v>
      </c>
      <c r="AC916">
        <v>50</v>
      </c>
      <c r="AD916" t="s">
        <v>24595</v>
      </c>
      <c r="AE916" t="s">
        <v>24615</v>
      </c>
      <c r="AF916">
        <v>4</v>
      </c>
      <c r="AG916">
        <v>2</v>
      </c>
      <c r="AH916">
        <v>3</v>
      </c>
      <c r="AI916">
        <v>39.77</v>
      </c>
      <c r="AL916" t="s">
        <v>24649</v>
      </c>
      <c r="AM916">
        <v>12000</v>
      </c>
      <c r="AS916">
        <v>2.8</v>
      </c>
      <c r="AT916" t="s">
        <v>516</v>
      </c>
      <c r="AU916" t="s">
        <v>209</v>
      </c>
      <c r="AV916" t="s">
        <v>25335</v>
      </c>
      <c r="AW916" t="s">
        <v>11447</v>
      </c>
    </row>
    <row r="917" spans="1:49">
      <c r="A917" s="1">
        <f>HYPERLINK("https://lsnyc.legalserver.org/matter/dynamic-profile/view/1908622","19-1908622")</f>
        <v>0</v>
      </c>
      <c r="B917" t="s">
        <v>103</v>
      </c>
      <c r="C917" t="s">
        <v>497</v>
      </c>
      <c r="D917" t="s">
        <v>509</v>
      </c>
      <c r="E917" t="s">
        <v>1150</v>
      </c>
      <c r="F917" t="s">
        <v>3975</v>
      </c>
      <c r="G917" t="s">
        <v>7130</v>
      </c>
      <c r="H917" t="s">
        <v>10451</v>
      </c>
      <c r="I917" t="s">
        <v>11385</v>
      </c>
      <c r="J917">
        <v>11208</v>
      </c>
      <c r="K917" t="s">
        <v>11446</v>
      </c>
      <c r="L917" t="s">
        <v>11725</v>
      </c>
      <c r="M917" t="s">
        <v>14743</v>
      </c>
      <c r="N917" t="s">
        <v>14778</v>
      </c>
      <c r="O917" t="s">
        <v>14786</v>
      </c>
      <c r="P917" t="s">
        <v>14797</v>
      </c>
      <c r="Q917" t="s">
        <v>11448</v>
      </c>
      <c r="S917" t="s">
        <v>14827</v>
      </c>
      <c r="T917" t="s">
        <v>14832</v>
      </c>
      <c r="U917" t="s">
        <v>375</v>
      </c>
      <c r="V917">
        <v>0</v>
      </c>
      <c r="W917" t="s">
        <v>14859</v>
      </c>
      <c r="X917" t="s">
        <v>14755</v>
      </c>
      <c r="Y917" t="s">
        <v>14887</v>
      </c>
      <c r="Z917" t="s">
        <v>15773</v>
      </c>
      <c r="AA917" t="s">
        <v>11459</v>
      </c>
      <c r="AB917" t="s">
        <v>20870</v>
      </c>
      <c r="AC917">
        <v>24</v>
      </c>
      <c r="AE917" t="s">
        <v>11459</v>
      </c>
      <c r="AF917">
        <v>0</v>
      </c>
      <c r="AG917">
        <v>2</v>
      </c>
      <c r="AH917">
        <v>0</v>
      </c>
      <c r="AI917">
        <v>201.06</v>
      </c>
      <c r="AL917" t="s">
        <v>5011</v>
      </c>
      <c r="AM917">
        <v>34000</v>
      </c>
      <c r="AS917">
        <v>3.95</v>
      </c>
      <c r="AT917" t="s">
        <v>540</v>
      </c>
      <c r="AU917" t="s">
        <v>66</v>
      </c>
      <c r="AV917" t="s">
        <v>25335</v>
      </c>
      <c r="AW917" t="s">
        <v>11447</v>
      </c>
    </row>
    <row r="918" spans="1:49">
      <c r="A918" s="1">
        <f>HYPERLINK("https://lsnyc.legalserver.org/matter/dynamic-profile/view/1909287","19-1909287")</f>
        <v>0</v>
      </c>
      <c r="B918" t="s">
        <v>171</v>
      </c>
      <c r="C918" t="s">
        <v>589</v>
      </c>
      <c r="D918" t="s">
        <v>509</v>
      </c>
      <c r="E918" t="s">
        <v>1057</v>
      </c>
      <c r="F918" t="s">
        <v>3765</v>
      </c>
      <c r="G918" t="s">
        <v>7131</v>
      </c>
      <c r="H918" t="s">
        <v>10745</v>
      </c>
      <c r="I918" t="s">
        <v>11390</v>
      </c>
      <c r="J918">
        <v>11368</v>
      </c>
      <c r="K918" t="s">
        <v>11446</v>
      </c>
      <c r="L918" t="s">
        <v>11726</v>
      </c>
      <c r="M918" t="s">
        <v>14744</v>
      </c>
      <c r="N918" t="s">
        <v>14778</v>
      </c>
      <c r="O918" t="s">
        <v>14786</v>
      </c>
      <c r="P918" t="s">
        <v>14797</v>
      </c>
      <c r="Q918" t="s">
        <v>11448</v>
      </c>
      <c r="S918" t="s">
        <v>14827</v>
      </c>
      <c r="U918" t="s">
        <v>589</v>
      </c>
      <c r="V918">
        <v>1079</v>
      </c>
      <c r="W918" t="s">
        <v>14861</v>
      </c>
      <c r="X918" t="s">
        <v>14865</v>
      </c>
      <c r="Y918" t="s">
        <v>14883</v>
      </c>
      <c r="Z918" t="s">
        <v>15774</v>
      </c>
      <c r="AA918" t="s">
        <v>19384</v>
      </c>
      <c r="AB918" t="s">
        <v>20871</v>
      </c>
      <c r="AC918">
        <v>237</v>
      </c>
      <c r="AD918" t="s">
        <v>24595</v>
      </c>
      <c r="AE918" t="s">
        <v>14755</v>
      </c>
      <c r="AF918">
        <v>2</v>
      </c>
      <c r="AG918">
        <v>1</v>
      </c>
      <c r="AH918">
        <v>0</v>
      </c>
      <c r="AI918">
        <v>0</v>
      </c>
      <c r="AL918" t="s">
        <v>5011</v>
      </c>
      <c r="AM918">
        <v>0</v>
      </c>
      <c r="AS918">
        <v>1.7</v>
      </c>
      <c r="AT918" t="s">
        <v>495</v>
      </c>
      <c r="AU918" t="s">
        <v>292</v>
      </c>
      <c r="AV918" t="s">
        <v>25335</v>
      </c>
      <c r="AW918" t="s">
        <v>11447</v>
      </c>
    </row>
    <row r="919" spans="1:49">
      <c r="A919" s="1">
        <f>HYPERLINK("https://lsnyc.legalserver.org/matter/dynamic-profile/view/1911784","19-1911784")</f>
        <v>0</v>
      </c>
      <c r="B919" t="s">
        <v>103</v>
      </c>
      <c r="C919" t="s">
        <v>645</v>
      </c>
      <c r="D919" t="s">
        <v>509</v>
      </c>
      <c r="E919" t="s">
        <v>1680</v>
      </c>
      <c r="F919" t="s">
        <v>4179</v>
      </c>
      <c r="G919" t="s">
        <v>7132</v>
      </c>
      <c r="H919" t="s">
        <v>10541</v>
      </c>
      <c r="I919" t="s">
        <v>11385</v>
      </c>
      <c r="J919">
        <v>11212</v>
      </c>
      <c r="K919" t="s">
        <v>11446</v>
      </c>
      <c r="L919" t="s">
        <v>11727</v>
      </c>
      <c r="M919" t="s">
        <v>14743</v>
      </c>
      <c r="N919" t="s">
        <v>14778</v>
      </c>
      <c r="O919" t="s">
        <v>14786</v>
      </c>
      <c r="P919" t="s">
        <v>14797</v>
      </c>
      <c r="Q919" t="s">
        <v>11448</v>
      </c>
      <c r="S919" t="s">
        <v>14827</v>
      </c>
      <c r="U919" t="s">
        <v>645</v>
      </c>
      <c r="V919">
        <v>70</v>
      </c>
      <c r="W919" t="s">
        <v>14859</v>
      </c>
      <c r="X919" t="s">
        <v>14755</v>
      </c>
      <c r="Y919" t="s">
        <v>14883</v>
      </c>
      <c r="Z919" t="s">
        <v>15775</v>
      </c>
      <c r="AB919" t="s">
        <v>20872</v>
      </c>
      <c r="AC919">
        <v>19</v>
      </c>
      <c r="AD919" t="s">
        <v>24595</v>
      </c>
      <c r="AE919" t="s">
        <v>11459</v>
      </c>
      <c r="AF919">
        <v>7</v>
      </c>
      <c r="AG919">
        <v>1</v>
      </c>
      <c r="AH919">
        <v>1</v>
      </c>
      <c r="AI919">
        <v>0</v>
      </c>
      <c r="AL919" t="s">
        <v>5011</v>
      </c>
      <c r="AM919">
        <v>0</v>
      </c>
      <c r="AS919">
        <v>2.7</v>
      </c>
      <c r="AT919" t="s">
        <v>592</v>
      </c>
      <c r="AU919" t="s">
        <v>120</v>
      </c>
      <c r="AV919" t="s">
        <v>25335</v>
      </c>
      <c r="AW919" t="s">
        <v>11447</v>
      </c>
    </row>
    <row r="920" spans="1:49">
      <c r="A920" s="1">
        <f>HYPERLINK("https://lsnyc.legalserver.org/matter/dynamic-profile/view/1914991","19-1914991")</f>
        <v>0</v>
      </c>
      <c r="B920" t="s">
        <v>100</v>
      </c>
      <c r="C920" t="s">
        <v>470</v>
      </c>
      <c r="D920" t="s">
        <v>509</v>
      </c>
      <c r="E920" t="s">
        <v>1681</v>
      </c>
      <c r="F920" t="s">
        <v>1035</v>
      </c>
      <c r="G920" t="s">
        <v>7133</v>
      </c>
      <c r="I920" t="s">
        <v>11383</v>
      </c>
      <c r="J920">
        <v>10451</v>
      </c>
      <c r="K920" t="s">
        <v>11446</v>
      </c>
      <c r="M920" t="s">
        <v>14766</v>
      </c>
      <c r="N920" t="s">
        <v>14779</v>
      </c>
      <c r="O920" t="s">
        <v>14787</v>
      </c>
      <c r="P920" t="s">
        <v>14797</v>
      </c>
      <c r="Q920" t="s">
        <v>11448</v>
      </c>
      <c r="S920" t="s">
        <v>14827</v>
      </c>
      <c r="V920">
        <v>508</v>
      </c>
      <c r="W920" t="s">
        <v>14858</v>
      </c>
      <c r="X920" t="s">
        <v>14864</v>
      </c>
      <c r="Y920" t="s">
        <v>14884</v>
      </c>
      <c r="Z920" t="s">
        <v>15776</v>
      </c>
      <c r="AC920">
        <v>929</v>
      </c>
      <c r="AD920" t="s">
        <v>11479</v>
      </c>
      <c r="AE920" t="s">
        <v>11459</v>
      </c>
      <c r="AF920">
        <v>6</v>
      </c>
      <c r="AG920">
        <v>1</v>
      </c>
      <c r="AH920">
        <v>1</v>
      </c>
      <c r="AI920">
        <v>28.39</v>
      </c>
      <c r="AL920" t="s">
        <v>5011</v>
      </c>
      <c r="AM920">
        <v>4800</v>
      </c>
      <c r="AS920">
        <v>1</v>
      </c>
      <c r="AT920" t="s">
        <v>509</v>
      </c>
      <c r="AU920" t="s">
        <v>237</v>
      </c>
      <c r="AV920" t="s">
        <v>25335</v>
      </c>
      <c r="AW920" t="s">
        <v>11447</v>
      </c>
    </row>
    <row r="921" spans="1:49">
      <c r="A921" s="1">
        <f>HYPERLINK("https://lsnyc.legalserver.org/matter/dynamic-profile/view/1911923","19-1911923")</f>
        <v>0</v>
      </c>
      <c r="B921" t="s">
        <v>100</v>
      </c>
      <c r="C921" t="s">
        <v>586</v>
      </c>
      <c r="D921" t="s">
        <v>509</v>
      </c>
      <c r="E921" t="s">
        <v>1682</v>
      </c>
      <c r="F921" t="s">
        <v>3814</v>
      </c>
      <c r="G921" t="s">
        <v>6452</v>
      </c>
      <c r="H921" t="s">
        <v>10746</v>
      </c>
      <c r="I921" t="s">
        <v>11383</v>
      </c>
      <c r="J921">
        <v>10453</v>
      </c>
      <c r="K921" t="s">
        <v>11446</v>
      </c>
      <c r="M921" t="s">
        <v>14767</v>
      </c>
      <c r="N921" t="s">
        <v>14779</v>
      </c>
      <c r="O921" t="s">
        <v>14787</v>
      </c>
      <c r="P921" t="s">
        <v>14797</v>
      </c>
      <c r="S921" t="s">
        <v>14827</v>
      </c>
      <c r="V921">
        <v>1347</v>
      </c>
      <c r="W921" t="s">
        <v>14858</v>
      </c>
      <c r="X921" t="s">
        <v>14876</v>
      </c>
      <c r="Y921" t="s">
        <v>14884</v>
      </c>
      <c r="Z921" t="s">
        <v>15777</v>
      </c>
      <c r="AB921" t="s">
        <v>20873</v>
      </c>
      <c r="AC921">
        <v>38</v>
      </c>
      <c r="AE921" t="s">
        <v>24610</v>
      </c>
      <c r="AF921">
        <v>35</v>
      </c>
      <c r="AG921">
        <v>1</v>
      </c>
      <c r="AH921">
        <v>0</v>
      </c>
      <c r="AI921">
        <v>58.49</v>
      </c>
      <c r="AL921" t="s">
        <v>5011</v>
      </c>
      <c r="AM921">
        <v>7306</v>
      </c>
      <c r="AS921">
        <v>2</v>
      </c>
      <c r="AT921" t="s">
        <v>509</v>
      </c>
      <c r="AU921" t="s">
        <v>25226</v>
      </c>
      <c r="AV921" t="s">
        <v>25335</v>
      </c>
      <c r="AW921" t="s">
        <v>11447</v>
      </c>
    </row>
    <row r="922" spans="1:49">
      <c r="A922" s="1">
        <f>HYPERLINK("https://lsnyc.legalserver.org/matter/dynamic-profile/view/1912653","19-1912653")</f>
        <v>0</v>
      </c>
      <c r="B922" t="s">
        <v>57</v>
      </c>
      <c r="C922" t="s">
        <v>559</v>
      </c>
      <c r="D922" t="s">
        <v>509</v>
      </c>
      <c r="E922" t="s">
        <v>1683</v>
      </c>
      <c r="F922" t="s">
        <v>4180</v>
      </c>
      <c r="G922" t="s">
        <v>7134</v>
      </c>
      <c r="H922" t="s">
        <v>10747</v>
      </c>
      <c r="I922" t="s">
        <v>11383</v>
      </c>
      <c r="J922">
        <v>10452</v>
      </c>
      <c r="K922" t="s">
        <v>11446</v>
      </c>
      <c r="M922" t="s">
        <v>11601</v>
      </c>
      <c r="N922" t="s">
        <v>14779</v>
      </c>
      <c r="O922" t="s">
        <v>14787</v>
      </c>
      <c r="P922" t="s">
        <v>14797</v>
      </c>
      <c r="Q922" t="s">
        <v>11448</v>
      </c>
      <c r="S922" t="s">
        <v>14827</v>
      </c>
      <c r="V922">
        <v>231.3</v>
      </c>
      <c r="W922" t="s">
        <v>14858</v>
      </c>
      <c r="X922" t="s">
        <v>14755</v>
      </c>
      <c r="Y922" t="s">
        <v>14883</v>
      </c>
      <c r="Z922" t="s">
        <v>15778</v>
      </c>
      <c r="AB922" t="s">
        <v>20874</v>
      </c>
      <c r="AC922">
        <v>149</v>
      </c>
      <c r="AD922" t="s">
        <v>24595</v>
      </c>
      <c r="AE922" t="s">
        <v>14755</v>
      </c>
      <c r="AF922">
        <v>24</v>
      </c>
      <c r="AG922">
        <v>1</v>
      </c>
      <c r="AH922">
        <v>0</v>
      </c>
      <c r="AI922">
        <v>76.73999999999999</v>
      </c>
      <c r="AL922" t="s">
        <v>5011</v>
      </c>
      <c r="AM922">
        <v>9584.52</v>
      </c>
      <c r="AS922">
        <v>3.25</v>
      </c>
      <c r="AT922" t="s">
        <v>509</v>
      </c>
      <c r="AU922" t="s">
        <v>57</v>
      </c>
      <c r="AV922" t="s">
        <v>25335</v>
      </c>
      <c r="AW922" t="s">
        <v>11447</v>
      </c>
    </row>
    <row r="923" spans="1:49">
      <c r="A923" s="1">
        <f>HYPERLINK("https://lsnyc.legalserver.org/matter/dynamic-profile/view/1914885","19-1914885")</f>
        <v>0</v>
      </c>
      <c r="B923" t="s">
        <v>100</v>
      </c>
      <c r="C923" t="s">
        <v>470</v>
      </c>
      <c r="D923" t="s">
        <v>509</v>
      </c>
      <c r="E923" t="s">
        <v>1320</v>
      </c>
      <c r="F923" t="s">
        <v>4181</v>
      </c>
      <c r="G923" t="s">
        <v>6622</v>
      </c>
      <c r="H923" t="s">
        <v>10541</v>
      </c>
      <c r="I923" t="s">
        <v>11383</v>
      </c>
      <c r="J923">
        <v>10452</v>
      </c>
      <c r="K923" t="s">
        <v>11446</v>
      </c>
      <c r="M923" t="s">
        <v>14746</v>
      </c>
      <c r="N923" t="s">
        <v>14778</v>
      </c>
      <c r="O923" t="s">
        <v>14786</v>
      </c>
      <c r="P923" t="s">
        <v>14797</v>
      </c>
      <c r="S923" t="s">
        <v>14827</v>
      </c>
      <c r="V923">
        <v>896</v>
      </c>
      <c r="W923" t="s">
        <v>14858</v>
      </c>
      <c r="X923" t="s">
        <v>14864</v>
      </c>
      <c r="Y923" t="s">
        <v>14883</v>
      </c>
      <c r="Z923" t="s">
        <v>15246</v>
      </c>
      <c r="AC923">
        <v>89</v>
      </c>
      <c r="AD923" t="s">
        <v>11479</v>
      </c>
      <c r="AE923" t="s">
        <v>24610</v>
      </c>
      <c r="AF923">
        <v>24</v>
      </c>
      <c r="AG923">
        <v>2</v>
      </c>
      <c r="AH923">
        <v>0</v>
      </c>
      <c r="AI923">
        <v>76.88</v>
      </c>
      <c r="AL923" t="s">
        <v>24632</v>
      </c>
      <c r="AM923">
        <v>13000</v>
      </c>
      <c r="AS923">
        <v>1</v>
      </c>
      <c r="AT923" t="s">
        <v>509</v>
      </c>
      <c r="AU923" t="s">
        <v>237</v>
      </c>
      <c r="AV923" t="s">
        <v>25335</v>
      </c>
      <c r="AW923" t="s">
        <v>11447</v>
      </c>
    </row>
    <row r="924" spans="1:49">
      <c r="A924" s="1">
        <f>HYPERLINK("https://lsnyc.legalserver.org/matter/dynamic-profile/view/1913772","19-1913772")</f>
        <v>0</v>
      </c>
      <c r="B924" t="s">
        <v>197</v>
      </c>
      <c r="C924" t="s">
        <v>476</v>
      </c>
      <c r="D924" t="s">
        <v>509</v>
      </c>
      <c r="E924" t="s">
        <v>1620</v>
      </c>
      <c r="F924" t="s">
        <v>3870</v>
      </c>
      <c r="G924" t="s">
        <v>7135</v>
      </c>
      <c r="H924" t="s">
        <v>10552</v>
      </c>
      <c r="I924" t="s">
        <v>11383</v>
      </c>
      <c r="J924">
        <v>10453</v>
      </c>
      <c r="K924" t="s">
        <v>11447</v>
      </c>
      <c r="N924" t="s">
        <v>14778</v>
      </c>
      <c r="O924" t="s">
        <v>14786</v>
      </c>
      <c r="P924" t="s">
        <v>14797</v>
      </c>
      <c r="S924" t="s">
        <v>14827</v>
      </c>
      <c r="V924">
        <v>0</v>
      </c>
      <c r="W924" t="s">
        <v>14858</v>
      </c>
      <c r="Y924" t="s">
        <v>14883</v>
      </c>
      <c r="Z924" t="s">
        <v>15779</v>
      </c>
      <c r="AB924" t="s">
        <v>20875</v>
      </c>
      <c r="AC924">
        <v>0</v>
      </c>
      <c r="AF924">
        <v>0</v>
      </c>
      <c r="AG924">
        <v>3</v>
      </c>
      <c r="AH924">
        <v>3</v>
      </c>
      <c r="AI924">
        <v>93.95999999999999</v>
      </c>
      <c r="AL924" t="s">
        <v>24632</v>
      </c>
      <c r="AM924">
        <v>32500</v>
      </c>
      <c r="AS924">
        <v>1.35</v>
      </c>
      <c r="AT924" t="s">
        <v>509</v>
      </c>
      <c r="AU924" t="s">
        <v>197</v>
      </c>
      <c r="AW924" t="s">
        <v>11447</v>
      </c>
    </row>
    <row r="925" spans="1:49">
      <c r="A925" s="1">
        <f>HYPERLINK("https://lsnyc.legalserver.org/matter/dynamic-profile/view/1913773","19-1913773")</f>
        <v>0</v>
      </c>
      <c r="B925" t="s">
        <v>197</v>
      </c>
      <c r="C925" t="s">
        <v>476</v>
      </c>
      <c r="D925" t="s">
        <v>509</v>
      </c>
      <c r="E925" t="s">
        <v>1684</v>
      </c>
      <c r="F925" t="s">
        <v>4182</v>
      </c>
      <c r="G925" t="s">
        <v>7136</v>
      </c>
      <c r="I925" t="s">
        <v>11383</v>
      </c>
      <c r="J925">
        <v>10453</v>
      </c>
      <c r="K925" t="s">
        <v>11447</v>
      </c>
      <c r="L925" t="s">
        <v>11728</v>
      </c>
      <c r="N925" t="s">
        <v>14778</v>
      </c>
      <c r="O925" t="s">
        <v>14786</v>
      </c>
      <c r="P925" t="s">
        <v>14797</v>
      </c>
      <c r="S925" t="s">
        <v>14827</v>
      </c>
      <c r="V925">
        <v>0</v>
      </c>
      <c r="W925" t="s">
        <v>14858</v>
      </c>
      <c r="Y925" t="s">
        <v>14883</v>
      </c>
      <c r="Z925" t="s">
        <v>15780</v>
      </c>
      <c r="AB925" t="s">
        <v>20876</v>
      </c>
      <c r="AC925">
        <v>0</v>
      </c>
      <c r="AE925" t="s">
        <v>24610</v>
      </c>
      <c r="AF925">
        <v>0</v>
      </c>
      <c r="AG925">
        <v>1</v>
      </c>
      <c r="AH925">
        <v>0</v>
      </c>
      <c r="AI925">
        <v>109.24</v>
      </c>
      <c r="AL925" t="s">
        <v>5011</v>
      </c>
      <c r="AM925">
        <v>13644</v>
      </c>
      <c r="AS925">
        <v>1.65</v>
      </c>
      <c r="AT925" t="s">
        <v>509</v>
      </c>
      <c r="AU925" t="s">
        <v>197</v>
      </c>
      <c r="AW925" t="s">
        <v>11447</v>
      </c>
    </row>
    <row r="926" spans="1:49">
      <c r="A926" s="1">
        <f>HYPERLINK("https://lsnyc.legalserver.org/matter/dynamic-profile/view/1915004","19-1915004")</f>
        <v>0</v>
      </c>
      <c r="B926" t="s">
        <v>100</v>
      </c>
      <c r="C926" t="s">
        <v>470</v>
      </c>
      <c r="D926" t="s">
        <v>509</v>
      </c>
      <c r="E926" t="s">
        <v>1685</v>
      </c>
      <c r="F926" t="s">
        <v>3710</v>
      </c>
      <c r="G926" t="s">
        <v>7137</v>
      </c>
      <c r="H926" t="s">
        <v>10541</v>
      </c>
      <c r="I926" t="s">
        <v>11383</v>
      </c>
      <c r="J926">
        <v>10456</v>
      </c>
      <c r="K926" t="s">
        <v>11446</v>
      </c>
      <c r="M926" t="s">
        <v>14762</v>
      </c>
      <c r="N926" t="s">
        <v>14779</v>
      </c>
      <c r="O926" t="s">
        <v>14787</v>
      </c>
      <c r="P926" t="s">
        <v>14797</v>
      </c>
      <c r="Q926" t="s">
        <v>11448</v>
      </c>
      <c r="S926" t="s">
        <v>14827</v>
      </c>
      <c r="V926">
        <v>939.4400000000001</v>
      </c>
      <c r="W926" t="s">
        <v>14858</v>
      </c>
      <c r="X926" t="s">
        <v>14864</v>
      </c>
      <c r="Y926" t="s">
        <v>14884</v>
      </c>
      <c r="AC926">
        <v>55</v>
      </c>
      <c r="AD926" t="s">
        <v>24595</v>
      </c>
      <c r="AE926" t="s">
        <v>11459</v>
      </c>
      <c r="AF926">
        <v>24</v>
      </c>
      <c r="AG926">
        <v>1</v>
      </c>
      <c r="AH926">
        <v>0</v>
      </c>
      <c r="AI926">
        <v>152.12</v>
      </c>
      <c r="AL926" t="s">
        <v>5011</v>
      </c>
      <c r="AM926">
        <v>19000</v>
      </c>
      <c r="AS926">
        <v>2.75</v>
      </c>
      <c r="AT926" t="s">
        <v>509</v>
      </c>
      <c r="AU926" t="s">
        <v>237</v>
      </c>
      <c r="AV926" t="s">
        <v>25335</v>
      </c>
      <c r="AW926" t="s">
        <v>11447</v>
      </c>
    </row>
    <row r="927" spans="1:49">
      <c r="A927" s="1">
        <f>HYPERLINK("https://lsnyc.legalserver.org/matter/dynamic-profile/view/1912794","19-1912794")</f>
        <v>0</v>
      </c>
      <c r="B927" t="s">
        <v>100</v>
      </c>
      <c r="C927" t="s">
        <v>470</v>
      </c>
      <c r="D927" t="s">
        <v>509</v>
      </c>
      <c r="E927" t="s">
        <v>1686</v>
      </c>
      <c r="F927" t="s">
        <v>3682</v>
      </c>
      <c r="G927" t="s">
        <v>6868</v>
      </c>
      <c r="H927" t="s">
        <v>10482</v>
      </c>
      <c r="I927" t="s">
        <v>11383</v>
      </c>
      <c r="J927">
        <v>10456</v>
      </c>
      <c r="K927" t="s">
        <v>11446</v>
      </c>
      <c r="M927" t="s">
        <v>14743</v>
      </c>
      <c r="N927" t="s">
        <v>14778</v>
      </c>
      <c r="O927" t="s">
        <v>14786</v>
      </c>
      <c r="P927" t="s">
        <v>14797</v>
      </c>
      <c r="Q927" t="s">
        <v>11448</v>
      </c>
      <c r="S927" t="s">
        <v>14827</v>
      </c>
      <c r="V927">
        <v>1132</v>
      </c>
      <c r="W927" t="s">
        <v>14858</v>
      </c>
      <c r="X927" t="s">
        <v>14867</v>
      </c>
      <c r="Y927" t="s">
        <v>14883</v>
      </c>
      <c r="Z927" t="s">
        <v>14923</v>
      </c>
      <c r="AB927" t="s">
        <v>20877</v>
      </c>
      <c r="AC927">
        <v>140</v>
      </c>
      <c r="AD927" t="s">
        <v>24595</v>
      </c>
      <c r="AE927" t="s">
        <v>11459</v>
      </c>
      <c r="AF927">
        <v>0</v>
      </c>
      <c r="AG927">
        <v>1</v>
      </c>
      <c r="AH927">
        <v>0</v>
      </c>
      <c r="AI927">
        <v>160.13</v>
      </c>
      <c r="AL927" t="s">
        <v>24632</v>
      </c>
      <c r="AM927">
        <v>20000</v>
      </c>
      <c r="AS927">
        <v>0.5</v>
      </c>
      <c r="AT927" t="s">
        <v>509</v>
      </c>
      <c r="AU927" t="s">
        <v>100</v>
      </c>
      <c r="AV927" t="s">
        <v>25335</v>
      </c>
      <c r="AW927" t="s">
        <v>11447</v>
      </c>
    </row>
    <row r="928" spans="1:49">
      <c r="A928" s="1">
        <f>HYPERLINK("https://lsnyc.legalserver.org/matter/dynamic-profile/view/1911358","19-1911358")</f>
        <v>0</v>
      </c>
      <c r="B928" t="s">
        <v>190</v>
      </c>
      <c r="C928" t="s">
        <v>467</v>
      </c>
      <c r="D928" t="s">
        <v>495</v>
      </c>
      <c r="E928" t="s">
        <v>1687</v>
      </c>
      <c r="F928" t="s">
        <v>4183</v>
      </c>
      <c r="G928" t="s">
        <v>7138</v>
      </c>
      <c r="H928" t="s">
        <v>10482</v>
      </c>
      <c r="I928" t="s">
        <v>11386</v>
      </c>
      <c r="J928">
        <v>10040</v>
      </c>
      <c r="K928" t="s">
        <v>11446</v>
      </c>
      <c r="M928" t="s">
        <v>11601</v>
      </c>
      <c r="N928" t="s">
        <v>14778</v>
      </c>
      <c r="O928" t="s">
        <v>14786</v>
      </c>
      <c r="P928" t="s">
        <v>14797</v>
      </c>
      <c r="Q928" t="s">
        <v>11448</v>
      </c>
      <c r="S928" t="s">
        <v>14827</v>
      </c>
      <c r="U928" t="s">
        <v>467</v>
      </c>
      <c r="V928">
        <v>703</v>
      </c>
      <c r="W928" t="s">
        <v>14860</v>
      </c>
      <c r="X928" t="s">
        <v>14867</v>
      </c>
      <c r="Y928" t="s">
        <v>14883</v>
      </c>
      <c r="Z928" t="s">
        <v>15781</v>
      </c>
      <c r="AB928" t="s">
        <v>20878</v>
      </c>
      <c r="AC928">
        <v>49</v>
      </c>
      <c r="AD928" t="s">
        <v>24595</v>
      </c>
      <c r="AE928" t="s">
        <v>24613</v>
      </c>
      <c r="AF928">
        <v>22</v>
      </c>
      <c r="AG928">
        <v>1</v>
      </c>
      <c r="AH928">
        <v>0</v>
      </c>
      <c r="AI928">
        <v>74.08</v>
      </c>
      <c r="AL928" t="s">
        <v>24632</v>
      </c>
      <c r="AM928">
        <v>9252</v>
      </c>
      <c r="AQ928" t="s">
        <v>24986</v>
      </c>
      <c r="AR928" t="s">
        <v>24999</v>
      </c>
      <c r="AS928">
        <v>2.8</v>
      </c>
      <c r="AT928" t="s">
        <v>495</v>
      </c>
      <c r="AU928" t="s">
        <v>137</v>
      </c>
      <c r="AV928" t="s">
        <v>25335</v>
      </c>
      <c r="AW928" t="s">
        <v>11447</v>
      </c>
    </row>
    <row r="929" spans="1:49">
      <c r="A929" s="1">
        <f>HYPERLINK("https://lsnyc.legalserver.org/matter/dynamic-profile/view/1914002","19-1914002")</f>
        <v>0</v>
      </c>
      <c r="B929" t="s">
        <v>105</v>
      </c>
      <c r="C929" t="s">
        <v>490</v>
      </c>
      <c r="D929" t="s">
        <v>495</v>
      </c>
      <c r="E929" t="s">
        <v>1282</v>
      </c>
      <c r="F929" t="s">
        <v>4184</v>
      </c>
      <c r="G929" t="s">
        <v>7139</v>
      </c>
      <c r="H929">
        <v>31</v>
      </c>
      <c r="I929" t="s">
        <v>11386</v>
      </c>
      <c r="J929">
        <v>10034</v>
      </c>
      <c r="K929" t="s">
        <v>11446</v>
      </c>
      <c r="M929" t="s">
        <v>11601</v>
      </c>
      <c r="N929" t="s">
        <v>14778</v>
      </c>
      <c r="O929" t="s">
        <v>14786</v>
      </c>
      <c r="P929" t="s">
        <v>14797</v>
      </c>
      <c r="Q929" t="s">
        <v>11448</v>
      </c>
      <c r="S929" t="s">
        <v>14827</v>
      </c>
      <c r="U929" t="s">
        <v>490</v>
      </c>
      <c r="V929">
        <v>1100</v>
      </c>
      <c r="W929" t="s">
        <v>14860</v>
      </c>
      <c r="X929" t="s">
        <v>14868</v>
      </c>
      <c r="Y929" t="s">
        <v>14883</v>
      </c>
      <c r="Z929" t="s">
        <v>15782</v>
      </c>
      <c r="AB929" t="s">
        <v>20879</v>
      </c>
      <c r="AC929">
        <v>20</v>
      </c>
      <c r="AD929" t="s">
        <v>24595</v>
      </c>
      <c r="AE929" t="s">
        <v>11459</v>
      </c>
      <c r="AF929">
        <v>20</v>
      </c>
      <c r="AG929">
        <v>2</v>
      </c>
      <c r="AH929">
        <v>1</v>
      </c>
      <c r="AI929">
        <v>31.62</v>
      </c>
      <c r="AL929" t="s">
        <v>24632</v>
      </c>
      <c r="AM929">
        <v>6744</v>
      </c>
      <c r="AS929">
        <v>1</v>
      </c>
      <c r="AT929" t="s">
        <v>495</v>
      </c>
      <c r="AU929" t="s">
        <v>137</v>
      </c>
      <c r="AV929" t="s">
        <v>25335</v>
      </c>
      <c r="AW929" t="s">
        <v>11447</v>
      </c>
    </row>
    <row r="930" spans="1:49">
      <c r="A930" s="1">
        <f>HYPERLINK("https://lsnyc.legalserver.org/matter/dynamic-profile/view/1915118","19-1915118")</f>
        <v>0</v>
      </c>
      <c r="B930" t="s">
        <v>190</v>
      </c>
      <c r="C930" t="s">
        <v>516</v>
      </c>
      <c r="D930" t="s">
        <v>495</v>
      </c>
      <c r="E930" t="s">
        <v>1526</v>
      </c>
      <c r="F930" t="s">
        <v>4185</v>
      </c>
      <c r="G930" t="s">
        <v>7140</v>
      </c>
      <c r="H930" t="s">
        <v>10589</v>
      </c>
      <c r="I930" t="s">
        <v>11386</v>
      </c>
      <c r="J930">
        <v>10032</v>
      </c>
      <c r="K930" t="s">
        <v>11446</v>
      </c>
      <c r="M930" t="s">
        <v>11601</v>
      </c>
      <c r="N930" t="s">
        <v>14778</v>
      </c>
      <c r="O930" t="s">
        <v>14786</v>
      </c>
      <c r="P930" t="s">
        <v>14797</v>
      </c>
      <c r="Q930" t="s">
        <v>11448</v>
      </c>
      <c r="S930" t="s">
        <v>14827</v>
      </c>
      <c r="U930" t="s">
        <v>516</v>
      </c>
      <c r="V930">
        <v>2091.32</v>
      </c>
      <c r="W930" t="s">
        <v>14860</v>
      </c>
      <c r="X930" t="s">
        <v>14867</v>
      </c>
      <c r="Y930" t="s">
        <v>14883</v>
      </c>
      <c r="Z930" t="s">
        <v>15783</v>
      </c>
      <c r="AB930" t="s">
        <v>20880</v>
      </c>
      <c r="AC930">
        <v>37</v>
      </c>
      <c r="AD930" t="s">
        <v>24595</v>
      </c>
      <c r="AE930" t="s">
        <v>11459</v>
      </c>
      <c r="AF930">
        <v>9</v>
      </c>
      <c r="AG930">
        <v>1</v>
      </c>
      <c r="AH930">
        <v>0</v>
      </c>
      <c r="AI930">
        <v>333.07</v>
      </c>
      <c r="AL930" t="s">
        <v>5011</v>
      </c>
      <c r="AM930">
        <v>41600</v>
      </c>
      <c r="AQ930" t="s">
        <v>24986</v>
      </c>
      <c r="AR930" t="s">
        <v>24999</v>
      </c>
      <c r="AS930">
        <v>1.5</v>
      </c>
      <c r="AT930" t="s">
        <v>516</v>
      </c>
      <c r="AU930" t="s">
        <v>137</v>
      </c>
      <c r="AV930" t="s">
        <v>25335</v>
      </c>
      <c r="AW930" t="s">
        <v>11447</v>
      </c>
    </row>
    <row r="931" spans="1:49">
      <c r="A931" s="1">
        <f>HYPERLINK("https://lsnyc.legalserver.org/matter/dynamic-profile/view/1915330","19-1915330")</f>
        <v>0</v>
      </c>
      <c r="B931" t="s">
        <v>197</v>
      </c>
      <c r="C931" t="s">
        <v>509</v>
      </c>
      <c r="D931" t="s">
        <v>495</v>
      </c>
      <c r="E931" t="s">
        <v>1330</v>
      </c>
      <c r="F931" t="s">
        <v>4186</v>
      </c>
      <c r="G931" t="s">
        <v>7141</v>
      </c>
      <c r="H931" t="s">
        <v>10748</v>
      </c>
      <c r="I931" t="s">
        <v>11383</v>
      </c>
      <c r="J931">
        <v>10452</v>
      </c>
      <c r="K931" t="s">
        <v>11446</v>
      </c>
      <c r="N931" t="s">
        <v>14779</v>
      </c>
      <c r="O931" t="s">
        <v>14787</v>
      </c>
      <c r="P931" t="s">
        <v>14797</v>
      </c>
      <c r="S931" t="s">
        <v>14827</v>
      </c>
      <c r="V931">
        <v>0</v>
      </c>
      <c r="W931" t="s">
        <v>14858</v>
      </c>
      <c r="Y931" t="s">
        <v>14885</v>
      </c>
      <c r="Z931" t="s">
        <v>15784</v>
      </c>
      <c r="AB931" t="s">
        <v>20881</v>
      </c>
      <c r="AC931">
        <v>0</v>
      </c>
      <c r="AE931" t="s">
        <v>24613</v>
      </c>
      <c r="AF931">
        <v>0</v>
      </c>
      <c r="AG931">
        <v>2</v>
      </c>
      <c r="AH931">
        <v>0</v>
      </c>
      <c r="AI931">
        <v>61.74</v>
      </c>
      <c r="AK931" t="s">
        <v>24629</v>
      </c>
      <c r="AL931" t="s">
        <v>24632</v>
      </c>
      <c r="AM931">
        <v>10440</v>
      </c>
      <c r="AS931">
        <v>0.75</v>
      </c>
      <c r="AT931" t="s">
        <v>509</v>
      </c>
      <c r="AU931" t="s">
        <v>197</v>
      </c>
      <c r="AV931" t="s">
        <v>25335</v>
      </c>
      <c r="AW931" t="s">
        <v>11447</v>
      </c>
    </row>
    <row r="932" spans="1:49">
      <c r="A932" s="1">
        <f>HYPERLINK("https://lsnyc.legalserver.org/matter/dynamic-profile/view/1914727","19-1914727")</f>
        <v>0</v>
      </c>
      <c r="B932" t="s">
        <v>183</v>
      </c>
      <c r="C932" t="s">
        <v>592</v>
      </c>
      <c r="D932" t="s">
        <v>495</v>
      </c>
      <c r="E932" t="s">
        <v>1688</v>
      </c>
      <c r="F932" t="s">
        <v>1254</v>
      </c>
      <c r="G932" t="s">
        <v>7142</v>
      </c>
      <c r="H932" t="s">
        <v>10465</v>
      </c>
      <c r="I932" t="s">
        <v>11385</v>
      </c>
      <c r="J932">
        <v>11207</v>
      </c>
      <c r="K932" t="s">
        <v>11447</v>
      </c>
      <c r="L932" t="s">
        <v>11729</v>
      </c>
      <c r="M932" t="s">
        <v>14743</v>
      </c>
      <c r="O932" t="s">
        <v>14786</v>
      </c>
      <c r="P932" t="s">
        <v>14797</v>
      </c>
      <c r="S932" t="s">
        <v>14827</v>
      </c>
      <c r="V932">
        <v>1560</v>
      </c>
      <c r="W932" t="s">
        <v>14859</v>
      </c>
      <c r="X932" t="s">
        <v>14868</v>
      </c>
      <c r="Y932" t="s">
        <v>14883</v>
      </c>
      <c r="Z932" t="s">
        <v>15785</v>
      </c>
      <c r="AB932" t="s">
        <v>20882</v>
      </c>
      <c r="AC932">
        <v>4</v>
      </c>
      <c r="AD932" t="s">
        <v>11479</v>
      </c>
      <c r="AE932" t="s">
        <v>24610</v>
      </c>
      <c r="AF932">
        <v>1</v>
      </c>
      <c r="AG932">
        <v>1</v>
      </c>
      <c r="AH932">
        <v>0</v>
      </c>
      <c r="AI932">
        <v>100.88</v>
      </c>
      <c r="AL932" t="s">
        <v>5011</v>
      </c>
      <c r="AM932">
        <v>12600</v>
      </c>
      <c r="AS932">
        <v>0.5</v>
      </c>
      <c r="AT932" t="s">
        <v>592</v>
      </c>
      <c r="AU932" t="s">
        <v>25244</v>
      </c>
      <c r="AW932" t="s">
        <v>11447</v>
      </c>
    </row>
    <row r="933" spans="1:49">
      <c r="A933" s="1">
        <f>HYPERLINK("https://lsnyc.legalserver.org/matter/dynamic-profile/view/1906762","19-1906762")</f>
        <v>0</v>
      </c>
      <c r="B933" t="s">
        <v>105</v>
      </c>
      <c r="C933" t="s">
        <v>620</v>
      </c>
      <c r="D933" t="s">
        <v>654</v>
      </c>
      <c r="E933" t="s">
        <v>1601</v>
      </c>
      <c r="F933" t="s">
        <v>4187</v>
      </c>
      <c r="G933" t="s">
        <v>7143</v>
      </c>
      <c r="H933">
        <v>12</v>
      </c>
      <c r="I933" t="s">
        <v>11386</v>
      </c>
      <c r="J933">
        <v>10034</v>
      </c>
      <c r="K933" t="s">
        <v>11446</v>
      </c>
      <c r="L933" t="s">
        <v>11730</v>
      </c>
      <c r="M933" t="s">
        <v>14744</v>
      </c>
      <c r="N933" t="s">
        <v>14781</v>
      </c>
      <c r="O933" t="s">
        <v>14788</v>
      </c>
      <c r="P933" t="s">
        <v>14797</v>
      </c>
      <c r="Q933" t="s">
        <v>11448</v>
      </c>
      <c r="S933" t="s">
        <v>14827</v>
      </c>
      <c r="T933" t="s">
        <v>14832</v>
      </c>
      <c r="U933" t="s">
        <v>620</v>
      </c>
      <c r="V933">
        <v>889</v>
      </c>
      <c r="W933" t="s">
        <v>14860</v>
      </c>
      <c r="X933" t="s">
        <v>14868</v>
      </c>
      <c r="Y933" t="s">
        <v>14887</v>
      </c>
      <c r="Z933" t="s">
        <v>15786</v>
      </c>
      <c r="AB933" t="s">
        <v>20883</v>
      </c>
      <c r="AC933">
        <v>22</v>
      </c>
      <c r="AD933" t="s">
        <v>24595</v>
      </c>
      <c r="AE933" t="s">
        <v>24610</v>
      </c>
      <c r="AF933">
        <v>27</v>
      </c>
      <c r="AG933">
        <v>3</v>
      </c>
      <c r="AH933">
        <v>0</v>
      </c>
      <c r="AI933">
        <v>164.41</v>
      </c>
      <c r="AL933" t="s">
        <v>24632</v>
      </c>
      <c r="AM933">
        <v>35068.8</v>
      </c>
      <c r="AS933">
        <v>12.3</v>
      </c>
      <c r="AT933" t="s">
        <v>537</v>
      </c>
      <c r="AU933" t="s">
        <v>137</v>
      </c>
      <c r="AV933" t="s">
        <v>25335</v>
      </c>
      <c r="AW933" t="s">
        <v>11447</v>
      </c>
    </row>
    <row r="934" spans="1:49">
      <c r="A934" s="1">
        <f>HYPERLINK("https://lsnyc.legalserver.org/matter/dynamic-profile/view/1910445","19-1910445")</f>
        <v>0</v>
      </c>
      <c r="B934" t="s">
        <v>105</v>
      </c>
      <c r="C934" t="s">
        <v>508</v>
      </c>
      <c r="D934" t="s">
        <v>654</v>
      </c>
      <c r="E934" t="s">
        <v>1212</v>
      </c>
      <c r="F934" t="s">
        <v>4188</v>
      </c>
      <c r="G934" t="s">
        <v>7144</v>
      </c>
      <c r="H934" t="s">
        <v>10448</v>
      </c>
      <c r="I934" t="s">
        <v>11386</v>
      </c>
      <c r="J934">
        <v>10032</v>
      </c>
      <c r="K934" t="s">
        <v>11446</v>
      </c>
      <c r="N934" t="s">
        <v>14782</v>
      </c>
      <c r="O934" t="s">
        <v>14786</v>
      </c>
      <c r="P934" t="s">
        <v>14797</v>
      </c>
      <c r="Q934" t="s">
        <v>11448</v>
      </c>
      <c r="S934" t="s">
        <v>14827</v>
      </c>
      <c r="U934" t="s">
        <v>508</v>
      </c>
      <c r="V934">
        <v>2195</v>
      </c>
      <c r="W934" t="s">
        <v>14860</v>
      </c>
      <c r="X934" t="s">
        <v>14867</v>
      </c>
      <c r="Y934" t="s">
        <v>14883</v>
      </c>
      <c r="Z934" t="s">
        <v>15787</v>
      </c>
      <c r="AA934" t="s">
        <v>19385</v>
      </c>
      <c r="AB934" t="s">
        <v>20884</v>
      </c>
      <c r="AC934">
        <v>108</v>
      </c>
      <c r="AD934" t="s">
        <v>24595</v>
      </c>
      <c r="AE934" t="s">
        <v>11459</v>
      </c>
      <c r="AF934">
        <v>1</v>
      </c>
      <c r="AG934">
        <v>1</v>
      </c>
      <c r="AH934">
        <v>0</v>
      </c>
      <c r="AI934">
        <v>39.97</v>
      </c>
      <c r="AL934" t="s">
        <v>5011</v>
      </c>
      <c r="AM934">
        <v>4992</v>
      </c>
      <c r="AS934">
        <v>3.1</v>
      </c>
      <c r="AT934" t="s">
        <v>495</v>
      </c>
      <c r="AU934" t="s">
        <v>137</v>
      </c>
      <c r="AV934" t="s">
        <v>25335</v>
      </c>
      <c r="AW934" t="s">
        <v>11447</v>
      </c>
    </row>
    <row r="935" spans="1:49">
      <c r="A935" s="1">
        <f>HYPERLINK("https://lsnyc.legalserver.org/matter/dynamic-profile/view/1912418","19-1912418")</f>
        <v>0</v>
      </c>
      <c r="B935" t="s">
        <v>105</v>
      </c>
      <c r="C935" t="s">
        <v>489</v>
      </c>
      <c r="D935" t="s">
        <v>654</v>
      </c>
      <c r="E935" t="s">
        <v>1689</v>
      </c>
      <c r="F935" t="s">
        <v>2002</v>
      </c>
      <c r="G935" t="s">
        <v>7145</v>
      </c>
      <c r="H935" t="s">
        <v>10749</v>
      </c>
      <c r="I935" t="s">
        <v>11386</v>
      </c>
      <c r="J935">
        <v>10040</v>
      </c>
      <c r="K935" t="s">
        <v>11446</v>
      </c>
      <c r="L935" t="s">
        <v>11731</v>
      </c>
      <c r="M935" t="s">
        <v>14762</v>
      </c>
      <c r="N935" t="s">
        <v>14783</v>
      </c>
      <c r="O935" t="s">
        <v>14790</v>
      </c>
      <c r="P935" t="s">
        <v>14797</v>
      </c>
      <c r="Q935" t="s">
        <v>11446</v>
      </c>
      <c r="S935" t="s">
        <v>14827</v>
      </c>
      <c r="U935" t="s">
        <v>489</v>
      </c>
      <c r="V935">
        <v>995.92</v>
      </c>
      <c r="W935" t="s">
        <v>14860</v>
      </c>
      <c r="X935" t="s">
        <v>14868</v>
      </c>
      <c r="Y935" t="s">
        <v>14885</v>
      </c>
      <c r="Z935" t="s">
        <v>15788</v>
      </c>
      <c r="AA935" t="s">
        <v>19386</v>
      </c>
      <c r="AB935" t="s">
        <v>20885</v>
      </c>
      <c r="AC935">
        <v>44</v>
      </c>
      <c r="AD935" t="s">
        <v>24595</v>
      </c>
      <c r="AE935" t="s">
        <v>11459</v>
      </c>
      <c r="AF935">
        <v>15</v>
      </c>
      <c r="AG935">
        <v>2</v>
      </c>
      <c r="AH935">
        <v>2</v>
      </c>
      <c r="AI935">
        <v>50.49</v>
      </c>
      <c r="AL935" t="s">
        <v>24632</v>
      </c>
      <c r="AM935">
        <v>13000</v>
      </c>
      <c r="AS935">
        <v>20.6</v>
      </c>
      <c r="AT935" t="s">
        <v>654</v>
      </c>
      <c r="AU935" t="s">
        <v>137</v>
      </c>
      <c r="AV935" t="s">
        <v>25335</v>
      </c>
      <c r="AW935" t="s">
        <v>11447</v>
      </c>
    </row>
    <row r="936" spans="1:49">
      <c r="A936" s="1">
        <f>HYPERLINK("https://lsnyc.legalserver.org/matter/dynamic-profile/view/1912456","19-1912456")</f>
        <v>0</v>
      </c>
      <c r="B936" t="s">
        <v>105</v>
      </c>
      <c r="C936" t="s">
        <v>489</v>
      </c>
      <c r="D936" t="s">
        <v>654</v>
      </c>
      <c r="E936" t="s">
        <v>1690</v>
      </c>
      <c r="F936" t="s">
        <v>4189</v>
      </c>
      <c r="G936" t="s">
        <v>7146</v>
      </c>
      <c r="H936" t="s">
        <v>10529</v>
      </c>
      <c r="I936" t="s">
        <v>11386</v>
      </c>
      <c r="J936">
        <v>10040</v>
      </c>
      <c r="K936" t="s">
        <v>11446</v>
      </c>
      <c r="L936" t="s">
        <v>11731</v>
      </c>
      <c r="M936" t="s">
        <v>14762</v>
      </c>
      <c r="N936" t="s">
        <v>14783</v>
      </c>
      <c r="O936" t="s">
        <v>14790</v>
      </c>
      <c r="P936" t="s">
        <v>14797</v>
      </c>
      <c r="Q936" t="s">
        <v>11446</v>
      </c>
      <c r="S936" t="s">
        <v>14827</v>
      </c>
      <c r="U936" t="s">
        <v>489</v>
      </c>
      <c r="V936">
        <v>1231.45</v>
      </c>
      <c r="W936" t="s">
        <v>14860</v>
      </c>
      <c r="X936" t="s">
        <v>14868</v>
      </c>
      <c r="Y936" t="s">
        <v>14885</v>
      </c>
      <c r="Z936" t="s">
        <v>15789</v>
      </c>
      <c r="AB936" t="s">
        <v>20886</v>
      </c>
      <c r="AC936">
        <v>44</v>
      </c>
      <c r="AD936" t="s">
        <v>24595</v>
      </c>
      <c r="AE936" t="s">
        <v>11459</v>
      </c>
      <c r="AF936">
        <v>13</v>
      </c>
      <c r="AG936">
        <v>2</v>
      </c>
      <c r="AH936">
        <v>0</v>
      </c>
      <c r="AI936">
        <v>103.63</v>
      </c>
      <c r="AL936" t="s">
        <v>24632</v>
      </c>
      <c r="AM936">
        <v>17524</v>
      </c>
      <c r="AQ936" t="s">
        <v>24986</v>
      </c>
      <c r="AS936">
        <v>1.6</v>
      </c>
      <c r="AT936" t="s">
        <v>654</v>
      </c>
      <c r="AU936" t="s">
        <v>137</v>
      </c>
      <c r="AV936" t="s">
        <v>25335</v>
      </c>
      <c r="AW936" t="s">
        <v>11447</v>
      </c>
    </row>
    <row r="937" spans="1:49">
      <c r="A937" s="1">
        <f>HYPERLINK("https://lsnyc.legalserver.org/matter/dynamic-profile/view/1912423","19-1912423")</f>
        <v>0</v>
      </c>
      <c r="B937" t="s">
        <v>105</v>
      </c>
      <c r="C937" t="s">
        <v>489</v>
      </c>
      <c r="D937" t="s">
        <v>654</v>
      </c>
      <c r="E937" t="s">
        <v>1096</v>
      </c>
      <c r="F937" t="s">
        <v>4190</v>
      </c>
      <c r="G937" t="s">
        <v>7146</v>
      </c>
      <c r="H937" t="s">
        <v>10529</v>
      </c>
      <c r="I937" t="s">
        <v>11386</v>
      </c>
      <c r="J937">
        <v>10040</v>
      </c>
      <c r="K937" t="s">
        <v>11446</v>
      </c>
      <c r="L937" t="s">
        <v>11731</v>
      </c>
      <c r="M937" t="s">
        <v>14762</v>
      </c>
      <c r="N937" t="s">
        <v>14783</v>
      </c>
      <c r="O937" t="s">
        <v>14790</v>
      </c>
      <c r="P937" t="s">
        <v>14797</v>
      </c>
      <c r="Q937" t="s">
        <v>11446</v>
      </c>
      <c r="S937" t="s">
        <v>14827</v>
      </c>
      <c r="U937" t="s">
        <v>489</v>
      </c>
      <c r="V937">
        <v>1230.4</v>
      </c>
      <c r="W937" t="s">
        <v>14860</v>
      </c>
      <c r="X937" t="s">
        <v>14868</v>
      </c>
      <c r="Y937" t="s">
        <v>14885</v>
      </c>
      <c r="Z937" t="s">
        <v>15790</v>
      </c>
      <c r="AB937" t="s">
        <v>20887</v>
      </c>
      <c r="AC937">
        <v>44</v>
      </c>
      <c r="AD937" t="s">
        <v>24595</v>
      </c>
      <c r="AE937" t="s">
        <v>24610</v>
      </c>
      <c r="AF937">
        <v>23</v>
      </c>
      <c r="AG937">
        <v>1</v>
      </c>
      <c r="AH937">
        <v>0</v>
      </c>
      <c r="AI937">
        <v>114.43</v>
      </c>
      <c r="AL937" t="s">
        <v>24632</v>
      </c>
      <c r="AM937">
        <v>14292</v>
      </c>
      <c r="AS937">
        <v>0.1</v>
      </c>
      <c r="AT937" t="s">
        <v>654</v>
      </c>
      <c r="AU937" t="s">
        <v>137</v>
      </c>
      <c r="AV937" t="s">
        <v>25335</v>
      </c>
      <c r="AW937" t="s">
        <v>11447</v>
      </c>
    </row>
    <row r="938" spans="1:49">
      <c r="A938" s="1">
        <f>HYPERLINK("https://lsnyc.legalserver.org/matter/dynamic-profile/view/1912470","19-1912470")</f>
        <v>0</v>
      </c>
      <c r="B938" t="s">
        <v>105</v>
      </c>
      <c r="C938" t="s">
        <v>489</v>
      </c>
      <c r="D938" t="s">
        <v>654</v>
      </c>
      <c r="E938" t="s">
        <v>1691</v>
      </c>
      <c r="F938" t="s">
        <v>4191</v>
      </c>
      <c r="G938" t="s">
        <v>7146</v>
      </c>
      <c r="H938" t="s">
        <v>10559</v>
      </c>
      <c r="I938" t="s">
        <v>11386</v>
      </c>
      <c r="J938">
        <v>10040</v>
      </c>
      <c r="K938" t="s">
        <v>11446</v>
      </c>
      <c r="L938" t="s">
        <v>11731</v>
      </c>
      <c r="M938" t="s">
        <v>14762</v>
      </c>
      <c r="N938" t="s">
        <v>14781</v>
      </c>
      <c r="O938" t="s">
        <v>14790</v>
      </c>
      <c r="P938" t="s">
        <v>14797</v>
      </c>
      <c r="Q938" t="s">
        <v>11446</v>
      </c>
      <c r="S938" t="s">
        <v>14827</v>
      </c>
      <c r="U938" t="s">
        <v>489</v>
      </c>
      <c r="V938">
        <v>1231.45</v>
      </c>
      <c r="W938" t="s">
        <v>14860</v>
      </c>
      <c r="X938" t="s">
        <v>14876</v>
      </c>
      <c r="Y938" t="s">
        <v>14885</v>
      </c>
      <c r="Z938" t="s">
        <v>15791</v>
      </c>
      <c r="AB938" t="s">
        <v>20888</v>
      </c>
      <c r="AC938">
        <v>44</v>
      </c>
      <c r="AD938" t="s">
        <v>24595</v>
      </c>
      <c r="AE938" t="s">
        <v>11459</v>
      </c>
      <c r="AF938">
        <v>13</v>
      </c>
      <c r="AG938">
        <v>2</v>
      </c>
      <c r="AH938">
        <v>0</v>
      </c>
      <c r="AI938">
        <v>154.68</v>
      </c>
      <c r="AL938" t="s">
        <v>24632</v>
      </c>
      <c r="AM938">
        <v>26156</v>
      </c>
      <c r="AS938">
        <v>0.1</v>
      </c>
      <c r="AT938" t="s">
        <v>654</v>
      </c>
      <c r="AU938" t="s">
        <v>137</v>
      </c>
      <c r="AV938" t="s">
        <v>25335</v>
      </c>
      <c r="AW938" t="s">
        <v>11447</v>
      </c>
    </row>
    <row r="939" spans="1:49">
      <c r="A939" s="1">
        <f>HYPERLINK("https://lsnyc.legalserver.org/matter/dynamic-profile/view/1909794","19-1909794")</f>
        <v>0</v>
      </c>
      <c r="B939" t="s">
        <v>92</v>
      </c>
      <c r="C939" t="s">
        <v>519</v>
      </c>
      <c r="D939" t="s">
        <v>654</v>
      </c>
      <c r="E939" t="s">
        <v>1692</v>
      </c>
      <c r="F939" t="s">
        <v>4192</v>
      </c>
      <c r="G939" t="s">
        <v>7147</v>
      </c>
      <c r="I939" t="s">
        <v>11383</v>
      </c>
      <c r="J939">
        <v>10468</v>
      </c>
      <c r="K939" t="s">
        <v>11446</v>
      </c>
      <c r="M939" t="s">
        <v>11601</v>
      </c>
      <c r="N939" t="s">
        <v>14778</v>
      </c>
      <c r="O939" t="s">
        <v>14786</v>
      </c>
      <c r="P939" t="s">
        <v>14797</v>
      </c>
      <c r="Q939" t="s">
        <v>11448</v>
      </c>
      <c r="S939" t="s">
        <v>14827</v>
      </c>
      <c r="V939">
        <v>1090</v>
      </c>
      <c r="W939" t="s">
        <v>14858</v>
      </c>
      <c r="X939" t="s">
        <v>14864</v>
      </c>
      <c r="Y939" t="s">
        <v>14883</v>
      </c>
      <c r="Z939" t="s">
        <v>15792</v>
      </c>
      <c r="AA939" t="s">
        <v>19387</v>
      </c>
      <c r="AB939" t="s">
        <v>20889</v>
      </c>
      <c r="AC939">
        <v>50</v>
      </c>
      <c r="AD939" t="s">
        <v>24595</v>
      </c>
      <c r="AE939" t="s">
        <v>14755</v>
      </c>
      <c r="AF939">
        <v>5</v>
      </c>
      <c r="AG939">
        <v>2</v>
      </c>
      <c r="AH939">
        <v>0</v>
      </c>
      <c r="AI939">
        <v>48.68</v>
      </c>
      <c r="AM939">
        <v>8232</v>
      </c>
      <c r="AS939">
        <v>0.5</v>
      </c>
      <c r="AT939" t="s">
        <v>654</v>
      </c>
      <c r="AU939" t="s">
        <v>92</v>
      </c>
      <c r="AV939" t="s">
        <v>25335</v>
      </c>
      <c r="AW939" t="s">
        <v>11447</v>
      </c>
    </row>
    <row r="940" spans="1:49">
      <c r="A940" s="1">
        <f>HYPERLINK("https://lsnyc.legalserver.org/matter/dynamic-profile/view/1877605","18-1877605")</f>
        <v>0</v>
      </c>
      <c r="B940" t="s">
        <v>105</v>
      </c>
      <c r="C940" t="s">
        <v>654</v>
      </c>
      <c r="D940" t="s">
        <v>654</v>
      </c>
      <c r="E940" t="s">
        <v>1693</v>
      </c>
      <c r="F940" t="s">
        <v>4193</v>
      </c>
      <c r="G940" t="s">
        <v>7148</v>
      </c>
      <c r="H940" t="s">
        <v>10750</v>
      </c>
      <c r="I940" t="s">
        <v>11386</v>
      </c>
      <c r="J940">
        <v>10032</v>
      </c>
      <c r="K940" t="s">
        <v>11446</v>
      </c>
      <c r="L940" t="s">
        <v>11732</v>
      </c>
      <c r="M940" t="s">
        <v>14743</v>
      </c>
      <c r="N940" t="s">
        <v>14778</v>
      </c>
      <c r="O940" t="s">
        <v>14786</v>
      </c>
      <c r="P940" t="s">
        <v>14797</v>
      </c>
      <c r="Q940" t="s">
        <v>11448</v>
      </c>
      <c r="S940" t="s">
        <v>14827</v>
      </c>
      <c r="V940">
        <v>1584</v>
      </c>
      <c r="W940" t="s">
        <v>14860</v>
      </c>
      <c r="Y940" t="s">
        <v>14883</v>
      </c>
      <c r="Z940" t="s">
        <v>15793</v>
      </c>
      <c r="AB940" t="s">
        <v>20890</v>
      </c>
      <c r="AC940">
        <v>0</v>
      </c>
      <c r="AD940" t="s">
        <v>24606</v>
      </c>
      <c r="AF940">
        <v>0</v>
      </c>
      <c r="AG940">
        <v>2</v>
      </c>
      <c r="AH940">
        <v>0</v>
      </c>
      <c r="AI940">
        <v>273.39</v>
      </c>
      <c r="AL940" t="s">
        <v>24632</v>
      </c>
      <c r="AM940">
        <v>45000</v>
      </c>
      <c r="AS940">
        <v>0.1</v>
      </c>
      <c r="AT940" t="s">
        <v>442</v>
      </c>
      <c r="AU940" t="s">
        <v>105</v>
      </c>
      <c r="AW940" t="s">
        <v>11447</v>
      </c>
    </row>
    <row r="941" spans="1:49">
      <c r="A941" s="1">
        <f>HYPERLINK("https://lsnyc.legalserver.org/matter/dynamic-profile/view/1905064","19-1905064")</f>
        <v>0</v>
      </c>
      <c r="B941" t="s">
        <v>210</v>
      </c>
      <c r="C941" t="s">
        <v>456</v>
      </c>
      <c r="E941" t="s">
        <v>1694</v>
      </c>
      <c r="F941" t="s">
        <v>4194</v>
      </c>
      <c r="G941" t="s">
        <v>7149</v>
      </c>
      <c r="H941">
        <v>1</v>
      </c>
      <c r="I941" t="s">
        <v>11385</v>
      </c>
      <c r="J941">
        <v>11221</v>
      </c>
      <c r="K941" t="s">
        <v>11446</v>
      </c>
      <c r="M941" t="s">
        <v>14745</v>
      </c>
      <c r="N941" t="s">
        <v>14780</v>
      </c>
      <c r="P941" t="s">
        <v>14797</v>
      </c>
      <c r="Q941" t="s">
        <v>11446</v>
      </c>
      <c r="S941" t="s">
        <v>14827</v>
      </c>
      <c r="U941" t="s">
        <v>545</v>
      </c>
      <c r="V941">
        <v>0</v>
      </c>
      <c r="W941" t="s">
        <v>14859</v>
      </c>
      <c r="Z941" t="s">
        <v>15794</v>
      </c>
      <c r="AB941" t="s">
        <v>20891</v>
      </c>
      <c r="AC941">
        <v>2</v>
      </c>
      <c r="AF941">
        <v>0</v>
      </c>
      <c r="AG941">
        <v>1</v>
      </c>
      <c r="AH941">
        <v>0</v>
      </c>
      <c r="AI941">
        <v>0</v>
      </c>
      <c r="AL941" t="s">
        <v>5011</v>
      </c>
      <c r="AM941">
        <v>0</v>
      </c>
      <c r="AS941">
        <v>0.7</v>
      </c>
      <c r="AT941" t="s">
        <v>601</v>
      </c>
      <c r="AU941" t="s">
        <v>177</v>
      </c>
      <c r="AW941" t="s">
        <v>11447</v>
      </c>
    </row>
    <row r="942" spans="1:49">
      <c r="A942" s="1">
        <f>HYPERLINK("https://lsnyc.legalserver.org/matter/dynamic-profile/view/1895273","19-1895273")</f>
        <v>0</v>
      </c>
      <c r="B942" t="s">
        <v>203</v>
      </c>
      <c r="C942" t="s">
        <v>333</v>
      </c>
      <c r="E942" t="s">
        <v>1070</v>
      </c>
      <c r="F942" t="s">
        <v>4195</v>
      </c>
      <c r="G942" t="s">
        <v>7150</v>
      </c>
      <c r="H942" t="s">
        <v>10581</v>
      </c>
      <c r="I942" t="s">
        <v>11385</v>
      </c>
      <c r="J942">
        <v>11212</v>
      </c>
      <c r="K942" t="s">
        <v>11446</v>
      </c>
      <c r="L942" t="s">
        <v>11733</v>
      </c>
      <c r="M942" t="s">
        <v>14747</v>
      </c>
      <c r="N942" t="s">
        <v>14784</v>
      </c>
      <c r="P942" t="s">
        <v>14797</v>
      </c>
      <c r="Q942" t="s">
        <v>11446</v>
      </c>
      <c r="S942" t="s">
        <v>14827</v>
      </c>
      <c r="T942" t="s">
        <v>14832</v>
      </c>
      <c r="U942" t="s">
        <v>545</v>
      </c>
      <c r="V942">
        <v>683</v>
      </c>
      <c r="W942" t="s">
        <v>14859</v>
      </c>
      <c r="X942" t="s">
        <v>14879</v>
      </c>
      <c r="Z942" t="s">
        <v>15795</v>
      </c>
      <c r="AC942">
        <v>10</v>
      </c>
      <c r="AD942" t="s">
        <v>24595</v>
      </c>
      <c r="AE942" t="s">
        <v>11459</v>
      </c>
      <c r="AF942">
        <v>30</v>
      </c>
      <c r="AG942">
        <v>2</v>
      </c>
      <c r="AH942">
        <v>0</v>
      </c>
      <c r="AI942">
        <v>0</v>
      </c>
      <c r="AL942" t="s">
        <v>5011</v>
      </c>
      <c r="AM942">
        <v>0</v>
      </c>
      <c r="AN942" t="s">
        <v>24749</v>
      </c>
      <c r="AS942">
        <v>1</v>
      </c>
      <c r="AT942" t="s">
        <v>342</v>
      </c>
      <c r="AU942" t="s">
        <v>66</v>
      </c>
      <c r="AV942" t="s">
        <v>11459</v>
      </c>
      <c r="AW942" t="s">
        <v>11448</v>
      </c>
    </row>
    <row r="943" spans="1:49">
      <c r="A943" s="1">
        <f>HYPERLINK("https://lsnyc.legalserver.org/matter/dynamic-profile/view/1910119","19-1910119")</f>
        <v>0</v>
      </c>
      <c r="B943" t="s">
        <v>178</v>
      </c>
      <c r="C943" t="s">
        <v>471</v>
      </c>
      <c r="E943" t="s">
        <v>1695</v>
      </c>
      <c r="F943" t="s">
        <v>4196</v>
      </c>
      <c r="G943" t="s">
        <v>7151</v>
      </c>
      <c r="I943" t="s">
        <v>11386</v>
      </c>
      <c r="J943">
        <v>10033</v>
      </c>
      <c r="K943" t="s">
        <v>11446</v>
      </c>
      <c r="M943" t="s">
        <v>14746</v>
      </c>
      <c r="N943" t="s">
        <v>14779</v>
      </c>
      <c r="P943" t="s">
        <v>14797</v>
      </c>
      <c r="Q943" t="s">
        <v>11446</v>
      </c>
      <c r="S943" t="s">
        <v>14827</v>
      </c>
      <c r="U943" t="s">
        <v>545</v>
      </c>
      <c r="V943">
        <v>811.77</v>
      </c>
      <c r="W943" t="s">
        <v>14860</v>
      </c>
      <c r="X943" t="s">
        <v>14867</v>
      </c>
      <c r="Z943" t="s">
        <v>15796</v>
      </c>
      <c r="AB943" t="s">
        <v>20892</v>
      </c>
      <c r="AC943">
        <v>24</v>
      </c>
      <c r="AD943" t="s">
        <v>24595</v>
      </c>
      <c r="AE943" t="s">
        <v>24613</v>
      </c>
      <c r="AF943">
        <v>45</v>
      </c>
      <c r="AG943">
        <v>2</v>
      </c>
      <c r="AH943">
        <v>0</v>
      </c>
      <c r="AI943">
        <v>34.35</v>
      </c>
      <c r="AL943" t="s">
        <v>24632</v>
      </c>
      <c r="AM943">
        <v>5808</v>
      </c>
      <c r="AS943">
        <v>0</v>
      </c>
      <c r="AT943" t="s">
        <v>602</v>
      </c>
      <c r="AU943" t="s">
        <v>137</v>
      </c>
      <c r="AV943" t="s">
        <v>25335</v>
      </c>
      <c r="AW943" t="s">
        <v>11447</v>
      </c>
    </row>
    <row r="944" spans="1:49">
      <c r="A944" s="1">
        <f>HYPERLINK("https://lsnyc.legalserver.org/matter/dynamic-profile/view/1896627","19-1896627")</f>
        <v>0</v>
      </c>
      <c r="B944" t="s">
        <v>211</v>
      </c>
      <c r="C944" t="s">
        <v>492</v>
      </c>
      <c r="E944" t="s">
        <v>1696</v>
      </c>
      <c r="F944" t="s">
        <v>3909</v>
      </c>
      <c r="G944" t="s">
        <v>7152</v>
      </c>
      <c r="H944" t="s">
        <v>10751</v>
      </c>
      <c r="I944" t="s">
        <v>11385</v>
      </c>
      <c r="J944">
        <v>11233</v>
      </c>
      <c r="K944" t="s">
        <v>11446</v>
      </c>
      <c r="M944" t="s">
        <v>14745</v>
      </c>
      <c r="N944" t="s">
        <v>14779</v>
      </c>
      <c r="P944" t="s">
        <v>14797</v>
      </c>
      <c r="Q944" t="s">
        <v>11446</v>
      </c>
      <c r="S944" t="s">
        <v>14827</v>
      </c>
      <c r="T944" t="s">
        <v>14832</v>
      </c>
      <c r="U944" t="s">
        <v>545</v>
      </c>
      <c r="V944">
        <v>1056</v>
      </c>
      <c r="W944" t="s">
        <v>14859</v>
      </c>
      <c r="Z944" t="s">
        <v>15797</v>
      </c>
      <c r="AC944">
        <v>359</v>
      </c>
      <c r="AD944" t="s">
        <v>24595</v>
      </c>
      <c r="AE944" t="s">
        <v>11459</v>
      </c>
      <c r="AF944">
        <v>9</v>
      </c>
      <c r="AG944">
        <v>2</v>
      </c>
      <c r="AH944">
        <v>0</v>
      </c>
      <c r="AI944">
        <v>37.21</v>
      </c>
      <c r="AL944" t="s">
        <v>5011</v>
      </c>
      <c r="AM944">
        <v>6292</v>
      </c>
      <c r="AN944" t="s">
        <v>24750</v>
      </c>
      <c r="AS944">
        <v>0</v>
      </c>
      <c r="AU944" t="s">
        <v>120</v>
      </c>
      <c r="AV944" t="s">
        <v>25335</v>
      </c>
      <c r="AW944" t="s">
        <v>11448</v>
      </c>
    </row>
    <row r="945" spans="1:49">
      <c r="A945" s="1">
        <f>HYPERLINK("https://lsnyc.legalserver.org/matter/dynamic-profile/view/1915199","19-1915199")</f>
        <v>0</v>
      </c>
      <c r="B945" t="s">
        <v>200</v>
      </c>
      <c r="C945" t="s">
        <v>655</v>
      </c>
      <c r="E945" t="s">
        <v>1249</v>
      </c>
      <c r="F945" t="s">
        <v>4197</v>
      </c>
      <c r="G945" t="s">
        <v>7153</v>
      </c>
      <c r="H945">
        <v>23</v>
      </c>
      <c r="I945" t="s">
        <v>11385</v>
      </c>
      <c r="J945">
        <v>11225</v>
      </c>
      <c r="K945" t="s">
        <v>11446</v>
      </c>
      <c r="M945" t="s">
        <v>14762</v>
      </c>
      <c r="N945" t="s">
        <v>14783</v>
      </c>
      <c r="P945" t="s">
        <v>14797</v>
      </c>
      <c r="Q945" t="s">
        <v>11448</v>
      </c>
      <c r="S945" t="s">
        <v>14827</v>
      </c>
      <c r="T945" t="s">
        <v>14832</v>
      </c>
      <c r="U945" t="s">
        <v>545</v>
      </c>
      <c r="V945">
        <v>0</v>
      </c>
      <c r="W945" t="s">
        <v>14859</v>
      </c>
      <c r="X945" t="s">
        <v>14868</v>
      </c>
      <c r="Z945" t="s">
        <v>15798</v>
      </c>
      <c r="AB945" t="s">
        <v>20893</v>
      </c>
      <c r="AC945">
        <v>0</v>
      </c>
      <c r="AF945">
        <v>40</v>
      </c>
      <c r="AG945">
        <v>1</v>
      </c>
      <c r="AH945">
        <v>0</v>
      </c>
      <c r="AI945">
        <v>74.08</v>
      </c>
      <c r="AK945" t="s">
        <v>24628</v>
      </c>
      <c r="AL945" t="s">
        <v>24632</v>
      </c>
      <c r="AM945">
        <v>9252</v>
      </c>
      <c r="AS945">
        <v>0</v>
      </c>
      <c r="AU945" t="s">
        <v>200</v>
      </c>
      <c r="AV945" t="s">
        <v>25335</v>
      </c>
      <c r="AW945" t="s">
        <v>11447</v>
      </c>
    </row>
    <row r="946" spans="1:49">
      <c r="A946" s="1">
        <f>HYPERLINK("https://lsnyc.legalserver.org/matter/dynamic-profile/view/1902841","19-1902841")</f>
        <v>0</v>
      </c>
      <c r="B946" t="s">
        <v>140</v>
      </c>
      <c r="C946" t="s">
        <v>343</v>
      </c>
      <c r="E946" t="s">
        <v>1697</v>
      </c>
      <c r="F946" t="s">
        <v>3819</v>
      </c>
      <c r="G946" t="s">
        <v>7154</v>
      </c>
      <c r="H946" t="s">
        <v>10450</v>
      </c>
      <c r="I946" t="s">
        <v>11383</v>
      </c>
      <c r="J946">
        <v>10452</v>
      </c>
      <c r="K946" t="s">
        <v>11446</v>
      </c>
      <c r="L946" t="s">
        <v>11734</v>
      </c>
      <c r="M946" t="s">
        <v>14744</v>
      </c>
      <c r="N946" t="s">
        <v>14781</v>
      </c>
      <c r="P946" t="s">
        <v>14797</v>
      </c>
      <c r="Q946" t="s">
        <v>11448</v>
      </c>
      <c r="S946" t="s">
        <v>14827</v>
      </c>
      <c r="U946" t="s">
        <v>545</v>
      </c>
      <c r="V946">
        <v>950</v>
      </c>
      <c r="W946" t="s">
        <v>14858</v>
      </c>
      <c r="X946" t="s">
        <v>14864</v>
      </c>
      <c r="Z946" t="s">
        <v>15799</v>
      </c>
      <c r="AB946" t="s">
        <v>20894</v>
      </c>
      <c r="AC946">
        <v>9</v>
      </c>
      <c r="AD946" t="s">
        <v>24595</v>
      </c>
      <c r="AE946" t="s">
        <v>11459</v>
      </c>
      <c r="AF946">
        <v>4</v>
      </c>
      <c r="AG946">
        <v>1</v>
      </c>
      <c r="AH946">
        <v>2</v>
      </c>
      <c r="AI946">
        <v>97.27</v>
      </c>
      <c r="AL946" t="s">
        <v>5011</v>
      </c>
      <c r="AM946">
        <v>20748</v>
      </c>
      <c r="AS946">
        <v>4</v>
      </c>
      <c r="AT946" t="s">
        <v>366</v>
      </c>
      <c r="AU946" t="s">
        <v>25242</v>
      </c>
      <c r="AV946" t="s">
        <v>25335</v>
      </c>
      <c r="AW946" t="s">
        <v>11447</v>
      </c>
    </row>
    <row r="947" spans="1:49">
      <c r="A947" s="1">
        <f>HYPERLINK("https://lsnyc.legalserver.org/matter/dynamic-profile/view/1903749","19-1903749")</f>
        <v>0</v>
      </c>
      <c r="B947" t="s">
        <v>210</v>
      </c>
      <c r="C947" t="s">
        <v>545</v>
      </c>
      <c r="E947" t="s">
        <v>1032</v>
      </c>
      <c r="F947" t="s">
        <v>4198</v>
      </c>
      <c r="G947" t="s">
        <v>7155</v>
      </c>
      <c r="H947" t="s">
        <v>10665</v>
      </c>
      <c r="I947" t="s">
        <v>11385</v>
      </c>
      <c r="J947">
        <v>11220</v>
      </c>
      <c r="K947" t="s">
        <v>11446</v>
      </c>
      <c r="M947" t="s">
        <v>14746</v>
      </c>
      <c r="N947" t="s">
        <v>14781</v>
      </c>
      <c r="P947" t="s">
        <v>14797</v>
      </c>
      <c r="Q947" t="s">
        <v>11446</v>
      </c>
      <c r="R947" t="s">
        <v>14820</v>
      </c>
      <c r="S947" t="s">
        <v>14827</v>
      </c>
      <c r="U947" t="s">
        <v>545</v>
      </c>
      <c r="V947">
        <v>1375</v>
      </c>
      <c r="W947" t="s">
        <v>14859</v>
      </c>
      <c r="Z947" t="s">
        <v>15800</v>
      </c>
      <c r="AB947" t="s">
        <v>20895</v>
      </c>
      <c r="AC947">
        <v>54</v>
      </c>
      <c r="AF947">
        <v>16</v>
      </c>
      <c r="AG947">
        <v>2</v>
      </c>
      <c r="AH947">
        <v>0</v>
      </c>
      <c r="AI947">
        <v>99.34999999999999</v>
      </c>
      <c r="AL947" t="s">
        <v>5011</v>
      </c>
      <c r="AM947">
        <v>16800</v>
      </c>
      <c r="AS947">
        <v>0.7</v>
      </c>
      <c r="AT947" t="s">
        <v>338</v>
      </c>
      <c r="AU947" t="s">
        <v>75</v>
      </c>
      <c r="AV947" t="s">
        <v>25335</v>
      </c>
      <c r="AW947" t="s">
        <v>11447</v>
      </c>
    </row>
    <row r="948" spans="1:49">
      <c r="A948" s="1">
        <f>HYPERLINK("https://lsnyc.legalserver.org/matter/dynamic-profile/view/1905991","19-1905991")</f>
        <v>0</v>
      </c>
      <c r="B948" t="s">
        <v>107</v>
      </c>
      <c r="C948" t="s">
        <v>461</v>
      </c>
      <c r="E948" t="s">
        <v>1698</v>
      </c>
      <c r="F948" t="s">
        <v>1139</v>
      </c>
      <c r="G948" t="s">
        <v>7152</v>
      </c>
      <c r="H948" t="s">
        <v>10752</v>
      </c>
      <c r="I948" t="s">
        <v>11385</v>
      </c>
      <c r="J948">
        <v>11233</v>
      </c>
      <c r="K948" t="s">
        <v>11446</v>
      </c>
      <c r="L948" t="s">
        <v>11465</v>
      </c>
      <c r="M948" t="s">
        <v>14745</v>
      </c>
      <c r="N948" t="s">
        <v>14779</v>
      </c>
      <c r="P948" t="s">
        <v>14797</v>
      </c>
      <c r="Q948" t="s">
        <v>11448</v>
      </c>
      <c r="S948" t="s">
        <v>14827</v>
      </c>
      <c r="T948" t="s">
        <v>14832</v>
      </c>
      <c r="U948" t="s">
        <v>545</v>
      </c>
      <c r="V948">
        <v>1200</v>
      </c>
      <c r="W948" t="s">
        <v>14859</v>
      </c>
      <c r="Z948" t="s">
        <v>15801</v>
      </c>
      <c r="AA948" t="s">
        <v>11465</v>
      </c>
      <c r="AC948">
        <v>359</v>
      </c>
      <c r="AD948" t="s">
        <v>24595</v>
      </c>
      <c r="AE948" t="s">
        <v>11459</v>
      </c>
      <c r="AF948">
        <v>26</v>
      </c>
      <c r="AG948">
        <v>4</v>
      </c>
      <c r="AH948">
        <v>1</v>
      </c>
      <c r="AI948">
        <v>99.44</v>
      </c>
      <c r="AL948" t="s">
        <v>5011</v>
      </c>
      <c r="AM948">
        <v>30000</v>
      </c>
      <c r="AN948" t="s">
        <v>24750</v>
      </c>
      <c r="AS948">
        <v>0</v>
      </c>
      <c r="AU948" t="s">
        <v>66</v>
      </c>
      <c r="AV948" t="s">
        <v>25335</v>
      </c>
      <c r="AW948" t="s">
        <v>11447</v>
      </c>
    </row>
    <row r="949" spans="1:49">
      <c r="A949" s="1">
        <f>HYPERLINK("https://lsnyc.legalserver.org/matter/dynamic-profile/view/1903768","19-1903768")</f>
        <v>0</v>
      </c>
      <c r="B949" t="s">
        <v>212</v>
      </c>
      <c r="C949" t="s">
        <v>545</v>
      </c>
      <c r="E949" t="s">
        <v>1699</v>
      </c>
      <c r="F949" t="s">
        <v>3797</v>
      </c>
      <c r="G949" t="s">
        <v>7156</v>
      </c>
      <c r="H949" t="s">
        <v>10513</v>
      </c>
      <c r="I949" t="s">
        <v>11385</v>
      </c>
      <c r="J949">
        <v>11207</v>
      </c>
      <c r="K949" t="s">
        <v>11446</v>
      </c>
      <c r="L949" t="s">
        <v>11601</v>
      </c>
      <c r="M949" t="s">
        <v>11601</v>
      </c>
      <c r="N949" t="s">
        <v>14779</v>
      </c>
      <c r="P949" t="s">
        <v>14797</v>
      </c>
      <c r="Q949" t="s">
        <v>11448</v>
      </c>
      <c r="S949" t="s">
        <v>14827</v>
      </c>
      <c r="T949" t="s">
        <v>14832</v>
      </c>
      <c r="U949" t="s">
        <v>545</v>
      </c>
      <c r="V949">
        <v>1515</v>
      </c>
      <c r="W949" t="s">
        <v>14859</v>
      </c>
      <c r="X949" t="s">
        <v>14868</v>
      </c>
      <c r="Z949" t="s">
        <v>15802</v>
      </c>
      <c r="AA949" t="s">
        <v>19388</v>
      </c>
      <c r="AB949" t="s">
        <v>20896</v>
      </c>
      <c r="AC949">
        <v>4</v>
      </c>
      <c r="AD949" t="s">
        <v>24600</v>
      </c>
      <c r="AE949" t="s">
        <v>24617</v>
      </c>
      <c r="AF949">
        <v>1</v>
      </c>
      <c r="AG949">
        <v>1</v>
      </c>
      <c r="AH949">
        <v>2</v>
      </c>
      <c r="AI949">
        <v>112.52</v>
      </c>
      <c r="AL949" t="s">
        <v>5011</v>
      </c>
      <c r="AM949">
        <v>24000</v>
      </c>
      <c r="AS949">
        <v>7.05</v>
      </c>
      <c r="AT949" t="s">
        <v>585</v>
      </c>
      <c r="AU949" t="s">
        <v>212</v>
      </c>
      <c r="AV949" t="s">
        <v>25334</v>
      </c>
      <c r="AW949" t="s">
        <v>11447</v>
      </c>
    </row>
    <row r="950" spans="1:49">
      <c r="A950" s="1">
        <f>HYPERLINK("https://lsnyc.legalserver.org/matter/dynamic-profile/view/1903642","19-1903642")</f>
        <v>0</v>
      </c>
      <c r="B950" t="s">
        <v>210</v>
      </c>
      <c r="C950" t="s">
        <v>545</v>
      </c>
      <c r="E950" t="s">
        <v>1700</v>
      </c>
      <c r="F950" t="s">
        <v>3823</v>
      </c>
      <c r="G950" t="s">
        <v>7155</v>
      </c>
      <c r="H950" t="s">
        <v>10448</v>
      </c>
      <c r="I950" t="s">
        <v>11385</v>
      </c>
      <c r="J950">
        <v>11220</v>
      </c>
      <c r="K950" t="s">
        <v>11446</v>
      </c>
      <c r="M950" t="s">
        <v>14746</v>
      </c>
      <c r="N950" t="s">
        <v>14781</v>
      </c>
      <c r="P950" t="s">
        <v>14797</v>
      </c>
      <c r="Q950" t="s">
        <v>11446</v>
      </c>
      <c r="R950" t="s">
        <v>14820</v>
      </c>
      <c r="S950" t="s">
        <v>14827</v>
      </c>
      <c r="U950" t="s">
        <v>545</v>
      </c>
      <c r="V950">
        <v>745</v>
      </c>
      <c r="W950" t="s">
        <v>14859</v>
      </c>
      <c r="Z950" t="s">
        <v>15736</v>
      </c>
      <c r="AB950" t="s">
        <v>20897</v>
      </c>
      <c r="AC950">
        <v>54</v>
      </c>
      <c r="AF950">
        <v>40</v>
      </c>
      <c r="AG950">
        <v>3</v>
      </c>
      <c r="AH950">
        <v>3</v>
      </c>
      <c r="AI950">
        <v>120.73</v>
      </c>
      <c r="AL950" t="s">
        <v>5011</v>
      </c>
      <c r="AM950">
        <v>41760</v>
      </c>
      <c r="AS950">
        <v>0</v>
      </c>
      <c r="AU950" t="s">
        <v>75</v>
      </c>
      <c r="AV950" t="s">
        <v>25335</v>
      </c>
      <c r="AW950" t="s">
        <v>11447</v>
      </c>
    </row>
    <row r="951" spans="1:49">
      <c r="A951" s="1">
        <f>HYPERLINK("https://lsnyc.legalserver.org/matter/dynamic-profile/view/1903996","19-1903996")</f>
        <v>0</v>
      </c>
      <c r="B951" t="s">
        <v>178</v>
      </c>
      <c r="C951" t="s">
        <v>474</v>
      </c>
      <c r="E951" t="s">
        <v>1701</v>
      </c>
      <c r="F951" t="s">
        <v>3639</v>
      </c>
      <c r="G951" t="s">
        <v>7157</v>
      </c>
      <c r="H951" t="s">
        <v>10665</v>
      </c>
      <c r="I951" t="s">
        <v>11386</v>
      </c>
      <c r="J951">
        <v>10033</v>
      </c>
      <c r="K951" t="s">
        <v>11446</v>
      </c>
      <c r="M951" t="s">
        <v>14760</v>
      </c>
      <c r="N951" t="s">
        <v>14779</v>
      </c>
      <c r="P951" t="s">
        <v>14797</v>
      </c>
      <c r="Q951" t="s">
        <v>11448</v>
      </c>
      <c r="S951" t="s">
        <v>14827</v>
      </c>
      <c r="T951" t="s">
        <v>14832</v>
      </c>
      <c r="U951" t="s">
        <v>545</v>
      </c>
      <c r="V951">
        <v>2500</v>
      </c>
      <c r="W951" t="s">
        <v>14860</v>
      </c>
      <c r="X951" t="s">
        <v>14867</v>
      </c>
      <c r="Z951" t="s">
        <v>15803</v>
      </c>
      <c r="AB951" t="s">
        <v>20898</v>
      </c>
      <c r="AC951">
        <v>95</v>
      </c>
      <c r="AD951" t="s">
        <v>24600</v>
      </c>
      <c r="AE951" t="s">
        <v>11459</v>
      </c>
      <c r="AF951">
        <v>7</v>
      </c>
      <c r="AG951">
        <v>2</v>
      </c>
      <c r="AH951">
        <v>1</v>
      </c>
      <c r="AI951">
        <v>133.9</v>
      </c>
      <c r="AL951" t="s">
        <v>5011</v>
      </c>
      <c r="AM951">
        <v>28560</v>
      </c>
      <c r="AS951">
        <v>13.8</v>
      </c>
      <c r="AT951" t="s">
        <v>521</v>
      </c>
      <c r="AU951" t="s">
        <v>25266</v>
      </c>
      <c r="AV951" t="s">
        <v>25335</v>
      </c>
      <c r="AW951" t="s">
        <v>11447</v>
      </c>
    </row>
    <row r="952" spans="1:49">
      <c r="A952" s="1">
        <f>HYPERLINK("https://lsnyc.legalserver.org/matter/dynamic-profile/view/1903783","19-1903783")</f>
        <v>0</v>
      </c>
      <c r="B952" t="s">
        <v>213</v>
      </c>
      <c r="C952" t="s">
        <v>545</v>
      </c>
      <c r="E952" t="s">
        <v>1702</v>
      </c>
      <c r="F952" t="s">
        <v>4013</v>
      </c>
      <c r="G952" t="s">
        <v>7158</v>
      </c>
      <c r="H952" t="s">
        <v>10568</v>
      </c>
      <c r="I952" t="s">
        <v>11385</v>
      </c>
      <c r="J952">
        <v>11208</v>
      </c>
      <c r="K952" t="s">
        <v>11446</v>
      </c>
      <c r="L952" t="s">
        <v>11456</v>
      </c>
      <c r="M952" t="s">
        <v>14745</v>
      </c>
      <c r="N952" t="s">
        <v>14779</v>
      </c>
      <c r="P952" t="s">
        <v>14797</v>
      </c>
      <c r="Q952" t="s">
        <v>11448</v>
      </c>
      <c r="S952" t="s">
        <v>14827</v>
      </c>
      <c r="T952" t="s">
        <v>14832</v>
      </c>
      <c r="U952" t="s">
        <v>545</v>
      </c>
      <c r="V952">
        <v>1350</v>
      </c>
      <c r="W952" t="s">
        <v>14859</v>
      </c>
      <c r="X952" t="s">
        <v>14868</v>
      </c>
      <c r="Z952" t="s">
        <v>15804</v>
      </c>
      <c r="AA952" t="s">
        <v>19389</v>
      </c>
      <c r="AB952" t="s">
        <v>20899</v>
      </c>
      <c r="AC952">
        <v>15</v>
      </c>
      <c r="AD952" t="s">
        <v>24595</v>
      </c>
      <c r="AE952" t="s">
        <v>11459</v>
      </c>
      <c r="AF952">
        <v>2</v>
      </c>
      <c r="AG952">
        <v>2</v>
      </c>
      <c r="AH952">
        <v>3</v>
      </c>
      <c r="AI952">
        <v>165.81</v>
      </c>
      <c r="AL952" t="s">
        <v>5011</v>
      </c>
      <c r="AM952">
        <v>50024</v>
      </c>
      <c r="AS952">
        <v>0.1</v>
      </c>
      <c r="AT952" t="s">
        <v>378</v>
      </c>
      <c r="AU952" t="s">
        <v>66</v>
      </c>
      <c r="AV952" t="s">
        <v>25334</v>
      </c>
      <c r="AW952" t="s">
        <v>11447</v>
      </c>
    </row>
    <row r="953" spans="1:49">
      <c r="A953" s="1">
        <f>HYPERLINK("https://lsnyc.legalserver.org/matter/dynamic-profile/view/1901828","19-1901828")</f>
        <v>0</v>
      </c>
      <c r="B953" t="s">
        <v>109</v>
      </c>
      <c r="C953" t="s">
        <v>487</v>
      </c>
      <c r="E953" t="s">
        <v>1703</v>
      </c>
      <c r="F953" t="s">
        <v>4199</v>
      </c>
      <c r="G953" t="s">
        <v>7159</v>
      </c>
      <c r="H953" t="s">
        <v>10753</v>
      </c>
      <c r="I953" t="s">
        <v>11385</v>
      </c>
      <c r="J953">
        <v>11225</v>
      </c>
      <c r="K953" t="s">
        <v>11446</v>
      </c>
      <c r="M953" t="s">
        <v>14748</v>
      </c>
      <c r="N953" t="s">
        <v>14780</v>
      </c>
      <c r="P953" t="s">
        <v>14797</v>
      </c>
      <c r="Q953" t="s">
        <v>11448</v>
      </c>
      <c r="S953" t="s">
        <v>14827</v>
      </c>
      <c r="U953" t="s">
        <v>545</v>
      </c>
      <c r="V953">
        <v>0</v>
      </c>
      <c r="W953" t="s">
        <v>14859</v>
      </c>
      <c r="Z953" t="s">
        <v>15805</v>
      </c>
      <c r="AB953" t="s">
        <v>20900</v>
      </c>
      <c r="AC953">
        <v>21</v>
      </c>
      <c r="AF953">
        <v>0</v>
      </c>
      <c r="AG953">
        <v>2</v>
      </c>
      <c r="AH953">
        <v>0</v>
      </c>
      <c r="AI953">
        <v>214.67</v>
      </c>
      <c r="AJ953" t="s">
        <v>480</v>
      </c>
      <c r="AK953" t="s">
        <v>24629</v>
      </c>
      <c r="AL953" t="s">
        <v>5011</v>
      </c>
      <c r="AM953">
        <v>36300</v>
      </c>
      <c r="AP953" t="s">
        <v>14755</v>
      </c>
      <c r="AQ953" t="s">
        <v>24986</v>
      </c>
      <c r="AR953" t="s">
        <v>25028</v>
      </c>
      <c r="AS953">
        <v>4.2</v>
      </c>
      <c r="AT953" t="s">
        <v>456</v>
      </c>
      <c r="AU953" t="s">
        <v>177</v>
      </c>
      <c r="AV953" t="s">
        <v>25335</v>
      </c>
      <c r="AW953" t="s">
        <v>11447</v>
      </c>
    </row>
    <row r="954" spans="1:49">
      <c r="A954" s="1">
        <f>HYPERLINK("https://lsnyc.legalserver.org/matter/dynamic-profile/view/1899803","19-1899803")</f>
        <v>0</v>
      </c>
      <c r="B954" t="s">
        <v>214</v>
      </c>
      <c r="C954" t="s">
        <v>370</v>
      </c>
      <c r="E954" t="s">
        <v>1704</v>
      </c>
      <c r="F954" t="s">
        <v>3633</v>
      </c>
      <c r="G954" t="s">
        <v>7160</v>
      </c>
      <c r="H954" t="s">
        <v>10464</v>
      </c>
      <c r="I954" t="s">
        <v>11385</v>
      </c>
      <c r="J954">
        <v>11212</v>
      </c>
      <c r="K954" t="s">
        <v>11446</v>
      </c>
      <c r="L954" t="s">
        <v>11735</v>
      </c>
      <c r="M954" t="s">
        <v>14743</v>
      </c>
      <c r="N954" t="s">
        <v>14781</v>
      </c>
      <c r="P954" t="s">
        <v>14797</v>
      </c>
      <c r="Q954" t="s">
        <v>11448</v>
      </c>
      <c r="S954" t="s">
        <v>14827</v>
      </c>
      <c r="T954" t="s">
        <v>14832</v>
      </c>
      <c r="U954" t="s">
        <v>545</v>
      </c>
      <c r="V954">
        <v>2200</v>
      </c>
      <c r="W954" t="s">
        <v>14859</v>
      </c>
      <c r="Z954" t="s">
        <v>15806</v>
      </c>
      <c r="AB954" t="s">
        <v>20901</v>
      </c>
      <c r="AC954">
        <v>5</v>
      </c>
      <c r="AD954" t="s">
        <v>24600</v>
      </c>
      <c r="AE954" t="s">
        <v>11459</v>
      </c>
      <c r="AF954">
        <v>1</v>
      </c>
      <c r="AG954">
        <v>3</v>
      </c>
      <c r="AH954">
        <v>1</v>
      </c>
      <c r="AI954">
        <v>227.55</v>
      </c>
      <c r="AJ954" t="s">
        <v>462</v>
      </c>
      <c r="AK954" t="s">
        <v>24629</v>
      </c>
      <c r="AL954" t="s">
        <v>5011</v>
      </c>
      <c r="AM954">
        <v>58595</v>
      </c>
      <c r="AS954">
        <v>42</v>
      </c>
      <c r="AT954" t="s">
        <v>505</v>
      </c>
      <c r="AU954" t="s">
        <v>25244</v>
      </c>
      <c r="AV954" t="s">
        <v>25335</v>
      </c>
      <c r="AW954" t="s">
        <v>11447</v>
      </c>
    </row>
    <row r="955" spans="1:49">
      <c r="A955" s="1">
        <f>HYPERLINK("https://lsnyc.legalserver.org/matter/dynamic-profile/view/1901929","19-1901929")</f>
        <v>0</v>
      </c>
      <c r="B955" t="s">
        <v>183</v>
      </c>
      <c r="C955" t="s">
        <v>347</v>
      </c>
      <c r="E955" t="s">
        <v>1556</v>
      </c>
      <c r="F955" t="s">
        <v>4200</v>
      </c>
      <c r="G955" t="s">
        <v>7161</v>
      </c>
      <c r="H955" t="s">
        <v>10481</v>
      </c>
      <c r="I955" t="s">
        <v>11385</v>
      </c>
      <c r="J955">
        <v>11233</v>
      </c>
      <c r="K955" t="s">
        <v>11446</v>
      </c>
      <c r="L955" t="s">
        <v>11736</v>
      </c>
      <c r="M955" t="s">
        <v>14744</v>
      </c>
      <c r="N955" t="s">
        <v>14781</v>
      </c>
      <c r="P955" t="s">
        <v>14797</v>
      </c>
      <c r="Q955" t="s">
        <v>11448</v>
      </c>
      <c r="S955" t="s">
        <v>14827</v>
      </c>
      <c r="T955" t="s">
        <v>14832</v>
      </c>
      <c r="U955" t="s">
        <v>545</v>
      </c>
      <c r="V955">
        <v>1052</v>
      </c>
      <c r="W955" t="s">
        <v>14859</v>
      </c>
      <c r="X955" t="s">
        <v>14868</v>
      </c>
      <c r="Z955" t="s">
        <v>15807</v>
      </c>
      <c r="AA955" t="s">
        <v>11459</v>
      </c>
      <c r="AB955" t="s">
        <v>20902</v>
      </c>
      <c r="AC955">
        <v>12</v>
      </c>
      <c r="AD955" t="s">
        <v>24595</v>
      </c>
      <c r="AE955" t="s">
        <v>11459</v>
      </c>
      <c r="AF955">
        <v>8</v>
      </c>
      <c r="AG955">
        <v>2</v>
      </c>
      <c r="AH955">
        <v>0</v>
      </c>
      <c r="AI955">
        <v>239.06</v>
      </c>
      <c r="AL955" t="s">
        <v>5011</v>
      </c>
      <c r="AM955">
        <v>40425</v>
      </c>
      <c r="AS955">
        <v>47.3</v>
      </c>
      <c r="AT955" t="s">
        <v>476</v>
      </c>
      <c r="AU955" t="s">
        <v>66</v>
      </c>
      <c r="AV955" t="s">
        <v>25335</v>
      </c>
      <c r="AW955" t="s">
        <v>11447</v>
      </c>
    </row>
    <row r="956" spans="1:49">
      <c r="A956" s="1">
        <f>HYPERLINK("https://lsnyc.legalserver.org/matter/dynamic-profile/view/1905028","19-1905028")</f>
        <v>0</v>
      </c>
      <c r="B956" t="s">
        <v>170</v>
      </c>
      <c r="C956" t="s">
        <v>456</v>
      </c>
      <c r="E956" t="s">
        <v>1705</v>
      </c>
      <c r="F956" t="s">
        <v>4201</v>
      </c>
      <c r="G956" t="s">
        <v>7162</v>
      </c>
      <c r="H956" t="s">
        <v>10581</v>
      </c>
      <c r="I956" t="s">
        <v>11386</v>
      </c>
      <c r="J956">
        <v>10024</v>
      </c>
      <c r="K956" t="s">
        <v>11446</v>
      </c>
      <c r="M956" t="s">
        <v>14746</v>
      </c>
      <c r="N956" t="s">
        <v>14782</v>
      </c>
      <c r="P956" t="s">
        <v>14797</v>
      </c>
      <c r="Q956" t="s">
        <v>11446</v>
      </c>
      <c r="S956" t="s">
        <v>14827</v>
      </c>
      <c r="T956" t="s">
        <v>14832</v>
      </c>
      <c r="U956" t="s">
        <v>545</v>
      </c>
      <c r="V956">
        <v>2085</v>
      </c>
      <c r="W956" t="s">
        <v>14860</v>
      </c>
      <c r="X956" t="s">
        <v>14877</v>
      </c>
      <c r="Z956" t="s">
        <v>15808</v>
      </c>
      <c r="AB956" t="s">
        <v>20903</v>
      </c>
      <c r="AC956">
        <v>29</v>
      </c>
      <c r="AD956" t="s">
        <v>24595</v>
      </c>
      <c r="AE956" t="s">
        <v>11459</v>
      </c>
      <c r="AF956">
        <v>2</v>
      </c>
      <c r="AG956">
        <v>1</v>
      </c>
      <c r="AH956">
        <v>0</v>
      </c>
      <c r="AI956">
        <v>560.45</v>
      </c>
      <c r="AL956" t="s">
        <v>5011</v>
      </c>
      <c r="AM956">
        <v>70000</v>
      </c>
      <c r="AS956">
        <v>0.1</v>
      </c>
      <c r="AT956" t="s">
        <v>520</v>
      </c>
      <c r="AU956" t="s">
        <v>25266</v>
      </c>
      <c r="AV956" t="s">
        <v>25335</v>
      </c>
      <c r="AW956" t="s">
        <v>11447</v>
      </c>
    </row>
    <row r="957" spans="1:49">
      <c r="A957" s="1">
        <f>HYPERLINK("https://lsnyc.legalserver.org/matter/dynamic-profile/view/1903865","19-1903865")</f>
        <v>0</v>
      </c>
      <c r="B957" t="s">
        <v>103</v>
      </c>
      <c r="C957" t="s">
        <v>378</v>
      </c>
      <c r="E957" t="s">
        <v>1706</v>
      </c>
      <c r="F957" t="s">
        <v>3799</v>
      </c>
      <c r="G957" t="s">
        <v>7163</v>
      </c>
      <c r="H957" t="s">
        <v>10569</v>
      </c>
      <c r="I957" t="s">
        <v>11385</v>
      </c>
      <c r="J957">
        <v>11233</v>
      </c>
      <c r="K957" t="s">
        <v>11446</v>
      </c>
      <c r="L957" t="s">
        <v>11737</v>
      </c>
      <c r="M957" t="s">
        <v>14744</v>
      </c>
      <c r="N957" t="s">
        <v>14781</v>
      </c>
      <c r="P957" t="s">
        <v>14797</v>
      </c>
      <c r="Q957" t="s">
        <v>11448</v>
      </c>
      <c r="S957" t="s">
        <v>14827</v>
      </c>
      <c r="T957" t="s">
        <v>14834</v>
      </c>
      <c r="U957" t="s">
        <v>378</v>
      </c>
      <c r="V957">
        <v>1050</v>
      </c>
      <c r="W957" t="s">
        <v>14859</v>
      </c>
      <c r="X957" t="s">
        <v>14867</v>
      </c>
      <c r="Z957" t="s">
        <v>15809</v>
      </c>
      <c r="AA957" t="s">
        <v>19390</v>
      </c>
      <c r="AB957" t="s">
        <v>20904</v>
      </c>
      <c r="AC957">
        <v>8</v>
      </c>
      <c r="AD957" t="s">
        <v>24595</v>
      </c>
      <c r="AE957" t="s">
        <v>11459</v>
      </c>
      <c r="AF957">
        <v>17</v>
      </c>
      <c r="AG957">
        <v>2</v>
      </c>
      <c r="AH957">
        <v>2</v>
      </c>
      <c r="AI957">
        <v>19.69</v>
      </c>
      <c r="AL957" t="s">
        <v>5011</v>
      </c>
      <c r="AM957">
        <v>5070</v>
      </c>
      <c r="AS957">
        <v>50.5</v>
      </c>
      <c r="AT957" t="s">
        <v>516</v>
      </c>
      <c r="AU957" t="s">
        <v>66</v>
      </c>
      <c r="AV957" t="s">
        <v>25334</v>
      </c>
      <c r="AW957" t="s">
        <v>11447</v>
      </c>
    </row>
    <row r="958" spans="1:49">
      <c r="A958" s="1">
        <f>HYPERLINK("https://lsnyc.legalserver.org/matter/dynamic-profile/view/1896798","19-1896798")</f>
        <v>0</v>
      </c>
      <c r="B958" t="s">
        <v>174</v>
      </c>
      <c r="C958" t="s">
        <v>656</v>
      </c>
      <c r="E958" t="s">
        <v>1707</v>
      </c>
      <c r="F958" t="s">
        <v>1067</v>
      </c>
      <c r="G958" t="s">
        <v>7164</v>
      </c>
      <c r="H958" t="s">
        <v>10500</v>
      </c>
      <c r="I958" t="s">
        <v>11385</v>
      </c>
      <c r="J958">
        <v>11213</v>
      </c>
      <c r="K958" t="s">
        <v>11446</v>
      </c>
      <c r="M958" t="s">
        <v>14762</v>
      </c>
      <c r="N958" t="s">
        <v>14778</v>
      </c>
      <c r="P958" t="s">
        <v>14797</v>
      </c>
      <c r="Q958" t="s">
        <v>11446</v>
      </c>
      <c r="S958" t="s">
        <v>14827</v>
      </c>
      <c r="U958" t="s">
        <v>378</v>
      </c>
      <c r="V958">
        <v>855.86</v>
      </c>
      <c r="W958" t="s">
        <v>14859</v>
      </c>
      <c r="X958" t="s">
        <v>14864</v>
      </c>
      <c r="Z958" t="s">
        <v>15810</v>
      </c>
      <c r="AA958" t="s">
        <v>11459</v>
      </c>
      <c r="AC958">
        <v>6</v>
      </c>
      <c r="AD958" t="s">
        <v>24595</v>
      </c>
      <c r="AE958" t="s">
        <v>11459</v>
      </c>
      <c r="AF958">
        <v>26</v>
      </c>
      <c r="AG958">
        <v>1</v>
      </c>
      <c r="AH958">
        <v>1</v>
      </c>
      <c r="AI958">
        <v>52.58</v>
      </c>
      <c r="AL958" t="s">
        <v>5011</v>
      </c>
      <c r="AM958">
        <v>8892</v>
      </c>
      <c r="AN958" t="s">
        <v>24751</v>
      </c>
      <c r="AS958">
        <v>0.08</v>
      </c>
      <c r="AT958" t="s">
        <v>511</v>
      </c>
      <c r="AU958" t="s">
        <v>120</v>
      </c>
      <c r="AV958" t="s">
        <v>25335</v>
      </c>
      <c r="AW958" t="s">
        <v>11446</v>
      </c>
    </row>
    <row r="959" spans="1:49">
      <c r="A959" s="1">
        <f>HYPERLINK("https://lsnyc.legalserver.org/matter/dynamic-profile/view/1903677","19-1903677")</f>
        <v>0</v>
      </c>
      <c r="B959" t="s">
        <v>164</v>
      </c>
      <c r="C959" t="s">
        <v>378</v>
      </c>
      <c r="E959" t="s">
        <v>1243</v>
      </c>
      <c r="F959" t="s">
        <v>3758</v>
      </c>
      <c r="G959" t="s">
        <v>7165</v>
      </c>
      <c r="H959" t="s">
        <v>10450</v>
      </c>
      <c r="I959" t="s">
        <v>11384</v>
      </c>
      <c r="J959">
        <v>10301</v>
      </c>
      <c r="K959" t="s">
        <v>11446</v>
      </c>
      <c r="L959" t="s">
        <v>11738</v>
      </c>
      <c r="M959" t="s">
        <v>14744</v>
      </c>
      <c r="N959" t="s">
        <v>14781</v>
      </c>
      <c r="P959" t="s">
        <v>14797</v>
      </c>
      <c r="Q959" t="s">
        <v>11448</v>
      </c>
      <c r="S959" t="s">
        <v>14827</v>
      </c>
      <c r="T959" t="s">
        <v>14832</v>
      </c>
      <c r="U959" t="s">
        <v>378</v>
      </c>
      <c r="V959">
        <v>1515</v>
      </c>
      <c r="W959" t="s">
        <v>14862</v>
      </c>
      <c r="X959" t="s">
        <v>14870</v>
      </c>
      <c r="Z959" t="s">
        <v>15811</v>
      </c>
      <c r="AB959" t="s">
        <v>20905</v>
      </c>
      <c r="AC959">
        <v>11</v>
      </c>
      <c r="AD959" t="s">
        <v>24595</v>
      </c>
      <c r="AE959" t="s">
        <v>24616</v>
      </c>
      <c r="AF959">
        <v>1</v>
      </c>
      <c r="AG959">
        <v>1</v>
      </c>
      <c r="AH959">
        <v>2</v>
      </c>
      <c r="AI959">
        <v>70.31999999999999</v>
      </c>
      <c r="AL959" t="s">
        <v>5011</v>
      </c>
      <c r="AM959">
        <v>15000</v>
      </c>
      <c r="AS959">
        <v>18.4</v>
      </c>
      <c r="AT959" t="s">
        <v>495</v>
      </c>
      <c r="AU959" t="s">
        <v>25270</v>
      </c>
      <c r="AV959" t="s">
        <v>25335</v>
      </c>
      <c r="AW959" t="s">
        <v>11447</v>
      </c>
    </row>
    <row r="960" spans="1:49">
      <c r="A960" s="1">
        <f>HYPERLINK("https://lsnyc.legalserver.org/matter/dynamic-profile/view/1902677","19-1902677")</f>
        <v>0</v>
      </c>
      <c r="B960" t="s">
        <v>56</v>
      </c>
      <c r="C960" t="s">
        <v>371</v>
      </c>
      <c r="E960" t="s">
        <v>1430</v>
      </c>
      <c r="F960" t="s">
        <v>4202</v>
      </c>
      <c r="G960" t="s">
        <v>7166</v>
      </c>
      <c r="H960" t="s">
        <v>10754</v>
      </c>
      <c r="I960" t="s">
        <v>11385</v>
      </c>
      <c r="J960">
        <v>11213</v>
      </c>
      <c r="K960" t="s">
        <v>11446</v>
      </c>
      <c r="L960" t="s">
        <v>11739</v>
      </c>
      <c r="M960" t="s">
        <v>14743</v>
      </c>
      <c r="N960" t="s">
        <v>14781</v>
      </c>
      <c r="P960" t="s">
        <v>14797</v>
      </c>
      <c r="Q960" t="s">
        <v>11448</v>
      </c>
      <c r="S960" t="s">
        <v>14827</v>
      </c>
      <c r="T960" t="s">
        <v>14832</v>
      </c>
      <c r="U960" t="s">
        <v>378</v>
      </c>
      <c r="V960">
        <v>831</v>
      </c>
      <c r="W960" t="s">
        <v>14859</v>
      </c>
      <c r="X960" t="s">
        <v>14865</v>
      </c>
      <c r="Z960" t="s">
        <v>14981</v>
      </c>
      <c r="AA960" t="s">
        <v>11459</v>
      </c>
      <c r="AB960" t="s">
        <v>20906</v>
      </c>
      <c r="AC960">
        <v>200</v>
      </c>
      <c r="AD960" t="s">
        <v>24595</v>
      </c>
      <c r="AE960" t="s">
        <v>11459</v>
      </c>
      <c r="AF960">
        <v>16</v>
      </c>
      <c r="AG960">
        <v>3</v>
      </c>
      <c r="AH960">
        <v>0</v>
      </c>
      <c r="AI960">
        <v>93.76000000000001</v>
      </c>
      <c r="AL960" t="s">
        <v>5011</v>
      </c>
      <c r="AM960">
        <v>20000</v>
      </c>
      <c r="AS960">
        <v>9.5</v>
      </c>
      <c r="AT960" t="s">
        <v>521</v>
      </c>
      <c r="AU960" t="s">
        <v>66</v>
      </c>
      <c r="AV960" t="s">
        <v>25335</v>
      </c>
      <c r="AW960" t="s">
        <v>11447</v>
      </c>
    </row>
    <row r="961" spans="1:49">
      <c r="A961" s="1">
        <f>HYPERLINK("https://lsnyc.legalserver.org/matter/dynamic-profile/view/1903131","19-1903131")</f>
        <v>0</v>
      </c>
      <c r="B961" t="s">
        <v>183</v>
      </c>
      <c r="C961" t="s">
        <v>346</v>
      </c>
      <c r="E961" t="s">
        <v>1708</v>
      </c>
      <c r="F961" t="s">
        <v>4203</v>
      </c>
      <c r="G961" t="s">
        <v>7167</v>
      </c>
      <c r="H961" t="s">
        <v>10486</v>
      </c>
      <c r="I961" t="s">
        <v>11385</v>
      </c>
      <c r="J961">
        <v>11212</v>
      </c>
      <c r="K961" t="s">
        <v>11446</v>
      </c>
      <c r="L961" t="s">
        <v>11740</v>
      </c>
      <c r="M961" t="s">
        <v>14744</v>
      </c>
      <c r="N961" t="s">
        <v>14781</v>
      </c>
      <c r="P961" t="s">
        <v>14797</v>
      </c>
      <c r="Q961" t="s">
        <v>11448</v>
      </c>
      <c r="S961" t="s">
        <v>14827</v>
      </c>
      <c r="T961" t="s">
        <v>14832</v>
      </c>
      <c r="U961" t="s">
        <v>378</v>
      </c>
      <c r="V961">
        <v>1235</v>
      </c>
      <c r="W961" t="s">
        <v>14859</v>
      </c>
      <c r="X961" t="s">
        <v>14867</v>
      </c>
      <c r="Y961" t="s">
        <v>14883</v>
      </c>
      <c r="Z961" t="s">
        <v>15812</v>
      </c>
      <c r="AA961" t="s">
        <v>19391</v>
      </c>
      <c r="AC961">
        <v>4</v>
      </c>
      <c r="AD961" t="s">
        <v>24600</v>
      </c>
      <c r="AE961" t="s">
        <v>24612</v>
      </c>
      <c r="AF961">
        <v>30</v>
      </c>
      <c r="AG961">
        <v>1</v>
      </c>
      <c r="AH961">
        <v>0</v>
      </c>
      <c r="AI961">
        <v>151.8</v>
      </c>
      <c r="AL961" t="s">
        <v>5011</v>
      </c>
      <c r="AM961">
        <v>18960</v>
      </c>
      <c r="AS961">
        <v>10.16</v>
      </c>
      <c r="AT961" t="s">
        <v>533</v>
      </c>
      <c r="AU961" t="s">
        <v>25240</v>
      </c>
      <c r="AV961" t="s">
        <v>25334</v>
      </c>
      <c r="AW961" t="s">
        <v>11447</v>
      </c>
    </row>
    <row r="962" spans="1:49">
      <c r="A962" s="1">
        <f>HYPERLINK("https://lsnyc.legalserver.org/matter/dynamic-profile/view/1902689","19-1902689")</f>
        <v>0</v>
      </c>
      <c r="B962" t="s">
        <v>165</v>
      </c>
      <c r="C962" t="s">
        <v>378</v>
      </c>
      <c r="E962" t="s">
        <v>1709</v>
      </c>
      <c r="F962" t="s">
        <v>4204</v>
      </c>
      <c r="G962" t="s">
        <v>7168</v>
      </c>
      <c r="H962" t="s">
        <v>10501</v>
      </c>
      <c r="I962" t="s">
        <v>11384</v>
      </c>
      <c r="J962">
        <v>10301</v>
      </c>
      <c r="K962" t="s">
        <v>11446</v>
      </c>
      <c r="L962" t="s">
        <v>11741</v>
      </c>
      <c r="M962" t="s">
        <v>14743</v>
      </c>
      <c r="N962" t="s">
        <v>14781</v>
      </c>
      <c r="P962" t="s">
        <v>14797</v>
      </c>
      <c r="Q962" t="s">
        <v>11448</v>
      </c>
      <c r="S962" t="s">
        <v>14827</v>
      </c>
      <c r="T962" t="s">
        <v>14832</v>
      </c>
      <c r="U962" t="s">
        <v>378</v>
      </c>
      <c r="V962">
        <v>1025</v>
      </c>
      <c r="W962" t="s">
        <v>14862</v>
      </c>
      <c r="X962" t="s">
        <v>14863</v>
      </c>
      <c r="Z962" t="s">
        <v>15813</v>
      </c>
      <c r="AB962" t="s">
        <v>20907</v>
      </c>
      <c r="AC962">
        <v>2</v>
      </c>
      <c r="AD962" t="s">
        <v>24600</v>
      </c>
      <c r="AE962" t="s">
        <v>11459</v>
      </c>
      <c r="AF962">
        <v>6</v>
      </c>
      <c r="AG962">
        <v>1</v>
      </c>
      <c r="AH962">
        <v>0</v>
      </c>
      <c r="AI962">
        <v>158.21</v>
      </c>
      <c r="AL962" t="s">
        <v>5011</v>
      </c>
      <c r="AM962">
        <v>19760</v>
      </c>
      <c r="AO962" t="s">
        <v>24939</v>
      </c>
      <c r="AS962">
        <v>34.45</v>
      </c>
      <c r="AT962" t="s">
        <v>495</v>
      </c>
      <c r="AU962" t="s">
        <v>25270</v>
      </c>
      <c r="AV962" t="s">
        <v>25335</v>
      </c>
      <c r="AW962" t="s">
        <v>11447</v>
      </c>
    </row>
    <row r="963" spans="1:49">
      <c r="A963" s="1">
        <f>HYPERLINK("https://lsnyc.legalserver.org/matter/dynamic-profile/view/1903859","19-1903859")</f>
        <v>0</v>
      </c>
      <c r="B963" t="s">
        <v>215</v>
      </c>
      <c r="C963" t="s">
        <v>378</v>
      </c>
      <c r="E963" t="s">
        <v>1320</v>
      </c>
      <c r="F963" t="s">
        <v>2002</v>
      </c>
      <c r="G963" t="s">
        <v>7169</v>
      </c>
      <c r="H963">
        <v>10</v>
      </c>
      <c r="I963" t="s">
        <v>11386</v>
      </c>
      <c r="J963">
        <v>10025</v>
      </c>
      <c r="K963" t="s">
        <v>11446</v>
      </c>
      <c r="M963" t="s">
        <v>14748</v>
      </c>
      <c r="N963" t="s">
        <v>14780</v>
      </c>
      <c r="P963" t="s">
        <v>14797</v>
      </c>
      <c r="Q963" t="s">
        <v>11448</v>
      </c>
      <c r="S963" t="s">
        <v>14827</v>
      </c>
      <c r="T963" t="s">
        <v>14832</v>
      </c>
      <c r="U963" t="s">
        <v>378</v>
      </c>
      <c r="V963">
        <v>679.8200000000001</v>
      </c>
      <c r="W963" t="s">
        <v>14860</v>
      </c>
      <c r="X963" t="s">
        <v>14871</v>
      </c>
      <c r="Z963" t="s">
        <v>15814</v>
      </c>
      <c r="AB963" t="s">
        <v>20908</v>
      </c>
      <c r="AC963">
        <v>16</v>
      </c>
      <c r="AD963" t="s">
        <v>24599</v>
      </c>
      <c r="AE963" t="s">
        <v>11459</v>
      </c>
      <c r="AF963">
        <v>40</v>
      </c>
      <c r="AG963">
        <v>1</v>
      </c>
      <c r="AH963">
        <v>0</v>
      </c>
      <c r="AI963">
        <v>160.92</v>
      </c>
      <c r="AL963" t="s">
        <v>24632</v>
      </c>
      <c r="AM963">
        <v>20098.56</v>
      </c>
      <c r="AS963">
        <v>3</v>
      </c>
      <c r="AT963" t="s">
        <v>378</v>
      </c>
      <c r="AU963" t="s">
        <v>25266</v>
      </c>
      <c r="AV963" t="s">
        <v>25335</v>
      </c>
      <c r="AW963" t="s">
        <v>11447</v>
      </c>
    </row>
    <row r="964" spans="1:49">
      <c r="A964" s="1">
        <f>HYPERLINK("https://lsnyc.legalserver.org/matter/dynamic-profile/view/1901630","19-1901630")</f>
        <v>0</v>
      </c>
      <c r="B964" t="s">
        <v>144</v>
      </c>
      <c r="C964" t="s">
        <v>459</v>
      </c>
      <c r="E964" t="s">
        <v>1710</v>
      </c>
      <c r="F964" t="s">
        <v>4205</v>
      </c>
      <c r="G964" t="s">
        <v>7170</v>
      </c>
      <c r="H964" t="s">
        <v>10755</v>
      </c>
      <c r="I964" t="s">
        <v>11390</v>
      </c>
      <c r="J964">
        <v>11368</v>
      </c>
      <c r="K964" t="s">
        <v>11446</v>
      </c>
      <c r="L964" t="s">
        <v>11742</v>
      </c>
      <c r="M964" t="s">
        <v>14743</v>
      </c>
      <c r="N964" t="s">
        <v>14778</v>
      </c>
      <c r="P964" t="s">
        <v>14797</v>
      </c>
      <c r="Q964" t="s">
        <v>11448</v>
      </c>
      <c r="S964" t="s">
        <v>14827</v>
      </c>
      <c r="T964" t="s">
        <v>14832</v>
      </c>
      <c r="U964" t="s">
        <v>474</v>
      </c>
      <c r="V964">
        <v>1800</v>
      </c>
      <c r="W964" t="s">
        <v>14861</v>
      </c>
      <c r="X964" t="s">
        <v>14865</v>
      </c>
      <c r="Z964" t="s">
        <v>15815</v>
      </c>
      <c r="AA964" t="s">
        <v>19392</v>
      </c>
      <c r="AB964" t="s">
        <v>20909</v>
      </c>
      <c r="AC964">
        <v>3</v>
      </c>
      <c r="AD964" t="s">
        <v>11479</v>
      </c>
      <c r="AE964" t="s">
        <v>11459</v>
      </c>
      <c r="AF964">
        <v>21</v>
      </c>
      <c r="AG964">
        <v>2</v>
      </c>
      <c r="AH964">
        <v>2</v>
      </c>
      <c r="AI964">
        <v>102.52</v>
      </c>
      <c r="AL964" t="s">
        <v>24632</v>
      </c>
      <c r="AM964">
        <v>26400</v>
      </c>
      <c r="AS964">
        <v>0.52</v>
      </c>
      <c r="AT964" t="s">
        <v>767</v>
      </c>
      <c r="AU964" t="s">
        <v>25233</v>
      </c>
      <c r="AV964" t="s">
        <v>25335</v>
      </c>
      <c r="AW964" t="s">
        <v>11447</v>
      </c>
    </row>
    <row r="965" spans="1:49">
      <c r="A965" s="1">
        <f>HYPERLINK("https://lsnyc.legalserver.org/matter/dynamic-profile/view/1904010","19-1904010")</f>
        <v>0</v>
      </c>
      <c r="B965" t="s">
        <v>170</v>
      </c>
      <c r="C965" t="s">
        <v>474</v>
      </c>
      <c r="E965" t="s">
        <v>1407</v>
      </c>
      <c r="F965" t="s">
        <v>4206</v>
      </c>
      <c r="G965" t="s">
        <v>7162</v>
      </c>
      <c r="H965" t="s">
        <v>10481</v>
      </c>
      <c r="I965" t="s">
        <v>11386</v>
      </c>
      <c r="J965">
        <v>10024</v>
      </c>
      <c r="K965" t="s">
        <v>11446</v>
      </c>
      <c r="M965" t="s">
        <v>14746</v>
      </c>
      <c r="N965" t="s">
        <v>14782</v>
      </c>
      <c r="P965" t="s">
        <v>14797</v>
      </c>
      <c r="Q965" t="s">
        <v>11446</v>
      </c>
      <c r="S965" t="s">
        <v>14827</v>
      </c>
      <c r="T965" t="s">
        <v>14832</v>
      </c>
      <c r="U965" t="s">
        <v>474</v>
      </c>
      <c r="V965">
        <v>495</v>
      </c>
      <c r="W965" t="s">
        <v>14860</v>
      </c>
      <c r="X965" t="s">
        <v>14864</v>
      </c>
      <c r="Z965" t="s">
        <v>15816</v>
      </c>
      <c r="AB965" t="s">
        <v>20910</v>
      </c>
      <c r="AC965">
        <v>29</v>
      </c>
      <c r="AD965" t="s">
        <v>24599</v>
      </c>
      <c r="AE965" t="s">
        <v>11459</v>
      </c>
      <c r="AF965">
        <v>31</v>
      </c>
      <c r="AG965">
        <v>4</v>
      </c>
      <c r="AH965">
        <v>0</v>
      </c>
      <c r="AI965">
        <v>166.99</v>
      </c>
      <c r="AL965" t="s">
        <v>5011</v>
      </c>
      <c r="AM965">
        <v>43000</v>
      </c>
      <c r="AS965">
        <v>1.5</v>
      </c>
      <c r="AT965" t="s">
        <v>618</v>
      </c>
      <c r="AU965" t="s">
        <v>25266</v>
      </c>
      <c r="AV965" t="s">
        <v>25335</v>
      </c>
      <c r="AW965" t="s">
        <v>11447</v>
      </c>
    </row>
    <row r="966" spans="1:49">
      <c r="A966" s="1">
        <f>HYPERLINK("https://lsnyc.legalserver.org/matter/dynamic-profile/view/1904043","19-1904043")</f>
        <v>0</v>
      </c>
      <c r="B966" t="s">
        <v>74</v>
      </c>
      <c r="C966" t="s">
        <v>621</v>
      </c>
      <c r="E966" t="s">
        <v>1216</v>
      </c>
      <c r="F966" t="s">
        <v>3758</v>
      </c>
      <c r="G966" t="s">
        <v>7171</v>
      </c>
      <c r="H966" t="s">
        <v>10646</v>
      </c>
      <c r="I966" t="s">
        <v>11387</v>
      </c>
      <c r="J966">
        <v>11435</v>
      </c>
      <c r="K966" t="s">
        <v>11446</v>
      </c>
      <c r="L966" t="s">
        <v>11743</v>
      </c>
      <c r="M966" t="s">
        <v>14743</v>
      </c>
      <c r="N966" t="s">
        <v>14778</v>
      </c>
      <c r="P966" t="s">
        <v>14797</v>
      </c>
      <c r="Q966" t="s">
        <v>11448</v>
      </c>
      <c r="S966" t="s">
        <v>14827</v>
      </c>
      <c r="T966" t="s">
        <v>14832</v>
      </c>
      <c r="U966" t="s">
        <v>621</v>
      </c>
      <c r="V966">
        <v>2200</v>
      </c>
      <c r="W966" t="s">
        <v>14861</v>
      </c>
      <c r="X966" t="s">
        <v>14865</v>
      </c>
      <c r="Z966" t="s">
        <v>15817</v>
      </c>
      <c r="AB966" t="s">
        <v>20911</v>
      </c>
      <c r="AC966">
        <v>2</v>
      </c>
      <c r="AD966" t="s">
        <v>11479</v>
      </c>
      <c r="AE966" t="s">
        <v>11459</v>
      </c>
      <c r="AF966">
        <v>1</v>
      </c>
      <c r="AG966">
        <v>2</v>
      </c>
      <c r="AH966">
        <v>0</v>
      </c>
      <c r="AI966">
        <v>0</v>
      </c>
      <c r="AL966" t="s">
        <v>5011</v>
      </c>
      <c r="AM966">
        <v>0</v>
      </c>
      <c r="AS966">
        <v>1.47</v>
      </c>
      <c r="AT966" t="s">
        <v>467</v>
      </c>
      <c r="AU966" t="s">
        <v>292</v>
      </c>
      <c r="AV966" t="s">
        <v>25335</v>
      </c>
      <c r="AW966" t="s">
        <v>11447</v>
      </c>
    </row>
    <row r="967" spans="1:49">
      <c r="A967" s="1">
        <f>HYPERLINK("https://lsnyc.legalserver.org/matter/dynamic-profile/view/1904190","19-1904190")</f>
        <v>0</v>
      </c>
      <c r="B967" t="s">
        <v>104</v>
      </c>
      <c r="C967" t="s">
        <v>338</v>
      </c>
      <c r="E967" t="s">
        <v>1711</v>
      </c>
      <c r="F967" t="s">
        <v>3685</v>
      </c>
      <c r="G967" t="s">
        <v>7172</v>
      </c>
      <c r="H967">
        <v>309</v>
      </c>
      <c r="I967" t="s">
        <v>11386</v>
      </c>
      <c r="J967">
        <v>10029</v>
      </c>
      <c r="K967" t="s">
        <v>11446</v>
      </c>
      <c r="M967" t="s">
        <v>14746</v>
      </c>
      <c r="N967" t="s">
        <v>14778</v>
      </c>
      <c r="P967" t="s">
        <v>14797</v>
      </c>
      <c r="Q967" t="s">
        <v>11446</v>
      </c>
      <c r="S967" t="s">
        <v>14827</v>
      </c>
      <c r="T967" t="s">
        <v>14832</v>
      </c>
      <c r="U967" t="s">
        <v>621</v>
      </c>
      <c r="V967">
        <v>274</v>
      </c>
      <c r="W967" t="s">
        <v>14860</v>
      </c>
      <c r="X967" t="s">
        <v>14876</v>
      </c>
      <c r="Z967" t="s">
        <v>15818</v>
      </c>
      <c r="AB967" t="s">
        <v>20912</v>
      </c>
      <c r="AC967">
        <v>108</v>
      </c>
      <c r="AD967" t="s">
        <v>24596</v>
      </c>
      <c r="AE967" t="s">
        <v>11459</v>
      </c>
      <c r="AF967">
        <v>29</v>
      </c>
      <c r="AG967">
        <v>2</v>
      </c>
      <c r="AH967">
        <v>0</v>
      </c>
      <c r="AI967">
        <v>79.91</v>
      </c>
      <c r="AL967" t="s">
        <v>5011</v>
      </c>
      <c r="AM967">
        <v>13512</v>
      </c>
      <c r="AS967">
        <v>1.2</v>
      </c>
      <c r="AT967" t="s">
        <v>478</v>
      </c>
      <c r="AU967" t="s">
        <v>25266</v>
      </c>
      <c r="AV967" t="s">
        <v>25335</v>
      </c>
      <c r="AW967" t="s">
        <v>11447</v>
      </c>
    </row>
    <row r="968" spans="1:49">
      <c r="A968" s="1">
        <f>HYPERLINK("https://lsnyc.legalserver.org/matter/dynamic-profile/view/1904052","19-1904052")</f>
        <v>0</v>
      </c>
      <c r="B968" t="s">
        <v>109</v>
      </c>
      <c r="C968" t="s">
        <v>621</v>
      </c>
      <c r="E968" t="s">
        <v>1120</v>
      </c>
      <c r="F968" t="s">
        <v>3638</v>
      </c>
      <c r="G968" t="s">
        <v>6382</v>
      </c>
      <c r="H968" t="s">
        <v>10517</v>
      </c>
      <c r="I968" t="s">
        <v>11385</v>
      </c>
      <c r="J968">
        <v>11203</v>
      </c>
      <c r="K968" t="s">
        <v>11446</v>
      </c>
      <c r="M968" t="s">
        <v>14746</v>
      </c>
      <c r="N968" t="s">
        <v>14781</v>
      </c>
      <c r="P968" t="s">
        <v>14797</v>
      </c>
      <c r="Q968" t="s">
        <v>11448</v>
      </c>
      <c r="S968" t="s">
        <v>14827</v>
      </c>
      <c r="T968" t="s">
        <v>14832</v>
      </c>
      <c r="U968" t="s">
        <v>621</v>
      </c>
      <c r="V968">
        <v>0</v>
      </c>
      <c r="W968" t="s">
        <v>14859</v>
      </c>
      <c r="X968" t="s">
        <v>14868</v>
      </c>
      <c r="Z968" t="s">
        <v>15008</v>
      </c>
      <c r="AB968" t="s">
        <v>20183</v>
      </c>
      <c r="AC968">
        <v>42</v>
      </c>
      <c r="AD968" t="s">
        <v>24595</v>
      </c>
      <c r="AF968">
        <v>13</v>
      </c>
      <c r="AG968">
        <v>2</v>
      </c>
      <c r="AH968">
        <v>0</v>
      </c>
      <c r="AI968">
        <v>225.03</v>
      </c>
      <c r="AJ968" t="s">
        <v>332</v>
      </c>
      <c r="AK968" t="s">
        <v>24629</v>
      </c>
      <c r="AL968" t="s">
        <v>5011</v>
      </c>
      <c r="AM968">
        <v>38052</v>
      </c>
      <c r="AO968" t="s">
        <v>24932</v>
      </c>
      <c r="AS968">
        <v>31.5</v>
      </c>
      <c r="AT968" t="s">
        <v>533</v>
      </c>
      <c r="AU968" t="s">
        <v>75</v>
      </c>
      <c r="AV968" t="s">
        <v>25335</v>
      </c>
      <c r="AW968" t="s">
        <v>11447</v>
      </c>
    </row>
    <row r="969" spans="1:49">
      <c r="A969" s="1">
        <f>HYPERLINK("https://lsnyc.legalserver.org/matter/dynamic-profile/view/1904298","19-1904298")</f>
        <v>0</v>
      </c>
      <c r="B969" t="s">
        <v>211</v>
      </c>
      <c r="C969" t="s">
        <v>332</v>
      </c>
      <c r="E969" t="s">
        <v>1307</v>
      </c>
      <c r="F969" t="s">
        <v>4207</v>
      </c>
      <c r="G969" t="s">
        <v>7173</v>
      </c>
      <c r="H969" t="s">
        <v>10756</v>
      </c>
      <c r="I969" t="s">
        <v>11385</v>
      </c>
      <c r="J969">
        <v>11213</v>
      </c>
      <c r="K969" t="s">
        <v>11446</v>
      </c>
      <c r="L969" t="s">
        <v>11744</v>
      </c>
      <c r="M969" t="s">
        <v>14743</v>
      </c>
      <c r="N969" t="s">
        <v>14781</v>
      </c>
      <c r="P969" t="s">
        <v>14797</v>
      </c>
      <c r="Q969" t="s">
        <v>11448</v>
      </c>
      <c r="S969" t="s">
        <v>14827</v>
      </c>
      <c r="T969" t="s">
        <v>14832</v>
      </c>
      <c r="U969" t="s">
        <v>338</v>
      </c>
      <c r="V969">
        <v>300</v>
      </c>
      <c r="W969" t="s">
        <v>14859</v>
      </c>
      <c r="X969" t="s">
        <v>14864</v>
      </c>
      <c r="Z969" t="s">
        <v>15819</v>
      </c>
      <c r="AA969" t="s">
        <v>19354</v>
      </c>
      <c r="AB969" t="s">
        <v>20913</v>
      </c>
      <c r="AC969">
        <v>34</v>
      </c>
      <c r="AD969" t="s">
        <v>24599</v>
      </c>
      <c r="AE969" t="s">
        <v>11459</v>
      </c>
      <c r="AF969">
        <v>44</v>
      </c>
      <c r="AG969">
        <v>1</v>
      </c>
      <c r="AH969">
        <v>0</v>
      </c>
      <c r="AI969">
        <v>86.47</v>
      </c>
      <c r="AL969" t="s">
        <v>5011</v>
      </c>
      <c r="AM969">
        <v>10800</v>
      </c>
      <c r="AS969">
        <v>39.4</v>
      </c>
      <c r="AT969" t="s">
        <v>516</v>
      </c>
      <c r="AU969" t="s">
        <v>66</v>
      </c>
      <c r="AV969" t="s">
        <v>25335</v>
      </c>
      <c r="AW969" t="s">
        <v>11447</v>
      </c>
    </row>
    <row r="970" spans="1:49">
      <c r="A970" s="1">
        <f>HYPERLINK("https://lsnyc.legalserver.org/matter/dynamic-profile/view/1904206","19-1904206")</f>
        <v>0</v>
      </c>
      <c r="B970" t="s">
        <v>104</v>
      </c>
      <c r="C970" t="s">
        <v>338</v>
      </c>
      <c r="E970" t="s">
        <v>1712</v>
      </c>
      <c r="F970" t="s">
        <v>3655</v>
      </c>
      <c r="G970" t="s">
        <v>7174</v>
      </c>
      <c r="H970" t="s">
        <v>10581</v>
      </c>
      <c r="I970" t="s">
        <v>11386</v>
      </c>
      <c r="J970">
        <v>10024</v>
      </c>
      <c r="K970" t="s">
        <v>11446</v>
      </c>
      <c r="L970" t="s">
        <v>11745</v>
      </c>
      <c r="M970" t="s">
        <v>14762</v>
      </c>
      <c r="N970" t="s">
        <v>14783</v>
      </c>
      <c r="P970" t="s">
        <v>14797</v>
      </c>
      <c r="Q970" t="s">
        <v>11448</v>
      </c>
      <c r="S970" t="s">
        <v>14827</v>
      </c>
      <c r="T970" t="s">
        <v>14832</v>
      </c>
      <c r="U970" t="s">
        <v>338</v>
      </c>
      <c r="V970">
        <v>1300</v>
      </c>
      <c r="W970" t="s">
        <v>14860</v>
      </c>
      <c r="X970" t="s">
        <v>14877</v>
      </c>
      <c r="Z970" t="s">
        <v>15820</v>
      </c>
      <c r="AB970" t="s">
        <v>20914</v>
      </c>
      <c r="AC970">
        <v>10</v>
      </c>
      <c r="AD970" t="s">
        <v>24595</v>
      </c>
      <c r="AE970" t="s">
        <v>11459</v>
      </c>
      <c r="AF970">
        <v>30</v>
      </c>
      <c r="AG970">
        <v>2</v>
      </c>
      <c r="AH970">
        <v>0</v>
      </c>
      <c r="AI970">
        <v>532.23</v>
      </c>
      <c r="AL970" t="s">
        <v>5011</v>
      </c>
      <c r="AM970">
        <v>90000</v>
      </c>
      <c r="AS970">
        <v>48.05</v>
      </c>
      <c r="AT970" t="s">
        <v>468</v>
      </c>
      <c r="AU970" t="s">
        <v>25266</v>
      </c>
      <c r="AV970" t="s">
        <v>25335</v>
      </c>
      <c r="AW970" t="s">
        <v>11447</v>
      </c>
    </row>
    <row r="971" spans="1:49">
      <c r="A971" s="1">
        <f>HYPERLINK("https://lsnyc.legalserver.org/matter/dynamic-profile/view/1904324","19-1904324")</f>
        <v>0</v>
      </c>
      <c r="B971" t="s">
        <v>210</v>
      </c>
      <c r="C971" t="s">
        <v>332</v>
      </c>
      <c r="E971" t="s">
        <v>1713</v>
      </c>
      <c r="F971" t="s">
        <v>4208</v>
      </c>
      <c r="G971" t="s">
        <v>7149</v>
      </c>
      <c r="H971" t="s">
        <v>10649</v>
      </c>
      <c r="I971" t="s">
        <v>11385</v>
      </c>
      <c r="J971">
        <v>11221</v>
      </c>
      <c r="K971" t="s">
        <v>11446</v>
      </c>
      <c r="M971" t="s">
        <v>14745</v>
      </c>
      <c r="N971" t="s">
        <v>14780</v>
      </c>
      <c r="P971" t="s">
        <v>14797</v>
      </c>
      <c r="Q971" t="s">
        <v>11446</v>
      </c>
      <c r="R971" t="s">
        <v>14820</v>
      </c>
      <c r="S971" t="s">
        <v>14827</v>
      </c>
      <c r="U971" t="s">
        <v>332</v>
      </c>
      <c r="V971">
        <v>0</v>
      </c>
      <c r="W971" t="s">
        <v>14859</v>
      </c>
      <c r="Z971" t="s">
        <v>15821</v>
      </c>
      <c r="AC971">
        <v>2</v>
      </c>
      <c r="AF971">
        <v>0</v>
      </c>
      <c r="AG971">
        <v>1</v>
      </c>
      <c r="AH971">
        <v>0</v>
      </c>
      <c r="AI971">
        <v>0</v>
      </c>
      <c r="AL971" t="s">
        <v>5011</v>
      </c>
      <c r="AM971">
        <v>0</v>
      </c>
      <c r="AS971">
        <v>2</v>
      </c>
      <c r="AT971" t="s">
        <v>332</v>
      </c>
      <c r="AU971" t="s">
        <v>177</v>
      </c>
      <c r="AW971" t="s">
        <v>11447</v>
      </c>
    </row>
    <row r="972" spans="1:49">
      <c r="A972" s="1">
        <f>HYPERLINK("https://lsnyc.legalserver.org/matter/dynamic-profile/view/1904333","19-1904333")</f>
        <v>0</v>
      </c>
      <c r="B972" t="s">
        <v>216</v>
      </c>
      <c r="C972" t="s">
        <v>332</v>
      </c>
      <c r="E972" t="s">
        <v>1347</v>
      </c>
      <c r="F972" t="s">
        <v>4209</v>
      </c>
      <c r="G972" t="s">
        <v>7175</v>
      </c>
      <c r="H972">
        <v>55</v>
      </c>
      <c r="I972" t="s">
        <v>11386</v>
      </c>
      <c r="J972">
        <v>10034</v>
      </c>
      <c r="K972" t="s">
        <v>11446</v>
      </c>
      <c r="M972" t="s">
        <v>14747</v>
      </c>
      <c r="N972" t="s">
        <v>14782</v>
      </c>
      <c r="P972" t="s">
        <v>14797</v>
      </c>
      <c r="Q972" t="s">
        <v>11448</v>
      </c>
      <c r="S972" t="s">
        <v>14827</v>
      </c>
      <c r="U972" t="s">
        <v>332</v>
      </c>
      <c r="V972">
        <v>1408.53</v>
      </c>
      <c r="W972" t="s">
        <v>14860</v>
      </c>
      <c r="X972" t="s">
        <v>14867</v>
      </c>
      <c r="Z972" t="s">
        <v>15822</v>
      </c>
      <c r="AB972" t="s">
        <v>20915</v>
      </c>
      <c r="AC972">
        <v>50</v>
      </c>
      <c r="AD972" t="s">
        <v>24595</v>
      </c>
      <c r="AE972" t="s">
        <v>11459</v>
      </c>
      <c r="AF972">
        <v>14</v>
      </c>
      <c r="AG972">
        <v>3</v>
      </c>
      <c r="AH972">
        <v>0</v>
      </c>
      <c r="AI972">
        <v>154.71</v>
      </c>
      <c r="AL972" t="s">
        <v>24632</v>
      </c>
      <c r="AM972">
        <v>33000</v>
      </c>
      <c r="AS972">
        <v>0</v>
      </c>
      <c r="AU972" t="s">
        <v>137</v>
      </c>
      <c r="AV972" t="s">
        <v>25335</v>
      </c>
      <c r="AW972" t="s">
        <v>11447</v>
      </c>
    </row>
    <row r="973" spans="1:49">
      <c r="A973" s="1">
        <f>HYPERLINK("https://lsnyc.legalserver.org/matter/dynamic-profile/view/1904303","19-1904303")</f>
        <v>0</v>
      </c>
      <c r="B973" t="s">
        <v>175</v>
      </c>
      <c r="C973" t="s">
        <v>332</v>
      </c>
      <c r="E973" t="s">
        <v>1329</v>
      </c>
      <c r="F973" t="s">
        <v>3623</v>
      </c>
      <c r="G973" t="s">
        <v>7176</v>
      </c>
      <c r="H973">
        <v>33</v>
      </c>
      <c r="I973" t="s">
        <v>11386</v>
      </c>
      <c r="J973">
        <v>10034</v>
      </c>
      <c r="K973" t="s">
        <v>11446</v>
      </c>
      <c r="L973" t="s">
        <v>11746</v>
      </c>
      <c r="M973" t="s">
        <v>14744</v>
      </c>
      <c r="N973" t="s">
        <v>14781</v>
      </c>
      <c r="P973" t="s">
        <v>14797</v>
      </c>
      <c r="Q973" t="s">
        <v>11448</v>
      </c>
      <c r="S973" t="s">
        <v>14827</v>
      </c>
      <c r="U973" t="s">
        <v>332</v>
      </c>
      <c r="V973">
        <v>818</v>
      </c>
      <c r="W973" t="s">
        <v>14860</v>
      </c>
      <c r="X973" t="s">
        <v>14868</v>
      </c>
      <c r="Z973" t="s">
        <v>15823</v>
      </c>
      <c r="AB973" t="s">
        <v>20916</v>
      </c>
      <c r="AC973">
        <v>25</v>
      </c>
      <c r="AD973" t="s">
        <v>24595</v>
      </c>
      <c r="AE973" t="s">
        <v>11459</v>
      </c>
      <c r="AF973">
        <v>18</v>
      </c>
      <c r="AG973">
        <v>3</v>
      </c>
      <c r="AH973">
        <v>0</v>
      </c>
      <c r="AI973">
        <v>166.9</v>
      </c>
      <c r="AL973" t="s">
        <v>24632</v>
      </c>
      <c r="AM973">
        <v>35600</v>
      </c>
      <c r="AS973">
        <v>32.42</v>
      </c>
      <c r="AT973" t="s">
        <v>476</v>
      </c>
      <c r="AU973" t="s">
        <v>137</v>
      </c>
      <c r="AV973" t="s">
        <v>25335</v>
      </c>
      <c r="AW973" t="s">
        <v>11447</v>
      </c>
    </row>
    <row r="974" spans="1:49">
      <c r="A974" s="1">
        <f>HYPERLINK("https://lsnyc.legalserver.org/matter/dynamic-profile/view/1904308","19-1904308")</f>
        <v>0</v>
      </c>
      <c r="B974" t="s">
        <v>216</v>
      </c>
      <c r="C974" t="s">
        <v>332</v>
      </c>
      <c r="E974" t="s">
        <v>1714</v>
      </c>
      <c r="F974" t="s">
        <v>3547</v>
      </c>
      <c r="G974" t="s">
        <v>7177</v>
      </c>
      <c r="H974" t="s">
        <v>10465</v>
      </c>
      <c r="I974" t="s">
        <v>11386</v>
      </c>
      <c r="J974">
        <v>10034</v>
      </c>
      <c r="K974" t="s">
        <v>11446</v>
      </c>
      <c r="M974" t="s">
        <v>14747</v>
      </c>
      <c r="N974" t="s">
        <v>14782</v>
      </c>
      <c r="P974" t="s">
        <v>14797</v>
      </c>
      <c r="Q974" t="s">
        <v>11448</v>
      </c>
      <c r="S974" t="s">
        <v>14827</v>
      </c>
      <c r="U974" t="s">
        <v>332</v>
      </c>
      <c r="V974">
        <v>2100</v>
      </c>
      <c r="W974" t="s">
        <v>14860</v>
      </c>
      <c r="X974" t="s">
        <v>14867</v>
      </c>
      <c r="Z974" t="s">
        <v>15824</v>
      </c>
      <c r="AC974">
        <v>69</v>
      </c>
      <c r="AD974" t="s">
        <v>24595</v>
      </c>
      <c r="AE974" t="s">
        <v>11459</v>
      </c>
      <c r="AF974">
        <v>8</v>
      </c>
      <c r="AG974">
        <v>2</v>
      </c>
      <c r="AH974">
        <v>0</v>
      </c>
      <c r="AI974">
        <v>354.82</v>
      </c>
      <c r="AL974" t="s">
        <v>5011</v>
      </c>
      <c r="AM974">
        <v>60000</v>
      </c>
      <c r="AS974">
        <v>0</v>
      </c>
      <c r="AU974" t="s">
        <v>137</v>
      </c>
      <c r="AV974" t="s">
        <v>25335</v>
      </c>
      <c r="AW974" t="s">
        <v>11447</v>
      </c>
    </row>
    <row r="975" spans="1:49">
      <c r="A975" s="1">
        <f>HYPERLINK("https://lsnyc.legalserver.org/matter/dynamic-profile/view/1904379","19-1904379")</f>
        <v>0</v>
      </c>
      <c r="B975" t="s">
        <v>170</v>
      </c>
      <c r="C975" t="s">
        <v>607</v>
      </c>
      <c r="E975" t="s">
        <v>1245</v>
      </c>
      <c r="F975" t="s">
        <v>4210</v>
      </c>
      <c r="G975" t="s">
        <v>7162</v>
      </c>
      <c r="H975" t="s">
        <v>10460</v>
      </c>
      <c r="I975" t="s">
        <v>11386</v>
      </c>
      <c r="J975">
        <v>10024</v>
      </c>
      <c r="K975" t="s">
        <v>11446</v>
      </c>
      <c r="M975" t="s">
        <v>14746</v>
      </c>
      <c r="N975" t="s">
        <v>14782</v>
      </c>
      <c r="P975" t="s">
        <v>14797</v>
      </c>
      <c r="Q975" t="s">
        <v>11446</v>
      </c>
      <c r="S975" t="s">
        <v>14827</v>
      </c>
      <c r="T975" t="s">
        <v>14832</v>
      </c>
      <c r="U975" t="s">
        <v>332</v>
      </c>
      <c r="V975">
        <v>2300</v>
      </c>
      <c r="W975" t="s">
        <v>14860</v>
      </c>
      <c r="X975" t="s">
        <v>14877</v>
      </c>
      <c r="Z975" t="s">
        <v>15825</v>
      </c>
      <c r="AB975" t="s">
        <v>20917</v>
      </c>
      <c r="AC975">
        <v>29</v>
      </c>
      <c r="AD975" t="s">
        <v>24605</v>
      </c>
      <c r="AE975" t="s">
        <v>11459</v>
      </c>
      <c r="AF975">
        <v>7</v>
      </c>
      <c r="AG975">
        <v>1</v>
      </c>
      <c r="AH975">
        <v>0</v>
      </c>
      <c r="AI975">
        <v>468.37</v>
      </c>
      <c r="AL975" t="s">
        <v>5011</v>
      </c>
      <c r="AM975">
        <v>58500</v>
      </c>
      <c r="AS975">
        <v>0.1</v>
      </c>
      <c r="AT975" t="s">
        <v>520</v>
      </c>
      <c r="AU975" t="s">
        <v>25266</v>
      </c>
      <c r="AV975" t="s">
        <v>25335</v>
      </c>
      <c r="AW975" t="s">
        <v>11447</v>
      </c>
    </row>
    <row r="976" spans="1:49">
      <c r="A976" s="1">
        <f>HYPERLINK("https://lsnyc.legalserver.org/matter/dynamic-profile/view/1902338","19-1902338")</f>
        <v>0</v>
      </c>
      <c r="B976" t="s">
        <v>110</v>
      </c>
      <c r="C976" t="s">
        <v>362</v>
      </c>
      <c r="E976" t="s">
        <v>1144</v>
      </c>
      <c r="F976" t="s">
        <v>4046</v>
      </c>
      <c r="G976" t="s">
        <v>6724</v>
      </c>
      <c r="I976" t="s">
        <v>11391</v>
      </c>
      <c r="J976">
        <v>11691</v>
      </c>
      <c r="K976" t="s">
        <v>11446</v>
      </c>
      <c r="L976" t="s">
        <v>11747</v>
      </c>
      <c r="M976" t="s">
        <v>14744</v>
      </c>
      <c r="N976" t="s">
        <v>14781</v>
      </c>
      <c r="P976" t="s">
        <v>14797</v>
      </c>
      <c r="Q976" t="s">
        <v>11448</v>
      </c>
      <c r="S976" t="s">
        <v>14827</v>
      </c>
      <c r="T976" t="s">
        <v>14832</v>
      </c>
      <c r="U976" t="s">
        <v>607</v>
      </c>
      <c r="V976">
        <v>1075</v>
      </c>
      <c r="W976" t="s">
        <v>14861</v>
      </c>
      <c r="X976" t="s">
        <v>14755</v>
      </c>
      <c r="Z976" t="s">
        <v>15826</v>
      </c>
      <c r="AB976" t="s">
        <v>20918</v>
      </c>
      <c r="AC976">
        <v>602</v>
      </c>
      <c r="AD976" t="s">
        <v>11479</v>
      </c>
      <c r="AE976" t="s">
        <v>14755</v>
      </c>
      <c r="AF976">
        <v>3</v>
      </c>
      <c r="AG976">
        <v>1</v>
      </c>
      <c r="AH976">
        <v>0</v>
      </c>
      <c r="AI976">
        <v>0</v>
      </c>
      <c r="AL976" t="s">
        <v>24632</v>
      </c>
      <c r="AM976">
        <v>0</v>
      </c>
      <c r="AP976" t="s">
        <v>24942</v>
      </c>
      <c r="AS976">
        <v>2.56</v>
      </c>
      <c r="AT976" t="s">
        <v>620</v>
      </c>
      <c r="AU976" t="s">
        <v>124</v>
      </c>
      <c r="AV976" t="s">
        <v>25335</v>
      </c>
      <c r="AW976" t="s">
        <v>11447</v>
      </c>
    </row>
    <row r="977" spans="1:49">
      <c r="A977" s="1">
        <f>HYPERLINK("https://lsnyc.legalserver.org/matter/dynamic-profile/view/1904367","19-1904367")</f>
        <v>0</v>
      </c>
      <c r="B977" t="s">
        <v>175</v>
      </c>
      <c r="C977" t="s">
        <v>607</v>
      </c>
      <c r="E977" t="s">
        <v>1715</v>
      </c>
      <c r="F977" t="s">
        <v>4211</v>
      </c>
      <c r="G977" t="s">
        <v>7178</v>
      </c>
      <c r="H977">
        <v>6</v>
      </c>
      <c r="I977" t="s">
        <v>11386</v>
      </c>
      <c r="J977">
        <v>10033</v>
      </c>
      <c r="K977" t="s">
        <v>11446</v>
      </c>
      <c r="M977" t="s">
        <v>14763</v>
      </c>
      <c r="N977" t="s">
        <v>14781</v>
      </c>
      <c r="P977" t="s">
        <v>14797</v>
      </c>
      <c r="Q977" t="s">
        <v>11448</v>
      </c>
      <c r="S977" t="s">
        <v>14827</v>
      </c>
      <c r="U977" t="s">
        <v>607</v>
      </c>
      <c r="V977">
        <v>163</v>
      </c>
      <c r="W977" t="s">
        <v>14860</v>
      </c>
      <c r="X977" t="s">
        <v>14868</v>
      </c>
      <c r="Z977" t="s">
        <v>15827</v>
      </c>
      <c r="AB977" t="s">
        <v>20919</v>
      </c>
      <c r="AC977">
        <v>36</v>
      </c>
      <c r="AD977" t="s">
        <v>24595</v>
      </c>
      <c r="AE977" t="s">
        <v>24610</v>
      </c>
      <c r="AF977">
        <v>22</v>
      </c>
      <c r="AG977">
        <v>1</v>
      </c>
      <c r="AH977">
        <v>0</v>
      </c>
      <c r="AI977">
        <v>79.55</v>
      </c>
      <c r="AL977" t="s">
        <v>24632</v>
      </c>
      <c r="AM977">
        <v>9936</v>
      </c>
      <c r="AS977">
        <v>8.550000000000001</v>
      </c>
      <c r="AT977" t="s">
        <v>533</v>
      </c>
      <c r="AU977" t="s">
        <v>137</v>
      </c>
      <c r="AV977" t="s">
        <v>25335</v>
      </c>
      <c r="AW977" t="s">
        <v>11447</v>
      </c>
    </row>
    <row r="978" spans="1:49">
      <c r="A978" s="1">
        <f>HYPERLINK("https://lsnyc.legalserver.org/matter/dynamic-profile/view/1903654","19-1903654")</f>
        <v>0</v>
      </c>
      <c r="B978" t="s">
        <v>76</v>
      </c>
      <c r="C978" t="s">
        <v>522</v>
      </c>
      <c r="E978" t="s">
        <v>1716</v>
      </c>
      <c r="F978" t="s">
        <v>4212</v>
      </c>
      <c r="G978" t="s">
        <v>7179</v>
      </c>
      <c r="H978" t="s">
        <v>10448</v>
      </c>
      <c r="I978" t="s">
        <v>11385</v>
      </c>
      <c r="J978">
        <v>11225</v>
      </c>
      <c r="K978" t="s">
        <v>11446</v>
      </c>
      <c r="L978" t="s">
        <v>11748</v>
      </c>
      <c r="M978" t="s">
        <v>14744</v>
      </c>
      <c r="N978" t="s">
        <v>14781</v>
      </c>
      <c r="P978" t="s">
        <v>14797</v>
      </c>
      <c r="Q978" t="s">
        <v>11448</v>
      </c>
      <c r="S978" t="s">
        <v>14827</v>
      </c>
      <c r="T978" t="s">
        <v>14834</v>
      </c>
      <c r="U978" t="s">
        <v>607</v>
      </c>
      <c r="V978">
        <v>678</v>
      </c>
      <c r="W978" t="s">
        <v>14859</v>
      </c>
      <c r="X978" t="s">
        <v>14868</v>
      </c>
      <c r="Z978" t="s">
        <v>15828</v>
      </c>
      <c r="AA978" t="s">
        <v>11459</v>
      </c>
      <c r="AB978" t="s">
        <v>20920</v>
      </c>
      <c r="AC978">
        <v>26</v>
      </c>
      <c r="AD978" t="s">
        <v>24595</v>
      </c>
      <c r="AE978" t="s">
        <v>24614</v>
      </c>
      <c r="AF978">
        <v>19</v>
      </c>
      <c r="AG978">
        <v>2</v>
      </c>
      <c r="AH978">
        <v>3</v>
      </c>
      <c r="AI978">
        <v>95.66</v>
      </c>
      <c r="AK978" t="s">
        <v>24628</v>
      </c>
      <c r="AL978" t="s">
        <v>5011</v>
      </c>
      <c r="AM978">
        <v>28860</v>
      </c>
      <c r="AS978">
        <v>3.7</v>
      </c>
      <c r="AT978" t="s">
        <v>592</v>
      </c>
      <c r="AU978" t="s">
        <v>66</v>
      </c>
      <c r="AV978" t="s">
        <v>25335</v>
      </c>
      <c r="AW978" t="s">
        <v>11447</v>
      </c>
    </row>
    <row r="979" spans="1:49">
      <c r="A979" s="1">
        <f>HYPERLINK("https://lsnyc.legalserver.org/matter/dynamic-profile/view/1904455","19-1904455")</f>
        <v>0</v>
      </c>
      <c r="B979" t="s">
        <v>110</v>
      </c>
      <c r="C979" t="s">
        <v>607</v>
      </c>
      <c r="E979" t="s">
        <v>1717</v>
      </c>
      <c r="F979" t="s">
        <v>4213</v>
      </c>
      <c r="G979" t="s">
        <v>7180</v>
      </c>
      <c r="H979" t="s">
        <v>10559</v>
      </c>
      <c r="I979" t="s">
        <v>11407</v>
      </c>
      <c r="J979">
        <v>11415</v>
      </c>
      <c r="K979" t="s">
        <v>11446</v>
      </c>
      <c r="L979" t="s">
        <v>11749</v>
      </c>
      <c r="M979" t="s">
        <v>14744</v>
      </c>
      <c r="N979" t="s">
        <v>14781</v>
      </c>
      <c r="P979" t="s">
        <v>14797</v>
      </c>
      <c r="Q979" t="s">
        <v>11448</v>
      </c>
      <c r="S979" t="s">
        <v>14827</v>
      </c>
      <c r="T979" t="s">
        <v>14834</v>
      </c>
      <c r="U979" t="s">
        <v>607</v>
      </c>
      <c r="V979">
        <v>1650</v>
      </c>
      <c r="W979" t="s">
        <v>14861</v>
      </c>
      <c r="X979" t="s">
        <v>14863</v>
      </c>
      <c r="Z979" t="s">
        <v>15829</v>
      </c>
      <c r="AB979" t="s">
        <v>20921</v>
      </c>
      <c r="AC979">
        <v>70</v>
      </c>
      <c r="AD979" t="s">
        <v>24595</v>
      </c>
      <c r="AE979" t="s">
        <v>11459</v>
      </c>
      <c r="AF979">
        <v>1</v>
      </c>
      <c r="AG979">
        <v>1</v>
      </c>
      <c r="AH979">
        <v>0</v>
      </c>
      <c r="AI979">
        <v>134.03</v>
      </c>
      <c r="AL979" t="s">
        <v>5011</v>
      </c>
      <c r="AM979">
        <v>16740</v>
      </c>
      <c r="AP979" t="s">
        <v>14755</v>
      </c>
      <c r="AS979">
        <v>29.06</v>
      </c>
      <c r="AT979" t="s">
        <v>509</v>
      </c>
      <c r="AU979" t="s">
        <v>63</v>
      </c>
      <c r="AV979" t="s">
        <v>25335</v>
      </c>
      <c r="AW979" t="s">
        <v>11447</v>
      </c>
    </row>
    <row r="980" spans="1:49">
      <c r="A980" s="1">
        <f>HYPERLINK("https://lsnyc.legalserver.org/matter/dynamic-profile/view/1904419","19-1904419")</f>
        <v>0</v>
      </c>
      <c r="B980" t="s">
        <v>103</v>
      </c>
      <c r="C980" t="s">
        <v>607</v>
      </c>
      <c r="E980" t="s">
        <v>1718</v>
      </c>
      <c r="F980" t="s">
        <v>4214</v>
      </c>
      <c r="G980" t="s">
        <v>7181</v>
      </c>
      <c r="H980" t="s">
        <v>10757</v>
      </c>
      <c r="I980" t="s">
        <v>11385</v>
      </c>
      <c r="J980">
        <v>11213</v>
      </c>
      <c r="K980" t="s">
        <v>11446</v>
      </c>
      <c r="L980" t="s">
        <v>11750</v>
      </c>
      <c r="M980" t="s">
        <v>14743</v>
      </c>
      <c r="N980" t="s">
        <v>14781</v>
      </c>
      <c r="P980" t="s">
        <v>14797</v>
      </c>
      <c r="Q980" t="s">
        <v>11448</v>
      </c>
      <c r="S980" t="s">
        <v>14827</v>
      </c>
      <c r="T980" t="s">
        <v>14832</v>
      </c>
      <c r="U980" t="s">
        <v>607</v>
      </c>
      <c r="V980">
        <v>876</v>
      </c>
      <c r="W980" t="s">
        <v>14859</v>
      </c>
      <c r="X980" t="s">
        <v>14872</v>
      </c>
      <c r="Z980" t="s">
        <v>15830</v>
      </c>
      <c r="AA980" t="s">
        <v>11459</v>
      </c>
      <c r="AB980" t="s">
        <v>20922</v>
      </c>
      <c r="AC980">
        <v>107</v>
      </c>
      <c r="AD980" t="s">
        <v>24595</v>
      </c>
      <c r="AE980" t="s">
        <v>11459</v>
      </c>
      <c r="AF980">
        <v>35</v>
      </c>
      <c r="AG980">
        <v>1</v>
      </c>
      <c r="AH980">
        <v>0</v>
      </c>
      <c r="AI980">
        <v>333.07</v>
      </c>
      <c r="AL980" t="s">
        <v>5011</v>
      </c>
      <c r="AM980">
        <v>41600</v>
      </c>
      <c r="AS980">
        <v>16.6</v>
      </c>
      <c r="AT980" t="s">
        <v>539</v>
      </c>
      <c r="AU980" t="s">
        <v>66</v>
      </c>
      <c r="AV980" t="s">
        <v>25335</v>
      </c>
      <c r="AW980" t="s">
        <v>11447</v>
      </c>
    </row>
    <row r="981" spans="1:49">
      <c r="A981" s="1">
        <f>HYPERLINK("https://lsnyc.legalserver.org/matter/dynamic-profile/view/1903176","19-1903176")</f>
        <v>0</v>
      </c>
      <c r="B981" t="s">
        <v>76</v>
      </c>
      <c r="C981" t="s">
        <v>346</v>
      </c>
      <c r="E981" t="s">
        <v>1249</v>
      </c>
      <c r="F981" t="s">
        <v>3769</v>
      </c>
      <c r="G981" t="s">
        <v>7182</v>
      </c>
      <c r="H981" t="s">
        <v>10448</v>
      </c>
      <c r="I981" t="s">
        <v>11385</v>
      </c>
      <c r="J981">
        <v>11233</v>
      </c>
      <c r="K981" t="s">
        <v>11446</v>
      </c>
      <c r="L981" t="s">
        <v>11751</v>
      </c>
      <c r="M981" t="s">
        <v>14744</v>
      </c>
      <c r="N981" t="s">
        <v>14781</v>
      </c>
      <c r="P981" t="s">
        <v>14797</v>
      </c>
      <c r="Q981" t="s">
        <v>11448</v>
      </c>
      <c r="S981" t="s">
        <v>14827</v>
      </c>
      <c r="T981" t="s">
        <v>14832</v>
      </c>
      <c r="U981" t="s">
        <v>607</v>
      </c>
      <c r="V981">
        <v>1300</v>
      </c>
      <c r="W981" t="s">
        <v>14859</v>
      </c>
      <c r="X981" t="s">
        <v>14870</v>
      </c>
      <c r="Z981" t="s">
        <v>15831</v>
      </c>
      <c r="AA981" t="s">
        <v>11459</v>
      </c>
      <c r="AB981" t="s">
        <v>20923</v>
      </c>
      <c r="AC981">
        <v>6</v>
      </c>
      <c r="AD981" t="s">
        <v>24595</v>
      </c>
      <c r="AE981" t="s">
        <v>11459</v>
      </c>
      <c r="AF981">
        <v>10</v>
      </c>
      <c r="AG981">
        <v>1</v>
      </c>
      <c r="AH981">
        <v>0</v>
      </c>
      <c r="AI981">
        <v>376.3</v>
      </c>
      <c r="AJ981" t="s">
        <v>462</v>
      </c>
      <c r="AK981" t="s">
        <v>24629</v>
      </c>
      <c r="AL981" t="s">
        <v>5011</v>
      </c>
      <c r="AM981">
        <v>47000</v>
      </c>
      <c r="AS981">
        <v>20.6</v>
      </c>
      <c r="AT981" t="s">
        <v>537</v>
      </c>
      <c r="AU981" t="s">
        <v>66</v>
      </c>
      <c r="AV981" t="s">
        <v>25335</v>
      </c>
      <c r="AW981" t="s">
        <v>11447</v>
      </c>
    </row>
    <row r="982" spans="1:49">
      <c r="A982" s="1">
        <f>HYPERLINK("https://lsnyc.legalserver.org/matter/dynamic-profile/view/1904493","19-1904493")</f>
        <v>0</v>
      </c>
      <c r="B982" t="s">
        <v>172</v>
      </c>
      <c r="C982" t="s">
        <v>493</v>
      </c>
      <c r="E982" t="s">
        <v>1719</v>
      </c>
      <c r="F982" t="s">
        <v>4215</v>
      </c>
      <c r="G982" t="s">
        <v>6962</v>
      </c>
      <c r="H982" t="s">
        <v>10703</v>
      </c>
      <c r="I982" t="s">
        <v>11386</v>
      </c>
      <c r="J982">
        <v>10033</v>
      </c>
      <c r="K982" t="s">
        <v>11446</v>
      </c>
      <c r="N982" t="s">
        <v>14781</v>
      </c>
      <c r="P982" t="s">
        <v>14797</v>
      </c>
      <c r="Q982" t="s">
        <v>11448</v>
      </c>
      <c r="S982" t="s">
        <v>14827</v>
      </c>
      <c r="U982" t="s">
        <v>493</v>
      </c>
      <c r="V982">
        <v>1213</v>
      </c>
      <c r="W982" t="s">
        <v>14860</v>
      </c>
      <c r="X982" t="s">
        <v>14868</v>
      </c>
      <c r="Z982" t="s">
        <v>15832</v>
      </c>
      <c r="AB982" t="s">
        <v>20924</v>
      </c>
      <c r="AC982">
        <v>24</v>
      </c>
      <c r="AE982" t="s">
        <v>24612</v>
      </c>
      <c r="AF982">
        <v>4</v>
      </c>
      <c r="AG982">
        <v>1</v>
      </c>
      <c r="AH982">
        <v>0</v>
      </c>
      <c r="AI982">
        <v>39.41</v>
      </c>
      <c r="AL982" t="s">
        <v>5011</v>
      </c>
      <c r="AM982">
        <v>4922</v>
      </c>
      <c r="AS982">
        <v>14.4</v>
      </c>
      <c r="AT982" t="s">
        <v>471</v>
      </c>
      <c r="AU982" t="s">
        <v>137</v>
      </c>
      <c r="AV982" t="s">
        <v>25335</v>
      </c>
      <c r="AW982" t="s">
        <v>11447</v>
      </c>
    </row>
    <row r="983" spans="1:49">
      <c r="A983" s="1">
        <f>HYPERLINK("https://lsnyc.legalserver.org/matter/dynamic-profile/view/1904669","19-1904669")</f>
        <v>0</v>
      </c>
      <c r="B983" t="s">
        <v>56</v>
      </c>
      <c r="C983" t="s">
        <v>365</v>
      </c>
      <c r="E983" t="s">
        <v>1182</v>
      </c>
      <c r="F983" t="s">
        <v>4216</v>
      </c>
      <c r="G983" t="s">
        <v>7183</v>
      </c>
      <c r="H983" t="s">
        <v>10615</v>
      </c>
      <c r="I983" t="s">
        <v>11385</v>
      </c>
      <c r="J983">
        <v>11208</v>
      </c>
      <c r="K983" t="s">
        <v>11446</v>
      </c>
      <c r="L983" t="s">
        <v>11752</v>
      </c>
      <c r="M983" t="s">
        <v>14743</v>
      </c>
      <c r="N983" t="s">
        <v>14781</v>
      </c>
      <c r="P983" t="s">
        <v>14797</v>
      </c>
      <c r="Q983" t="s">
        <v>11448</v>
      </c>
      <c r="S983" t="s">
        <v>14827</v>
      </c>
      <c r="T983" t="s">
        <v>14834</v>
      </c>
      <c r="U983" t="s">
        <v>493</v>
      </c>
      <c r="V983">
        <v>0</v>
      </c>
      <c r="W983" t="s">
        <v>14859</v>
      </c>
      <c r="X983" t="s">
        <v>14881</v>
      </c>
      <c r="Z983" t="s">
        <v>15833</v>
      </c>
      <c r="AA983" t="s">
        <v>19393</v>
      </c>
      <c r="AB983" t="s">
        <v>20925</v>
      </c>
      <c r="AC983">
        <v>319</v>
      </c>
      <c r="AD983" t="s">
        <v>24595</v>
      </c>
      <c r="AE983" t="s">
        <v>24615</v>
      </c>
      <c r="AF983">
        <v>0</v>
      </c>
      <c r="AG983">
        <v>1</v>
      </c>
      <c r="AH983">
        <v>7</v>
      </c>
      <c r="AI983">
        <v>65.98</v>
      </c>
      <c r="AL983" t="s">
        <v>5011</v>
      </c>
      <c r="AM983">
        <v>28656</v>
      </c>
      <c r="AS983">
        <v>40.5</v>
      </c>
      <c r="AT983" t="s">
        <v>516</v>
      </c>
      <c r="AU983" t="s">
        <v>66</v>
      </c>
      <c r="AV983" t="s">
        <v>25334</v>
      </c>
      <c r="AW983" t="s">
        <v>11447</v>
      </c>
    </row>
    <row r="984" spans="1:49">
      <c r="A984" s="1">
        <f>HYPERLINK("https://lsnyc.legalserver.org/matter/dynamic-profile/view/1904523","19-1904523")</f>
        <v>0</v>
      </c>
      <c r="B984" t="s">
        <v>178</v>
      </c>
      <c r="C984" t="s">
        <v>493</v>
      </c>
      <c r="E984" t="s">
        <v>1720</v>
      </c>
      <c r="F984" t="s">
        <v>3627</v>
      </c>
      <c r="G984" t="s">
        <v>7184</v>
      </c>
      <c r="H984">
        <v>31</v>
      </c>
      <c r="I984" t="s">
        <v>11386</v>
      </c>
      <c r="J984">
        <v>10034</v>
      </c>
      <c r="K984" t="s">
        <v>11446</v>
      </c>
      <c r="M984" t="s">
        <v>14753</v>
      </c>
      <c r="N984" t="s">
        <v>14780</v>
      </c>
      <c r="P984" t="s">
        <v>14797</v>
      </c>
      <c r="Q984" t="s">
        <v>11448</v>
      </c>
      <c r="S984" t="s">
        <v>14827</v>
      </c>
      <c r="U984" t="s">
        <v>493</v>
      </c>
      <c r="V984">
        <v>1013.58</v>
      </c>
      <c r="W984" t="s">
        <v>14860</v>
      </c>
      <c r="X984" t="s">
        <v>14868</v>
      </c>
      <c r="Z984" t="s">
        <v>15834</v>
      </c>
      <c r="AB984" t="s">
        <v>20926</v>
      </c>
      <c r="AC984">
        <v>25</v>
      </c>
      <c r="AD984" t="s">
        <v>24595</v>
      </c>
      <c r="AE984" t="s">
        <v>24610</v>
      </c>
      <c r="AF984">
        <v>50</v>
      </c>
      <c r="AG984">
        <v>2</v>
      </c>
      <c r="AH984">
        <v>0</v>
      </c>
      <c r="AI984">
        <v>105.38</v>
      </c>
      <c r="AK984" t="s">
        <v>24628</v>
      </c>
      <c r="AL984" t="s">
        <v>24632</v>
      </c>
      <c r="AM984">
        <v>17820</v>
      </c>
      <c r="AS984">
        <v>7.7</v>
      </c>
      <c r="AT984" t="s">
        <v>539</v>
      </c>
      <c r="AU984" t="s">
        <v>137</v>
      </c>
      <c r="AV984" t="s">
        <v>25335</v>
      </c>
      <c r="AW984" t="s">
        <v>11447</v>
      </c>
    </row>
    <row r="985" spans="1:49">
      <c r="A985" s="1">
        <f>HYPERLINK("https://lsnyc.legalserver.org/matter/dynamic-profile/view/1904599","19-1904599")</f>
        <v>0</v>
      </c>
      <c r="B985" t="s">
        <v>216</v>
      </c>
      <c r="C985" t="s">
        <v>493</v>
      </c>
      <c r="E985" t="s">
        <v>1224</v>
      </c>
      <c r="F985" t="s">
        <v>4217</v>
      </c>
      <c r="G985" t="s">
        <v>7185</v>
      </c>
      <c r="H985">
        <v>1</v>
      </c>
      <c r="I985" t="s">
        <v>11386</v>
      </c>
      <c r="J985">
        <v>10034</v>
      </c>
      <c r="K985" t="s">
        <v>11446</v>
      </c>
      <c r="N985" t="s">
        <v>14782</v>
      </c>
      <c r="P985" t="s">
        <v>14797</v>
      </c>
      <c r="Q985" t="s">
        <v>11446</v>
      </c>
      <c r="S985" t="s">
        <v>14827</v>
      </c>
      <c r="U985" t="s">
        <v>493</v>
      </c>
      <c r="V985">
        <v>868.24</v>
      </c>
      <c r="W985" t="s">
        <v>14860</v>
      </c>
      <c r="X985" t="s">
        <v>14867</v>
      </c>
      <c r="Z985" t="s">
        <v>15835</v>
      </c>
      <c r="AB985" t="s">
        <v>20927</v>
      </c>
      <c r="AC985">
        <v>25</v>
      </c>
      <c r="AD985" t="s">
        <v>24595</v>
      </c>
      <c r="AF985">
        <v>34</v>
      </c>
      <c r="AG985">
        <v>2</v>
      </c>
      <c r="AH985">
        <v>0</v>
      </c>
      <c r="AI985">
        <v>110.85</v>
      </c>
      <c r="AL985" t="s">
        <v>5011</v>
      </c>
      <c r="AM985">
        <v>18744</v>
      </c>
      <c r="AS985">
        <v>0.6</v>
      </c>
      <c r="AT985" t="s">
        <v>493</v>
      </c>
      <c r="AU985" t="s">
        <v>137</v>
      </c>
      <c r="AV985" t="s">
        <v>25335</v>
      </c>
      <c r="AW985" t="s">
        <v>11447</v>
      </c>
    </row>
    <row r="986" spans="1:49">
      <c r="A986" s="1">
        <f>HYPERLINK("https://lsnyc.legalserver.org/matter/dynamic-profile/view/1904522","19-1904522")</f>
        <v>0</v>
      </c>
      <c r="B986" t="s">
        <v>144</v>
      </c>
      <c r="C986" t="s">
        <v>493</v>
      </c>
      <c r="E986" t="s">
        <v>1721</v>
      </c>
      <c r="F986" t="s">
        <v>4218</v>
      </c>
      <c r="G986" t="s">
        <v>7186</v>
      </c>
      <c r="H986" t="s">
        <v>10758</v>
      </c>
      <c r="I986" t="s">
        <v>11420</v>
      </c>
      <c r="J986">
        <v>11104</v>
      </c>
      <c r="K986" t="s">
        <v>11446</v>
      </c>
      <c r="L986" t="s">
        <v>11753</v>
      </c>
      <c r="M986" t="s">
        <v>14743</v>
      </c>
      <c r="N986" t="s">
        <v>14781</v>
      </c>
      <c r="P986" t="s">
        <v>14797</v>
      </c>
      <c r="Q986" t="s">
        <v>11448</v>
      </c>
      <c r="S986" t="s">
        <v>14827</v>
      </c>
      <c r="T986" t="s">
        <v>14832</v>
      </c>
      <c r="U986" t="s">
        <v>493</v>
      </c>
      <c r="V986">
        <v>1241</v>
      </c>
      <c r="W986" t="s">
        <v>14861</v>
      </c>
      <c r="X986" t="s">
        <v>14865</v>
      </c>
      <c r="Z986" t="s">
        <v>15836</v>
      </c>
      <c r="AB986" t="s">
        <v>20928</v>
      </c>
      <c r="AC986">
        <v>60</v>
      </c>
      <c r="AD986" t="s">
        <v>11479</v>
      </c>
      <c r="AE986" t="s">
        <v>11459</v>
      </c>
      <c r="AF986">
        <v>20</v>
      </c>
      <c r="AG986">
        <v>2</v>
      </c>
      <c r="AH986">
        <v>0</v>
      </c>
      <c r="AI986">
        <v>138.65</v>
      </c>
      <c r="AL986" t="s">
        <v>24647</v>
      </c>
      <c r="AM986">
        <v>23446.28</v>
      </c>
      <c r="AP986" t="s">
        <v>24943</v>
      </c>
      <c r="AS986">
        <v>16.95</v>
      </c>
      <c r="AT986" t="s">
        <v>586</v>
      </c>
      <c r="AU986" t="s">
        <v>292</v>
      </c>
      <c r="AV986" t="s">
        <v>25335</v>
      </c>
      <c r="AW986" t="s">
        <v>11447</v>
      </c>
    </row>
    <row r="987" spans="1:49">
      <c r="A987" s="1">
        <f>HYPERLINK("https://lsnyc.legalserver.org/matter/dynamic-profile/view/1904601","19-1904601")</f>
        <v>0</v>
      </c>
      <c r="B987" t="s">
        <v>216</v>
      </c>
      <c r="C987" t="s">
        <v>493</v>
      </c>
      <c r="E987" t="s">
        <v>1025</v>
      </c>
      <c r="F987" t="s">
        <v>1329</v>
      </c>
      <c r="G987" t="s">
        <v>7185</v>
      </c>
      <c r="H987">
        <v>4</v>
      </c>
      <c r="I987" t="s">
        <v>11386</v>
      </c>
      <c r="J987">
        <v>10034</v>
      </c>
      <c r="K987" t="s">
        <v>11446</v>
      </c>
      <c r="N987" t="s">
        <v>14782</v>
      </c>
      <c r="P987" t="s">
        <v>14797</v>
      </c>
      <c r="Q987" t="s">
        <v>11446</v>
      </c>
      <c r="S987" t="s">
        <v>14827</v>
      </c>
      <c r="U987" t="s">
        <v>493</v>
      </c>
      <c r="V987">
        <v>893</v>
      </c>
      <c r="W987" t="s">
        <v>14860</v>
      </c>
      <c r="X987" t="s">
        <v>14867</v>
      </c>
      <c r="Z987" t="s">
        <v>15519</v>
      </c>
      <c r="AB987" t="s">
        <v>20929</v>
      </c>
      <c r="AC987">
        <v>25</v>
      </c>
      <c r="AD987" t="s">
        <v>24595</v>
      </c>
      <c r="AE987" t="s">
        <v>11459</v>
      </c>
      <c r="AF987">
        <v>38</v>
      </c>
      <c r="AG987">
        <v>1</v>
      </c>
      <c r="AH987">
        <v>0</v>
      </c>
      <c r="AI987">
        <v>352.28</v>
      </c>
      <c r="AL987" t="s">
        <v>24632</v>
      </c>
      <c r="AM987">
        <v>44000</v>
      </c>
      <c r="AS987">
        <v>32.6</v>
      </c>
      <c r="AT987" t="s">
        <v>509</v>
      </c>
      <c r="AU987" t="s">
        <v>137</v>
      </c>
      <c r="AV987" t="s">
        <v>25335</v>
      </c>
      <c r="AW987" t="s">
        <v>11447</v>
      </c>
    </row>
    <row r="988" spans="1:49">
      <c r="A988" s="1">
        <f>HYPERLINK("https://lsnyc.legalserver.org/matter/dynamic-profile/view/1904691","19-1904691")</f>
        <v>0</v>
      </c>
      <c r="B988" t="s">
        <v>216</v>
      </c>
      <c r="C988" t="s">
        <v>365</v>
      </c>
      <c r="E988" t="s">
        <v>1722</v>
      </c>
      <c r="F988" t="s">
        <v>3727</v>
      </c>
      <c r="G988" t="s">
        <v>7185</v>
      </c>
      <c r="H988">
        <v>5</v>
      </c>
      <c r="I988" t="s">
        <v>11386</v>
      </c>
      <c r="J988">
        <v>10034</v>
      </c>
      <c r="K988" t="s">
        <v>11446</v>
      </c>
      <c r="N988" t="s">
        <v>14782</v>
      </c>
      <c r="P988" t="s">
        <v>14797</v>
      </c>
      <c r="Q988" t="s">
        <v>11446</v>
      </c>
      <c r="S988" t="s">
        <v>14827</v>
      </c>
      <c r="U988" t="s">
        <v>365</v>
      </c>
      <c r="V988">
        <v>961.8200000000001</v>
      </c>
      <c r="W988" t="s">
        <v>14860</v>
      </c>
      <c r="X988" t="s">
        <v>14867</v>
      </c>
      <c r="Z988" t="s">
        <v>15249</v>
      </c>
      <c r="AC988">
        <v>25</v>
      </c>
      <c r="AD988" t="s">
        <v>24595</v>
      </c>
      <c r="AE988" t="s">
        <v>11459</v>
      </c>
      <c r="AF988">
        <v>30</v>
      </c>
      <c r="AG988">
        <v>1</v>
      </c>
      <c r="AH988">
        <v>0</v>
      </c>
      <c r="AI988">
        <v>0</v>
      </c>
      <c r="AL988" t="s">
        <v>5011</v>
      </c>
      <c r="AM988">
        <v>0</v>
      </c>
      <c r="AS988">
        <v>0</v>
      </c>
      <c r="AU988" t="s">
        <v>137</v>
      </c>
      <c r="AV988" t="s">
        <v>25335</v>
      </c>
      <c r="AW988" t="s">
        <v>11447</v>
      </c>
    </row>
    <row r="989" spans="1:49">
      <c r="A989" s="1">
        <f>HYPERLINK("https://lsnyc.legalserver.org/matter/dynamic-profile/view/1904716","19-1904716")</f>
        <v>0</v>
      </c>
      <c r="B989" t="s">
        <v>216</v>
      </c>
      <c r="C989" t="s">
        <v>365</v>
      </c>
      <c r="E989" t="s">
        <v>1723</v>
      </c>
      <c r="F989" t="s">
        <v>4219</v>
      </c>
      <c r="G989" t="s">
        <v>7185</v>
      </c>
      <c r="H989">
        <v>41</v>
      </c>
      <c r="I989" t="s">
        <v>11386</v>
      </c>
      <c r="J989">
        <v>10034</v>
      </c>
      <c r="K989" t="s">
        <v>11446</v>
      </c>
      <c r="N989" t="s">
        <v>14782</v>
      </c>
      <c r="P989" t="s">
        <v>14797</v>
      </c>
      <c r="Q989" t="s">
        <v>11446</v>
      </c>
      <c r="S989" t="s">
        <v>14827</v>
      </c>
      <c r="U989" t="s">
        <v>365</v>
      </c>
      <c r="V989">
        <v>910</v>
      </c>
      <c r="W989" t="s">
        <v>14860</v>
      </c>
      <c r="X989" t="s">
        <v>14867</v>
      </c>
      <c r="Z989" t="s">
        <v>15837</v>
      </c>
      <c r="AC989">
        <v>25</v>
      </c>
      <c r="AD989" t="s">
        <v>24595</v>
      </c>
      <c r="AE989" t="s">
        <v>24615</v>
      </c>
      <c r="AF989">
        <v>40</v>
      </c>
      <c r="AG989">
        <v>6</v>
      </c>
      <c r="AH989">
        <v>0</v>
      </c>
      <c r="AI989">
        <v>0</v>
      </c>
      <c r="AL989" t="s">
        <v>5011</v>
      </c>
      <c r="AM989">
        <v>0</v>
      </c>
      <c r="AS989">
        <v>0</v>
      </c>
      <c r="AU989" t="s">
        <v>137</v>
      </c>
      <c r="AV989" t="s">
        <v>25335</v>
      </c>
      <c r="AW989" t="s">
        <v>11447</v>
      </c>
    </row>
    <row r="990" spans="1:49">
      <c r="A990" s="1">
        <f>HYPERLINK("https://lsnyc.legalserver.org/matter/dynamic-profile/view/1904688","19-1904688")</f>
        <v>0</v>
      </c>
      <c r="B990" t="s">
        <v>217</v>
      </c>
      <c r="C990" t="s">
        <v>365</v>
      </c>
      <c r="E990" t="s">
        <v>1056</v>
      </c>
      <c r="F990" t="s">
        <v>4220</v>
      </c>
      <c r="G990" t="s">
        <v>7187</v>
      </c>
      <c r="H990" t="s">
        <v>10759</v>
      </c>
      <c r="I990" t="s">
        <v>11386</v>
      </c>
      <c r="J990">
        <v>10128</v>
      </c>
      <c r="K990" t="s">
        <v>11446</v>
      </c>
      <c r="L990" t="s">
        <v>11754</v>
      </c>
      <c r="M990" t="s">
        <v>14743</v>
      </c>
      <c r="N990" t="s">
        <v>14781</v>
      </c>
      <c r="P990" t="s">
        <v>14797</v>
      </c>
      <c r="Q990" t="s">
        <v>11448</v>
      </c>
      <c r="S990" t="s">
        <v>14827</v>
      </c>
      <c r="U990" t="s">
        <v>365</v>
      </c>
      <c r="V990">
        <v>918</v>
      </c>
      <c r="W990" t="s">
        <v>14860</v>
      </c>
      <c r="X990" t="s">
        <v>14864</v>
      </c>
      <c r="Z990" t="s">
        <v>15838</v>
      </c>
      <c r="AA990" t="s">
        <v>19394</v>
      </c>
      <c r="AB990" t="s">
        <v>20930</v>
      </c>
      <c r="AC990">
        <v>37</v>
      </c>
      <c r="AD990" t="s">
        <v>24595</v>
      </c>
      <c r="AE990" t="s">
        <v>24611</v>
      </c>
      <c r="AF990">
        <v>21</v>
      </c>
      <c r="AG990">
        <v>1</v>
      </c>
      <c r="AH990">
        <v>0</v>
      </c>
      <c r="AI990">
        <v>37.89</v>
      </c>
      <c r="AL990" t="s">
        <v>5011</v>
      </c>
      <c r="AM990">
        <v>4732</v>
      </c>
      <c r="AS990">
        <v>10.3</v>
      </c>
      <c r="AT990" t="s">
        <v>578</v>
      </c>
      <c r="AU990" t="s">
        <v>25276</v>
      </c>
      <c r="AV990" t="s">
        <v>25334</v>
      </c>
      <c r="AW990" t="s">
        <v>11447</v>
      </c>
    </row>
    <row r="991" spans="1:49">
      <c r="A991" s="1">
        <f>HYPERLINK("https://lsnyc.legalserver.org/matter/dynamic-profile/view/1904678","19-1904678")</f>
        <v>0</v>
      </c>
      <c r="B991" t="s">
        <v>218</v>
      </c>
      <c r="C991" t="s">
        <v>365</v>
      </c>
      <c r="E991" t="s">
        <v>1724</v>
      </c>
      <c r="F991" t="s">
        <v>4221</v>
      </c>
      <c r="G991" t="s">
        <v>7188</v>
      </c>
      <c r="H991" t="s">
        <v>10666</v>
      </c>
      <c r="I991" t="s">
        <v>11383</v>
      </c>
      <c r="J991">
        <v>10463</v>
      </c>
      <c r="K991" t="s">
        <v>11446</v>
      </c>
      <c r="L991" t="s">
        <v>11755</v>
      </c>
      <c r="M991" t="s">
        <v>14744</v>
      </c>
      <c r="N991" t="s">
        <v>14782</v>
      </c>
      <c r="P991" t="s">
        <v>14797</v>
      </c>
      <c r="Q991" t="s">
        <v>11448</v>
      </c>
      <c r="S991" t="s">
        <v>14827</v>
      </c>
      <c r="U991" t="s">
        <v>365</v>
      </c>
      <c r="V991">
        <v>1133</v>
      </c>
      <c r="W991" t="s">
        <v>14860</v>
      </c>
      <c r="X991" t="s">
        <v>14755</v>
      </c>
      <c r="Z991" t="s">
        <v>15839</v>
      </c>
      <c r="AA991" t="s">
        <v>19395</v>
      </c>
      <c r="AB991" t="s">
        <v>20931</v>
      </c>
      <c r="AC991">
        <v>84</v>
      </c>
      <c r="AD991" t="s">
        <v>24595</v>
      </c>
      <c r="AE991" t="s">
        <v>11459</v>
      </c>
      <c r="AF991">
        <v>5</v>
      </c>
      <c r="AG991">
        <v>1</v>
      </c>
      <c r="AH991">
        <v>1</v>
      </c>
      <c r="AI991">
        <v>60.86</v>
      </c>
      <c r="AL991" t="s">
        <v>24632</v>
      </c>
      <c r="AM991">
        <v>10292.04</v>
      </c>
      <c r="AS991">
        <v>12.6</v>
      </c>
      <c r="AT991" t="s">
        <v>509</v>
      </c>
      <c r="AU991" t="s">
        <v>25276</v>
      </c>
      <c r="AV991" t="s">
        <v>25334</v>
      </c>
      <c r="AW991" t="s">
        <v>11447</v>
      </c>
    </row>
    <row r="992" spans="1:49">
      <c r="A992" s="1">
        <f>HYPERLINK("https://lsnyc.legalserver.org/matter/dynamic-profile/view/1904701","19-1904701")</f>
        <v>0</v>
      </c>
      <c r="B992" t="s">
        <v>216</v>
      </c>
      <c r="C992" t="s">
        <v>365</v>
      </c>
      <c r="E992" t="s">
        <v>1725</v>
      </c>
      <c r="F992" t="s">
        <v>3547</v>
      </c>
      <c r="G992" t="s">
        <v>7185</v>
      </c>
      <c r="H992">
        <v>34</v>
      </c>
      <c r="I992" t="s">
        <v>11386</v>
      </c>
      <c r="J992">
        <v>10034</v>
      </c>
      <c r="K992" t="s">
        <v>11446</v>
      </c>
      <c r="N992" t="s">
        <v>14782</v>
      </c>
      <c r="P992" t="s">
        <v>14797</v>
      </c>
      <c r="Q992" t="s">
        <v>11446</v>
      </c>
      <c r="S992" t="s">
        <v>14827</v>
      </c>
      <c r="U992" t="s">
        <v>365</v>
      </c>
      <c r="V992">
        <v>812.02</v>
      </c>
      <c r="W992" t="s">
        <v>14860</v>
      </c>
      <c r="X992" t="s">
        <v>14867</v>
      </c>
      <c r="Z992" t="s">
        <v>15840</v>
      </c>
      <c r="AB992" t="s">
        <v>20932</v>
      </c>
      <c r="AC992">
        <v>25</v>
      </c>
      <c r="AD992" t="s">
        <v>24595</v>
      </c>
      <c r="AE992" t="s">
        <v>24613</v>
      </c>
      <c r="AF992">
        <v>38</v>
      </c>
      <c r="AG992">
        <v>1</v>
      </c>
      <c r="AH992">
        <v>0</v>
      </c>
      <c r="AI992">
        <v>64.05</v>
      </c>
      <c r="AL992" t="s">
        <v>5011</v>
      </c>
      <c r="AM992">
        <v>8000</v>
      </c>
      <c r="AS992">
        <v>1.5</v>
      </c>
      <c r="AT992" t="s">
        <v>366</v>
      </c>
      <c r="AU992" t="s">
        <v>137</v>
      </c>
      <c r="AV992" t="s">
        <v>25335</v>
      </c>
      <c r="AW992" t="s">
        <v>11447</v>
      </c>
    </row>
    <row r="993" spans="1:49">
      <c r="A993" s="1">
        <f>HYPERLINK("https://lsnyc.legalserver.org/matter/dynamic-profile/view/1904693","19-1904693")</f>
        <v>0</v>
      </c>
      <c r="B993" t="s">
        <v>216</v>
      </c>
      <c r="C993" t="s">
        <v>365</v>
      </c>
      <c r="E993" t="s">
        <v>1523</v>
      </c>
      <c r="F993" t="s">
        <v>4222</v>
      </c>
      <c r="G993" t="s">
        <v>7185</v>
      </c>
      <c r="H993">
        <v>31</v>
      </c>
      <c r="I993" t="s">
        <v>11386</v>
      </c>
      <c r="J993">
        <v>10034</v>
      </c>
      <c r="K993" t="s">
        <v>11446</v>
      </c>
      <c r="N993" t="s">
        <v>14782</v>
      </c>
      <c r="P993" t="s">
        <v>14797</v>
      </c>
      <c r="Q993" t="s">
        <v>11446</v>
      </c>
      <c r="S993" t="s">
        <v>14827</v>
      </c>
      <c r="U993" t="s">
        <v>365</v>
      </c>
      <c r="V993">
        <v>997</v>
      </c>
      <c r="W993" t="s">
        <v>14860</v>
      </c>
      <c r="X993" t="s">
        <v>14867</v>
      </c>
      <c r="Z993" t="s">
        <v>15841</v>
      </c>
      <c r="AC993">
        <v>25</v>
      </c>
      <c r="AD993" t="s">
        <v>24595</v>
      </c>
      <c r="AE993" t="s">
        <v>11459</v>
      </c>
      <c r="AF993">
        <v>5</v>
      </c>
      <c r="AG993">
        <v>3</v>
      </c>
      <c r="AH993">
        <v>2</v>
      </c>
      <c r="AI993">
        <v>77.56</v>
      </c>
      <c r="AL993" t="s">
        <v>24632</v>
      </c>
      <c r="AM993">
        <v>23400</v>
      </c>
      <c r="AS993">
        <v>0</v>
      </c>
      <c r="AU993" t="s">
        <v>137</v>
      </c>
      <c r="AV993" t="s">
        <v>25335</v>
      </c>
      <c r="AW993" t="s">
        <v>11447</v>
      </c>
    </row>
    <row r="994" spans="1:49">
      <c r="A994" s="1">
        <f>HYPERLINK("https://lsnyc.legalserver.org/matter/dynamic-profile/view/1904712","19-1904712")</f>
        <v>0</v>
      </c>
      <c r="B994" t="s">
        <v>216</v>
      </c>
      <c r="C994" t="s">
        <v>365</v>
      </c>
      <c r="E994" t="s">
        <v>1294</v>
      </c>
      <c r="F994" t="s">
        <v>3662</v>
      </c>
      <c r="G994" t="s">
        <v>7185</v>
      </c>
      <c r="H994">
        <v>44</v>
      </c>
      <c r="I994" t="s">
        <v>11386</v>
      </c>
      <c r="J994">
        <v>10034</v>
      </c>
      <c r="K994" t="s">
        <v>11446</v>
      </c>
      <c r="N994" t="s">
        <v>14782</v>
      </c>
      <c r="P994" t="s">
        <v>14797</v>
      </c>
      <c r="Q994" t="s">
        <v>11446</v>
      </c>
      <c r="S994" t="s">
        <v>14827</v>
      </c>
      <c r="U994" t="s">
        <v>365</v>
      </c>
      <c r="V994">
        <v>1180.21</v>
      </c>
      <c r="W994" t="s">
        <v>14860</v>
      </c>
      <c r="X994" t="s">
        <v>14867</v>
      </c>
      <c r="Z994" t="s">
        <v>15842</v>
      </c>
      <c r="AC994">
        <v>25</v>
      </c>
      <c r="AD994" t="s">
        <v>24595</v>
      </c>
      <c r="AE994" t="s">
        <v>11459</v>
      </c>
      <c r="AF994">
        <v>14</v>
      </c>
      <c r="AG994">
        <v>2</v>
      </c>
      <c r="AH994">
        <v>3</v>
      </c>
      <c r="AI994">
        <v>96.12</v>
      </c>
      <c r="AL994" t="s">
        <v>24632</v>
      </c>
      <c r="AM994">
        <v>29000</v>
      </c>
      <c r="AS994">
        <v>0</v>
      </c>
      <c r="AU994" t="s">
        <v>137</v>
      </c>
      <c r="AV994" t="s">
        <v>25335</v>
      </c>
      <c r="AW994" t="s">
        <v>11447</v>
      </c>
    </row>
    <row r="995" spans="1:49">
      <c r="A995" s="1">
        <f>HYPERLINK("https://lsnyc.legalserver.org/matter/dynamic-profile/view/1890810","19-1890810")</f>
        <v>0</v>
      </c>
      <c r="B995" t="s">
        <v>210</v>
      </c>
      <c r="C995" t="s">
        <v>552</v>
      </c>
      <c r="E995" t="s">
        <v>1726</v>
      </c>
      <c r="F995" t="s">
        <v>4223</v>
      </c>
      <c r="G995" t="s">
        <v>7189</v>
      </c>
      <c r="H995" t="s">
        <v>10461</v>
      </c>
      <c r="I995" t="s">
        <v>11385</v>
      </c>
      <c r="J995">
        <v>11235</v>
      </c>
      <c r="K995" t="s">
        <v>11446</v>
      </c>
      <c r="M995" t="s">
        <v>14748</v>
      </c>
      <c r="N995" t="s">
        <v>14780</v>
      </c>
      <c r="P995" t="s">
        <v>14797</v>
      </c>
      <c r="Q995" t="s">
        <v>11448</v>
      </c>
      <c r="S995" t="s">
        <v>14827</v>
      </c>
      <c r="U995" t="s">
        <v>365</v>
      </c>
      <c r="V995">
        <v>930</v>
      </c>
      <c r="W995" t="s">
        <v>14859</v>
      </c>
      <c r="Z995" t="s">
        <v>15843</v>
      </c>
      <c r="AB995" t="s">
        <v>20933</v>
      </c>
      <c r="AC995">
        <v>144</v>
      </c>
      <c r="AF995">
        <v>0</v>
      </c>
      <c r="AG995">
        <v>2</v>
      </c>
      <c r="AH995">
        <v>0</v>
      </c>
      <c r="AI995">
        <v>113.54</v>
      </c>
      <c r="AL995" t="s">
        <v>5011</v>
      </c>
      <c r="AM995">
        <v>19200</v>
      </c>
      <c r="AN995" t="s">
        <v>24752</v>
      </c>
      <c r="AS995">
        <v>4.5</v>
      </c>
      <c r="AT995" t="s">
        <v>659</v>
      </c>
      <c r="AU995" t="s">
        <v>75</v>
      </c>
      <c r="AV995" t="s">
        <v>25335</v>
      </c>
      <c r="AW995" t="s">
        <v>11446</v>
      </c>
    </row>
    <row r="996" spans="1:49">
      <c r="A996" s="1">
        <f>HYPERLINK("https://lsnyc.legalserver.org/matter/dynamic-profile/view/1904621","19-1904621")</f>
        <v>0</v>
      </c>
      <c r="B996" t="s">
        <v>219</v>
      </c>
      <c r="C996" t="s">
        <v>365</v>
      </c>
      <c r="E996" t="s">
        <v>1727</v>
      </c>
      <c r="F996" t="s">
        <v>4224</v>
      </c>
      <c r="G996" t="s">
        <v>7190</v>
      </c>
      <c r="H996" t="s">
        <v>10750</v>
      </c>
      <c r="I996" t="s">
        <v>11386</v>
      </c>
      <c r="J996">
        <v>10033</v>
      </c>
      <c r="K996" t="s">
        <v>11446</v>
      </c>
      <c r="L996" t="s">
        <v>11756</v>
      </c>
      <c r="M996" t="s">
        <v>14744</v>
      </c>
      <c r="N996" t="s">
        <v>14782</v>
      </c>
      <c r="P996" t="s">
        <v>14797</v>
      </c>
      <c r="Q996" t="s">
        <v>11448</v>
      </c>
      <c r="S996" t="s">
        <v>14827</v>
      </c>
      <c r="U996" t="s">
        <v>365</v>
      </c>
      <c r="V996">
        <v>868.62</v>
      </c>
      <c r="W996" t="s">
        <v>14860</v>
      </c>
      <c r="X996" t="s">
        <v>14865</v>
      </c>
      <c r="Z996" t="s">
        <v>15844</v>
      </c>
      <c r="AB996" t="s">
        <v>20934</v>
      </c>
      <c r="AC996">
        <v>39</v>
      </c>
      <c r="AD996" t="s">
        <v>24595</v>
      </c>
      <c r="AE996" t="s">
        <v>11459</v>
      </c>
      <c r="AF996">
        <v>46</v>
      </c>
      <c r="AG996">
        <v>2</v>
      </c>
      <c r="AH996">
        <v>3</v>
      </c>
      <c r="AI996">
        <v>116.01</v>
      </c>
      <c r="AL996" t="s">
        <v>5011</v>
      </c>
      <c r="AM996">
        <v>35000</v>
      </c>
      <c r="AS996">
        <v>6.3</v>
      </c>
      <c r="AT996" t="s">
        <v>516</v>
      </c>
      <c r="AU996" t="s">
        <v>25276</v>
      </c>
      <c r="AV996" t="s">
        <v>25335</v>
      </c>
      <c r="AW996" t="s">
        <v>11447</v>
      </c>
    </row>
    <row r="997" spans="1:49">
      <c r="A997" s="1">
        <f>HYPERLINK("https://lsnyc.legalserver.org/matter/dynamic-profile/view/1904681","19-1904681")</f>
        <v>0</v>
      </c>
      <c r="B997" t="s">
        <v>74</v>
      </c>
      <c r="C997" t="s">
        <v>365</v>
      </c>
      <c r="E997" t="s">
        <v>1487</v>
      </c>
      <c r="F997" t="s">
        <v>4225</v>
      </c>
      <c r="G997" t="s">
        <v>7191</v>
      </c>
      <c r="H997" t="s">
        <v>10506</v>
      </c>
      <c r="I997" t="s">
        <v>11405</v>
      </c>
      <c r="J997">
        <v>11416</v>
      </c>
      <c r="K997" t="s">
        <v>11446</v>
      </c>
      <c r="L997" t="s">
        <v>11757</v>
      </c>
      <c r="M997" t="s">
        <v>14743</v>
      </c>
      <c r="N997" t="s">
        <v>14778</v>
      </c>
      <c r="P997" t="s">
        <v>14797</v>
      </c>
      <c r="Q997" t="s">
        <v>11448</v>
      </c>
      <c r="S997" t="s">
        <v>14827</v>
      </c>
      <c r="T997" t="s">
        <v>14832</v>
      </c>
      <c r="U997" t="s">
        <v>365</v>
      </c>
      <c r="V997">
        <v>850</v>
      </c>
      <c r="W997" t="s">
        <v>14861</v>
      </c>
      <c r="X997" t="s">
        <v>14865</v>
      </c>
      <c r="Z997" t="s">
        <v>15845</v>
      </c>
      <c r="AA997" t="s">
        <v>19396</v>
      </c>
      <c r="AB997" t="s">
        <v>20935</v>
      </c>
      <c r="AC997">
        <v>2</v>
      </c>
      <c r="AD997" t="s">
        <v>11479</v>
      </c>
      <c r="AE997" t="s">
        <v>11459</v>
      </c>
      <c r="AF997">
        <v>1</v>
      </c>
      <c r="AG997">
        <v>1</v>
      </c>
      <c r="AH997">
        <v>0</v>
      </c>
      <c r="AI997">
        <v>124.04</v>
      </c>
      <c r="AL997" t="s">
        <v>5011</v>
      </c>
      <c r="AM997">
        <v>15492</v>
      </c>
      <c r="AS997">
        <v>0.7</v>
      </c>
      <c r="AT997" t="s">
        <v>509</v>
      </c>
      <c r="AU997" t="s">
        <v>292</v>
      </c>
      <c r="AV997" t="s">
        <v>25335</v>
      </c>
      <c r="AW997" t="s">
        <v>11447</v>
      </c>
    </row>
    <row r="998" spans="1:49">
      <c r="A998" s="1">
        <f>HYPERLINK("https://lsnyc.legalserver.org/matter/dynamic-profile/view/1904729","19-1904729")</f>
        <v>0</v>
      </c>
      <c r="B998" t="s">
        <v>55</v>
      </c>
      <c r="C998" t="s">
        <v>365</v>
      </c>
      <c r="E998" t="s">
        <v>1495</v>
      </c>
      <c r="F998" t="s">
        <v>3547</v>
      </c>
      <c r="G998" t="s">
        <v>7192</v>
      </c>
      <c r="H998" t="s">
        <v>10625</v>
      </c>
      <c r="I998" t="s">
        <v>11386</v>
      </c>
      <c r="J998">
        <v>10034</v>
      </c>
      <c r="K998" t="s">
        <v>11446</v>
      </c>
      <c r="M998" t="s">
        <v>14746</v>
      </c>
      <c r="N998" t="s">
        <v>14781</v>
      </c>
      <c r="P998" t="s">
        <v>14797</v>
      </c>
      <c r="Q998" t="s">
        <v>11446</v>
      </c>
      <c r="S998" t="s">
        <v>14827</v>
      </c>
      <c r="U998" t="s">
        <v>365</v>
      </c>
      <c r="V998">
        <v>1600</v>
      </c>
      <c r="W998" t="s">
        <v>14860</v>
      </c>
      <c r="X998" t="s">
        <v>14867</v>
      </c>
      <c r="Z998" t="s">
        <v>15846</v>
      </c>
      <c r="AB998" t="s">
        <v>20936</v>
      </c>
      <c r="AC998">
        <v>43</v>
      </c>
      <c r="AD998" t="s">
        <v>24595</v>
      </c>
      <c r="AE998" t="s">
        <v>11459</v>
      </c>
      <c r="AF998">
        <v>0</v>
      </c>
      <c r="AG998">
        <v>3</v>
      </c>
      <c r="AH998">
        <v>1</v>
      </c>
      <c r="AI998">
        <v>154.72</v>
      </c>
      <c r="AL998" t="s">
        <v>24632</v>
      </c>
      <c r="AM998">
        <v>39840</v>
      </c>
      <c r="AS998">
        <v>1</v>
      </c>
      <c r="AT998" t="s">
        <v>586</v>
      </c>
      <c r="AU998" t="s">
        <v>137</v>
      </c>
      <c r="AV998" t="s">
        <v>25335</v>
      </c>
      <c r="AW998" t="s">
        <v>11447</v>
      </c>
    </row>
    <row r="999" spans="1:49">
      <c r="A999" s="1">
        <f>HYPERLINK("https://lsnyc.legalserver.org/matter/dynamic-profile/view/1904718","19-1904718")</f>
        <v>0</v>
      </c>
      <c r="B999" t="s">
        <v>220</v>
      </c>
      <c r="C999" t="s">
        <v>365</v>
      </c>
      <c r="E999" t="s">
        <v>1728</v>
      </c>
      <c r="F999" t="s">
        <v>4226</v>
      </c>
      <c r="G999" t="s">
        <v>7193</v>
      </c>
      <c r="H999" t="s">
        <v>10491</v>
      </c>
      <c r="I999" t="s">
        <v>11386</v>
      </c>
      <c r="J999">
        <v>10040</v>
      </c>
      <c r="K999" t="s">
        <v>11446</v>
      </c>
      <c r="N999" t="s">
        <v>14782</v>
      </c>
      <c r="P999" t="s">
        <v>14797</v>
      </c>
      <c r="Q999" t="s">
        <v>11448</v>
      </c>
      <c r="S999" t="s">
        <v>14827</v>
      </c>
      <c r="U999" t="s">
        <v>365</v>
      </c>
      <c r="V999">
        <v>1116.26</v>
      </c>
      <c r="W999" t="s">
        <v>14860</v>
      </c>
      <c r="X999" t="s">
        <v>14867</v>
      </c>
      <c r="Z999" t="s">
        <v>15847</v>
      </c>
      <c r="AB999" t="s">
        <v>20937</v>
      </c>
      <c r="AC999">
        <v>42</v>
      </c>
      <c r="AD999" t="s">
        <v>24595</v>
      </c>
      <c r="AE999" t="s">
        <v>11459</v>
      </c>
      <c r="AF999">
        <v>22</v>
      </c>
      <c r="AG999">
        <v>2</v>
      </c>
      <c r="AH999">
        <v>0</v>
      </c>
      <c r="AI999">
        <v>161.44</v>
      </c>
      <c r="AL999" t="s">
        <v>24632</v>
      </c>
      <c r="AM999">
        <v>27300</v>
      </c>
      <c r="AS999">
        <v>8</v>
      </c>
      <c r="AT999" t="s">
        <v>511</v>
      </c>
      <c r="AU999" t="s">
        <v>137</v>
      </c>
      <c r="AV999" t="s">
        <v>25335</v>
      </c>
      <c r="AW999" t="s">
        <v>11447</v>
      </c>
    </row>
    <row r="1000" spans="1:49">
      <c r="A1000" s="1">
        <f>HYPERLINK("https://lsnyc.legalserver.org/matter/dynamic-profile/view/1904725","19-1904725")</f>
        <v>0</v>
      </c>
      <c r="B1000" t="s">
        <v>55</v>
      </c>
      <c r="C1000" t="s">
        <v>365</v>
      </c>
      <c r="E1000" t="s">
        <v>1144</v>
      </c>
      <c r="F1000" t="s">
        <v>4227</v>
      </c>
      <c r="G1000" t="s">
        <v>7192</v>
      </c>
      <c r="H1000" t="s">
        <v>10760</v>
      </c>
      <c r="I1000" t="s">
        <v>11386</v>
      </c>
      <c r="J1000">
        <v>10034</v>
      </c>
      <c r="K1000" t="s">
        <v>11446</v>
      </c>
      <c r="M1000" t="s">
        <v>14746</v>
      </c>
      <c r="N1000" t="s">
        <v>14781</v>
      </c>
      <c r="P1000" t="s">
        <v>14797</v>
      </c>
      <c r="Q1000" t="s">
        <v>11446</v>
      </c>
      <c r="S1000" t="s">
        <v>14827</v>
      </c>
      <c r="U1000" t="s">
        <v>365</v>
      </c>
      <c r="V1000">
        <v>1650</v>
      </c>
      <c r="W1000" t="s">
        <v>14860</v>
      </c>
      <c r="X1000" t="s">
        <v>14867</v>
      </c>
      <c r="Z1000" t="s">
        <v>15848</v>
      </c>
      <c r="AB1000" t="s">
        <v>20938</v>
      </c>
      <c r="AC1000">
        <v>43</v>
      </c>
      <c r="AD1000" t="s">
        <v>24595</v>
      </c>
      <c r="AE1000" t="s">
        <v>11459</v>
      </c>
      <c r="AF1000">
        <v>24</v>
      </c>
      <c r="AG1000">
        <v>2</v>
      </c>
      <c r="AH1000">
        <v>2</v>
      </c>
      <c r="AI1000">
        <v>252.43</v>
      </c>
      <c r="AJ1000" t="s">
        <v>551</v>
      </c>
      <c r="AK1000" t="s">
        <v>24629</v>
      </c>
      <c r="AL1000" t="s">
        <v>5011</v>
      </c>
      <c r="AM1000">
        <v>65000</v>
      </c>
      <c r="AS1000">
        <v>0</v>
      </c>
      <c r="AU1000" t="s">
        <v>137</v>
      </c>
      <c r="AV1000" t="s">
        <v>25335</v>
      </c>
      <c r="AW1000" t="s">
        <v>11447</v>
      </c>
    </row>
    <row r="1001" spans="1:49">
      <c r="A1001" s="1">
        <f>HYPERLINK("https://lsnyc.legalserver.org/matter/dynamic-profile/view/1904723","19-1904723")</f>
        <v>0</v>
      </c>
      <c r="B1001" t="s">
        <v>55</v>
      </c>
      <c r="C1001" t="s">
        <v>365</v>
      </c>
      <c r="E1001" t="s">
        <v>1135</v>
      </c>
      <c r="F1001" t="s">
        <v>3909</v>
      </c>
      <c r="G1001" t="s">
        <v>7192</v>
      </c>
      <c r="H1001" t="s">
        <v>10678</v>
      </c>
      <c r="I1001" t="s">
        <v>11386</v>
      </c>
      <c r="J1001">
        <v>10034</v>
      </c>
      <c r="K1001" t="s">
        <v>11446</v>
      </c>
      <c r="M1001" t="s">
        <v>14746</v>
      </c>
      <c r="N1001" t="s">
        <v>14781</v>
      </c>
      <c r="P1001" t="s">
        <v>14797</v>
      </c>
      <c r="Q1001" t="s">
        <v>11446</v>
      </c>
      <c r="S1001" t="s">
        <v>14827</v>
      </c>
      <c r="U1001" t="s">
        <v>365</v>
      </c>
      <c r="V1001">
        <v>1625</v>
      </c>
      <c r="W1001" t="s">
        <v>14860</v>
      </c>
      <c r="X1001" t="s">
        <v>14867</v>
      </c>
      <c r="Z1001" t="s">
        <v>15849</v>
      </c>
      <c r="AB1001" t="s">
        <v>20939</v>
      </c>
      <c r="AC1001">
        <v>43</v>
      </c>
      <c r="AD1001" t="s">
        <v>24595</v>
      </c>
      <c r="AE1001" t="s">
        <v>11459</v>
      </c>
      <c r="AF1001">
        <v>2</v>
      </c>
      <c r="AG1001">
        <v>2</v>
      </c>
      <c r="AH1001">
        <v>0</v>
      </c>
      <c r="AI1001">
        <v>413.96</v>
      </c>
      <c r="AL1001" t="s">
        <v>5011</v>
      </c>
      <c r="AM1001">
        <v>70000</v>
      </c>
      <c r="AS1001">
        <v>0.2</v>
      </c>
      <c r="AT1001" t="s">
        <v>368</v>
      </c>
      <c r="AU1001" t="s">
        <v>137</v>
      </c>
      <c r="AV1001" t="s">
        <v>25335</v>
      </c>
      <c r="AW1001" t="s">
        <v>11447</v>
      </c>
    </row>
    <row r="1002" spans="1:49">
      <c r="A1002" s="1">
        <f>HYPERLINK("https://lsnyc.legalserver.org/matter/dynamic-profile/view/1903512","19-1903512")</f>
        <v>0</v>
      </c>
      <c r="B1002" t="s">
        <v>144</v>
      </c>
      <c r="C1002" t="s">
        <v>631</v>
      </c>
      <c r="E1002" t="s">
        <v>1729</v>
      </c>
      <c r="F1002" t="s">
        <v>4228</v>
      </c>
      <c r="G1002" t="s">
        <v>7194</v>
      </c>
      <c r="H1002" t="s">
        <v>10506</v>
      </c>
      <c r="I1002" t="s">
        <v>11412</v>
      </c>
      <c r="J1002">
        <v>11101</v>
      </c>
      <c r="K1002" t="s">
        <v>11446</v>
      </c>
      <c r="L1002" t="s">
        <v>11758</v>
      </c>
      <c r="M1002" t="s">
        <v>14744</v>
      </c>
      <c r="N1002" t="s">
        <v>14781</v>
      </c>
      <c r="P1002" t="s">
        <v>14797</v>
      </c>
      <c r="Q1002" t="s">
        <v>11448</v>
      </c>
      <c r="S1002" t="s">
        <v>14827</v>
      </c>
      <c r="T1002" t="s">
        <v>14832</v>
      </c>
      <c r="U1002" t="s">
        <v>345</v>
      </c>
      <c r="V1002">
        <v>1800</v>
      </c>
      <c r="W1002" t="s">
        <v>14861</v>
      </c>
      <c r="X1002" t="s">
        <v>14755</v>
      </c>
      <c r="Z1002" t="s">
        <v>15850</v>
      </c>
      <c r="AB1002" t="s">
        <v>20940</v>
      </c>
      <c r="AC1002">
        <v>6</v>
      </c>
      <c r="AD1002" t="s">
        <v>24600</v>
      </c>
      <c r="AE1002" t="s">
        <v>11459</v>
      </c>
      <c r="AF1002">
        <v>2</v>
      </c>
      <c r="AG1002">
        <v>2</v>
      </c>
      <c r="AH1002">
        <v>2</v>
      </c>
      <c r="AI1002">
        <v>167.77</v>
      </c>
      <c r="AL1002" t="s">
        <v>24632</v>
      </c>
      <c r="AM1002">
        <v>43200</v>
      </c>
      <c r="AP1002" t="s">
        <v>24943</v>
      </c>
      <c r="AS1002">
        <v>12.36</v>
      </c>
      <c r="AT1002" t="s">
        <v>515</v>
      </c>
      <c r="AU1002" t="s">
        <v>25236</v>
      </c>
      <c r="AV1002" t="s">
        <v>25335</v>
      </c>
      <c r="AW1002" t="s">
        <v>11447</v>
      </c>
    </row>
    <row r="1003" spans="1:49">
      <c r="A1003" s="1">
        <f>HYPERLINK("https://lsnyc.legalserver.org/matter/dynamic-profile/view/1904889","19-1904889")</f>
        <v>0</v>
      </c>
      <c r="B1003" t="s">
        <v>63</v>
      </c>
      <c r="C1003" t="s">
        <v>593</v>
      </c>
      <c r="E1003" t="s">
        <v>1218</v>
      </c>
      <c r="F1003" t="s">
        <v>4229</v>
      </c>
      <c r="G1003" t="s">
        <v>6837</v>
      </c>
      <c r="H1003" t="s">
        <v>10557</v>
      </c>
      <c r="I1003" t="s">
        <v>11391</v>
      </c>
      <c r="J1003">
        <v>11691</v>
      </c>
      <c r="K1003" t="s">
        <v>11446</v>
      </c>
      <c r="L1003" t="s">
        <v>11759</v>
      </c>
      <c r="M1003" t="s">
        <v>14743</v>
      </c>
      <c r="N1003" t="s">
        <v>14781</v>
      </c>
      <c r="P1003" t="s">
        <v>14797</v>
      </c>
      <c r="Q1003" t="s">
        <v>11448</v>
      </c>
      <c r="S1003" t="s">
        <v>14827</v>
      </c>
      <c r="T1003" t="s">
        <v>14834</v>
      </c>
      <c r="U1003" t="s">
        <v>593</v>
      </c>
      <c r="V1003">
        <v>592</v>
      </c>
      <c r="W1003" t="s">
        <v>14861</v>
      </c>
      <c r="X1003" t="s">
        <v>14868</v>
      </c>
      <c r="Z1003" t="s">
        <v>15851</v>
      </c>
      <c r="AB1003" t="s">
        <v>20941</v>
      </c>
      <c r="AC1003">
        <v>462</v>
      </c>
      <c r="AD1003" t="s">
        <v>24601</v>
      </c>
      <c r="AE1003" t="s">
        <v>11459</v>
      </c>
      <c r="AF1003">
        <v>10</v>
      </c>
      <c r="AG1003">
        <v>1</v>
      </c>
      <c r="AH1003">
        <v>0</v>
      </c>
      <c r="AI1003">
        <v>33.63</v>
      </c>
      <c r="AL1003" t="s">
        <v>5011</v>
      </c>
      <c r="AM1003">
        <v>4200</v>
      </c>
      <c r="AP1003" t="s">
        <v>14755</v>
      </c>
      <c r="AS1003">
        <v>0.61</v>
      </c>
      <c r="AT1003" t="s">
        <v>458</v>
      </c>
      <c r="AU1003" t="s">
        <v>63</v>
      </c>
      <c r="AV1003" t="s">
        <v>25335</v>
      </c>
      <c r="AW1003" t="s">
        <v>11447</v>
      </c>
    </row>
    <row r="1004" spans="1:49">
      <c r="A1004" s="1">
        <f>HYPERLINK("https://lsnyc.legalserver.org/matter/dynamic-profile/view/1904896","19-1904896")</f>
        <v>0</v>
      </c>
      <c r="B1004" t="s">
        <v>178</v>
      </c>
      <c r="C1004" t="s">
        <v>593</v>
      </c>
      <c r="E1004" t="s">
        <v>1249</v>
      </c>
      <c r="F1004" t="s">
        <v>3815</v>
      </c>
      <c r="G1004" t="s">
        <v>7195</v>
      </c>
      <c r="H1004" t="s">
        <v>10761</v>
      </c>
      <c r="I1004" t="s">
        <v>11386</v>
      </c>
      <c r="J1004">
        <v>10034</v>
      </c>
      <c r="K1004" t="s">
        <v>11446</v>
      </c>
      <c r="N1004" t="s">
        <v>14779</v>
      </c>
      <c r="P1004" t="s">
        <v>14797</v>
      </c>
      <c r="Q1004" t="s">
        <v>11448</v>
      </c>
      <c r="S1004" t="s">
        <v>14827</v>
      </c>
      <c r="U1004" t="s">
        <v>593</v>
      </c>
      <c r="V1004">
        <v>1036.77</v>
      </c>
      <c r="W1004" t="s">
        <v>14860</v>
      </c>
      <c r="X1004" t="s">
        <v>14867</v>
      </c>
      <c r="Z1004" t="s">
        <v>15852</v>
      </c>
      <c r="AB1004" t="s">
        <v>20942</v>
      </c>
      <c r="AC1004">
        <v>65</v>
      </c>
      <c r="AD1004" t="s">
        <v>24595</v>
      </c>
      <c r="AE1004" t="s">
        <v>11459</v>
      </c>
      <c r="AF1004">
        <v>4</v>
      </c>
      <c r="AG1004">
        <v>1</v>
      </c>
      <c r="AH1004">
        <v>0</v>
      </c>
      <c r="AI1004">
        <v>76.86</v>
      </c>
      <c r="AL1004" t="s">
        <v>5011</v>
      </c>
      <c r="AM1004">
        <v>9600</v>
      </c>
      <c r="AS1004">
        <v>1.9</v>
      </c>
      <c r="AT1004" t="s">
        <v>458</v>
      </c>
      <c r="AU1004" t="s">
        <v>137</v>
      </c>
      <c r="AV1004" t="s">
        <v>25335</v>
      </c>
      <c r="AW1004" t="s">
        <v>11447</v>
      </c>
    </row>
    <row r="1005" spans="1:49">
      <c r="A1005" s="1">
        <f>HYPERLINK("https://lsnyc.legalserver.org/matter/dynamic-profile/view/1904423","19-1904423")</f>
        <v>0</v>
      </c>
      <c r="B1005" t="s">
        <v>164</v>
      </c>
      <c r="C1005" t="s">
        <v>593</v>
      </c>
      <c r="E1005" t="s">
        <v>1730</v>
      </c>
      <c r="F1005" t="s">
        <v>4230</v>
      </c>
      <c r="G1005" t="s">
        <v>7196</v>
      </c>
      <c r="H1005">
        <v>513</v>
      </c>
      <c r="I1005" t="s">
        <v>11384</v>
      </c>
      <c r="J1005">
        <v>10304</v>
      </c>
      <c r="K1005" t="s">
        <v>11446</v>
      </c>
      <c r="L1005" t="s">
        <v>11760</v>
      </c>
      <c r="M1005" t="s">
        <v>14744</v>
      </c>
      <c r="N1005" t="s">
        <v>14781</v>
      </c>
      <c r="P1005" t="s">
        <v>14797</v>
      </c>
      <c r="Q1005" t="s">
        <v>11448</v>
      </c>
      <c r="S1005" t="s">
        <v>14827</v>
      </c>
      <c r="T1005" t="s">
        <v>14832</v>
      </c>
      <c r="U1005" t="s">
        <v>593</v>
      </c>
      <c r="V1005">
        <v>1202.3</v>
      </c>
      <c r="W1005" t="s">
        <v>14862</v>
      </c>
      <c r="X1005" t="s">
        <v>14873</v>
      </c>
      <c r="Z1005" t="s">
        <v>15853</v>
      </c>
      <c r="AB1005" t="s">
        <v>20943</v>
      </c>
      <c r="AC1005">
        <v>105</v>
      </c>
      <c r="AD1005" t="s">
        <v>24595</v>
      </c>
      <c r="AE1005" t="s">
        <v>24611</v>
      </c>
      <c r="AF1005">
        <v>8</v>
      </c>
      <c r="AG1005">
        <v>1</v>
      </c>
      <c r="AH1005">
        <v>0</v>
      </c>
      <c r="AI1005">
        <v>84.36</v>
      </c>
      <c r="AL1005" t="s">
        <v>5011</v>
      </c>
      <c r="AM1005">
        <v>10536</v>
      </c>
      <c r="AS1005">
        <v>17.05</v>
      </c>
      <c r="AT1005" t="s">
        <v>516</v>
      </c>
      <c r="AU1005" t="s">
        <v>25270</v>
      </c>
      <c r="AV1005" t="s">
        <v>25335</v>
      </c>
      <c r="AW1005" t="s">
        <v>11447</v>
      </c>
    </row>
    <row r="1006" spans="1:49">
      <c r="A1006" s="1">
        <f>HYPERLINK("https://lsnyc.legalserver.org/matter/dynamic-profile/view/1905115","19-1905115")</f>
        <v>0</v>
      </c>
      <c r="B1006" t="s">
        <v>210</v>
      </c>
      <c r="C1006" t="s">
        <v>456</v>
      </c>
      <c r="E1006" t="s">
        <v>1731</v>
      </c>
      <c r="F1006" t="s">
        <v>4231</v>
      </c>
      <c r="G1006" t="s">
        <v>7155</v>
      </c>
      <c r="H1006" t="s">
        <v>10527</v>
      </c>
      <c r="I1006" t="s">
        <v>11385</v>
      </c>
      <c r="J1006">
        <v>11220</v>
      </c>
      <c r="K1006" t="s">
        <v>11446</v>
      </c>
      <c r="N1006" t="s">
        <v>14781</v>
      </c>
      <c r="P1006" t="s">
        <v>14797</v>
      </c>
      <c r="Q1006" t="s">
        <v>11446</v>
      </c>
      <c r="S1006" t="s">
        <v>14827</v>
      </c>
      <c r="U1006" t="s">
        <v>593</v>
      </c>
      <c r="V1006">
        <v>0</v>
      </c>
      <c r="W1006" t="s">
        <v>14859</v>
      </c>
      <c r="Z1006" t="s">
        <v>15854</v>
      </c>
      <c r="AB1006" t="s">
        <v>20944</v>
      </c>
      <c r="AC1006">
        <v>54</v>
      </c>
      <c r="AE1006" t="s">
        <v>24613</v>
      </c>
      <c r="AF1006">
        <v>0</v>
      </c>
      <c r="AG1006">
        <v>3</v>
      </c>
      <c r="AH1006">
        <v>0</v>
      </c>
      <c r="AI1006">
        <v>88.05</v>
      </c>
      <c r="AL1006" t="s">
        <v>5011</v>
      </c>
      <c r="AM1006">
        <v>18780</v>
      </c>
      <c r="AS1006">
        <v>88.45</v>
      </c>
      <c r="AT1006" t="s">
        <v>495</v>
      </c>
      <c r="AU1006" t="s">
        <v>177</v>
      </c>
      <c r="AW1006" t="s">
        <v>11447</v>
      </c>
    </row>
    <row r="1007" spans="1:49">
      <c r="A1007" s="1">
        <f>HYPERLINK("https://lsnyc.legalserver.org/matter/dynamic-profile/view/1904974","19-1904974")</f>
        <v>0</v>
      </c>
      <c r="B1007" t="s">
        <v>172</v>
      </c>
      <c r="C1007" t="s">
        <v>593</v>
      </c>
      <c r="E1007" t="s">
        <v>1732</v>
      </c>
      <c r="F1007" t="s">
        <v>4232</v>
      </c>
      <c r="G1007" t="s">
        <v>7197</v>
      </c>
      <c r="H1007" t="s">
        <v>10762</v>
      </c>
      <c r="I1007" t="s">
        <v>11386</v>
      </c>
      <c r="J1007">
        <v>10034</v>
      </c>
      <c r="K1007" t="s">
        <v>11446</v>
      </c>
      <c r="N1007" t="s">
        <v>14782</v>
      </c>
      <c r="P1007" t="s">
        <v>14797</v>
      </c>
      <c r="Q1007" t="s">
        <v>11448</v>
      </c>
      <c r="S1007" t="s">
        <v>14827</v>
      </c>
      <c r="U1007" t="s">
        <v>593</v>
      </c>
      <c r="V1007">
        <v>640</v>
      </c>
      <c r="W1007" t="s">
        <v>14860</v>
      </c>
      <c r="X1007" t="s">
        <v>14867</v>
      </c>
      <c r="Z1007" t="s">
        <v>15855</v>
      </c>
      <c r="AB1007" t="s">
        <v>20945</v>
      </c>
      <c r="AC1007">
        <v>126</v>
      </c>
      <c r="AD1007" t="s">
        <v>24595</v>
      </c>
      <c r="AE1007" t="s">
        <v>24610</v>
      </c>
      <c r="AF1007">
        <v>15</v>
      </c>
      <c r="AG1007">
        <v>3</v>
      </c>
      <c r="AH1007">
        <v>0</v>
      </c>
      <c r="AI1007">
        <v>120.68</v>
      </c>
      <c r="AL1007" t="s">
        <v>24632</v>
      </c>
      <c r="AM1007">
        <v>25740</v>
      </c>
      <c r="AS1007">
        <v>17.6</v>
      </c>
      <c r="AT1007" t="s">
        <v>491</v>
      </c>
      <c r="AU1007" t="s">
        <v>137</v>
      </c>
      <c r="AV1007" t="s">
        <v>25335</v>
      </c>
      <c r="AW1007" t="s">
        <v>11447</v>
      </c>
    </row>
    <row r="1008" spans="1:49">
      <c r="A1008" s="1">
        <f>HYPERLINK("https://lsnyc.legalserver.org/matter/dynamic-profile/view/1904914","19-1904914")</f>
        <v>0</v>
      </c>
      <c r="B1008" t="s">
        <v>172</v>
      </c>
      <c r="C1008" t="s">
        <v>593</v>
      </c>
      <c r="E1008" t="s">
        <v>1733</v>
      </c>
      <c r="F1008" t="s">
        <v>3614</v>
      </c>
      <c r="G1008" t="s">
        <v>7198</v>
      </c>
      <c r="H1008">
        <v>4</v>
      </c>
      <c r="I1008" t="s">
        <v>11386</v>
      </c>
      <c r="J1008">
        <v>10033</v>
      </c>
      <c r="K1008" t="s">
        <v>11446</v>
      </c>
      <c r="M1008" t="s">
        <v>14747</v>
      </c>
      <c r="N1008" t="s">
        <v>14778</v>
      </c>
      <c r="P1008" t="s">
        <v>14797</v>
      </c>
      <c r="Q1008" t="s">
        <v>11448</v>
      </c>
      <c r="S1008" t="s">
        <v>14827</v>
      </c>
      <c r="U1008" t="s">
        <v>593</v>
      </c>
      <c r="V1008">
        <v>529</v>
      </c>
      <c r="W1008" t="s">
        <v>14860</v>
      </c>
      <c r="X1008" t="s">
        <v>14867</v>
      </c>
      <c r="Z1008" t="s">
        <v>15856</v>
      </c>
      <c r="AB1008" t="s">
        <v>20946</v>
      </c>
      <c r="AC1008">
        <v>20</v>
      </c>
      <c r="AD1008" t="s">
        <v>24595</v>
      </c>
      <c r="AE1008" t="s">
        <v>11459</v>
      </c>
      <c r="AF1008">
        <v>2</v>
      </c>
      <c r="AG1008">
        <v>1</v>
      </c>
      <c r="AH1008">
        <v>0</v>
      </c>
      <c r="AI1008">
        <v>124.9</v>
      </c>
      <c r="AL1008" t="s">
        <v>5011</v>
      </c>
      <c r="AM1008">
        <v>15600</v>
      </c>
      <c r="AS1008">
        <v>1.2</v>
      </c>
      <c r="AT1008" t="s">
        <v>480</v>
      </c>
      <c r="AU1008" t="s">
        <v>137</v>
      </c>
      <c r="AV1008" t="s">
        <v>25335</v>
      </c>
      <c r="AW1008" t="s">
        <v>11447</v>
      </c>
    </row>
    <row r="1009" spans="1:49">
      <c r="A1009" s="1">
        <f>HYPERLINK("https://lsnyc.legalserver.org/matter/dynamic-profile/view/1904923","19-1904923")</f>
        <v>0</v>
      </c>
      <c r="B1009" t="s">
        <v>209</v>
      </c>
      <c r="C1009" t="s">
        <v>593</v>
      </c>
      <c r="E1009" t="s">
        <v>1734</v>
      </c>
      <c r="F1009" t="s">
        <v>4233</v>
      </c>
      <c r="G1009" t="s">
        <v>7199</v>
      </c>
      <c r="H1009" t="s">
        <v>10646</v>
      </c>
      <c r="I1009" t="s">
        <v>11402</v>
      </c>
      <c r="J1009">
        <v>11422</v>
      </c>
      <c r="K1009" t="s">
        <v>11446</v>
      </c>
      <c r="L1009" t="s">
        <v>11761</v>
      </c>
      <c r="M1009" t="s">
        <v>14743</v>
      </c>
      <c r="N1009" t="s">
        <v>14778</v>
      </c>
      <c r="P1009" t="s">
        <v>14797</v>
      </c>
      <c r="Q1009" t="s">
        <v>11448</v>
      </c>
      <c r="S1009" t="s">
        <v>14827</v>
      </c>
      <c r="T1009" t="s">
        <v>14832</v>
      </c>
      <c r="U1009" t="s">
        <v>593</v>
      </c>
      <c r="V1009">
        <v>1800</v>
      </c>
      <c r="W1009" t="s">
        <v>14861</v>
      </c>
      <c r="X1009" t="s">
        <v>14865</v>
      </c>
      <c r="Z1009" t="s">
        <v>15857</v>
      </c>
      <c r="AB1009" t="s">
        <v>20947</v>
      </c>
      <c r="AC1009">
        <v>2</v>
      </c>
      <c r="AD1009" t="s">
        <v>11479</v>
      </c>
      <c r="AE1009" t="s">
        <v>11459</v>
      </c>
      <c r="AF1009">
        <v>7</v>
      </c>
      <c r="AG1009">
        <v>2</v>
      </c>
      <c r="AH1009">
        <v>3</v>
      </c>
      <c r="AI1009">
        <v>139.21</v>
      </c>
      <c r="AL1009" t="s">
        <v>5011</v>
      </c>
      <c r="AM1009">
        <v>42000</v>
      </c>
      <c r="AS1009">
        <v>1.97</v>
      </c>
      <c r="AT1009" t="s">
        <v>366</v>
      </c>
      <c r="AU1009" t="s">
        <v>292</v>
      </c>
      <c r="AV1009" t="s">
        <v>25335</v>
      </c>
      <c r="AW1009" t="s">
        <v>11447</v>
      </c>
    </row>
    <row r="1010" spans="1:49">
      <c r="A1010" s="1">
        <f>HYPERLINK("https://lsnyc.legalserver.org/matter/dynamic-profile/view/1905014","19-1905014")</f>
        <v>0</v>
      </c>
      <c r="B1010" t="s">
        <v>110</v>
      </c>
      <c r="C1010" t="s">
        <v>593</v>
      </c>
      <c r="E1010" t="s">
        <v>1735</v>
      </c>
      <c r="F1010" t="s">
        <v>4234</v>
      </c>
      <c r="G1010" t="s">
        <v>7200</v>
      </c>
      <c r="H1010" t="s">
        <v>10637</v>
      </c>
      <c r="I1010" t="s">
        <v>11411</v>
      </c>
      <c r="J1010">
        <v>11418</v>
      </c>
      <c r="K1010" t="s">
        <v>11446</v>
      </c>
      <c r="L1010" t="s">
        <v>11762</v>
      </c>
      <c r="M1010" t="s">
        <v>14743</v>
      </c>
      <c r="N1010" t="s">
        <v>14781</v>
      </c>
      <c r="P1010" t="s">
        <v>14797</v>
      </c>
      <c r="Q1010" t="s">
        <v>11446</v>
      </c>
      <c r="S1010" t="s">
        <v>14827</v>
      </c>
      <c r="T1010" t="s">
        <v>14832</v>
      </c>
      <c r="U1010" t="s">
        <v>593</v>
      </c>
      <c r="V1010">
        <v>850</v>
      </c>
      <c r="W1010" t="s">
        <v>14861</v>
      </c>
      <c r="X1010" t="s">
        <v>14865</v>
      </c>
      <c r="Z1010" t="s">
        <v>15858</v>
      </c>
      <c r="AA1010" t="s">
        <v>19397</v>
      </c>
      <c r="AB1010" t="s">
        <v>20948</v>
      </c>
      <c r="AC1010">
        <v>3</v>
      </c>
      <c r="AD1010" t="s">
        <v>24599</v>
      </c>
      <c r="AE1010" t="s">
        <v>14755</v>
      </c>
      <c r="AF1010">
        <v>25</v>
      </c>
      <c r="AG1010">
        <v>2</v>
      </c>
      <c r="AH1010">
        <v>0</v>
      </c>
      <c r="AI1010">
        <v>143.06</v>
      </c>
      <c r="AL1010" t="s">
        <v>5011</v>
      </c>
      <c r="AM1010">
        <v>24192</v>
      </c>
      <c r="AP1010" t="s">
        <v>14755</v>
      </c>
      <c r="AS1010">
        <v>5.05</v>
      </c>
      <c r="AT1010" t="s">
        <v>377</v>
      </c>
      <c r="AU1010" t="s">
        <v>25233</v>
      </c>
      <c r="AV1010" t="s">
        <v>25335</v>
      </c>
      <c r="AW1010" t="s">
        <v>11447</v>
      </c>
    </row>
    <row r="1011" spans="1:49">
      <c r="A1011" s="1">
        <f>HYPERLINK("https://lsnyc.legalserver.org/matter/dynamic-profile/view/1904433","19-1904433")</f>
        <v>0</v>
      </c>
      <c r="B1011" t="s">
        <v>164</v>
      </c>
      <c r="C1011" t="s">
        <v>607</v>
      </c>
      <c r="E1011" t="s">
        <v>1736</v>
      </c>
      <c r="F1011" t="s">
        <v>4235</v>
      </c>
      <c r="G1011" t="s">
        <v>7201</v>
      </c>
      <c r="I1011" t="s">
        <v>11384</v>
      </c>
      <c r="J1011">
        <v>10306</v>
      </c>
      <c r="K1011" t="s">
        <v>11446</v>
      </c>
      <c r="L1011" t="s">
        <v>11763</v>
      </c>
      <c r="M1011" t="s">
        <v>14743</v>
      </c>
      <c r="N1011" t="s">
        <v>14781</v>
      </c>
      <c r="P1011" t="s">
        <v>14797</v>
      </c>
      <c r="Q1011" t="s">
        <v>11448</v>
      </c>
      <c r="S1011" t="s">
        <v>14827</v>
      </c>
      <c r="T1011" t="s">
        <v>14832</v>
      </c>
      <c r="U1011" t="s">
        <v>593</v>
      </c>
      <c r="V1011">
        <v>0</v>
      </c>
      <c r="W1011" t="s">
        <v>14862</v>
      </c>
      <c r="X1011" t="s">
        <v>14867</v>
      </c>
      <c r="Z1011" t="s">
        <v>15859</v>
      </c>
      <c r="AB1011" t="s">
        <v>20949</v>
      </c>
      <c r="AC1011">
        <v>1</v>
      </c>
      <c r="AD1011" t="s">
        <v>24600</v>
      </c>
      <c r="AF1011">
        <v>15</v>
      </c>
      <c r="AG1011">
        <v>3</v>
      </c>
      <c r="AH1011">
        <v>0</v>
      </c>
      <c r="AI1011">
        <v>148.86</v>
      </c>
      <c r="AL1011" t="s">
        <v>5011</v>
      </c>
      <c r="AM1011">
        <v>31752</v>
      </c>
      <c r="AS1011">
        <v>12.55</v>
      </c>
      <c r="AT1011" t="s">
        <v>654</v>
      </c>
      <c r="AU1011" t="s">
        <v>221</v>
      </c>
      <c r="AV1011" t="s">
        <v>25335</v>
      </c>
      <c r="AW1011" t="s">
        <v>11447</v>
      </c>
    </row>
    <row r="1012" spans="1:49">
      <c r="A1012" s="1">
        <f>HYPERLINK("https://lsnyc.legalserver.org/matter/dynamic-profile/view/1905109","19-1905109")</f>
        <v>0</v>
      </c>
      <c r="B1012" t="s">
        <v>210</v>
      </c>
      <c r="C1012" t="s">
        <v>456</v>
      </c>
      <c r="E1012" t="s">
        <v>1737</v>
      </c>
      <c r="F1012" t="s">
        <v>4152</v>
      </c>
      <c r="G1012" t="s">
        <v>7155</v>
      </c>
      <c r="H1012" t="s">
        <v>10464</v>
      </c>
      <c r="I1012" t="s">
        <v>11385</v>
      </c>
      <c r="J1012">
        <v>11220</v>
      </c>
      <c r="K1012" t="s">
        <v>11446</v>
      </c>
      <c r="M1012" t="s">
        <v>14746</v>
      </c>
      <c r="N1012" t="s">
        <v>14781</v>
      </c>
      <c r="P1012" t="s">
        <v>14797</v>
      </c>
      <c r="Q1012" t="s">
        <v>11446</v>
      </c>
      <c r="S1012" t="s">
        <v>14827</v>
      </c>
      <c r="U1012" t="s">
        <v>593</v>
      </c>
      <c r="V1012">
        <v>0</v>
      </c>
      <c r="W1012" t="s">
        <v>14859</v>
      </c>
      <c r="Z1012" t="s">
        <v>15860</v>
      </c>
      <c r="AB1012" t="s">
        <v>20950</v>
      </c>
      <c r="AC1012">
        <v>54</v>
      </c>
      <c r="AF1012">
        <v>0</v>
      </c>
      <c r="AG1012">
        <v>4</v>
      </c>
      <c r="AH1012">
        <v>0</v>
      </c>
      <c r="AI1012">
        <v>155.34</v>
      </c>
      <c r="AL1012" t="s">
        <v>5011</v>
      </c>
      <c r="AM1012">
        <v>40000</v>
      </c>
      <c r="AS1012">
        <v>0.2</v>
      </c>
      <c r="AT1012" t="s">
        <v>456</v>
      </c>
      <c r="AU1012" t="s">
        <v>177</v>
      </c>
      <c r="AV1012" t="s">
        <v>25335</v>
      </c>
      <c r="AW1012" t="s">
        <v>11447</v>
      </c>
    </row>
    <row r="1013" spans="1:49">
      <c r="A1013" s="1">
        <f>HYPERLINK("https://lsnyc.legalserver.org/matter/dynamic-profile/view/1904895","19-1904895")</f>
        <v>0</v>
      </c>
      <c r="B1013" t="s">
        <v>178</v>
      </c>
      <c r="C1013" t="s">
        <v>593</v>
      </c>
      <c r="E1013" t="s">
        <v>1738</v>
      </c>
      <c r="F1013" t="s">
        <v>4236</v>
      </c>
      <c r="G1013" t="s">
        <v>7202</v>
      </c>
      <c r="H1013" t="s">
        <v>10460</v>
      </c>
      <c r="I1013" t="s">
        <v>11386</v>
      </c>
      <c r="J1013">
        <v>10034</v>
      </c>
      <c r="K1013" t="s">
        <v>11446</v>
      </c>
      <c r="N1013" t="s">
        <v>14779</v>
      </c>
      <c r="P1013" t="s">
        <v>14797</v>
      </c>
      <c r="Q1013" t="s">
        <v>11448</v>
      </c>
      <c r="S1013" t="s">
        <v>14827</v>
      </c>
      <c r="U1013" t="s">
        <v>593</v>
      </c>
      <c r="V1013">
        <v>2350</v>
      </c>
      <c r="W1013" t="s">
        <v>14860</v>
      </c>
      <c r="X1013" t="s">
        <v>14867</v>
      </c>
      <c r="Z1013" t="s">
        <v>15861</v>
      </c>
      <c r="AB1013" t="s">
        <v>20951</v>
      </c>
      <c r="AC1013">
        <v>41</v>
      </c>
      <c r="AD1013" t="s">
        <v>24600</v>
      </c>
      <c r="AE1013" t="s">
        <v>11459</v>
      </c>
      <c r="AF1013">
        <v>3</v>
      </c>
      <c r="AG1013">
        <v>1</v>
      </c>
      <c r="AH1013">
        <v>0</v>
      </c>
      <c r="AI1013">
        <v>192.15</v>
      </c>
      <c r="AL1013" t="s">
        <v>5011</v>
      </c>
      <c r="AM1013">
        <v>24000</v>
      </c>
      <c r="AS1013">
        <v>3.6</v>
      </c>
      <c r="AT1013" t="s">
        <v>477</v>
      </c>
      <c r="AU1013" t="s">
        <v>137</v>
      </c>
      <c r="AV1013" t="s">
        <v>25335</v>
      </c>
      <c r="AW1013" t="s">
        <v>11447</v>
      </c>
    </row>
    <row r="1014" spans="1:49">
      <c r="A1014" s="1">
        <f>HYPERLINK("https://lsnyc.legalserver.org/matter/dynamic-profile/view/1905193","19-1905193")</f>
        <v>0</v>
      </c>
      <c r="B1014" t="s">
        <v>210</v>
      </c>
      <c r="C1014" t="s">
        <v>480</v>
      </c>
      <c r="E1014" t="s">
        <v>1392</v>
      </c>
      <c r="F1014" t="s">
        <v>1925</v>
      </c>
      <c r="G1014" t="s">
        <v>7155</v>
      </c>
      <c r="H1014" t="s">
        <v>10468</v>
      </c>
      <c r="I1014" t="s">
        <v>11385</v>
      </c>
      <c r="J1014">
        <v>11220</v>
      </c>
      <c r="K1014" t="s">
        <v>11446</v>
      </c>
      <c r="M1014" t="s">
        <v>14746</v>
      </c>
      <c r="N1014" t="s">
        <v>14781</v>
      </c>
      <c r="P1014" t="s">
        <v>14797</v>
      </c>
      <c r="Q1014" t="s">
        <v>11446</v>
      </c>
      <c r="R1014" t="s">
        <v>14820</v>
      </c>
      <c r="S1014" t="s">
        <v>14827</v>
      </c>
      <c r="U1014" t="s">
        <v>593</v>
      </c>
      <c r="V1014">
        <v>0</v>
      </c>
      <c r="W1014" t="s">
        <v>14859</v>
      </c>
      <c r="Z1014" t="s">
        <v>15862</v>
      </c>
      <c r="AB1014" t="s">
        <v>20952</v>
      </c>
      <c r="AC1014">
        <v>54</v>
      </c>
      <c r="AF1014">
        <v>0</v>
      </c>
      <c r="AG1014">
        <v>1</v>
      </c>
      <c r="AH1014">
        <v>0</v>
      </c>
      <c r="AI1014">
        <v>333.07</v>
      </c>
      <c r="AL1014" t="s">
        <v>5011</v>
      </c>
      <c r="AM1014">
        <v>41600</v>
      </c>
      <c r="AS1014">
        <v>0.2</v>
      </c>
      <c r="AT1014" t="s">
        <v>480</v>
      </c>
      <c r="AU1014" t="s">
        <v>177</v>
      </c>
      <c r="AV1014" t="s">
        <v>25335</v>
      </c>
      <c r="AW1014" t="s">
        <v>11447</v>
      </c>
    </row>
    <row r="1015" spans="1:49">
      <c r="A1015" s="1">
        <f>HYPERLINK("https://lsnyc.legalserver.org/matter/dynamic-profile/view/1905196","19-1905196")</f>
        <v>0</v>
      </c>
      <c r="B1015" t="s">
        <v>104</v>
      </c>
      <c r="C1015" t="s">
        <v>480</v>
      </c>
      <c r="E1015" t="s">
        <v>1739</v>
      </c>
      <c r="F1015" t="s">
        <v>3814</v>
      </c>
      <c r="G1015" t="s">
        <v>7174</v>
      </c>
      <c r="H1015" t="s">
        <v>10448</v>
      </c>
      <c r="I1015" t="s">
        <v>11386</v>
      </c>
      <c r="J1015">
        <v>10024</v>
      </c>
      <c r="K1015" t="s">
        <v>11446</v>
      </c>
      <c r="L1015" t="s">
        <v>11745</v>
      </c>
      <c r="M1015" t="s">
        <v>14762</v>
      </c>
      <c r="N1015" t="s">
        <v>14783</v>
      </c>
      <c r="P1015" t="s">
        <v>14797</v>
      </c>
      <c r="Q1015" t="s">
        <v>11446</v>
      </c>
      <c r="S1015" t="s">
        <v>14827</v>
      </c>
      <c r="T1015" t="s">
        <v>14832</v>
      </c>
      <c r="U1015" t="s">
        <v>456</v>
      </c>
      <c r="V1015">
        <v>875</v>
      </c>
      <c r="W1015" t="s">
        <v>14860</v>
      </c>
      <c r="X1015" t="s">
        <v>14877</v>
      </c>
      <c r="Z1015" t="s">
        <v>15863</v>
      </c>
      <c r="AB1015" t="s">
        <v>20953</v>
      </c>
      <c r="AC1015">
        <v>10</v>
      </c>
      <c r="AD1015" t="s">
        <v>24595</v>
      </c>
      <c r="AE1015" t="s">
        <v>24613</v>
      </c>
      <c r="AF1015">
        <v>48</v>
      </c>
      <c r="AG1015">
        <v>2</v>
      </c>
      <c r="AH1015">
        <v>0</v>
      </c>
      <c r="AI1015">
        <v>15.97</v>
      </c>
      <c r="AL1015" t="s">
        <v>5011</v>
      </c>
      <c r="AM1015">
        <v>2700</v>
      </c>
      <c r="AS1015">
        <v>0</v>
      </c>
      <c r="AU1015" t="s">
        <v>25266</v>
      </c>
      <c r="AV1015" t="s">
        <v>25335</v>
      </c>
      <c r="AW1015" t="s">
        <v>11447</v>
      </c>
    </row>
    <row r="1016" spans="1:49">
      <c r="A1016" s="1">
        <f>HYPERLINK("https://lsnyc.legalserver.org/matter/dynamic-profile/view/1905070","19-1905070")</f>
        <v>0</v>
      </c>
      <c r="B1016" t="s">
        <v>144</v>
      </c>
      <c r="C1016" t="s">
        <v>456</v>
      </c>
      <c r="E1016" t="s">
        <v>1108</v>
      </c>
      <c r="F1016" t="s">
        <v>3623</v>
      </c>
      <c r="G1016" t="s">
        <v>7203</v>
      </c>
      <c r="H1016" t="s">
        <v>10581</v>
      </c>
      <c r="I1016" t="s">
        <v>11424</v>
      </c>
      <c r="J1016">
        <v>11372</v>
      </c>
      <c r="K1016" t="s">
        <v>11446</v>
      </c>
      <c r="L1016" t="s">
        <v>11764</v>
      </c>
      <c r="M1016" t="s">
        <v>14744</v>
      </c>
      <c r="N1016" t="s">
        <v>14781</v>
      </c>
      <c r="P1016" t="s">
        <v>14797</v>
      </c>
      <c r="Q1016" t="s">
        <v>11448</v>
      </c>
      <c r="S1016" t="s">
        <v>14827</v>
      </c>
      <c r="T1016" t="s">
        <v>14834</v>
      </c>
      <c r="U1016" t="s">
        <v>456</v>
      </c>
      <c r="V1016">
        <v>1760</v>
      </c>
      <c r="W1016" t="s">
        <v>14861</v>
      </c>
      <c r="X1016" t="s">
        <v>14868</v>
      </c>
      <c r="Z1016" t="s">
        <v>15864</v>
      </c>
      <c r="AB1016" t="s">
        <v>20954</v>
      </c>
      <c r="AC1016">
        <v>16</v>
      </c>
      <c r="AD1016" t="s">
        <v>11479</v>
      </c>
      <c r="AE1016" t="s">
        <v>11459</v>
      </c>
      <c r="AF1016">
        <v>5</v>
      </c>
      <c r="AG1016">
        <v>2</v>
      </c>
      <c r="AH1016">
        <v>2</v>
      </c>
      <c r="AI1016">
        <v>149.44</v>
      </c>
      <c r="AL1016" t="s">
        <v>5011</v>
      </c>
      <c r="AM1016">
        <v>38480</v>
      </c>
      <c r="AP1016" t="s">
        <v>14755</v>
      </c>
      <c r="AS1016">
        <v>13.66</v>
      </c>
      <c r="AT1016" t="s">
        <v>539</v>
      </c>
      <c r="AU1016" t="s">
        <v>292</v>
      </c>
      <c r="AV1016" t="s">
        <v>25335</v>
      </c>
      <c r="AW1016" t="s">
        <v>11447</v>
      </c>
    </row>
    <row r="1017" spans="1:49">
      <c r="A1017" s="1">
        <f>HYPERLINK("https://lsnyc.legalserver.org/matter/dynamic-profile/view/1904238","19-1904238")</f>
        <v>0</v>
      </c>
      <c r="B1017" t="s">
        <v>221</v>
      </c>
      <c r="C1017" t="s">
        <v>593</v>
      </c>
      <c r="E1017" t="s">
        <v>1181</v>
      </c>
      <c r="F1017" t="s">
        <v>4237</v>
      </c>
      <c r="G1017" t="s">
        <v>7204</v>
      </c>
      <c r="H1017" t="s">
        <v>10763</v>
      </c>
      <c r="I1017" t="s">
        <v>11384</v>
      </c>
      <c r="J1017">
        <v>10314</v>
      </c>
      <c r="K1017" t="s">
        <v>11446</v>
      </c>
      <c r="L1017" t="s">
        <v>11456</v>
      </c>
      <c r="M1017" t="s">
        <v>14745</v>
      </c>
      <c r="N1017" t="s">
        <v>14780</v>
      </c>
      <c r="P1017" t="s">
        <v>14797</v>
      </c>
      <c r="Q1017" t="s">
        <v>11448</v>
      </c>
      <c r="S1017" t="s">
        <v>14827</v>
      </c>
      <c r="T1017" t="s">
        <v>14832</v>
      </c>
      <c r="U1017" t="s">
        <v>456</v>
      </c>
      <c r="V1017">
        <v>967</v>
      </c>
      <c r="W1017" t="s">
        <v>14862</v>
      </c>
      <c r="X1017" t="s">
        <v>14868</v>
      </c>
      <c r="Z1017" t="s">
        <v>15865</v>
      </c>
      <c r="AB1017" t="s">
        <v>20955</v>
      </c>
      <c r="AC1017">
        <v>96</v>
      </c>
      <c r="AD1017" t="s">
        <v>24595</v>
      </c>
      <c r="AE1017" t="s">
        <v>24613</v>
      </c>
      <c r="AF1017">
        <v>8</v>
      </c>
      <c r="AG1017">
        <v>1</v>
      </c>
      <c r="AH1017">
        <v>0</v>
      </c>
      <c r="AI1017">
        <v>236.89</v>
      </c>
      <c r="AJ1017" t="s">
        <v>456</v>
      </c>
      <c r="AK1017" t="s">
        <v>24629</v>
      </c>
      <c r="AL1017" t="s">
        <v>5011</v>
      </c>
      <c r="AM1017">
        <v>29587.92</v>
      </c>
      <c r="AS1017">
        <v>2.9</v>
      </c>
      <c r="AT1017" t="s">
        <v>519</v>
      </c>
      <c r="AU1017" t="s">
        <v>25270</v>
      </c>
      <c r="AV1017" t="s">
        <v>25335</v>
      </c>
      <c r="AW1017" t="s">
        <v>11447</v>
      </c>
    </row>
    <row r="1018" spans="1:49">
      <c r="A1018" s="1">
        <f>HYPERLINK("https://lsnyc.legalserver.org/matter/dynamic-profile/view/1905149","19-1905149")</f>
        <v>0</v>
      </c>
      <c r="B1018" t="s">
        <v>167</v>
      </c>
      <c r="C1018" t="s">
        <v>456</v>
      </c>
      <c r="E1018" t="s">
        <v>1081</v>
      </c>
      <c r="F1018" t="s">
        <v>3682</v>
      </c>
      <c r="G1018" t="s">
        <v>7205</v>
      </c>
      <c r="H1018" t="s">
        <v>10500</v>
      </c>
      <c r="I1018" t="s">
        <v>11388</v>
      </c>
      <c r="J1018">
        <v>11385</v>
      </c>
      <c r="K1018" t="s">
        <v>11446</v>
      </c>
      <c r="L1018" t="s">
        <v>11765</v>
      </c>
      <c r="M1018" t="s">
        <v>14744</v>
      </c>
      <c r="N1018" t="s">
        <v>14781</v>
      </c>
      <c r="P1018" t="s">
        <v>14797</v>
      </c>
      <c r="Q1018" t="s">
        <v>11448</v>
      </c>
      <c r="S1018" t="s">
        <v>14827</v>
      </c>
      <c r="T1018" t="s">
        <v>14832</v>
      </c>
      <c r="U1018" t="s">
        <v>456</v>
      </c>
      <c r="V1018">
        <v>1050</v>
      </c>
      <c r="W1018" t="s">
        <v>14861</v>
      </c>
      <c r="X1018" t="s">
        <v>14864</v>
      </c>
      <c r="Z1018" t="s">
        <v>15866</v>
      </c>
      <c r="AB1018" t="s">
        <v>20956</v>
      </c>
      <c r="AC1018">
        <v>6</v>
      </c>
      <c r="AD1018" t="s">
        <v>24595</v>
      </c>
      <c r="AE1018" t="s">
        <v>11459</v>
      </c>
      <c r="AF1018">
        <v>14</v>
      </c>
      <c r="AG1018">
        <v>1</v>
      </c>
      <c r="AH1018">
        <v>2</v>
      </c>
      <c r="AI1018">
        <v>327.79</v>
      </c>
      <c r="AJ1018" t="s">
        <v>462</v>
      </c>
      <c r="AK1018" t="s">
        <v>24629</v>
      </c>
      <c r="AL1018" t="s">
        <v>5011</v>
      </c>
      <c r="AM1018">
        <v>69918</v>
      </c>
      <c r="AP1018" t="s">
        <v>24950</v>
      </c>
      <c r="AS1018">
        <v>16.61</v>
      </c>
      <c r="AT1018" t="s">
        <v>509</v>
      </c>
      <c r="AU1018" t="s">
        <v>167</v>
      </c>
      <c r="AV1018" t="s">
        <v>25335</v>
      </c>
      <c r="AW1018" t="s">
        <v>11447</v>
      </c>
    </row>
    <row r="1019" spans="1:49">
      <c r="A1019" s="1">
        <f>HYPERLINK("https://lsnyc.legalserver.org/matter/dynamic-profile/view/1905248","19-1905248")</f>
        <v>0</v>
      </c>
      <c r="B1019" t="s">
        <v>104</v>
      </c>
      <c r="C1019" t="s">
        <v>480</v>
      </c>
      <c r="E1019" t="s">
        <v>1412</v>
      </c>
      <c r="F1019" t="s">
        <v>4238</v>
      </c>
      <c r="G1019" t="s">
        <v>7174</v>
      </c>
      <c r="H1019" t="s">
        <v>10481</v>
      </c>
      <c r="I1019" t="s">
        <v>11386</v>
      </c>
      <c r="J1019">
        <v>10024</v>
      </c>
      <c r="K1019" t="s">
        <v>11446</v>
      </c>
      <c r="L1019" t="s">
        <v>11745</v>
      </c>
      <c r="M1019" t="s">
        <v>14762</v>
      </c>
      <c r="N1019" t="s">
        <v>14783</v>
      </c>
      <c r="P1019" t="s">
        <v>14797</v>
      </c>
      <c r="Q1019" t="s">
        <v>11446</v>
      </c>
      <c r="S1019" t="s">
        <v>14827</v>
      </c>
      <c r="T1019" t="s">
        <v>14832</v>
      </c>
      <c r="U1019" t="s">
        <v>480</v>
      </c>
      <c r="V1019">
        <v>792.7</v>
      </c>
      <c r="W1019" t="s">
        <v>14860</v>
      </c>
      <c r="X1019" t="s">
        <v>14877</v>
      </c>
      <c r="Z1019" t="s">
        <v>15867</v>
      </c>
      <c r="AB1019" t="s">
        <v>20957</v>
      </c>
      <c r="AC1019">
        <v>10</v>
      </c>
      <c r="AD1019" t="s">
        <v>24595</v>
      </c>
      <c r="AE1019" t="s">
        <v>24613</v>
      </c>
      <c r="AF1019">
        <v>39</v>
      </c>
      <c r="AG1019">
        <v>1</v>
      </c>
      <c r="AH1019">
        <v>0</v>
      </c>
      <c r="AI1019">
        <v>144.12</v>
      </c>
      <c r="AL1019" t="s">
        <v>5011</v>
      </c>
      <c r="AM1019">
        <v>18000</v>
      </c>
      <c r="AS1019">
        <v>0</v>
      </c>
      <c r="AU1019" t="s">
        <v>25266</v>
      </c>
      <c r="AV1019" t="s">
        <v>25335</v>
      </c>
      <c r="AW1019" t="s">
        <v>11447</v>
      </c>
    </row>
    <row r="1020" spans="1:49">
      <c r="A1020" s="1">
        <f>HYPERLINK("https://lsnyc.legalserver.org/matter/dynamic-profile/view/1905315","19-1905315")</f>
        <v>0</v>
      </c>
      <c r="B1020" t="s">
        <v>56</v>
      </c>
      <c r="C1020" t="s">
        <v>480</v>
      </c>
      <c r="E1020" t="s">
        <v>1740</v>
      </c>
      <c r="F1020" t="s">
        <v>4239</v>
      </c>
      <c r="G1020" t="s">
        <v>7206</v>
      </c>
      <c r="H1020" t="s">
        <v>10764</v>
      </c>
      <c r="I1020" t="s">
        <v>11385</v>
      </c>
      <c r="J1020">
        <v>11208</v>
      </c>
      <c r="K1020" t="s">
        <v>11446</v>
      </c>
      <c r="L1020" t="s">
        <v>11766</v>
      </c>
      <c r="M1020" t="s">
        <v>14744</v>
      </c>
      <c r="N1020" t="s">
        <v>14779</v>
      </c>
      <c r="P1020" t="s">
        <v>14797</v>
      </c>
      <c r="Q1020" t="s">
        <v>11448</v>
      </c>
      <c r="S1020" t="s">
        <v>14827</v>
      </c>
      <c r="T1020" t="s">
        <v>14837</v>
      </c>
      <c r="U1020" t="s">
        <v>480</v>
      </c>
      <c r="V1020">
        <v>1146</v>
      </c>
      <c r="W1020" t="s">
        <v>14859</v>
      </c>
      <c r="X1020" t="s">
        <v>14871</v>
      </c>
      <c r="Y1020" t="s">
        <v>14883</v>
      </c>
      <c r="Z1020" t="s">
        <v>15868</v>
      </c>
      <c r="AB1020" t="s">
        <v>20958</v>
      </c>
      <c r="AC1020">
        <v>294</v>
      </c>
      <c r="AD1020" t="s">
        <v>24595</v>
      </c>
      <c r="AE1020" t="s">
        <v>24610</v>
      </c>
      <c r="AF1020">
        <v>4</v>
      </c>
      <c r="AG1020">
        <v>1</v>
      </c>
      <c r="AH1020">
        <v>0</v>
      </c>
      <c r="AI1020">
        <v>230.58</v>
      </c>
      <c r="AL1020" t="s">
        <v>5011</v>
      </c>
      <c r="AM1020">
        <v>28800</v>
      </c>
      <c r="AS1020">
        <v>3.6</v>
      </c>
      <c r="AT1020" t="s">
        <v>580</v>
      </c>
      <c r="AU1020" t="s">
        <v>25275</v>
      </c>
      <c r="AV1020" t="s">
        <v>25335</v>
      </c>
      <c r="AW1020" t="s">
        <v>11447</v>
      </c>
    </row>
    <row r="1021" spans="1:49">
      <c r="A1021" s="1">
        <f>HYPERLINK("https://lsnyc.legalserver.org/matter/dynamic-profile/view/1905257","19-1905257")</f>
        <v>0</v>
      </c>
      <c r="B1021" t="s">
        <v>104</v>
      </c>
      <c r="C1021" t="s">
        <v>480</v>
      </c>
      <c r="E1021" t="s">
        <v>1111</v>
      </c>
      <c r="F1021" t="s">
        <v>4240</v>
      </c>
      <c r="G1021" t="s">
        <v>7174</v>
      </c>
      <c r="H1021" t="s">
        <v>10569</v>
      </c>
      <c r="I1021" t="s">
        <v>11386</v>
      </c>
      <c r="J1021">
        <v>10024</v>
      </c>
      <c r="K1021" t="s">
        <v>11446</v>
      </c>
      <c r="L1021" t="s">
        <v>11745</v>
      </c>
      <c r="M1021" t="s">
        <v>14762</v>
      </c>
      <c r="N1021" t="s">
        <v>14783</v>
      </c>
      <c r="P1021" t="s">
        <v>14797</v>
      </c>
      <c r="Q1021" t="s">
        <v>11446</v>
      </c>
      <c r="S1021" t="s">
        <v>14827</v>
      </c>
      <c r="T1021" t="s">
        <v>14832</v>
      </c>
      <c r="U1021" t="s">
        <v>480</v>
      </c>
      <c r="V1021">
        <v>1009</v>
      </c>
      <c r="W1021" t="s">
        <v>14860</v>
      </c>
      <c r="X1021" t="s">
        <v>14877</v>
      </c>
      <c r="Z1021" t="s">
        <v>15869</v>
      </c>
      <c r="AB1021" t="s">
        <v>20959</v>
      </c>
      <c r="AC1021">
        <v>10</v>
      </c>
      <c r="AD1021" t="s">
        <v>24595</v>
      </c>
      <c r="AE1021" t="s">
        <v>11459</v>
      </c>
      <c r="AF1021">
        <v>42</v>
      </c>
      <c r="AG1021">
        <v>1</v>
      </c>
      <c r="AH1021">
        <v>0</v>
      </c>
      <c r="AI1021">
        <v>424.34</v>
      </c>
      <c r="AL1021" t="s">
        <v>5011</v>
      </c>
      <c r="AM1021">
        <v>53000</v>
      </c>
      <c r="AS1021">
        <v>0</v>
      </c>
      <c r="AU1021" t="s">
        <v>25266</v>
      </c>
      <c r="AV1021" t="s">
        <v>25335</v>
      </c>
      <c r="AW1021" t="s">
        <v>11447</v>
      </c>
    </row>
    <row r="1022" spans="1:49">
      <c r="A1022" s="1">
        <f>HYPERLINK("https://lsnyc.legalserver.org/matter/dynamic-profile/view/1905345","19-1905345")</f>
        <v>0</v>
      </c>
      <c r="B1022" t="s">
        <v>167</v>
      </c>
      <c r="C1022" t="s">
        <v>619</v>
      </c>
      <c r="E1022" t="s">
        <v>1741</v>
      </c>
      <c r="F1022" t="s">
        <v>4241</v>
      </c>
      <c r="G1022" t="s">
        <v>7207</v>
      </c>
      <c r="H1022" t="s">
        <v>10510</v>
      </c>
      <c r="I1022" t="s">
        <v>11393</v>
      </c>
      <c r="J1022">
        <v>11374</v>
      </c>
      <c r="K1022" t="s">
        <v>11446</v>
      </c>
      <c r="L1022" t="s">
        <v>11767</v>
      </c>
      <c r="M1022" t="s">
        <v>14744</v>
      </c>
      <c r="N1022" t="s">
        <v>14778</v>
      </c>
      <c r="P1022" t="s">
        <v>14797</v>
      </c>
      <c r="Q1022" t="s">
        <v>11446</v>
      </c>
      <c r="S1022" t="s">
        <v>14827</v>
      </c>
      <c r="T1022" t="s">
        <v>14832</v>
      </c>
      <c r="U1022" t="s">
        <v>619</v>
      </c>
      <c r="V1022">
        <v>0</v>
      </c>
      <c r="W1022" t="s">
        <v>14861</v>
      </c>
      <c r="X1022" t="s">
        <v>14865</v>
      </c>
      <c r="Z1022" t="s">
        <v>15870</v>
      </c>
      <c r="AB1022" t="s">
        <v>20960</v>
      </c>
      <c r="AC1022">
        <v>47</v>
      </c>
      <c r="AD1022" t="s">
        <v>24598</v>
      </c>
      <c r="AE1022" t="s">
        <v>11459</v>
      </c>
      <c r="AF1022">
        <v>16</v>
      </c>
      <c r="AG1022">
        <v>4</v>
      </c>
      <c r="AH1022">
        <v>1</v>
      </c>
      <c r="AI1022">
        <v>34.47</v>
      </c>
      <c r="AL1022" t="s">
        <v>5011</v>
      </c>
      <c r="AM1022">
        <v>10400</v>
      </c>
      <c r="AS1022">
        <v>2.15</v>
      </c>
      <c r="AT1022" t="s">
        <v>539</v>
      </c>
      <c r="AU1022" t="s">
        <v>25233</v>
      </c>
      <c r="AV1022" t="s">
        <v>25335</v>
      </c>
      <c r="AW1022" t="s">
        <v>11447</v>
      </c>
    </row>
    <row r="1023" spans="1:49">
      <c r="A1023" s="1">
        <f>HYPERLINK("https://lsnyc.legalserver.org/matter/dynamic-profile/view/1901339","19-1901339")</f>
        <v>0</v>
      </c>
      <c r="B1023" t="s">
        <v>110</v>
      </c>
      <c r="C1023" t="s">
        <v>649</v>
      </c>
      <c r="E1023" t="s">
        <v>1616</v>
      </c>
      <c r="F1023" t="s">
        <v>4242</v>
      </c>
      <c r="G1023" t="s">
        <v>7208</v>
      </c>
      <c r="I1023" t="s">
        <v>6196</v>
      </c>
      <c r="J1023">
        <v>11423</v>
      </c>
      <c r="K1023" t="s">
        <v>11446</v>
      </c>
      <c r="L1023" t="s">
        <v>11768</v>
      </c>
      <c r="M1023" t="s">
        <v>14746</v>
      </c>
      <c r="N1023" t="s">
        <v>14778</v>
      </c>
      <c r="P1023" t="s">
        <v>14797</v>
      </c>
      <c r="Q1023" t="s">
        <v>11448</v>
      </c>
      <c r="S1023" t="s">
        <v>14827</v>
      </c>
      <c r="T1023" t="s">
        <v>14832</v>
      </c>
      <c r="U1023" t="s">
        <v>520</v>
      </c>
      <c r="V1023">
        <v>700</v>
      </c>
      <c r="W1023" t="s">
        <v>14861</v>
      </c>
      <c r="X1023" t="s">
        <v>14865</v>
      </c>
      <c r="Z1023" t="s">
        <v>15871</v>
      </c>
      <c r="AA1023" t="s">
        <v>19398</v>
      </c>
      <c r="AB1023" t="s">
        <v>20961</v>
      </c>
      <c r="AC1023">
        <v>2</v>
      </c>
      <c r="AD1023" t="s">
        <v>24600</v>
      </c>
      <c r="AE1023" t="s">
        <v>11459</v>
      </c>
      <c r="AF1023">
        <v>53</v>
      </c>
      <c r="AG1023">
        <v>2</v>
      </c>
      <c r="AH1023">
        <v>0</v>
      </c>
      <c r="AI1023">
        <v>59.61</v>
      </c>
      <c r="AL1023" t="s">
        <v>5011</v>
      </c>
      <c r="AM1023">
        <v>10080</v>
      </c>
      <c r="AQ1023" t="s">
        <v>24986</v>
      </c>
      <c r="AR1023" t="s">
        <v>25029</v>
      </c>
      <c r="AS1023">
        <v>0.6</v>
      </c>
      <c r="AT1023" t="s">
        <v>14857</v>
      </c>
      <c r="AU1023" t="s">
        <v>110</v>
      </c>
      <c r="AV1023" t="s">
        <v>25334</v>
      </c>
      <c r="AW1023" t="s">
        <v>11447</v>
      </c>
    </row>
    <row r="1024" spans="1:49">
      <c r="A1024" s="1">
        <f>HYPERLINK("https://lsnyc.legalserver.org/matter/dynamic-profile/view/1905437","19-1905437")</f>
        <v>0</v>
      </c>
      <c r="B1024" t="s">
        <v>105</v>
      </c>
      <c r="C1024" t="s">
        <v>520</v>
      </c>
      <c r="E1024" t="s">
        <v>1024</v>
      </c>
      <c r="F1024" t="s">
        <v>3870</v>
      </c>
      <c r="G1024" t="s">
        <v>7209</v>
      </c>
      <c r="H1024">
        <v>16</v>
      </c>
      <c r="I1024" t="s">
        <v>11386</v>
      </c>
      <c r="J1024">
        <v>10032</v>
      </c>
      <c r="K1024" t="s">
        <v>11446</v>
      </c>
      <c r="L1024" t="s">
        <v>11769</v>
      </c>
      <c r="M1024" t="s">
        <v>14762</v>
      </c>
      <c r="N1024" t="s">
        <v>14783</v>
      </c>
      <c r="P1024" t="s">
        <v>14797</v>
      </c>
      <c r="Q1024" t="s">
        <v>11448</v>
      </c>
      <c r="S1024" t="s">
        <v>14827</v>
      </c>
      <c r="U1024" t="s">
        <v>520</v>
      </c>
      <c r="V1024">
        <v>1142.3</v>
      </c>
      <c r="W1024" t="s">
        <v>14860</v>
      </c>
      <c r="X1024" t="s">
        <v>14868</v>
      </c>
      <c r="Z1024" t="s">
        <v>15872</v>
      </c>
      <c r="AB1024" t="s">
        <v>20962</v>
      </c>
      <c r="AC1024">
        <v>20</v>
      </c>
      <c r="AD1024" t="s">
        <v>24595</v>
      </c>
      <c r="AE1024" t="s">
        <v>11459</v>
      </c>
      <c r="AF1024">
        <v>25</v>
      </c>
      <c r="AG1024">
        <v>3</v>
      </c>
      <c r="AH1024">
        <v>2</v>
      </c>
      <c r="AI1024">
        <v>77.56</v>
      </c>
      <c r="AL1024" t="s">
        <v>24632</v>
      </c>
      <c r="AM1024">
        <v>23400</v>
      </c>
      <c r="AS1024">
        <v>0.1</v>
      </c>
      <c r="AT1024" t="s">
        <v>520</v>
      </c>
      <c r="AU1024" t="s">
        <v>137</v>
      </c>
      <c r="AV1024" t="s">
        <v>25335</v>
      </c>
      <c r="AW1024" t="s">
        <v>11447</v>
      </c>
    </row>
    <row r="1025" spans="1:49">
      <c r="A1025" s="1">
        <f>HYPERLINK("https://lsnyc.legalserver.org/matter/dynamic-profile/view/1905488","19-1905488")</f>
        <v>0</v>
      </c>
      <c r="B1025" t="s">
        <v>55</v>
      </c>
      <c r="C1025" t="s">
        <v>520</v>
      </c>
      <c r="E1025" t="s">
        <v>1150</v>
      </c>
      <c r="F1025" t="s">
        <v>4243</v>
      </c>
      <c r="G1025" t="s">
        <v>7210</v>
      </c>
      <c r="H1025" t="s">
        <v>10542</v>
      </c>
      <c r="I1025" t="s">
        <v>11386</v>
      </c>
      <c r="J1025">
        <v>10034</v>
      </c>
      <c r="K1025" t="s">
        <v>11446</v>
      </c>
      <c r="M1025" t="s">
        <v>14746</v>
      </c>
      <c r="N1025" t="s">
        <v>14781</v>
      </c>
      <c r="P1025" t="s">
        <v>14797</v>
      </c>
      <c r="Q1025" t="s">
        <v>11448</v>
      </c>
      <c r="S1025" t="s">
        <v>14827</v>
      </c>
      <c r="U1025" t="s">
        <v>520</v>
      </c>
      <c r="V1025">
        <v>1550</v>
      </c>
      <c r="W1025" t="s">
        <v>14860</v>
      </c>
      <c r="X1025" t="s">
        <v>14867</v>
      </c>
      <c r="Z1025" t="s">
        <v>15873</v>
      </c>
      <c r="AB1025" t="s">
        <v>20963</v>
      </c>
      <c r="AC1025">
        <v>44</v>
      </c>
      <c r="AD1025" t="s">
        <v>24595</v>
      </c>
      <c r="AE1025" t="s">
        <v>11459</v>
      </c>
      <c r="AF1025">
        <v>3</v>
      </c>
      <c r="AG1025">
        <v>1</v>
      </c>
      <c r="AH1025">
        <v>1</v>
      </c>
      <c r="AI1025">
        <v>325.25</v>
      </c>
      <c r="AJ1025" t="s">
        <v>551</v>
      </c>
      <c r="AK1025" t="s">
        <v>24629</v>
      </c>
      <c r="AL1025" t="s">
        <v>5011</v>
      </c>
      <c r="AM1025">
        <v>55000</v>
      </c>
      <c r="AS1025">
        <v>0</v>
      </c>
      <c r="AU1025" t="s">
        <v>137</v>
      </c>
      <c r="AV1025" t="s">
        <v>25335</v>
      </c>
      <c r="AW1025" t="s">
        <v>11447</v>
      </c>
    </row>
    <row r="1026" spans="1:49">
      <c r="A1026" s="1">
        <f>HYPERLINK("https://lsnyc.legalserver.org/matter/dynamic-profile/view/1905021","19-1905021")</f>
        <v>0</v>
      </c>
      <c r="B1026" t="s">
        <v>164</v>
      </c>
      <c r="C1026" t="s">
        <v>555</v>
      </c>
      <c r="E1026" t="s">
        <v>1742</v>
      </c>
      <c r="F1026" t="s">
        <v>4244</v>
      </c>
      <c r="G1026" t="s">
        <v>7211</v>
      </c>
      <c r="H1026" t="s">
        <v>10578</v>
      </c>
      <c r="I1026" t="s">
        <v>11384</v>
      </c>
      <c r="J1026">
        <v>10304</v>
      </c>
      <c r="K1026" t="s">
        <v>11446</v>
      </c>
      <c r="L1026" t="s">
        <v>11770</v>
      </c>
      <c r="M1026" t="s">
        <v>14744</v>
      </c>
      <c r="N1026" t="s">
        <v>14781</v>
      </c>
      <c r="P1026" t="s">
        <v>14797</v>
      </c>
      <c r="Q1026" t="s">
        <v>11448</v>
      </c>
      <c r="S1026" t="s">
        <v>14827</v>
      </c>
      <c r="T1026" t="s">
        <v>14832</v>
      </c>
      <c r="U1026" t="s">
        <v>555</v>
      </c>
      <c r="V1026">
        <v>463</v>
      </c>
      <c r="W1026" t="s">
        <v>14862</v>
      </c>
      <c r="X1026" t="s">
        <v>14868</v>
      </c>
      <c r="Z1026" t="s">
        <v>15874</v>
      </c>
      <c r="AB1026" t="s">
        <v>20964</v>
      </c>
      <c r="AC1026">
        <v>131</v>
      </c>
      <c r="AD1026" t="s">
        <v>24596</v>
      </c>
      <c r="AE1026" t="s">
        <v>24610</v>
      </c>
      <c r="AF1026">
        <v>8</v>
      </c>
      <c r="AG1026">
        <v>3</v>
      </c>
      <c r="AH1026">
        <v>0</v>
      </c>
      <c r="AI1026">
        <v>156.02</v>
      </c>
      <c r="AL1026" t="s">
        <v>5011</v>
      </c>
      <c r="AM1026">
        <v>33279.96</v>
      </c>
      <c r="AS1026">
        <v>10.15</v>
      </c>
      <c r="AT1026" t="s">
        <v>537</v>
      </c>
      <c r="AU1026" t="s">
        <v>25270</v>
      </c>
      <c r="AV1026" t="s">
        <v>25335</v>
      </c>
      <c r="AW1026" t="s">
        <v>11447</v>
      </c>
    </row>
    <row r="1027" spans="1:49">
      <c r="A1027" s="1">
        <f>HYPERLINK("https://lsnyc.legalserver.org/matter/dynamic-profile/view/1905550","19-1905550")</f>
        <v>0</v>
      </c>
      <c r="B1027" t="s">
        <v>105</v>
      </c>
      <c r="C1027" t="s">
        <v>555</v>
      </c>
      <c r="E1027" t="s">
        <v>1461</v>
      </c>
      <c r="F1027" t="s">
        <v>3577</v>
      </c>
      <c r="G1027" t="s">
        <v>6803</v>
      </c>
      <c r="H1027" t="s">
        <v>10522</v>
      </c>
      <c r="I1027" t="s">
        <v>11386</v>
      </c>
      <c r="J1027">
        <v>10035</v>
      </c>
      <c r="K1027" t="s">
        <v>11446</v>
      </c>
      <c r="L1027" t="s">
        <v>11771</v>
      </c>
      <c r="M1027" t="s">
        <v>14766</v>
      </c>
      <c r="N1027" t="s">
        <v>14781</v>
      </c>
      <c r="P1027" t="s">
        <v>14797</v>
      </c>
      <c r="Q1027" t="s">
        <v>11448</v>
      </c>
      <c r="S1027" t="s">
        <v>14827</v>
      </c>
      <c r="U1027" t="s">
        <v>555</v>
      </c>
      <c r="V1027">
        <v>1575</v>
      </c>
      <c r="W1027" t="s">
        <v>14860</v>
      </c>
      <c r="X1027" t="s">
        <v>14868</v>
      </c>
      <c r="Z1027" t="s">
        <v>15433</v>
      </c>
      <c r="AB1027" t="s">
        <v>20561</v>
      </c>
      <c r="AC1027">
        <v>10</v>
      </c>
      <c r="AD1027" t="s">
        <v>24595</v>
      </c>
      <c r="AE1027" t="s">
        <v>11459</v>
      </c>
      <c r="AF1027">
        <v>0</v>
      </c>
      <c r="AG1027">
        <v>3</v>
      </c>
      <c r="AH1027">
        <v>1</v>
      </c>
      <c r="AI1027">
        <v>166.99</v>
      </c>
      <c r="AL1027" t="s">
        <v>5011</v>
      </c>
      <c r="AM1027">
        <v>43000</v>
      </c>
      <c r="AS1027">
        <v>6.5</v>
      </c>
      <c r="AT1027" t="s">
        <v>571</v>
      </c>
      <c r="AU1027" t="s">
        <v>137</v>
      </c>
      <c r="AV1027" t="s">
        <v>25335</v>
      </c>
      <c r="AW1027" t="s">
        <v>11447</v>
      </c>
    </row>
    <row r="1028" spans="1:49">
      <c r="A1028" s="1">
        <f>HYPERLINK("https://lsnyc.legalserver.org/matter/dynamic-profile/view/1905630","19-1905630")</f>
        <v>0</v>
      </c>
      <c r="B1028" t="s">
        <v>123</v>
      </c>
      <c r="C1028" t="s">
        <v>555</v>
      </c>
      <c r="E1028" t="s">
        <v>1743</v>
      </c>
      <c r="F1028" t="s">
        <v>3547</v>
      </c>
      <c r="G1028" t="s">
        <v>7212</v>
      </c>
      <c r="H1028" t="s">
        <v>10529</v>
      </c>
      <c r="I1028" t="s">
        <v>11385</v>
      </c>
      <c r="J1028">
        <v>11226</v>
      </c>
      <c r="K1028" t="s">
        <v>11446</v>
      </c>
      <c r="M1028" t="s">
        <v>14746</v>
      </c>
      <c r="N1028" t="s">
        <v>14781</v>
      </c>
      <c r="P1028" t="s">
        <v>14797</v>
      </c>
      <c r="Q1028" t="s">
        <v>11446</v>
      </c>
      <c r="R1028" t="s">
        <v>14820</v>
      </c>
      <c r="S1028" t="s">
        <v>14827</v>
      </c>
      <c r="U1028" t="s">
        <v>555</v>
      </c>
      <c r="V1028">
        <v>1165.29</v>
      </c>
      <c r="W1028" t="s">
        <v>14859</v>
      </c>
      <c r="Z1028" t="s">
        <v>15875</v>
      </c>
      <c r="AB1028" t="s">
        <v>20965</v>
      </c>
      <c r="AC1028">
        <v>0</v>
      </c>
      <c r="AF1028">
        <v>19</v>
      </c>
      <c r="AG1028">
        <v>2</v>
      </c>
      <c r="AH1028">
        <v>0</v>
      </c>
      <c r="AI1028">
        <v>177.41</v>
      </c>
      <c r="AL1028" t="s">
        <v>24632</v>
      </c>
      <c r="AM1028">
        <v>30000</v>
      </c>
      <c r="AS1028">
        <v>0.2</v>
      </c>
      <c r="AT1028" t="s">
        <v>553</v>
      </c>
      <c r="AU1028" t="s">
        <v>75</v>
      </c>
      <c r="AV1028" t="s">
        <v>25335</v>
      </c>
      <c r="AW1028" t="s">
        <v>11447</v>
      </c>
    </row>
    <row r="1029" spans="1:49">
      <c r="A1029" s="1">
        <f>HYPERLINK("https://lsnyc.legalserver.org/matter/dynamic-profile/view/1904033","19-1904033")</f>
        <v>0</v>
      </c>
      <c r="B1029" t="s">
        <v>76</v>
      </c>
      <c r="C1029" t="s">
        <v>621</v>
      </c>
      <c r="E1029" t="s">
        <v>1350</v>
      </c>
      <c r="F1029" t="s">
        <v>4227</v>
      </c>
      <c r="G1029" t="s">
        <v>7213</v>
      </c>
      <c r="H1029" t="s">
        <v>10481</v>
      </c>
      <c r="I1029" t="s">
        <v>11385</v>
      </c>
      <c r="J1029">
        <v>11233</v>
      </c>
      <c r="K1029" t="s">
        <v>11446</v>
      </c>
      <c r="L1029" t="s">
        <v>11772</v>
      </c>
      <c r="M1029" t="s">
        <v>14744</v>
      </c>
      <c r="N1029" t="s">
        <v>14781</v>
      </c>
      <c r="P1029" t="s">
        <v>14797</v>
      </c>
      <c r="Q1029" t="s">
        <v>11448</v>
      </c>
      <c r="S1029" t="s">
        <v>14827</v>
      </c>
      <c r="T1029" t="s">
        <v>14832</v>
      </c>
      <c r="U1029" t="s">
        <v>555</v>
      </c>
      <c r="V1029">
        <v>900</v>
      </c>
      <c r="W1029" t="s">
        <v>14859</v>
      </c>
      <c r="X1029" t="s">
        <v>14863</v>
      </c>
      <c r="Z1029" t="s">
        <v>15876</v>
      </c>
      <c r="AA1029" t="s">
        <v>11465</v>
      </c>
      <c r="AB1029" t="s">
        <v>20966</v>
      </c>
      <c r="AC1029">
        <v>97</v>
      </c>
      <c r="AD1029" t="s">
        <v>24596</v>
      </c>
      <c r="AE1029" t="s">
        <v>24614</v>
      </c>
      <c r="AF1029">
        <v>7</v>
      </c>
      <c r="AG1029">
        <v>3</v>
      </c>
      <c r="AH1029">
        <v>0</v>
      </c>
      <c r="AI1029">
        <v>182.33</v>
      </c>
      <c r="AL1029" t="s">
        <v>5011</v>
      </c>
      <c r="AM1029">
        <v>38892</v>
      </c>
      <c r="AS1029">
        <v>15.4</v>
      </c>
      <c r="AT1029" t="s">
        <v>521</v>
      </c>
      <c r="AU1029" t="s">
        <v>66</v>
      </c>
      <c r="AV1029" t="s">
        <v>25335</v>
      </c>
      <c r="AW1029" t="s">
        <v>11447</v>
      </c>
    </row>
    <row r="1030" spans="1:49">
      <c r="A1030" s="1">
        <f>HYPERLINK("https://lsnyc.legalserver.org/matter/dynamic-profile/view/1906026","19-1906026")</f>
        <v>0</v>
      </c>
      <c r="B1030" t="s">
        <v>222</v>
      </c>
      <c r="C1030" t="s">
        <v>461</v>
      </c>
      <c r="E1030" t="s">
        <v>1744</v>
      </c>
      <c r="F1030" t="s">
        <v>4245</v>
      </c>
      <c r="G1030" t="s">
        <v>7214</v>
      </c>
      <c r="H1030">
        <v>8</v>
      </c>
      <c r="I1030" t="s">
        <v>11385</v>
      </c>
      <c r="J1030">
        <v>11218</v>
      </c>
      <c r="K1030" t="s">
        <v>11446</v>
      </c>
      <c r="M1030" t="s">
        <v>14743</v>
      </c>
      <c r="N1030" t="s">
        <v>14781</v>
      </c>
      <c r="P1030" t="s">
        <v>14797</v>
      </c>
      <c r="Q1030" t="s">
        <v>11448</v>
      </c>
      <c r="S1030" t="s">
        <v>14827</v>
      </c>
      <c r="U1030" t="s">
        <v>555</v>
      </c>
      <c r="V1030">
        <v>1615</v>
      </c>
      <c r="W1030" t="s">
        <v>14859</v>
      </c>
      <c r="X1030" t="s">
        <v>14865</v>
      </c>
      <c r="Z1030" t="s">
        <v>15877</v>
      </c>
      <c r="AB1030" t="s">
        <v>20967</v>
      </c>
      <c r="AC1030">
        <v>42</v>
      </c>
      <c r="AD1030" t="s">
        <v>24595</v>
      </c>
      <c r="AF1030">
        <v>3</v>
      </c>
      <c r="AG1030">
        <v>1</v>
      </c>
      <c r="AH1030">
        <v>0</v>
      </c>
      <c r="AI1030">
        <v>240.19</v>
      </c>
      <c r="AJ1030" t="s">
        <v>619</v>
      </c>
      <c r="AK1030" t="s">
        <v>24629</v>
      </c>
      <c r="AL1030" t="s">
        <v>5011</v>
      </c>
      <c r="AM1030">
        <v>30000</v>
      </c>
      <c r="AS1030">
        <v>86.59999999999999</v>
      </c>
      <c r="AT1030" t="s">
        <v>654</v>
      </c>
      <c r="AU1030" t="s">
        <v>75</v>
      </c>
      <c r="AV1030" t="s">
        <v>25335</v>
      </c>
      <c r="AW1030" t="s">
        <v>11447</v>
      </c>
    </row>
    <row r="1031" spans="1:49">
      <c r="A1031" s="1">
        <f>HYPERLINK("https://lsnyc.legalserver.org/matter/dynamic-profile/view/1905738","19-1905738")</f>
        <v>0</v>
      </c>
      <c r="B1031" t="s">
        <v>200</v>
      </c>
      <c r="C1031" t="s">
        <v>496</v>
      </c>
      <c r="E1031" t="s">
        <v>1330</v>
      </c>
      <c r="F1031" t="s">
        <v>3840</v>
      </c>
      <c r="G1031" t="s">
        <v>7215</v>
      </c>
      <c r="H1031" t="s">
        <v>10581</v>
      </c>
      <c r="I1031" t="s">
        <v>11385</v>
      </c>
      <c r="J1031">
        <v>11233</v>
      </c>
      <c r="K1031" t="s">
        <v>11446</v>
      </c>
      <c r="L1031" t="s">
        <v>11456</v>
      </c>
      <c r="M1031" t="s">
        <v>11601</v>
      </c>
      <c r="N1031" t="s">
        <v>14778</v>
      </c>
      <c r="P1031" t="s">
        <v>14797</v>
      </c>
      <c r="Q1031" t="s">
        <v>11448</v>
      </c>
      <c r="S1031" t="s">
        <v>14827</v>
      </c>
      <c r="U1031" t="s">
        <v>496</v>
      </c>
      <c r="V1031">
        <v>215</v>
      </c>
      <c r="W1031" t="s">
        <v>14859</v>
      </c>
      <c r="X1031" t="s">
        <v>14755</v>
      </c>
      <c r="Z1031" t="s">
        <v>15878</v>
      </c>
      <c r="AA1031" t="s">
        <v>19399</v>
      </c>
      <c r="AB1031" t="s">
        <v>20968</v>
      </c>
      <c r="AC1031">
        <v>48</v>
      </c>
      <c r="AD1031" t="s">
        <v>24606</v>
      </c>
      <c r="AE1031" t="s">
        <v>14755</v>
      </c>
      <c r="AF1031">
        <v>4</v>
      </c>
      <c r="AG1031">
        <v>1</v>
      </c>
      <c r="AH1031">
        <v>0</v>
      </c>
      <c r="AI1031">
        <v>0</v>
      </c>
      <c r="AL1031" t="s">
        <v>5011</v>
      </c>
      <c r="AM1031">
        <v>0</v>
      </c>
      <c r="AS1031">
        <v>0</v>
      </c>
      <c r="AU1031" t="s">
        <v>120</v>
      </c>
      <c r="AV1031" t="s">
        <v>25334</v>
      </c>
      <c r="AW1031" t="s">
        <v>11447</v>
      </c>
    </row>
    <row r="1032" spans="1:49">
      <c r="A1032" s="1">
        <f>HYPERLINK("https://lsnyc.legalserver.org/matter/dynamic-profile/view/1905743","19-1905743")</f>
        <v>0</v>
      </c>
      <c r="B1032" t="s">
        <v>123</v>
      </c>
      <c r="C1032" t="s">
        <v>496</v>
      </c>
      <c r="E1032" t="s">
        <v>1745</v>
      </c>
      <c r="F1032" t="s">
        <v>4246</v>
      </c>
      <c r="G1032" t="s">
        <v>7212</v>
      </c>
      <c r="H1032" t="s">
        <v>10559</v>
      </c>
      <c r="I1032" t="s">
        <v>11385</v>
      </c>
      <c r="J1032">
        <v>11226</v>
      </c>
      <c r="K1032" t="s">
        <v>11446</v>
      </c>
      <c r="M1032" t="s">
        <v>14762</v>
      </c>
      <c r="N1032" t="s">
        <v>14783</v>
      </c>
      <c r="P1032" t="s">
        <v>14797</v>
      </c>
      <c r="Q1032" t="s">
        <v>11446</v>
      </c>
      <c r="S1032" t="s">
        <v>14827</v>
      </c>
      <c r="U1032" t="s">
        <v>496</v>
      </c>
      <c r="V1032">
        <v>0</v>
      </c>
      <c r="W1032" t="s">
        <v>14859</v>
      </c>
      <c r="Z1032" t="s">
        <v>15816</v>
      </c>
      <c r="AB1032" t="s">
        <v>20969</v>
      </c>
      <c r="AC1032">
        <v>36</v>
      </c>
      <c r="AD1032" t="s">
        <v>24595</v>
      </c>
      <c r="AF1032">
        <v>0</v>
      </c>
      <c r="AG1032">
        <v>2</v>
      </c>
      <c r="AH1032">
        <v>0</v>
      </c>
      <c r="AI1032">
        <v>56.77</v>
      </c>
      <c r="AL1032" t="s">
        <v>24641</v>
      </c>
      <c r="AM1032">
        <v>9600</v>
      </c>
      <c r="AS1032">
        <v>0.2</v>
      </c>
      <c r="AT1032" t="s">
        <v>496</v>
      </c>
      <c r="AU1032" t="s">
        <v>177</v>
      </c>
      <c r="AW1032" t="s">
        <v>11447</v>
      </c>
    </row>
    <row r="1033" spans="1:49">
      <c r="A1033" s="1">
        <f>HYPERLINK("https://lsnyc.legalserver.org/matter/dynamic-profile/view/1905689","19-1905689")</f>
        <v>0</v>
      </c>
      <c r="B1033" t="s">
        <v>123</v>
      </c>
      <c r="C1033" t="s">
        <v>633</v>
      </c>
      <c r="E1033" t="s">
        <v>1746</v>
      </c>
      <c r="F1033" t="s">
        <v>4247</v>
      </c>
      <c r="G1033" t="s">
        <v>7212</v>
      </c>
      <c r="H1033" t="s">
        <v>10568</v>
      </c>
      <c r="I1033" t="s">
        <v>11385</v>
      </c>
      <c r="J1033">
        <v>11226</v>
      </c>
      <c r="K1033" t="s">
        <v>11446</v>
      </c>
      <c r="M1033" t="s">
        <v>14762</v>
      </c>
      <c r="N1033" t="s">
        <v>14783</v>
      </c>
      <c r="P1033" t="s">
        <v>14797</v>
      </c>
      <c r="Q1033" t="s">
        <v>11446</v>
      </c>
      <c r="S1033" t="s">
        <v>14827</v>
      </c>
      <c r="U1033" t="s">
        <v>496</v>
      </c>
      <c r="V1033">
        <v>0</v>
      </c>
      <c r="W1033" t="s">
        <v>14859</v>
      </c>
      <c r="Z1033" t="s">
        <v>15879</v>
      </c>
      <c r="AB1033" t="s">
        <v>20970</v>
      </c>
      <c r="AC1033">
        <v>36</v>
      </c>
      <c r="AD1033" t="s">
        <v>24595</v>
      </c>
      <c r="AF1033">
        <v>0</v>
      </c>
      <c r="AG1033">
        <v>2</v>
      </c>
      <c r="AH1033">
        <v>0</v>
      </c>
      <c r="AI1033">
        <v>85.16</v>
      </c>
      <c r="AL1033" t="s">
        <v>5011</v>
      </c>
      <c r="AM1033">
        <v>14400</v>
      </c>
      <c r="AS1033">
        <v>2.4</v>
      </c>
      <c r="AT1033" t="s">
        <v>533</v>
      </c>
      <c r="AU1033" t="s">
        <v>177</v>
      </c>
      <c r="AW1033" t="s">
        <v>11447</v>
      </c>
    </row>
    <row r="1034" spans="1:49">
      <c r="A1034" s="1">
        <f>HYPERLINK("https://lsnyc.legalserver.org/matter/dynamic-profile/view/1905676","19-1905676")</f>
        <v>0</v>
      </c>
      <c r="B1034" t="s">
        <v>123</v>
      </c>
      <c r="C1034" t="s">
        <v>496</v>
      </c>
      <c r="E1034" t="s">
        <v>1584</v>
      </c>
      <c r="F1034" t="s">
        <v>1920</v>
      </c>
      <c r="G1034" t="s">
        <v>7212</v>
      </c>
      <c r="H1034" t="s">
        <v>10541</v>
      </c>
      <c r="I1034" t="s">
        <v>11385</v>
      </c>
      <c r="J1034">
        <v>11226</v>
      </c>
      <c r="K1034" t="s">
        <v>11446</v>
      </c>
      <c r="M1034" t="s">
        <v>14762</v>
      </c>
      <c r="N1034" t="s">
        <v>14783</v>
      </c>
      <c r="P1034" t="s">
        <v>14797</v>
      </c>
      <c r="Q1034" t="s">
        <v>11446</v>
      </c>
      <c r="R1034" t="s">
        <v>14820</v>
      </c>
      <c r="S1034" t="s">
        <v>14827</v>
      </c>
      <c r="U1034" t="s">
        <v>496</v>
      </c>
      <c r="V1034">
        <v>0</v>
      </c>
      <c r="W1034" t="s">
        <v>14859</v>
      </c>
      <c r="Z1034" t="s">
        <v>15880</v>
      </c>
      <c r="AB1034" t="s">
        <v>20971</v>
      </c>
      <c r="AC1034">
        <v>36</v>
      </c>
      <c r="AD1034" t="s">
        <v>24595</v>
      </c>
      <c r="AF1034">
        <v>0</v>
      </c>
      <c r="AG1034">
        <v>1</v>
      </c>
      <c r="AH1034">
        <v>0</v>
      </c>
      <c r="AI1034">
        <v>96.08</v>
      </c>
      <c r="AL1034" t="s">
        <v>24641</v>
      </c>
      <c r="AM1034">
        <v>12000</v>
      </c>
      <c r="AS1034">
        <v>0.2</v>
      </c>
      <c r="AT1034" t="s">
        <v>496</v>
      </c>
      <c r="AU1034" t="s">
        <v>177</v>
      </c>
      <c r="AW1034" t="s">
        <v>11447</v>
      </c>
    </row>
    <row r="1035" spans="1:49">
      <c r="A1035" s="1">
        <f>HYPERLINK("https://lsnyc.legalserver.org/matter/dynamic-profile/view/1905681","19-1905681")</f>
        <v>0</v>
      </c>
      <c r="B1035" t="s">
        <v>123</v>
      </c>
      <c r="C1035" t="s">
        <v>496</v>
      </c>
      <c r="E1035" t="s">
        <v>1747</v>
      </c>
      <c r="F1035" t="s">
        <v>4134</v>
      </c>
      <c r="G1035" t="s">
        <v>7212</v>
      </c>
      <c r="H1035" t="s">
        <v>10594</v>
      </c>
      <c r="I1035" t="s">
        <v>11385</v>
      </c>
      <c r="J1035">
        <v>11226</v>
      </c>
      <c r="K1035" t="s">
        <v>11446</v>
      </c>
      <c r="M1035" t="s">
        <v>14762</v>
      </c>
      <c r="N1035" t="s">
        <v>14783</v>
      </c>
      <c r="P1035" t="s">
        <v>14797</v>
      </c>
      <c r="Q1035" t="s">
        <v>11446</v>
      </c>
      <c r="S1035" t="s">
        <v>14827</v>
      </c>
      <c r="U1035" t="s">
        <v>496</v>
      </c>
      <c r="V1035">
        <v>0</v>
      </c>
      <c r="W1035" t="s">
        <v>14859</v>
      </c>
      <c r="Z1035" t="s">
        <v>15881</v>
      </c>
      <c r="AB1035" t="s">
        <v>20972</v>
      </c>
      <c r="AC1035">
        <v>36</v>
      </c>
      <c r="AD1035" t="s">
        <v>24595</v>
      </c>
      <c r="AF1035">
        <v>0</v>
      </c>
      <c r="AG1035">
        <v>4</v>
      </c>
      <c r="AH1035">
        <v>0</v>
      </c>
      <c r="AI1035">
        <v>100.97</v>
      </c>
      <c r="AL1035" t="s">
        <v>24632</v>
      </c>
      <c r="AM1035">
        <v>26000</v>
      </c>
      <c r="AS1035">
        <v>0.2</v>
      </c>
      <c r="AT1035" t="s">
        <v>496</v>
      </c>
      <c r="AU1035" t="s">
        <v>177</v>
      </c>
      <c r="AW1035" t="s">
        <v>11447</v>
      </c>
    </row>
    <row r="1036" spans="1:49">
      <c r="A1036" s="1">
        <f>HYPERLINK("https://lsnyc.legalserver.org/matter/dynamic-profile/view/1905685","19-1905685")</f>
        <v>0</v>
      </c>
      <c r="B1036" t="s">
        <v>123</v>
      </c>
      <c r="C1036" t="s">
        <v>496</v>
      </c>
      <c r="E1036" t="s">
        <v>1276</v>
      </c>
      <c r="F1036" t="s">
        <v>1636</v>
      </c>
      <c r="G1036" t="s">
        <v>7212</v>
      </c>
      <c r="H1036" t="s">
        <v>10467</v>
      </c>
      <c r="I1036" t="s">
        <v>11385</v>
      </c>
      <c r="J1036">
        <v>11226</v>
      </c>
      <c r="K1036" t="s">
        <v>11446</v>
      </c>
      <c r="M1036" t="s">
        <v>14762</v>
      </c>
      <c r="N1036" t="s">
        <v>14783</v>
      </c>
      <c r="P1036" t="s">
        <v>14797</v>
      </c>
      <c r="Q1036" t="s">
        <v>11446</v>
      </c>
      <c r="S1036" t="s">
        <v>14827</v>
      </c>
      <c r="U1036" t="s">
        <v>496</v>
      </c>
      <c r="V1036">
        <v>0</v>
      </c>
      <c r="W1036" t="s">
        <v>14859</v>
      </c>
      <c r="Z1036" t="s">
        <v>15882</v>
      </c>
      <c r="AB1036" t="s">
        <v>20973</v>
      </c>
      <c r="AC1036">
        <v>36</v>
      </c>
      <c r="AD1036" t="s">
        <v>24595</v>
      </c>
      <c r="AF1036">
        <v>0</v>
      </c>
      <c r="AG1036">
        <v>2</v>
      </c>
      <c r="AH1036">
        <v>0</v>
      </c>
      <c r="AI1036">
        <v>123</v>
      </c>
      <c r="AL1036" t="s">
        <v>24641</v>
      </c>
      <c r="AM1036">
        <v>20800</v>
      </c>
      <c r="AS1036">
        <v>0.2</v>
      </c>
      <c r="AT1036" t="s">
        <v>496</v>
      </c>
      <c r="AU1036" t="s">
        <v>177</v>
      </c>
      <c r="AW1036" t="s">
        <v>11447</v>
      </c>
    </row>
    <row r="1037" spans="1:49">
      <c r="A1037" s="1">
        <f>HYPERLINK("https://lsnyc.legalserver.org/matter/dynamic-profile/view/1905941","19-1905941")</f>
        <v>0</v>
      </c>
      <c r="B1037" t="s">
        <v>212</v>
      </c>
      <c r="C1037" t="s">
        <v>461</v>
      </c>
      <c r="E1037" t="s">
        <v>1337</v>
      </c>
      <c r="F1037" t="s">
        <v>4248</v>
      </c>
      <c r="G1037" t="s">
        <v>7173</v>
      </c>
      <c r="H1037" t="s">
        <v>10765</v>
      </c>
      <c r="I1037" t="s">
        <v>11385</v>
      </c>
      <c r="J1037">
        <v>11213</v>
      </c>
      <c r="K1037" t="s">
        <v>11446</v>
      </c>
      <c r="L1037" t="s">
        <v>11456</v>
      </c>
      <c r="M1037" t="s">
        <v>11601</v>
      </c>
      <c r="N1037" t="s">
        <v>14782</v>
      </c>
      <c r="P1037" t="s">
        <v>14797</v>
      </c>
      <c r="Q1037" t="s">
        <v>11446</v>
      </c>
      <c r="S1037" t="s">
        <v>14827</v>
      </c>
      <c r="T1037" t="s">
        <v>14832</v>
      </c>
      <c r="U1037" t="s">
        <v>496</v>
      </c>
      <c r="V1037">
        <v>1139.5</v>
      </c>
      <c r="W1037" t="s">
        <v>14859</v>
      </c>
      <c r="X1037" t="s">
        <v>14864</v>
      </c>
      <c r="Z1037" t="s">
        <v>15883</v>
      </c>
      <c r="AA1037" t="s">
        <v>11465</v>
      </c>
      <c r="AB1037" t="s">
        <v>20974</v>
      </c>
      <c r="AC1037">
        <v>34</v>
      </c>
      <c r="AD1037" t="s">
        <v>24595</v>
      </c>
      <c r="AE1037" t="s">
        <v>11459</v>
      </c>
      <c r="AF1037">
        <v>1</v>
      </c>
      <c r="AG1037">
        <v>1</v>
      </c>
      <c r="AH1037">
        <v>1</v>
      </c>
      <c r="AI1037">
        <v>130.1</v>
      </c>
      <c r="AL1037" t="s">
        <v>5011</v>
      </c>
      <c r="AM1037">
        <v>22000</v>
      </c>
      <c r="AS1037">
        <v>1.25</v>
      </c>
      <c r="AT1037" t="s">
        <v>496</v>
      </c>
      <c r="AU1037" t="s">
        <v>66</v>
      </c>
      <c r="AV1037" t="s">
        <v>25335</v>
      </c>
      <c r="AW1037" t="s">
        <v>11447</v>
      </c>
    </row>
    <row r="1038" spans="1:49">
      <c r="A1038" s="1">
        <f>HYPERLINK("https://lsnyc.legalserver.org/matter/dynamic-profile/view/1903468","19-1903468")</f>
        <v>0</v>
      </c>
      <c r="B1038" t="s">
        <v>87</v>
      </c>
      <c r="C1038" t="s">
        <v>496</v>
      </c>
      <c r="E1038" t="s">
        <v>1035</v>
      </c>
      <c r="F1038" t="s">
        <v>4249</v>
      </c>
      <c r="G1038" t="s">
        <v>7216</v>
      </c>
      <c r="H1038" t="s">
        <v>10604</v>
      </c>
      <c r="I1038" t="s">
        <v>11384</v>
      </c>
      <c r="J1038">
        <v>10304</v>
      </c>
      <c r="K1038" t="s">
        <v>11446</v>
      </c>
      <c r="L1038" t="s">
        <v>11773</v>
      </c>
      <c r="M1038" t="s">
        <v>14743</v>
      </c>
      <c r="N1038" t="s">
        <v>14781</v>
      </c>
      <c r="P1038" t="s">
        <v>14797</v>
      </c>
      <c r="Q1038" t="s">
        <v>11448</v>
      </c>
      <c r="S1038" t="s">
        <v>14827</v>
      </c>
      <c r="T1038" t="s">
        <v>14832</v>
      </c>
      <c r="U1038" t="s">
        <v>496</v>
      </c>
      <c r="V1038">
        <v>1200</v>
      </c>
      <c r="W1038" t="s">
        <v>14862</v>
      </c>
      <c r="X1038" t="s">
        <v>14867</v>
      </c>
      <c r="Z1038" t="s">
        <v>15884</v>
      </c>
      <c r="AB1038" t="s">
        <v>20975</v>
      </c>
      <c r="AC1038">
        <v>2</v>
      </c>
      <c r="AD1038" t="s">
        <v>24600</v>
      </c>
      <c r="AE1038" t="s">
        <v>11459</v>
      </c>
      <c r="AF1038">
        <v>2</v>
      </c>
      <c r="AG1038">
        <v>1</v>
      </c>
      <c r="AH1038">
        <v>0</v>
      </c>
      <c r="AI1038">
        <v>160.13</v>
      </c>
      <c r="AL1038" t="s">
        <v>5011</v>
      </c>
      <c r="AM1038">
        <v>20000</v>
      </c>
      <c r="AS1038">
        <v>4.6</v>
      </c>
      <c r="AT1038" t="s">
        <v>483</v>
      </c>
      <c r="AU1038" t="s">
        <v>25270</v>
      </c>
      <c r="AV1038" t="s">
        <v>25335</v>
      </c>
      <c r="AW1038" t="s">
        <v>11447</v>
      </c>
    </row>
    <row r="1039" spans="1:49">
      <c r="A1039" s="1">
        <f>HYPERLINK("https://lsnyc.legalserver.org/matter/dynamic-profile/view/1905948","19-1905948")</f>
        <v>0</v>
      </c>
      <c r="B1039" t="s">
        <v>212</v>
      </c>
      <c r="C1039" t="s">
        <v>461</v>
      </c>
      <c r="E1039" t="s">
        <v>1748</v>
      </c>
      <c r="F1039" t="s">
        <v>1866</v>
      </c>
      <c r="G1039" t="s">
        <v>7173</v>
      </c>
      <c r="H1039" t="s">
        <v>10766</v>
      </c>
      <c r="I1039" t="s">
        <v>11385</v>
      </c>
      <c r="J1039">
        <v>11213</v>
      </c>
      <c r="K1039" t="s">
        <v>11446</v>
      </c>
      <c r="L1039" t="s">
        <v>11456</v>
      </c>
      <c r="M1039" t="s">
        <v>11601</v>
      </c>
      <c r="N1039" t="s">
        <v>14782</v>
      </c>
      <c r="P1039" t="s">
        <v>14797</v>
      </c>
      <c r="Q1039" t="s">
        <v>11446</v>
      </c>
      <c r="S1039" t="s">
        <v>14827</v>
      </c>
      <c r="T1039" t="s">
        <v>14832</v>
      </c>
      <c r="U1039" t="s">
        <v>496</v>
      </c>
      <c r="V1039">
        <v>1025.26</v>
      </c>
      <c r="W1039" t="s">
        <v>14859</v>
      </c>
      <c r="X1039" t="s">
        <v>14864</v>
      </c>
      <c r="Z1039" t="s">
        <v>15885</v>
      </c>
      <c r="AA1039" t="s">
        <v>11465</v>
      </c>
      <c r="AC1039">
        <v>34</v>
      </c>
      <c r="AD1039" t="s">
        <v>24595</v>
      </c>
      <c r="AE1039" t="s">
        <v>11459</v>
      </c>
      <c r="AF1039">
        <v>9</v>
      </c>
      <c r="AG1039">
        <v>1</v>
      </c>
      <c r="AH1039">
        <v>0</v>
      </c>
      <c r="AI1039">
        <v>286.63</v>
      </c>
      <c r="AL1039" t="s">
        <v>5011</v>
      </c>
      <c r="AM1039">
        <v>35800</v>
      </c>
      <c r="AS1039">
        <v>1</v>
      </c>
      <c r="AT1039" t="s">
        <v>496</v>
      </c>
      <c r="AU1039" t="s">
        <v>66</v>
      </c>
      <c r="AV1039" t="s">
        <v>25335</v>
      </c>
      <c r="AW1039" t="s">
        <v>11447</v>
      </c>
    </row>
    <row r="1040" spans="1:49">
      <c r="A1040" s="1">
        <f>HYPERLINK("https://lsnyc.legalserver.org/matter/dynamic-profile/view/1905687","19-1905687")</f>
        <v>0</v>
      </c>
      <c r="B1040" t="s">
        <v>123</v>
      </c>
      <c r="C1040" t="s">
        <v>496</v>
      </c>
      <c r="E1040" t="s">
        <v>1330</v>
      </c>
      <c r="F1040" t="s">
        <v>4250</v>
      </c>
      <c r="G1040" t="s">
        <v>7212</v>
      </c>
      <c r="H1040" t="s">
        <v>10451</v>
      </c>
      <c r="I1040" t="s">
        <v>11385</v>
      </c>
      <c r="J1040">
        <v>11226</v>
      </c>
      <c r="K1040" t="s">
        <v>11446</v>
      </c>
      <c r="M1040" t="s">
        <v>14762</v>
      </c>
      <c r="N1040" t="s">
        <v>14783</v>
      </c>
      <c r="P1040" t="s">
        <v>14797</v>
      </c>
      <c r="Q1040" t="s">
        <v>11446</v>
      </c>
      <c r="S1040" t="s">
        <v>14827</v>
      </c>
      <c r="U1040" t="s">
        <v>496</v>
      </c>
      <c r="V1040">
        <v>0</v>
      </c>
      <c r="W1040" t="s">
        <v>14859</v>
      </c>
      <c r="Z1040" t="s">
        <v>15886</v>
      </c>
      <c r="AC1040">
        <v>36</v>
      </c>
      <c r="AF1040">
        <v>0</v>
      </c>
      <c r="AG1040">
        <v>3</v>
      </c>
      <c r="AH1040">
        <v>1</v>
      </c>
      <c r="AI1040">
        <v>388.35</v>
      </c>
      <c r="AL1040" t="s">
        <v>5011</v>
      </c>
      <c r="AM1040">
        <v>100000</v>
      </c>
      <c r="AS1040">
        <v>0.2</v>
      </c>
      <c r="AT1040" t="s">
        <v>496</v>
      </c>
      <c r="AU1040" t="s">
        <v>177</v>
      </c>
      <c r="AW1040" t="s">
        <v>11447</v>
      </c>
    </row>
    <row r="1041" spans="1:49">
      <c r="A1041" s="1">
        <f>HYPERLINK("https://lsnyc.legalserver.org/matter/dynamic-profile/view/1905679","19-1905679")</f>
        <v>0</v>
      </c>
      <c r="B1041" t="s">
        <v>123</v>
      </c>
      <c r="C1041" t="s">
        <v>496</v>
      </c>
      <c r="E1041" t="s">
        <v>1749</v>
      </c>
      <c r="F1041" t="s">
        <v>4251</v>
      </c>
      <c r="G1041" t="s">
        <v>7212</v>
      </c>
      <c r="H1041" t="s">
        <v>10620</v>
      </c>
      <c r="I1041" t="s">
        <v>11385</v>
      </c>
      <c r="J1041">
        <v>11226</v>
      </c>
      <c r="K1041" t="s">
        <v>11446</v>
      </c>
      <c r="M1041" t="s">
        <v>14762</v>
      </c>
      <c r="N1041" t="s">
        <v>14783</v>
      </c>
      <c r="P1041" t="s">
        <v>14797</v>
      </c>
      <c r="Q1041" t="s">
        <v>11446</v>
      </c>
      <c r="R1041" t="s">
        <v>14820</v>
      </c>
      <c r="S1041" t="s">
        <v>14827</v>
      </c>
      <c r="U1041" t="s">
        <v>496</v>
      </c>
      <c r="V1041">
        <v>0</v>
      </c>
      <c r="W1041" t="s">
        <v>14859</v>
      </c>
      <c r="Z1041" t="s">
        <v>15887</v>
      </c>
      <c r="AB1041" t="s">
        <v>20976</v>
      </c>
      <c r="AC1041">
        <v>36</v>
      </c>
      <c r="AD1041" t="s">
        <v>24595</v>
      </c>
      <c r="AF1041">
        <v>0</v>
      </c>
      <c r="AG1041">
        <v>2</v>
      </c>
      <c r="AH1041">
        <v>0</v>
      </c>
      <c r="AI1041">
        <v>532.23</v>
      </c>
      <c r="AL1041" t="s">
        <v>5011</v>
      </c>
      <c r="AM1041">
        <v>90000</v>
      </c>
      <c r="AS1041">
        <v>0.2</v>
      </c>
      <c r="AT1041" t="s">
        <v>496</v>
      </c>
      <c r="AU1041" t="s">
        <v>177</v>
      </c>
      <c r="AW1041" t="s">
        <v>11447</v>
      </c>
    </row>
    <row r="1042" spans="1:49">
      <c r="A1042" s="1">
        <f>HYPERLINK("https://lsnyc.legalserver.org/matter/dynamic-profile/view/1891183","19-1891183")</f>
        <v>0</v>
      </c>
      <c r="B1042" t="s">
        <v>209</v>
      </c>
      <c r="C1042" t="s">
        <v>534</v>
      </c>
      <c r="E1042" t="s">
        <v>1750</v>
      </c>
      <c r="F1042" t="s">
        <v>3848</v>
      </c>
      <c r="G1042" t="s">
        <v>7217</v>
      </c>
      <c r="I1042" t="s">
        <v>11390</v>
      </c>
      <c r="J1042">
        <v>11368</v>
      </c>
      <c r="K1042" t="s">
        <v>11446</v>
      </c>
      <c r="L1042" t="s">
        <v>11774</v>
      </c>
      <c r="M1042" t="s">
        <v>14743</v>
      </c>
      <c r="N1042" t="s">
        <v>14779</v>
      </c>
      <c r="P1042" t="s">
        <v>14797</v>
      </c>
      <c r="Q1042" t="s">
        <v>11448</v>
      </c>
      <c r="S1042" t="s">
        <v>14827</v>
      </c>
      <c r="T1042" t="s">
        <v>14832</v>
      </c>
      <c r="U1042" t="s">
        <v>500</v>
      </c>
      <c r="V1042">
        <v>1400</v>
      </c>
      <c r="W1042" t="s">
        <v>14861</v>
      </c>
      <c r="X1042" t="s">
        <v>14865</v>
      </c>
      <c r="Z1042" t="s">
        <v>15888</v>
      </c>
      <c r="AA1042" t="s">
        <v>19400</v>
      </c>
      <c r="AB1042" t="s">
        <v>20977</v>
      </c>
      <c r="AC1042">
        <v>25</v>
      </c>
      <c r="AD1042" t="s">
        <v>24600</v>
      </c>
      <c r="AE1042" t="s">
        <v>24615</v>
      </c>
      <c r="AF1042">
        <v>6</v>
      </c>
      <c r="AG1042">
        <v>1</v>
      </c>
      <c r="AH1042">
        <v>3</v>
      </c>
      <c r="AI1042">
        <v>46.6</v>
      </c>
      <c r="AL1042" t="s">
        <v>24632</v>
      </c>
      <c r="AM1042">
        <v>12000</v>
      </c>
      <c r="AS1042">
        <v>1.55</v>
      </c>
      <c r="AT1042" t="s">
        <v>496</v>
      </c>
      <c r="AU1042" t="s">
        <v>209</v>
      </c>
      <c r="AV1042" t="s">
        <v>25334</v>
      </c>
      <c r="AW1042" t="s">
        <v>11446</v>
      </c>
    </row>
    <row r="1043" spans="1:49">
      <c r="A1043" s="1">
        <f>HYPERLINK("https://lsnyc.legalserver.org/matter/dynamic-profile/view/1904281","19-1904281")</f>
        <v>0</v>
      </c>
      <c r="B1043" t="s">
        <v>113</v>
      </c>
      <c r="C1043" t="s">
        <v>332</v>
      </c>
      <c r="E1043" t="s">
        <v>1057</v>
      </c>
      <c r="F1043" t="s">
        <v>3584</v>
      </c>
      <c r="G1043" t="s">
        <v>6317</v>
      </c>
      <c r="H1043" t="s">
        <v>10464</v>
      </c>
      <c r="I1043" t="s">
        <v>11385</v>
      </c>
      <c r="J1043">
        <v>11212</v>
      </c>
      <c r="K1043" t="s">
        <v>11446</v>
      </c>
      <c r="L1043" t="s">
        <v>11775</v>
      </c>
      <c r="M1043" t="s">
        <v>14743</v>
      </c>
      <c r="N1043" t="s">
        <v>14779</v>
      </c>
      <c r="P1043" t="s">
        <v>14797</v>
      </c>
      <c r="Q1043" t="s">
        <v>11448</v>
      </c>
      <c r="S1043" t="s">
        <v>14827</v>
      </c>
      <c r="T1043" t="s">
        <v>14832</v>
      </c>
      <c r="U1043" t="s">
        <v>500</v>
      </c>
      <c r="V1043">
        <v>1800</v>
      </c>
      <c r="W1043" t="s">
        <v>14859</v>
      </c>
      <c r="X1043" t="s">
        <v>14866</v>
      </c>
      <c r="Z1043" t="s">
        <v>14943</v>
      </c>
      <c r="AA1043" t="s">
        <v>19401</v>
      </c>
      <c r="AB1043" t="s">
        <v>20978</v>
      </c>
      <c r="AC1043">
        <v>4</v>
      </c>
      <c r="AD1043" t="s">
        <v>24600</v>
      </c>
      <c r="AE1043" t="s">
        <v>24611</v>
      </c>
      <c r="AF1043">
        <v>4</v>
      </c>
      <c r="AG1043">
        <v>4</v>
      </c>
      <c r="AH1043">
        <v>0</v>
      </c>
      <c r="AI1043">
        <v>111.01</v>
      </c>
      <c r="AL1043" t="s">
        <v>5011</v>
      </c>
      <c r="AM1043">
        <v>28584</v>
      </c>
      <c r="AS1043">
        <v>1</v>
      </c>
      <c r="AT1043" t="s">
        <v>332</v>
      </c>
      <c r="AU1043" t="s">
        <v>25227</v>
      </c>
      <c r="AV1043" t="s">
        <v>25334</v>
      </c>
      <c r="AW1043" t="s">
        <v>11447</v>
      </c>
    </row>
    <row r="1044" spans="1:49">
      <c r="A1044" s="1">
        <f>HYPERLINK("https://lsnyc.legalserver.org/matter/dynamic-profile/view/1900774","19-1900774")</f>
        <v>0</v>
      </c>
      <c r="B1044" t="s">
        <v>209</v>
      </c>
      <c r="C1044" t="s">
        <v>657</v>
      </c>
      <c r="E1044" t="s">
        <v>1751</v>
      </c>
      <c r="F1044" t="s">
        <v>4166</v>
      </c>
      <c r="G1044" t="s">
        <v>7218</v>
      </c>
      <c r="H1044" t="s">
        <v>10767</v>
      </c>
      <c r="I1044" t="s">
        <v>11390</v>
      </c>
      <c r="J1044">
        <v>11368</v>
      </c>
      <c r="K1044" t="s">
        <v>11446</v>
      </c>
      <c r="L1044" t="s">
        <v>11776</v>
      </c>
      <c r="M1044" t="s">
        <v>14762</v>
      </c>
      <c r="N1044" t="s">
        <v>14783</v>
      </c>
      <c r="P1044" t="s">
        <v>14797</v>
      </c>
      <c r="Q1044" t="s">
        <v>11446</v>
      </c>
      <c r="S1044" t="s">
        <v>14827</v>
      </c>
      <c r="T1044" t="s">
        <v>14832</v>
      </c>
      <c r="U1044" t="s">
        <v>500</v>
      </c>
      <c r="V1044">
        <v>940</v>
      </c>
      <c r="W1044" t="s">
        <v>14861</v>
      </c>
      <c r="X1044" t="s">
        <v>14755</v>
      </c>
      <c r="Z1044" t="s">
        <v>15889</v>
      </c>
      <c r="AA1044" t="s">
        <v>19344</v>
      </c>
      <c r="AB1044" t="s">
        <v>20979</v>
      </c>
      <c r="AC1044">
        <v>50</v>
      </c>
      <c r="AD1044" t="s">
        <v>24595</v>
      </c>
      <c r="AE1044" t="s">
        <v>11459</v>
      </c>
      <c r="AF1044">
        <v>19</v>
      </c>
      <c r="AG1044">
        <v>1</v>
      </c>
      <c r="AH1044">
        <v>0</v>
      </c>
      <c r="AI1044">
        <v>129.7</v>
      </c>
      <c r="AL1044" t="s">
        <v>5011</v>
      </c>
      <c r="AM1044">
        <v>16200</v>
      </c>
      <c r="AP1044" t="s">
        <v>14755</v>
      </c>
      <c r="AS1044">
        <v>5.76</v>
      </c>
      <c r="AT1044" t="s">
        <v>641</v>
      </c>
      <c r="AU1044" t="s">
        <v>209</v>
      </c>
      <c r="AV1044" t="s">
        <v>25335</v>
      </c>
      <c r="AW1044" t="s">
        <v>11447</v>
      </c>
    </row>
    <row r="1045" spans="1:49">
      <c r="A1045" s="1">
        <f>HYPERLINK("https://lsnyc.legalserver.org/matter/dynamic-profile/view/1897595","19-1897595")</f>
        <v>0</v>
      </c>
      <c r="B1045" t="s">
        <v>209</v>
      </c>
      <c r="C1045" t="s">
        <v>658</v>
      </c>
      <c r="E1045" t="s">
        <v>1752</v>
      </c>
      <c r="F1045" t="s">
        <v>3667</v>
      </c>
      <c r="G1045" t="s">
        <v>7219</v>
      </c>
      <c r="H1045" t="s">
        <v>10768</v>
      </c>
      <c r="I1045" t="s">
        <v>11390</v>
      </c>
      <c r="J1045">
        <v>11368</v>
      </c>
      <c r="K1045" t="s">
        <v>11446</v>
      </c>
      <c r="L1045" t="s">
        <v>11777</v>
      </c>
      <c r="M1045" t="s">
        <v>14762</v>
      </c>
      <c r="N1045" t="s">
        <v>14783</v>
      </c>
      <c r="P1045" t="s">
        <v>14797</v>
      </c>
      <c r="Q1045" t="s">
        <v>11446</v>
      </c>
      <c r="S1045" t="s">
        <v>14827</v>
      </c>
      <c r="T1045" t="s">
        <v>14832</v>
      </c>
      <c r="U1045" t="s">
        <v>500</v>
      </c>
      <c r="V1045">
        <v>1293</v>
      </c>
      <c r="W1045" t="s">
        <v>14861</v>
      </c>
      <c r="X1045" t="s">
        <v>14755</v>
      </c>
      <c r="Z1045" t="s">
        <v>15890</v>
      </c>
      <c r="AB1045" t="s">
        <v>20980</v>
      </c>
      <c r="AC1045">
        <v>224</v>
      </c>
      <c r="AD1045" t="s">
        <v>24595</v>
      </c>
      <c r="AE1045" t="s">
        <v>11459</v>
      </c>
      <c r="AF1045">
        <v>30</v>
      </c>
      <c r="AG1045">
        <v>2</v>
      </c>
      <c r="AH1045">
        <v>0</v>
      </c>
      <c r="AI1045">
        <v>276.76</v>
      </c>
      <c r="AJ1045" t="s">
        <v>491</v>
      </c>
      <c r="AK1045" t="s">
        <v>24629</v>
      </c>
      <c r="AL1045" t="s">
        <v>5011</v>
      </c>
      <c r="AM1045">
        <v>46800</v>
      </c>
      <c r="AS1045">
        <v>0.66</v>
      </c>
      <c r="AT1045" t="s">
        <v>767</v>
      </c>
      <c r="AU1045" t="s">
        <v>209</v>
      </c>
      <c r="AV1045" t="s">
        <v>25335</v>
      </c>
      <c r="AW1045" t="s">
        <v>11446</v>
      </c>
    </row>
    <row r="1046" spans="1:49">
      <c r="A1046" s="1">
        <f>HYPERLINK("https://lsnyc.legalserver.org/matter/dynamic-profile/view/1904963","19-1904963")</f>
        <v>0</v>
      </c>
      <c r="B1046" t="s">
        <v>59</v>
      </c>
      <c r="C1046" t="s">
        <v>593</v>
      </c>
      <c r="E1046" t="s">
        <v>1372</v>
      </c>
      <c r="F1046" t="s">
        <v>4046</v>
      </c>
      <c r="G1046" t="s">
        <v>7220</v>
      </c>
      <c r="H1046" t="s">
        <v>10705</v>
      </c>
      <c r="I1046" t="s">
        <v>11425</v>
      </c>
      <c r="J1046">
        <v>11411</v>
      </c>
      <c r="K1046" t="s">
        <v>11446</v>
      </c>
      <c r="L1046" t="s">
        <v>11778</v>
      </c>
      <c r="M1046" t="s">
        <v>14743</v>
      </c>
      <c r="N1046" t="s">
        <v>14781</v>
      </c>
      <c r="P1046" t="s">
        <v>14797</v>
      </c>
      <c r="Q1046" t="s">
        <v>11448</v>
      </c>
      <c r="S1046" t="s">
        <v>14827</v>
      </c>
      <c r="T1046" t="s">
        <v>14832</v>
      </c>
      <c r="U1046" t="s">
        <v>461</v>
      </c>
      <c r="V1046">
        <v>1122</v>
      </c>
      <c r="W1046" t="s">
        <v>14861</v>
      </c>
      <c r="X1046" t="s">
        <v>14865</v>
      </c>
      <c r="Z1046" t="s">
        <v>15891</v>
      </c>
      <c r="AA1046" t="s">
        <v>11459</v>
      </c>
      <c r="AB1046" t="s">
        <v>20981</v>
      </c>
      <c r="AC1046">
        <v>2</v>
      </c>
      <c r="AD1046" t="s">
        <v>24600</v>
      </c>
      <c r="AE1046" t="s">
        <v>24610</v>
      </c>
      <c r="AF1046">
        <v>10</v>
      </c>
      <c r="AG1046">
        <v>2</v>
      </c>
      <c r="AH1046">
        <v>1</v>
      </c>
      <c r="AI1046">
        <v>33.76</v>
      </c>
      <c r="AL1046" t="s">
        <v>5011</v>
      </c>
      <c r="AM1046">
        <v>7200</v>
      </c>
      <c r="AO1046" t="s">
        <v>24937</v>
      </c>
      <c r="AP1046" t="s">
        <v>24942</v>
      </c>
      <c r="AQ1046" t="s">
        <v>24986</v>
      </c>
      <c r="AR1046" t="s">
        <v>25011</v>
      </c>
      <c r="AS1046">
        <v>20.11</v>
      </c>
      <c r="AT1046" t="s">
        <v>540</v>
      </c>
      <c r="AU1046" t="s">
        <v>292</v>
      </c>
      <c r="AV1046" t="s">
        <v>25335</v>
      </c>
      <c r="AW1046" t="s">
        <v>11447</v>
      </c>
    </row>
    <row r="1047" spans="1:49">
      <c r="A1047" s="1">
        <f>HYPERLINK("https://lsnyc.legalserver.org/matter/dynamic-profile/view/1905954","19-1905954")</f>
        <v>0</v>
      </c>
      <c r="B1047" t="s">
        <v>178</v>
      </c>
      <c r="C1047" t="s">
        <v>461</v>
      </c>
      <c r="E1047" t="s">
        <v>1249</v>
      </c>
      <c r="F1047" t="s">
        <v>4252</v>
      </c>
      <c r="G1047" t="s">
        <v>7221</v>
      </c>
      <c r="H1047">
        <v>22</v>
      </c>
      <c r="I1047" t="s">
        <v>11386</v>
      </c>
      <c r="J1047">
        <v>10033</v>
      </c>
      <c r="K1047" t="s">
        <v>11446</v>
      </c>
      <c r="M1047" t="s">
        <v>14747</v>
      </c>
      <c r="N1047" t="s">
        <v>14778</v>
      </c>
      <c r="P1047" t="s">
        <v>14797</v>
      </c>
      <c r="Q1047" t="s">
        <v>11448</v>
      </c>
      <c r="S1047" t="s">
        <v>14827</v>
      </c>
      <c r="U1047" t="s">
        <v>461</v>
      </c>
      <c r="V1047">
        <v>1296.98</v>
      </c>
      <c r="W1047" t="s">
        <v>14860</v>
      </c>
      <c r="X1047" t="s">
        <v>14877</v>
      </c>
      <c r="Y1047" t="s">
        <v>14883</v>
      </c>
      <c r="Z1047" t="s">
        <v>15892</v>
      </c>
      <c r="AB1047" t="s">
        <v>20982</v>
      </c>
      <c r="AC1047">
        <v>41</v>
      </c>
      <c r="AD1047" t="s">
        <v>24595</v>
      </c>
      <c r="AE1047" t="s">
        <v>11459</v>
      </c>
      <c r="AF1047">
        <v>26</v>
      </c>
      <c r="AG1047">
        <v>1</v>
      </c>
      <c r="AH1047">
        <v>0</v>
      </c>
      <c r="AI1047">
        <v>74.72</v>
      </c>
      <c r="AL1047" t="s">
        <v>24632</v>
      </c>
      <c r="AM1047">
        <v>9332.440000000001</v>
      </c>
      <c r="AS1047">
        <v>12.1</v>
      </c>
      <c r="AT1047" t="s">
        <v>521</v>
      </c>
      <c r="AU1047" t="s">
        <v>137</v>
      </c>
      <c r="AV1047" t="s">
        <v>25335</v>
      </c>
      <c r="AW1047" t="s">
        <v>11447</v>
      </c>
    </row>
    <row r="1048" spans="1:49">
      <c r="A1048" s="1">
        <f>HYPERLINK("https://lsnyc.legalserver.org/matter/dynamic-profile/view/1905947","19-1905947")</f>
        <v>0</v>
      </c>
      <c r="B1048" t="s">
        <v>161</v>
      </c>
      <c r="C1048" t="s">
        <v>461</v>
      </c>
      <c r="E1048" t="s">
        <v>1753</v>
      </c>
      <c r="F1048" t="s">
        <v>4253</v>
      </c>
      <c r="G1048" t="s">
        <v>7222</v>
      </c>
      <c r="H1048" t="s">
        <v>10769</v>
      </c>
      <c r="I1048" t="s">
        <v>11386</v>
      </c>
      <c r="J1048">
        <v>10032</v>
      </c>
      <c r="K1048" t="s">
        <v>11446</v>
      </c>
      <c r="L1048" t="s">
        <v>11779</v>
      </c>
      <c r="M1048" t="s">
        <v>14743</v>
      </c>
      <c r="N1048" t="s">
        <v>14782</v>
      </c>
      <c r="P1048" t="s">
        <v>14797</v>
      </c>
      <c r="Q1048" t="s">
        <v>11448</v>
      </c>
      <c r="S1048" t="s">
        <v>14827</v>
      </c>
      <c r="U1048" t="s">
        <v>461</v>
      </c>
      <c r="V1048">
        <v>711</v>
      </c>
      <c r="W1048" t="s">
        <v>14860</v>
      </c>
      <c r="X1048" t="s">
        <v>14865</v>
      </c>
      <c r="Z1048" t="s">
        <v>15893</v>
      </c>
      <c r="AA1048" t="s">
        <v>19402</v>
      </c>
      <c r="AB1048" t="s">
        <v>20983</v>
      </c>
      <c r="AC1048">
        <v>22</v>
      </c>
      <c r="AD1048" t="s">
        <v>24595</v>
      </c>
      <c r="AE1048" t="s">
        <v>11459</v>
      </c>
      <c r="AF1048">
        <v>30</v>
      </c>
      <c r="AG1048">
        <v>1</v>
      </c>
      <c r="AH1048">
        <v>0</v>
      </c>
      <c r="AI1048">
        <v>76</v>
      </c>
      <c r="AL1048" t="s">
        <v>24632</v>
      </c>
      <c r="AM1048">
        <v>9492</v>
      </c>
      <c r="AS1048">
        <v>1.3</v>
      </c>
      <c r="AT1048" t="s">
        <v>559</v>
      </c>
      <c r="AU1048" t="s">
        <v>25276</v>
      </c>
      <c r="AV1048" t="s">
        <v>25334</v>
      </c>
      <c r="AW1048" t="s">
        <v>11447</v>
      </c>
    </row>
    <row r="1049" spans="1:49">
      <c r="A1049" s="1">
        <f>HYPERLINK("https://lsnyc.legalserver.org/matter/dynamic-profile/view/1906527","19-1906527")</f>
        <v>0</v>
      </c>
      <c r="B1049" t="s">
        <v>222</v>
      </c>
      <c r="C1049" t="s">
        <v>380</v>
      </c>
      <c r="E1049" t="s">
        <v>1754</v>
      </c>
      <c r="F1049" t="s">
        <v>4254</v>
      </c>
      <c r="G1049" t="s">
        <v>7223</v>
      </c>
      <c r="H1049" t="s">
        <v>10581</v>
      </c>
      <c r="I1049" t="s">
        <v>11385</v>
      </c>
      <c r="J1049">
        <v>11225</v>
      </c>
      <c r="K1049" t="s">
        <v>11446</v>
      </c>
      <c r="M1049" t="s">
        <v>14763</v>
      </c>
      <c r="N1049" t="s">
        <v>14781</v>
      </c>
      <c r="P1049" t="s">
        <v>14797</v>
      </c>
      <c r="Q1049" t="s">
        <v>11446</v>
      </c>
      <c r="R1049" t="s">
        <v>14820</v>
      </c>
      <c r="S1049" t="s">
        <v>14827</v>
      </c>
      <c r="U1049" t="s">
        <v>461</v>
      </c>
      <c r="V1049">
        <v>1639.25</v>
      </c>
      <c r="W1049" t="s">
        <v>14859</v>
      </c>
      <c r="Z1049" t="s">
        <v>15894</v>
      </c>
      <c r="AB1049" t="s">
        <v>20984</v>
      </c>
      <c r="AC1049">
        <v>11</v>
      </c>
      <c r="AF1049">
        <v>7</v>
      </c>
      <c r="AG1049">
        <v>2</v>
      </c>
      <c r="AH1049">
        <v>0</v>
      </c>
      <c r="AI1049">
        <v>473.09</v>
      </c>
      <c r="AL1049" t="s">
        <v>5011</v>
      </c>
      <c r="AM1049">
        <v>80000</v>
      </c>
      <c r="AS1049">
        <v>0.1</v>
      </c>
      <c r="AT1049" t="s">
        <v>458</v>
      </c>
      <c r="AU1049" t="s">
        <v>75</v>
      </c>
      <c r="AV1049" t="s">
        <v>25335</v>
      </c>
      <c r="AW1049" t="s">
        <v>11447</v>
      </c>
    </row>
    <row r="1050" spans="1:49">
      <c r="A1050" s="1">
        <f>HYPERLINK("https://lsnyc.legalserver.org/matter/dynamic-profile/view/1891669","19-1891669")</f>
        <v>0</v>
      </c>
      <c r="B1050" t="s">
        <v>144</v>
      </c>
      <c r="C1050" t="s">
        <v>596</v>
      </c>
      <c r="E1050" t="s">
        <v>1755</v>
      </c>
      <c r="F1050" t="s">
        <v>3758</v>
      </c>
      <c r="G1050" t="s">
        <v>7224</v>
      </c>
      <c r="H1050">
        <v>1</v>
      </c>
      <c r="I1050" t="s">
        <v>11391</v>
      </c>
      <c r="J1050">
        <v>11691</v>
      </c>
      <c r="K1050" t="s">
        <v>11446</v>
      </c>
      <c r="L1050" t="s">
        <v>11780</v>
      </c>
      <c r="M1050" t="s">
        <v>14743</v>
      </c>
      <c r="N1050" t="s">
        <v>14781</v>
      </c>
      <c r="P1050" t="s">
        <v>14797</v>
      </c>
      <c r="Q1050" t="s">
        <v>11448</v>
      </c>
      <c r="S1050" t="s">
        <v>14827</v>
      </c>
      <c r="T1050" t="s">
        <v>14832</v>
      </c>
      <c r="U1050" t="s">
        <v>14841</v>
      </c>
      <c r="V1050">
        <v>1475</v>
      </c>
      <c r="W1050" t="s">
        <v>14861</v>
      </c>
      <c r="X1050" t="s">
        <v>14869</v>
      </c>
      <c r="Z1050" t="s">
        <v>15895</v>
      </c>
      <c r="AA1050" t="s">
        <v>19344</v>
      </c>
      <c r="AB1050" t="s">
        <v>20985</v>
      </c>
      <c r="AC1050">
        <v>3</v>
      </c>
      <c r="AD1050" t="s">
        <v>24595</v>
      </c>
      <c r="AE1050" t="s">
        <v>24610</v>
      </c>
      <c r="AF1050">
        <v>9</v>
      </c>
      <c r="AG1050">
        <v>1</v>
      </c>
      <c r="AH1050">
        <v>0</v>
      </c>
      <c r="AI1050">
        <v>199.84</v>
      </c>
      <c r="AL1050" t="s">
        <v>5011</v>
      </c>
      <c r="AM1050">
        <v>24960</v>
      </c>
      <c r="AP1050" t="s">
        <v>14755</v>
      </c>
      <c r="AS1050">
        <v>20.61</v>
      </c>
      <c r="AT1050" t="s">
        <v>478</v>
      </c>
      <c r="AU1050" t="s">
        <v>25225</v>
      </c>
      <c r="AV1050" t="s">
        <v>25335</v>
      </c>
      <c r="AW1050" t="s">
        <v>11447</v>
      </c>
    </row>
    <row r="1051" spans="1:49">
      <c r="A1051" s="1">
        <f>HYPERLINK("https://lsnyc.legalserver.org/matter/dynamic-profile/view/1906163","19-1906163")</f>
        <v>0</v>
      </c>
      <c r="B1051" t="s">
        <v>123</v>
      </c>
      <c r="C1051" t="s">
        <v>553</v>
      </c>
      <c r="E1051" t="s">
        <v>1330</v>
      </c>
      <c r="F1051" t="s">
        <v>3675</v>
      </c>
      <c r="G1051" t="s">
        <v>7225</v>
      </c>
      <c r="H1051" t="s">
        <v>10513</v>
      </c>
      <c r="I1051" t="s">
        <v>11385</v>
      </c>
      <c r="J1051">
        <v>11232</v>
      </c>
      <c r="K1051" t="s">
        <v>11446</v>
      </c>
      <c r="L1051" t="s">
        <v>11781</v>
      </c>
      <c r="M1051" t="s">
        <v>14743</v>
      </c>
      <c r="N1051" t="s">
        <v>14778</v>
      </c>
      <c r="P1051" t="s">
        <v>14797</v>
      </c>
      <c r="Q1051" t="s">
        <v>11448</v>
      </c>
      <c r="S1051" t="s">
        <v>14827</v>
      </c>
      <c r="T1051" t="s">
        <v>14832</v>
      </c>
      <c r="U1051" t="s">
        <v>618</v>
      </c>
      <c r="V1051">
        <v>600</v>
      </c>
      <c r="W1051" t="s">
        <v>14859</v>
      </c>
      <c r="X1051" t="s">
        <v>14865</v>
      </c>
      <c r="Z1051" t="s">
        <v>15896</v>
      </c>
      <c r="AA1051" t="s">
        <v>11459</v>
      </c>
      <c r="AB1051" t="s">
        <v>20986</v>
      </c>
      <c r="AC1051">
        <v>6</v>
      </c>
      <c r="AD1051" t="s">
        <v>11479</v>
      </c>
      <c r="AE1051" t="s">
        <v>11459</v>
      </c>
      <c r="AF1051">
        <v>22</v>
      </c>
      <c r="AG1051">
        <v>1</v>
      </c>
      <c r="AH1051">
        <v>0</v>
      </c>
      <c r="AI1051">
        <v>0</v>
      </c>
      <c r="AL1051" t="s">
        <v>5011</v>
      </c>
      <c r="AM1051">
        <v>0</v>
      </c>
      <c r="AS1051">
        <v>46.7</v>
      </c>
      <c r="AT1051" t="s">
        <v>495</v>
      </c>
      <c r="AU1051" t="s">
        <v>25235</v>
      </c>
      <c r="AV1051" t="s">
        <v>25335</v>
      </c>
      <c r="AW1051" t="s">
        <v>11447</v>
      </c>
    </row>
    <row r="1052" spans="1:49">
      <c r="A1052" s="1">
        <f>HYPERLINK("https://lsnyc.legalserver.org/matter/dynamic-profile/view/1905739","19-1905739")</f>
        <v>0</v>
      </c>
      <c r="B1052" t="s">
        <v>87</v>
      </c>
      <c r="C1052" t="s">
        <v>618</v>
      </c>
      <c r="E1052" t="s">
        <v>1756</v>
      </c>
      <c r="F1052" t="s">
        <v>3840</v>
      </c>
      <c r="G1052" t="s">
        <v>7196</v>
      </c>
      <c r="H1052">
        <v>305</v>
      </c>
      <c r="I1052" t="s">
        <v>11384</v>
      </c>
      <c r="J1052">
        <v>10304</v>
      </c>
      <c r="K1052" t="s">
        <v>11446</v>
      </c>
      <c r="L1052" t="s">
        <v>11782</v>
      </c>
      <c r="M1052" t="s">
        <v>14743</v>
      </c>
      <c r="N1052" t="s">
        <v>14781</v>
      </c>
      <c r="P1052" t="s">
        <v>14797</v>
      </c>
      <c r="Q1052" t="s">
        <v>11448</v>
      </c>
      <c r="S1052" t="s">
        <v>14827</v>
      </c>
      <c r="T1052" t="s">
        <v>14832</v>
      </c>
      <c r="U1052" t="s">
        <v>618</v>
      </c>
      <c r="V1052">
        <v>1245</v>
      </c>
      <c r="W1052" t="s">
        <v>14862</v>
      </c>
      <c r="X1052" t="s">
        <v>14868</v>
      </c>
      <c r="Z1052" t="s">
        <v>15897</v>
      </c>
      <c r="AA1052" t="s">
        <v>19403</v>
      </c>
      <c r="AB1052" t="s">
        <v>20987</v>
      </c>
      <c r="AC1052">
        <v>105</v>
      </c>
      <c r="AD1052" t="s">
        <v>24595</v>
      </c>
      <c r="AE1052" t="s">
        <v>24615</v>
      </c>
      <c r="AF1052">
        <v>2</v>
      </c>
      <c r="AG1052">
        <v>1</v>
      </c>
      <c r="AH1052">
        <v>2</v>
      </c>
      <c r="AI1052">
        <v>56.43</v>
      </c>
      <c r="AL1052" t="s">
        <v>5011</v>
      </c>
      <c r="AM1052">
        <v>12036</v>
      </c>
      <c r="AO1052" t="s">
        <v>24934</v>
      </c>
      <c r="AP1052" t="s">
        <v>24943</v>
      </c>
      <c r="AQ1052" t="s">
        <v>24987</v>
      </c>
      <c r="AR1052" t="s">
        <v>25030</v>
      </c>
      <c r="AS1052">
        <v>13.8</v>
      </c>
      <c r="AT1052" t="s">
        <v>483</v>
      </c>
      <c r="AU1052" t="s">
        <v>25270</v>
      </c>
      <c r="AV1052" t="s">
        <v>25334</v>
      </c>
      <c r="AW1052" t="s">
        <v>11447</v>
      </c>
    </row>
    <row r="1053" spans="1:49">
      <c r="A1053" s="1">
        <f>HYPERLINK("https://lsnyc.legalserver.org/matter/dynamic-profile/view/1906049","19-1906049")</f>
        <v>0</v>
      </c>
      <c r="B1053" t="s">
        <v>178</v>
      </c>
      <c r="C1053" t="s">
        <v>618</v>
      </c>
      <c r="E1053" t="s">
        <v>1169</v>
      </c>
      <c r="F1053" t="s">
        <v>4255</v>
      </c>
      <c r="G1053" t="s">
        <v>7033</v>
      </c>
      <c r="H1053" t="s">
        <v>10770</v>
      </c>
      <c r="I1053" t="s">
        <v>11386</v>
      </c>
      <c r="J1053">
        <v>10033</v>
      </c>
      <c r="K1053" t="s">
        <v>11446</v>
      </c>
      <c r="N1053" t="s">
        <v>14778</v>
      </c>
      <c r="P1053" t="s">
        <v>14797</v>
      </c>
      <c r="Q1053" t="s">
        <v>11448</v>
      </c>
      <c r="S1053" t="s">
        <v>14827</v>
      </c>
      <c r="U1053" t="s">
        <v>618</v>
      </c>
      <c r="V1053">
        <v>2668</v>
      </c>
      <c r="W1053" t="s">
        <v>14860</v>
      </c>
      <c r="X1053" t="s">
        <v>14868</v>
      </c>
      <c r="Z1053" t="s">
        <v>15898</v>
      </c>
      <c r="AB1053" t="s">
        <v>20988</v>
      </c>
      <c r="AC1053">
        <v>480</v>
      </c>
      <c r="AD1053" t="s">
        <v>24595</v>
      </c>
      <c r="AE1053" t="s">
        <v>11459</v>
      </c>
      <c r="AF1053">
        <v>5</v>
      </c>
      <c r="AG1053">
        <v>1</v>
      </c>
      <c r="AH1053">
        <v>0</v>
      </c>
      <c r="AI1053">
        <v>60.53</v>
      </c>
      <c r="AL1053" t="s">
        <v>24632</v>
      </c>
      <c r="AM1053">
        <v>7560</v>
      </c>
      <c r="AS1053">
        <v>1.9</v>
      </c>
      <c r="AT1053" t="s">
        <v>618</v>
      </c>
      <c r="AU1053" t="s">
        <v>137</v>
      </c>
      <c r="AV1053" t="s">
        <v>25335</v>
      </c>
      <c r="AW1053" t="s">
        <v>11447</v>
      </c>
    </row>
    <row r="1054" spans="1:49">
      <c r="A1054" s="1">
        <f>HYPERLINK("https://lsnyc.legalserver.org/matter/dynamic-profile/view/1906099","19-1906099")</f>
        <v>0</v>
      </c>
      <c r="B1054" t="s">
        <v>178</v>
      </c>
      <c r="C1054" t="s">
        <v>618</v>
      </c>
      <c r="E1054" t="s">
        <v>1757</v>
      </c>
      <c r="F1054" t="s">
        <v>4256</v>
      </c>
      <c r="G1054" t="s">
        <v>7226</v>
      </c>
      <c r="H1054" t="s">
        <v>10581</v>
      </c>
      <c r="I1054" t="s">
        <v>11386</v>
      </c>
      <c r="J1054">
        <v>10034</v>
      </c>
      <c r="K1054" t="s">
        <v>11446</v>
      </c>
      <c r="M1054" t="s">
        <v>14747</v>
      </c>
      <c r="N1054" t="s">
        <v>14779</v>
      </c>
      <c r="P1054" t="s">
        <v>14797</v>
      </c>
      <c r="Q1054" t="s">
        <v>11448</v>
      </c>
      <c r="S1054" t="s">
        <v>14827</v>
      </c>
      <c r="U1054" t="s">
        <v>618</v>
      </c>
      <c r="V1054">
        <v>175</v>
      </c>
      <c r="W1054" t="s">
        <v>14860</v>
      </c>
      <c r="Z1054" t="s">
        <v>15899</v>
      </c>
      <c r="AB1054" t="s">
        <v>20989</v>
      </c>
      <c r="AC1054">
        <v>30</v>
      </c>
      <c r="AD1054" t="s">
        <v>24595</v>
      </c>
      <c r="AE1054" t="s">
        <v>11459</v>
      </c>
      <c r="AF1054">
        <v>6</v>
      </c>
      <c r="AG1054">
        <v>1</v>
      </c>
      <c r="AH1054">
        <v>0</v>
      </c>
      <c r="AI1054">
        <v>69.97</v>
      </c>
      <c r="AL1054" t="s">
        <v>5011</v>
      </c>
      <c r="AM1054">
        <v>8739</v>
      </c>
      <c r="AS1054">
        <v>6.2</v>
      </c>
      <c r="AT1054" t="s">
        <v>471</v>
      </c>
      <c r="AU1054" t="s">
        <v>137</v>
      </c>
      <c r="AV1054" t="s">
        <v>25335</v>
      </c>
      <c r="AW1054" t="s">
        <v>11447</v>
      </c>
    </row>
    <row r="1055" spans="1:49">
      <c r="A1055" s="1">
        <f>HYPERLINK("https://lsnyc.legalserver.org/matter/dynamic-profile/view/1906125","19-1906125")</f>
        <v>0</v>
      </c>
      <c r="B1055" t="s">
        <v>178</v>
      </c>
      <c r="C1055" t="s">
        <v>618</v>
      </c>
      <c r="E1055" t="s">
        <v>1439</v>
      </c>
      <c r="F1055" t="s">
        <v>4257</v>
      </c>
      <c r="G1055" t="s">
        <v>7193</v>
      </c>
      <c r="H1055" t="s">
        <v>10450</v>
      </c>
      <c r="I1055" t="s">
        <v>11386</v>
      </c>
      <c r="J1055">
        <v>10040</v>
      </c>
      <c r="K1055" t="s">
        <v>11446</v>
      </c>
      <c r="L1055" t="s">
        <v>11783</v>
      </c>
      <c r="M1055" t="s">
        <v>14744</v>
      </c>
      <c r="N1055" t="s">
        <v>14781</v>
      </c>
      <c r="P1055" t="s">
        <v>14797</v>
      </c>
      <c r="Q1055" t="s">
        <v>11448</v>
      </c>
      <c r="S1055" t="s">
        <v>14827</v>
      </c>
      <c r="T1055" t="s">
        <v>14832</v>
      </c>
      <c r="U1055" t="s">
        <v>618</v>
      </c>
      <c r="V1055">
        <v>1143.13</v>
      </c>
      <c r="W1055" t="s">
        <v>14860</v>
      </c>
      <c r="X1055" t="s">
        <v>14868</v>
      </c>
      <c r="Z1055" t="s">
        <v>15900</v>
      </c>
      <c r="AB1055" t="s">
        <v>20990</v>
      </c>
      <c r="AC1055">
        <v>42</v>
      </c>
      <c r="AD1055" t="s">
        <v>24595</v>
      </c>
      <c r="AE1055" t="s">
        <v>24613</v>
      </c>
      <c r="AF1055">
        <v>29</v>
      </c>
      <c r="AG1055">
        <v>1</v>
      </c>
      <c r="AH1055">
        <v>0</v>
      </c>
      <c r="AI1055">
        <v>72.06</v>
      </c>
      <c r="AL1055" t="s">
        <v>5011</v>
      </c>
      <c r="AM1055">
        <v>9000</v>
      </c>
      <c r="AS1055">
        <v>19.7</v>
      </c>
      <c r="AT1055" t="s">
        <v>580</v>
      </c>
      <c r="AU1055" t="s">
        <v>137</v>
      </c>
      <c r="AV1055" t="s">
        <v>25335</v>
      </c>
      <c r="AW1055" t="s">
        <v>11447</v>
      </c>
    </row>
    <row r="1056" spans="1:49">
      <c r="A1056" s="1">
        <f>HYPERLINK("https://lsnyc.legalserver.org/matter/dynamic-profile/view/1907759","19-1907759")</f>
        <v>0</v>
      </c>
      <c r="B1056" t="s">
        <v>187</v>
      </c>
      <c r="C1056" t="s">
        <v>377</v>
      </c>
      <c r="E1056" t="s">
        <v>1758</v>
      </c>
      <c r="F1056" t="s">
        <v>3589</v>
      </c>
      <c r="G1056" t="s">
        <v>7227</v>
      </c>
      <c r="H1056" t="s">
        <v>10771</v>
      </c>
      <c r="I1056" t="s">
        <v>11385</v>
      </c>
      <c r="J1056">
        <v>11212</v>
      </c>
      <c r="K1056" t="s">
        <v>11446</v>
      </c>
      <c r="L1056" t="s">
        <v>11459</v>
      </c>
      <c r="M1056" t="s">
        <v>14745</v>
      </c>
      <c r="N1056" t="s">
        <v>14779</v>
      </c>
      <c r="P1056" t="s">
        <v>14797</v>
      </c>
      <c r="Q1056" t="s">
        <v>11446</v>
      </c>
      <c r="S1056" t="s">
        <v>14827</v>
      </c>
      <c r="T1056" t="s">
        <v>14832</v>
      </c>
      <c r="U1056" t="s">
        <v>618</v>
      </c>
      <c r="V1056">
        <v>594.1799999999999</v>
      </c>
      <c r="W1056" t="s">
        <v>14859</v>
      </c>
      <c r="X1056" t="s">
        <v>14864</v>
      </c>
      <c r="Z1056" t="s">
        <v>15901</v>
      </c>
      <c r="AB1056" t="s">
        <v>20991</v>
      </c>
      <c r="AC1056">
        <v>96</v>
      </c>
      <c r="AD1056" t="s">
        <v>24595</v>
      </c>
      <c r="AE1056" t="s">
        <v>24613</v>
      </c>
      <c r="AF1056">
        <v>35</v>
      </c>
      <c r="AG1056">
        <v>1</v>
      </c>
      <c r="AH1056">
        <v>0</v>
      </c>
      <c r="AI1056">
        <v>80.7</v>
      </c>
      <c r="AL1056" t="s">
        <v>5011</v>
      </c>
      <c r="AM1056">
        <v>10080</v>
      </c>
      <c r="AS1056">
        <v>119.2</v>
      </c>
      <c r="AT1056" t="s">
        <v>509</v>
      </c>
      <c r="AU1056" t="s">
        <v>120</v>
      </c>
      <c r="AV1056" t="s">
        <v>25335</v>
      </c>
      <c r="AW1056" t="s">
        <v>11447</v>
      </c>
    </row>
    <row r="1057" spans="1:49">
      <c r="A1057" s="1">
        <f>HYPERLINK("https://lsnyc.legalserver.org/matter/dynamic-profile/view/1907790","19-1907790")</f>
        <v>0</v>
      </c>
      <c r="B1057" t="s">
        <v>174</v>
      </c>
      <c r="C1057" t="s">
        <v>377</v>
      </c>
      <c r="E1057" t="s">
        <v>1135</v>
      </c>
      <c r="F1057" t="s">
        <v>1119</v>
      </c>
      <c r="G1057" t="s">
        <v>7227</v>
      </c>
      <c r="H1057" t="s">
        <v>10467</v>
      </c>
      <c r="I1057" t="s">
        <v>11385</v>
      </c>
      <c r="J1057">
        <v>11212</v>
      </c>
      <c r="K1057" t="s">
        <v>11446</v>
      </c>
      <c r="L1057" t="s">
        <v>11459</v>
      </c>
      <c r="M1057" t="s">
        <v>14745</v>
      </c>
      <c r="N1057" t="s">
        <v>14779</v>
      </c>
      <c r="P1057" t="s">
        <v>14797</v>
      </c>
      <c r="Q1057" t="s">
        <v>11446</v>
      </c>
      <c r="S1057" t="s">
        <v>14827</v>
      </c>
      <c r="T1057" t="s">
        <v>14832</v>
      </c>
      <c r="U1057" t="s">
        <v>618</v>
      </c>
      <c r="V1057">
        <v>164.4</v>
      </c>
      <c r="W1057" t="s">
        <v>14859</v>
      </c>
      <c r="X1057" t="s">
        <v>14864</v>
      </c>
      <c r="Z1057" t="s">
        <v>15902</v>
      </c>
      <c r="AB1057" t="s">
        <v>20992</v>
      </c>
      <c r="AC1057">
        <v>96</v>
      </c>
      <c r="AD1057" t="s">
        <v>24595</v>
      </c>
      <c r="AE1057" t="s">
        <v>14755</v>
      </c>
      <c r="AF1057">
        <v>10</v>
      </c>
      <c r="AG1057">
        <v>1</v>
      </c>
      <c r="AH1057">
        <v>0</v>
      </c>
      <c r="AI1057">
        <v>93.09999999999999</v>
      </c>
      <c r="AL1057" t="s">
        <v>5011</v>
      </c>
      <c r="AM1057">
        <v>11628</v>
      </c>
      <c r="AS1057">
        <v>0.08</v>
      </c>
      <c r="AT1057" t="s">
        <v>511</v>
      </c>
      <c r="AU1057" t="s">
        <v>120</v>
      </c>
      <c r="AV1057" t="s">
        <v>25335</v>
      </c>
      <c r="AW1057" t="s">
        <v>11447</v>
      </c>
    </row>
    <row r="1058" spans="1:49">
      <c r="A1058" s="1">
        <f>HYPERLINK("https://lsnyc.legalserver.org/matter/dynamic-profile/view/1907797","19-1907797")</f>
        <v>0</v>
      </c>
      <c r="B1058" t="s">
        <v>174</v>
      </c>
      <c r="C1058" t="s">
        <v>377</v>
      </c>
      <c r="E1058" t="s">
        <v>1426</v>
      </c>
      <c r="F1058" t="s">
        <v>4258</v>
      </c>
      <c r="G1058" t="s">
        <v>7227</v>
      </c>
      <c r="H1058" t="s">
        <v>10482</v>
      </c>
      <c r="I1058" t="s">
        <v>11385</v>
      </c>
      <c r="J1058">
        <v>11212</v>
      </c>
      <c r="K1058" t="s">
        <v>11446</v>
      </c>
      <c r="L1058" t="s">
        <v>11459</v>
      </c>
      <c r="M1058" t="s">
        <v>14745</v>
      </c>
      <c r="N1058" t="s">
        <v>14779</v>
      </c>
      <c r="P1058" t="s">
        <v>14797</v>
      </c>
      <c r="Q1058" t="s">
        <v>11446</v>
      </c>
      <c r="S1058" t="s">
        <v>14827</v>
      </c>
      <c r="T1058" t="s">
        <v>14832</v>
      </c>
      <c r="U1058" t="s">
        <v>618</v>
      </c>
      <c r="V1058">
        <v>1050</v>
      </c>
      <c r="W1058" t="s">
        <v>14859</v>
      </c>
      <c r="X1058" t="s">
        <v>14864</v>
      </c>
      <c r="Z1058" t="s">
        <v>15903</v>
      </c>
      <c r="AB1058" t="s">
        <v>20993</v>
      </c>
      <c r="AC1058">
        <v>96</v>
      </c>
      <c r="AD1058" t="s">
        <v>24595</v>
      </c>
      <c r="AE1058" t="s">
        <v>24613</v>
      </c>
      <c r="AF1058">
        <v>30</v>
      </c>
      <c r="AG1058">
        <v>1</v>
      </c>
      <c r="AH1058">
        <v>0</v>
      </c>
      <c r="AI1058">
        <v>168.13</v>
      </c>
      <c r="AL1058" t="s">
        <v>5011</v>
      </c>
      <c r="AM1058">
        <v>21000</v>
      </c>
      <c r="AS1058">
        <v>32.58</v>
      </c>
      <c r="AT1058" t="s">
        <v>516</v>
      </c>
      <c r="AU1058" t="s">
        <v>120</v>
      </c>
      <c r="AV1058" t="s">
        <v>25335</v>
      </c>
      <c r="AW1058" t="s">
        <v>11447</v>
      </c>
    </row>
    <row r="1059" spans="1:49">
      <c r="A1059" s="1">
        <f>HYPERLINK("https://lsnyc.legalserver.org/matter/dynamic-profile/view/1906036","19-1906036")</f>
        <v>0</v>
      </c>
      <c r="B1059" t="s">
        <v>63</v>
      </c>
      <c r="C1059" t="s">
        <v>618</v>
      </c>
      <c r="E1059" t="s">
        <v>1759</v>
      </c>
      <c r="F1059" t="s">
        <v>4259</v>
      </c>
      <c r="G1059" t="s">
        <v>7228</v>
      </c>
      <c r="I1059" t="s">
        <v>11387</v>
      </c>
      <c r="J1059">
        <v>11435</v>
      </c>
      <c r="K1059" t="s">
        <v>11446</v>
      </c>
      <c r="L1059" t="s">
        <v>11784</v>
      </c>
      <c r="M1059" t="s">
        <v>14746</v>
      </c>
      <c r="N1059" t="s">
        <v>14781</v>
      </c>
      <c r="P1059" t="s">
        <v>14797</v>
      </c>
      <c r="Q1059" t="s">
        <v>11448</v>
      </c>
      <c r="S1059" t="s">
        <v>14827</v>
      </c>
      <c r="T1059" t="s">
        <v>14832</v>
      </c>
      <c r="U1059" t="s">
        <v>618</v>
      </c>
      <c r="V1059">
        <v>2010</v>
      </c>
      <c r="W1059" t="s">
        <v>14861</v>
      </c>
      <c r="X1059" t="s">
        <v>14867</v>
      </c>
      <c r="Z1059" t="s">
        <v>15904</v>
      </c>
      <c r="AB1059" t="s">
        <v>20994</v>
      </c>
      <c r="AC1059">
        <v>2</v>
      </c>
      <c r="AD1059" t="s">
        <v>24600</v>
      </c>
      <c r="AE1059" t="s">
        <v>11459</v>
      </c>
      <c r="AF1059">
        <v>-1</v>
      </c>
      <c r="AG1059">
        <v>2</v>
      </c>
      <c r="AH1059">
        <v>3</v>
      </c>
      <c r="AI1059">
        <v>178.99</v>
      </c>
      <c r="AL1059" t="s">
        <v>5011</v>
      </c>
      <c r="AM1059">
        <v>54000</v>
      </c>
      <c r="AP1059" t="s">
        <v>14755</v>
      </c>
      <c r="AS1059">
        <v>6.11</v>
      </c>
      <c r="AT1059" t="s">
        <v>539</v>
      </c>
      <c r="AU1059" t="s">
        <v>63</v>
      </c>
      <c r="AV1059" t="s">
        <v>25335</v>
      </c>
      <c r="AW1059" t="s">
        <v>11447</v>
      </c>
    </row>
    <row r="1060" spans="1:49">
      <c r="A1060" s="1">
        <f>HYPERLINK("https://lsnyc.legalserver.org/matter/dynamic-profile/view/1906710","19-1906710")</f>
        <v>0</v>
      </c>
      <c r="B1060" t="s">
        <v>222</v>
      </c>
      <c r="C1060" t="s">
        <v>620</v>
      </c>
      <c r="E1060" t="s">
        <v>1404</v>
      </c>
      <c r="F1060" t="s">
        <v>4260</v>
      </c>
      <c r="G1060" t="s">
        <v>7223</v>
      </c>
      <c r="H1060" t="s">
        <v>10575</v>
      </c>
      <c r="I1060" t="s">
        <v>11385</v>
      </c>
      <c r="J1060">
        <v>11225</v>
      </c>
      <c r="K1060" t="s">
        <v>11446</v>
      </c>
      <c r="M1060" t="s">
        <v>14762</v>
      </c>
      <c r="N1060" t="s">
        <v>14778</v>
      </c>
      <c r="P1060" t="s">
        <v>14797</v>
      </c>
      <c r="Q1060" t="s">
        <v>11448</v>
      </c>
      <c r="R1060" t="s">
        <v>14820</v>
      </c>
      <c r="S1060" t="s">
        <v>14827</v>
      </c>
      <c r="U1060" t="s">
        <v>618</v>
      </c>
      <c r="V1060">
        <v>1976.11</v>
      </c>
      <c r="W1060" t="s">
        <v>14859</v>
      </c>
      <c r="Z1060" t="s">
        <v>15905</v>
      </c>
      <c r="AB1060" t="s">
        <v>20995</v>
      </c>
      <c r="AC1060">
        <v>11</v>
      </c>
      <c r="AF1060">
        <v>6</v>
      </c>
      <c r="AG1060">
        <v>2</v>
      </c>
      <c r="AH1060">
        <v>1</v>
      </c>
      <c r="AI1060">
        <v>211.25</v>
      </c>
      <c r="AL1060" t="s">
        <v>5011</v>
      </c>
      <c r="AM1060">
        <v>45060</v>
      </c>
      <c r="AS1060">
        <v>1.6</v>
      </c>
      <c r="AT1060" t="s">
        <v>471</v>
      </c>
      <c r="AU1060" t="s">
        <v>75</v>
      </c>
      <c r="AV1060" t="s">
        <v>25335</v>
      </c>
      <c r="AW1060" t="s">
        <v>11447</v>
      </c>
    </row>
    <row r="1061" spans="1:49">
      <c r="A1061" s="1">
        <f>HYPERLINK("https://lsnyc.legalserver.org/matter/dynamic-profile/view/1906759","19-1906759")</f>
        <v>0</v>
      </c>
      <c r="B1061" t="s">
        <v>222</v>
      </c>
      <c r="C1061" t="s">
        <v>620</v>
      </c>
      <c r="E1061" t="s">
        <v>1760</v>
      </c>
      <c r="F1061" t="s">
        <v>4261</v>
      </c>
      <c r="G1061" t="s">
        <v>7223</v>
      </c>
      <c r="I1061" t="s">
        <v>11385</v>
      </c>
      <c r="J1061">
        <v>11225</v>
      </c>
      <c r="K1061" t="s">
        <v>11446</v>
      </c>
      <c r="M1061" t="s">
        <v>14748</v>
      </c>
      <c r="N1061" t="s">
        <v>14780</v>
      </c>
      <c r="P1061" t="s">
        <v>14797</v>
      </c>
      <c r="R1061" t="s">
        <v>14820</v>
      </c>
      <c r="S1061" t="s">
        <v>14827</v>
      </c>
      <c r="U1061" t="s">
        <v>618</v>
      </c>
      <c r="V1061">
        <v>1976.11</v>
      </c>
      <c r="W1061" t="s">
        <v>14859</v>
      </c>
      <c r="Z1061" t="s">
        <v>15906</v>
      </c>
      <c r="AC1061">
        <v>11</v>
      </c>
      <c r="AF1061">
        <v>6</v>
      </c>
      <c r="AG1061">
        <v>2</v>
      </c>
      <c r="AH1061">
        <v>1</v>
      </c>
      <c r="AI1061">
        <v>211.25</v>
      </c>
      <c r="AL1061" t="s">
        <v>5011</v>
      </c>
      <c r="AM1061">
        <v>45060</v>
      </c>
      <c r="AS1061">
        <v>0.1</v>
      </c>
      <c r="AT1061" t="s">
        <v>458</v>
      </c>
      <c r="AU1061" t="s">
        <v>75</v>
      </c>
      <c r="AV1061" t="s">
        <v>25335</v>
      </c>
      <c r="AW1061" t="s">
        <v>11447</v>
      </c>
    </row>
    <row r="1062" spans="1:49">
      <c r="A1062" s="1">
        <f>HYPERLINK("https://lsnyc.legalserver.org/matter/dynamic-profile/view/1906136","19-1906136")</f>
        <v>0</v>
      </c>
      <c r="B1062" t="s">
        <v>213</v>
      </c>
      <c r="C1062" t="s">
        <v>618</v>
      </c>
      <c r="E1062" t="s">
        <v>1761</v>
      </c>
      <c r="F1062" t="s">
        <v>4262</v>
      </c>
      <c r="G1062" t="s">
        <v>7229</v>
      </c>
      <c r="H1062" t="s">
        <v>10627</v>
      </c>
      <c r="I1062" t="s">
        <v>11385</v>
      </c>
      <c r="J1062">
        <v>11216</v>
      </c>
      <c r="K1062" t="s">
        <v>11446</v>
      </c>
      <c r="L1062" t="s">
        <v>11785</v>
      </c>
      <c r="M1062" t="s">
        <v>14763</v>
      </c>
      <c r="N1062" t="s">
        <v>14781</v>
      </c>
      <c r="P1062" t="s">
        <v>14797</v>
      </c>
      <c r="Q1062" t="s">
        <v>11446</v>
      </c>
      <c r="S1062" t="s">
        <v>14827</v>
      </c>
      <c r="T1062" t="s">
        <v>14832</v>
      </c>
      <c r="U1062" t="s">
        <v>618</v>
      </c>
      <c r="V1062">
        <v>1550</v>
      </c>
      <c r="W1062" t="s">
        <v>14859</v>
      </c>
      <c r="X1062" t="s">
        <v>14876</v>
      </c>
      <c r="Z1062" t="s">
        <v>15907</v>
      </c>
      <c r="AA1062" t="s">
        <v>11459</v>
      </c>
      <c r="AB1062" t="s">
        <v>20996</v>
      </c>
      <c r="AC1062">
        <v>82</v>
      </c>
      <c r="AD1062" t="s">
        <v>24595</v>
      </c>
      <c r="AE1062" t="s">
        <v>11459</v>
      </c>
      <c r="AF1062">
        <v>1</v>
      </c>
      <c r="AG1062">
        <v>2</v>
      </c>
      <c r="AH1062">
        <v>0</v>
      </c>
      <c r="AI1062">
        <v>236.55</v>
      </c>
      <c r="AJ1062" t="s">
        <v>491</v>
      </c>
      <c r="AK1062" t="s">
        <v>24629</v>
      </c>
      <c r="AL1062" t="s">
        <v>5011</v>
      </c>
      <c r="AM1062">
        <v>40000</v>
      </c>
      <c r="AS1062">
        <v>0</v>
      </c>
      <c r="AU1062" t="s">
        <v>66</v>
      </c>
      <c r="AV1062" t="s">
        <v>25335</v>
      </c>
      <c r="AW1062" t="s">
        <v>11447</v>
      </c>
    </row>
    <row r="1063" spans="1:49">
      <c r="A1063" s="1">
        <f>HYPERLINK("https://lsnyc.legalserver.org/matter/dynamic-profile/view/1906138","19-1906138")</f>
        <v>0</v>
      </c>
      <c r="B1063" t="s">
        <v>213</v>
      </c>
      <c r="C1063" t="s">
        <v>618</v>
      </c>
      <c r="E1063" t="s">
        <v>1761</v>
      </c>
      <c r="F1063" t="s">
        <v>4262</v>
      </c>
      <c r="G1063" t="s">
        <v>7229</v>
      </c>
      <c r="H1063" t="s">
        <v>10627</v>
      </c>
      <c r="I1063" t="s">
        <v>11385</v>
      </c>
      <c r="J1063">
        <v>11216</v>
      </c>
      <c r="K1063" t="s">
        <v>11446</v>
      </c>
      <c r="L1063" t="s">
        <v>11601</v>
      </c>
      <c r="M1063" t="s">
        <v>11601</v>
      </c>
      <c r="N1063" t="s">
        <v>14779</v>
      </c>
      <c r="P1063" t="s">
        <v>14797</v>
      </c>
      <c r="Q1063" t="s">
        <v>11446</v>
      </c>
      <c r="S1063" t="s">
        <v>14827</v>
      </c>
      <c r="T1063" t="s">
        <v>14832</v>
      </c>
      <c r="U1063" t="s">
        <v>618</v>
      </c>
      <c r="V1063">
        <v>0</v>
      </c>
      <c r="W1063" t="s">
        <v>14859</v>
      </c>
      <c r="X1063" t="s">
        <v>14876</v>
      </c>
      <c r="Z1063" t="s">
        <v>15907</v>
      </c>
      <c r="AA1063" t="s">
        <v>11465</v>
      </c>
      <c r="AB1063" t="s">
        <v>20996</v>
      </c>
      <c r="AC1063">
        <v>82</v>
      </c>
      <c r="AD1063" t="s">
        <v>24595</v>
      </c>
      <c r="AE1063" t="s">
        <v>11459</v>
      </c>
      <c r="AF1063">
        <v>1</v>
      </c>
      <c r="AG1063">
        <v>2</v>
      </c>
      <c r="AH1063">
        <v>0</v>
      </c>
      <c r="AI1063">
        <v>236.55</v>
      </c>
      <c r="AK1063" t="s">
        <v>24629</v>
      </c>
      <c r="AL1063" t="s">
        <v>5011</v>
      </c>
      <c r="AM1063">
        <v>40000</v>
      </c>
      <c r="AS1063">
        <v>0</v>
      </c>
      <c r="AU1063" t="s">
        <v>66</v>
      </c>
      <c r="AV1063" t="s">
        <v>25335</v>
      </c>
      <c r="AW1063" t="s">
        <v>11447</v>
      </c>
    </row>
    <row r="1064" spans="1:49">
      <c r="A1064" s="1">
        <f>HYPERLINK("https://lsnyc.legalserver.org/matter/dynamic-profile/view/1906090","19-1906090")</f>
        <v>0</v>
      </c>
      <c r="B1064" t="s">
        <v>222</v>
      </c>
      <c r="C1064" t="s">
        <v>618</v>
      </c>
      <c r="E1064" t="s">
        <v>1744</v>
      </c>
      <c r="F1064" t="s">
        <v>4245</v>
      </c>
      <c r="G1064" t="s">
        <v>7230</v>
      </c>
      <c r="H1064">
        <v>8</v>
      </c>
      <c r="I1064" t="s">
        <v>11385</v>
      </c>
      <c r="J1064">
        <v>11218</v>
      </c>
      <c r="K1064" t="s">
        <v>11446</v>
      </c>
      <c r="N1064" t="s">
        <v>14781</v>
      </c>
      <c r="P1064" t="s">
        <v>14797</v>
      </c>
      <c r="Q1064" t="s">
        <v>11448</v>
      </c>
      <c r="S1064" t="s">
        <v>14827</v>
      </c>
      <c r="U1064" t="s">
        <v>618</v>
      </c>
      <c r="V1064">
        <v>1615</v>
      </c>
      <c r="W1064" t="s">
        <v>14859</v>
      </c>
      <c r="X1064" t="s">
        <v>14865</v>
      </c>
      <c r="Z1064" t="s">
        <v>15877</v>
      </c>
      <c r="AB1064" t="s">
        <v>20997</v>
      </c>
      <c r="AC1064">
        <v>42</v>
      </c>
      <c r="AD1064" t="s">
        <v>24595</v>
      </c>
      <c r="AF1064">
        <v>3</v>
      </c>
      <c r="AG1064">
        <v>1</v>
      </c>
      <c r="AH1064">
        <v>0</v>
      </c>
      <c r="AI1064">
        <v>240.19</v>
      </c>
      <c r="AJ1064" t="s">
        <v>619</v>
      </c>
      <c r="AK1064" t="s">
        <v>24629</v>
      </c>
      <c r="AL1064" t="s">
        <v>5011</v>
      </c>
      <c r="AM1064">
        <v>30000</v>
      </c>
      <c r="AS1064">
        <v>3.1</v>
      </c>
      <c r="AT1064" t="s">
        <v>580</v>
      </c>
      <c r="AU1064" t="s">
        <v>75</v>
      </c>
      <c r="AV1064" t="s">
        <v>25335</v>
      </c>
      <c r="AW1064" t="s">
        <v>11447</v>
      </c>
    </row>
    <row r="1065" spans="1:49">
      <c r="A1065" s="1">
        <f>HYPERLINK("https://lsnyc.legalserver.org/matter/dynamic-profile/view/1907792","19-1907792")</f>
        <v>0</v>
      </c>
      <c r="B1065" t="s">
        <v>174</v>
      </c>
      <c r="C1065" t="s">
        <v>377</v>
      </c>
      <c r="E1065" t="s">
        <v>1762</v>
      </c>
      <c r="F1065" t="s">
        <v>4012</v>
      </c>
      <c r="G1065" t="s">
        <v>7227</v>
      </c>
      <c r="H1065" t="s">
        <v>10485</v>
      </c>
      <c r="I1065" t="s">
        <v>11385</v>
      </c>
      <c r="J1065">
        <v>11212</v>
      </c>
      <c r="K1065" t="s">
        <v>11446</v>
      </c>
      <c r="L1065" t="s">
        <v>11459</v>
      </c>
      <c r="M1065" t="s">
        <v>14745</v>
      </c>
      <c r="N1065" t="s">
        <v>14779</v>
      </c>
      <c r="P1065" t="s">
        <v>14797</v>
      </c>
      <c r="Q1065" t="s">
        <v>11446</v>
      </c>
      <c r="S1065" t="s">
        <v>14827</v>
      </c>
      <c r="T1065" t="s">
        <v>14832</v>
      </c>
      <c r="U1065" t="s">
        <v>618</v>
      </c>
      <c r="V1065">
        <v>250</v>
      </c>
      <c r="W1065" t="s">
        <v>14859</v>
      </c>
      <c r="X1065" t="s">
        <v>14864</v>
      </c>
      <c r="Z1065" t="s">
        <v>15908</v>
      </c>
      <c r="AB1065" t="s">
        <v>20998</v>
      </c>
      <c r="AC1065">
        <v>96</v>
      </c>
      <c r="AD1065" t="s">
        <v>24595</v>
      </c>
      <c r="AE1065" t="s">
        <v>14755</v>
      </c>
      <c r="AF1065">
        <v>2</v>
      </c>
      <c r="AG1065">
        <v>1</v>
      </c>
      <c r="AH1065">
        <v>0</v>
      </c>
      <c r="AI1065">
        <v>264.21</v>
      </c>
      <c r="AL1065" t="s">
        <v>5011</v>
      </c>
      <c r="AM1065">
        <v>33000</v>
      </c>
      <c r="AS1065">
        <v>0.75</v>
      </c>
      <c r="AT1065" t="s">
        <v>511</v>
      </c>
      <c r="AU1065" t="s">
        <v>120</v>
      </c>
      <c r="AV1065" t="s">
        <v>25335</v>
      </c>
      <c r="AW1065" t="s">
        <v>11447</v>
      </c>
    </row>
    <row r="1066" spans="1:49">
      <c r="A1066" s="1">
        <f>HYPERLINK("https://lsnyc.legalserver.org/matter/dynamic-profile/view/1905514","19-1905514")</f>
        <v>0</v>
      </c>
      <c r="B1066" t="s">
        <v>59</v>
      </c>
      <c r="C1066" t="s">
        <v>520</v>
      </c>
      <c r="E1066" t="s">
        <v>1763</v>
      </c>
      <c r="F1066" t="s">
        <v>4263</v>
      </c>
      <c r="G1066" t="s">
        <v>7231</v>
      </c>
      <c r="H1066" t="s">
        <v>10648</v>
      </c>
      <c r="I1066" t="s">
        <v>6196</v>
      </c>
      <c r="J1066">
        <v>11423</v>
      </c>
      <c r="K1066" t="s">
        <v>11446</v>
      </c>
      <c r="L1066" t="s">
        <v>11786</v>
      </c>
      <c r="M1066" t="s">
        <v>14743</v>
      </c>
      <c r="N1066" t="s">
        <v>14781</v>
      </c>
      <c r="P1066" t="s">
        <v>14797</v>
      </c>
      <c r="Q1066" t="s">
        <v>11448</v>
      </c>
      <c r="S1066" t="s">
        <v>14827</v>
      </c>
      <c r="T1066" t="s">
        <v>14832</v>
      </c>
      <c r="U1066" t="s">
        <v>553</v>
      </c>
      <c r="V1066">
        <v>1900</v>
      </c>
      <c r="W1066" t="s">
        <v>14861</v>
      </c>
      <c r="X1066" t="s">
        <v>14868</v>
      </c>
      <c r="Z1066" t="s">
        <v>15909</v>
      </c>
      <c r="AB1066" t="s">
        <v>20999</v>
      </c>
      <c r="AC1066">
        <v>2</v>
      </c>
      <c r="AD1066" t="s">
        <v>24600</v>
      </c>
      <c r="AE1066" t="s">
        <v>11459</v>
      </c>
      <c r="AF1066">
        <v>1</v>
      </c>
      <c r="AG1066">
        <v>1</v>
      </c>
      <c r="AH1066">
        <v>1</v>
      </c>
      <c r="AI1066">
        <v>28.39</v>
      </c>
      <c r="AL1066" t="s">
        <v>24647</v>
      </c>
      <c r="AM1066">
        <v>4800</v>
      </c>
      <c r="AO1066" t="s">
        <v>24935</v>
      </c>
      <c r="AP1066" t="s">
        <v>14755</v>
      </c>
      <c r="AQ1066" t="s">
        <v>24987</v>
      </c>
      <c r="AR1066" t="s">
        <v>25031</v>
      </c>
      <c r="AS1066">
        <v>27.16</v>
      </c>
      <c r="AT1066" t="s">
        <v>483</v>
      </c>
      <c r="AU1066" t="s">
        <v>59</v>
      </c>
      <c r="AV1066" t="s">
        <v>25335</v>
      </c>
      <c r="AW1066" t="s">
        <v>11447</v>
      </c>
    </row>
    <row r="1067" spans="1:49">
      <c r="A1067" s="1">
        <f>HYPERLINK("https://lsnyc.legalserver.org/matter/dynamic-profile/view/1906232","19-1906232")</f>
        <v>0</v>
      </c>
      <c r="B1067" t="s">
        <v>216</v>
      </c>
      <c r="C1067" t="s">
        <v>553</v>
      </c>
      <c r="E1067" t="s">
        <v>1764</v>
      </c>
      <c r="F1067" t="s">
        <v>4264</v>
      </c>
      <c r="G1067" t="s">
        <v>7232</v>
      </c>
      <c r="H1067" t="s">
        <v>10562</v>
      </c>
      <c r="I1067" t="s">
        <v>11386</v>
      </c>
      <c r="J1067">
        <v>10040</v>
      </c>
      <c r="K1067" t="s">
        <v>11446</v>
      </c>
      <c r="N1067" t="s">
        <v>14782</v>
      </c>
      <c r="P1067" t="s">
        <v>14797</v>
      </c>
      <c r="Q1067" t="s">
        <v>11448</v>
      </c>
      <c r="S1067" t="s">
        <v>14827</v>
      </c>
      <c r="U1067" t="s">
        <v>553</v>
      </c>
      <c r="V1067">
        <v>1372.65</v>
      </c>
      <c r="W1067" t="s">
        <v>14860</v>
      </c>
      <c r="X1067" t="s">
        <v>14867</v>
      </c>
      <c r="Z1067" t="s">
        <v>15910</v>
      </c>
      <c r="AC1067">
        <v>75</v>
      </c>
      <c r="AD1067" t="s">
        <v>24595</v>
      </c>
      <c r="AE1067" t="s">
        <v>11459</v>
      </c>
      <c r="AF1067">
        <v>11</v>
      </c>
      <c r="AG1067">
        <v>1</v>
      </c>
      <c r="AH1067">
        <v>0</v>
      </c>
      <c r="AI1067">
        <v>72.63</v>
      </c>
      <c r="AL1067" t="s">
        <v>5011</v>
      </c>
      <c r="AM1067">
        <v>9072</v>
      </c>
      <c r="AS1067">
        <v>0.4</v>
      </c>
      <c r="AT1067" t="s">
        <v>486</v>
      </c>
      <c r="AU1067" t="s">
        <v>137</v>
      </c>
      <c r="AV1067" t="s">
        <v>25335</v>
      </c>
      <c r="AW1067" t="s">
        <v>11447</v>
      </c>
    </row>
    <row r="1068" spans="1:49">
      <c r="A1068" s="1">
        <f>HYPERLINK("https://lsnyc.legalserver.org/matter/dynamic-profile/view/1909226","19-1909226")</f>
        <v>0</v>
      </c>
      <c r="B1068" t="s">
        <v>214</v>
      </c>
      <c r="C1068" t="s">
        <v>462</v>
      </c>
      <c r="E1068" t="s">
        <v>1523</v>
      </c>
      <c r="F1068" t="s">
        <v>4023</v>
      </c>
      <c r="G1068" t="s">
        <v>6906</v>
      </c>
      <c r="H1068" t="s">
        <v>10690</v>
      </c>
      <c r="I1068" t="s">
        <v>11385</v>
      </c>
      <c r="J1068">
        <v>11233</v>
      </c>
      <c r="K1068" t="s">
        <v>11446</v>
      </c>
      <c r="L1068" t="s">
        <v>11787</v>
      </c>
      <c r="M1068" t="s">
        <v>14744</v>
      </c>
      <c r="N1068" t="s">
        <v>14781</v>
      </c>
      <c r="P1068" t="s">
        <v>14797</v>
      </c>
      <c r="Q1068" t="s">
        <v>11448</v>
      </c>
      <c r="S1068" t="s">
        <v>14827</v>
      </c>
      <c r="T1068" t="s">
        <v>14832</v>
      </c>
      <c r="U1068" t="s">
        <v>553</v>
      </c>
      <c r="V1068">
        <v>2300</v>
      </c>
      <c r="W1068" t="s">
        <v>14859</v>
      </c>
      <c r="X1068" t="s">
        <v>14868</v>
      </c>
      <c r="Z1068" t="s">
        <v>15537</v>
      </c>
      <c r="AA1068" t="s">
        <v>11459</v>
      </c>
      <c r="AB1068" t="s">
        <v>20655</v>
      </c>
      <c r="AC1068">
        <v>3</v>
      </c>
      <c r="AD1068" t="s">
        <v>24595</v>
      </c>
      <c r="AE1068" t="s">
        <v>24617</v>
      </c>
      <c r="AF1068">
        <v>4</v>
      </c>
      <c r="AG1068">
        <v>3</v>
      </c>
      <c r="AH1068">
        <v>3</v>
      </c>
      <c r="AI1068">
        <v>75.17</v>
      </c>
      <c r="AL1068" t="s">
        <v>5011</v>
      </c>
      <c r="AM1068">
        <v>26000</v>
      </c>
      <c r="AS1068">
        <v>3.4</v>
      </c>
      <c r="AT1068" t="s">
        <v>470</v>
      </c>
      <c r="AU1068" t="s">
        <v>66</v>
      </c>
      <c r="AV1068" t="s">
        <v>25335</v>
      </c>
      <c r="AW1068" t="s">
        <v>11447</v>
      </c>
    </row>
    <row r="1069" spans="1:49">
      <c r="A1069" s="1">
        <f>HYPERLINK("https://lsnyc.legalserver.org/matter/dynamic-profile/view/1905779","19-1905779")</f>
        <v>0</v>
      </c>
      <c r="B1069" t="s">
        <v>122</v>
      </c>
      <c r="C1069" t="s">
        <v>496</v>
      </c>
      <c r="E1069" t="s">
        <v>1399</v>
      </c>
      <c r="F1069" t="s">
        <v>4265</v>
      </c>
      <c r="G1069" t="s">
        <v>7233</v>
      </c>
      <c r="H1069" t="s">
        <v>10772</v>
      </c>
      <c r="I1069" t="s">
        <v>11391</v>
      </c>
      <c r="J1069">
        <v>11691</v>
      </c>
      <c r="K1069" t="s">
        <v>11446</v>
      </c>
      <c r="L1069" t="s">
        <v>11788</v>
      </c>
      <c r="M1069" t="s">
        <v>14743</v>
      </c>
      <c r="N1069" t="s">
        <v>14781</v>
      </c>
      <c r="P1069" t="s">
        <v>14797</v>
      </c>
      <c r="Q1069" t="s">
        <v>11448</v>
      </c>
      <c r="S1069" t="s">
        <v>14827</v>
      </c>
      <c r="T1069" t="s">
        <v>14836</v>
      </c>
      <c r="U1069" t="s">
        <v>553</v>
      </c>
      <c r="V1069">
        <v>1400</v>
      </c>
      <c r="W1069" t="s">
        <v>14861</v>
      </c>
      <c r="X1069" t="s">
        <v>14873</v>
      </c>
      <c r="Z1069" t="s">
        <v>15911</v>
      </c>
      <c r="AB1069" t="s">
        <v>21000</v>
      </c>
      <c r="AC1069">
        <v>462</v>
      </c>
      <c r="AD1069" t="s">
        <v>24601</v>
      </c>
      <c r="AE1069" t="s">
        <v>24610</v>
      </c>
      <c r="AF1069">
        <v>35</v>
      </c>
      <c r="AG1069">
        <v>1</v>
      </c>
      <c r="AH1069">
        <v>0</v>
      </c>
      <c r="AI1069">
        <v>78.78</v>
      </c>
      <c r="AL1069" t="s">
        <v>5011</v>
      </c>
      <c r="AM1069">
        <v>9840</v>
      </c>
      <c r="AP1069" t="s">
        <v>24942</v>
      </c>
      <c r="AS1069">
        <v>26.91</v>
      </c>
      <c r="AT1069" t="s">
        <v>490</v>
      </c>
      <c r="AU1069" t="s">
        <v>63</v>
      </c>
      <c r="AV1069" t="s">
        <v>25335</v>
      </c>
      <c r="AW1069" t="s">
        <v>11447</v>
      </c>
    </row>
    <row r="1070" spans="1:49">
      <c r="A1070" s="1">
        <f>HYPERLINK("https://lsnyc.legalserver.org/matter/dynamic-profile/view/1906180","19-1906180")</f>
        <v>0</v>
      </c>
      <c r="B1070" t="s">
        <v>144</v>
      </c>
      <c r="C1070" t="s">
        <v>553</v>
      </c>
      <c r="E1070" t="s">
        <v>1381</v>
      </c>
      <c r="F1070" t="s">
        <v>4266</v>
      </c>
      <c r="G1070" t="s">
        <v>7234</v>
      </c>
      <c r="I1070" t="s">
        <v>11387</v>
      </c>
      <c r="J1070">
        <v>11435</v>
      </c>
      <c r="K1070" t="s">
        <v>11446</v>
      </c>
      <c r="L1070" t="s">
        <v>11789</v>
      </c>
      <c r="M1070" t="s">
        <v>14743</v>
      </c>
      <c r="N1070" t="s">
        <v>14778</v>
      </c>
      <c r="P1070" t="s">
        <v>14797</v>
      </c>
      <c r="Q1070" t="s">
        <v>11448</v>
      </c>
      <c r="S1070" t="s">
        <v>14827</v>
      </c>
      <c r="T1070" t="s">
        <v>14832</v>
      </c>
      <c r="U1070" t="s">
        <v>553</v>
      </c>
      <c r="V1070">
        <v>3100</v>
      </c>
      <c r="W1070" t="s">
        <v>14861</v>
      </c>
      <c r="X1070" t="s">
        <v>14865</v>
      </c>
      <c r="Z1070" t="s">
        <v>15912</v>
      </c>
      <c r="AB1070" t="s">
        <v>21001</v>
      </c>
      <c r="AC1070">
        <v>1</v>
      </c>
      <c r="AD1070" t="s">
        <v>11479</v>
      </c>
      <c r="AE1070" t="s">
        <v>11459</v>
      </c>
      <c r="AF1070">
        <v>-1</v>
      </c>
      <c r="AG1070">
        <v>4</v>
      </c>
      <c r="AH1070">
        <v>3</v>
      </c>
      <c r="AI1070">
        <v>97.26000000000001</v>
      </c>
      <c r="AL1070" t="s">
        <v>5011</v>
      </c>
      <c r="AM1070">
        <v>37940</v>
      </c>
      <c r="AS1070">
        <v>1.4</v>
      </c>
      <c r="AT1070" t="s">
        <v>767</v>
      </c>
      <c r="AU1070" t="s">
        <v>292</v>
      </c>
      <c r="AV1070" t="s">
        <v>25335</v>
      </c>
      <c r="AW1070" t="s">
        <v>11447</v>
      </c>
    </row>
    <row r="1071" spans="1:49">
      <c r="A1071" s="1">
        <f>HYPERLINK("https://lsnyc.legalserver.org/matter/dynamic-profile/view/1906222","19-1906222")</f>
        <v>0</v>
      </c>
      <c r="B1071" t="s">
        <v>216</v>
      </c>
      <c r="C1071" t="s">
        <v>553</v>
      </c>
      <c r="E1071" t="s">
        <v>1765</v>
      </c>
      <c r="F1071" t="s">
        <v>4267</v>
      </c>
      <c r="G1071" t="s">
        <v>7235</v>
      </c>
      <c r="H1071" t="s">
        <v>10773</v>
      </c>
      <c r="I1071" t="s">
        <v>11386</v>
      </c>
      <c r="J1071">
        <v>10040</v>
      </c>
      <c r="K1071" t="s">
        <v>11446</v>
      </c>
      <c r="N1071" t="s">
        <v>14782</v>
      </c>
      <c r="P1071" t="s">
        <v>14797</v>
      </c>
      <c r="Q1071" t="s">
        <v>11448</v>
      </c>
      <c r="S1071" t="s">
        <v>14827</v>
      </c>
      <c r="U1071" t="s">
        <v>553</v>
      </c>
      <c r="V1071">
        <v>1197</v>
      </c>
      <c r="W1071" t="s">
        <v>14860</v>
      </c>
      <c r="X1071" t="s">
        <v>14867</v>
      </c>
      <c r="Z1071" t="s">
        <v>15913</v>
      </c>
      <c r="AB1071" t="s">
        <v>21002</v>
      </c>
      <c r="AC1071">
        <v>73</v>
      </c>
      <c r="AD1071" t="s">
        <v>24595</v>
      </c>
      <c r="AE1071" t="s">
        <v>11459</v>
      </c>
      <c r="AF1071">
        <v>40</v>
      </c>
      <c r="AG1071">
        <v>1</v>
      </c>
      <c r="AH1071">
        <v>0</v>
      </c>
      <c r="AI1071">
        <v>115.29</v>
      </c>
      <c r="AL1071" t="s">
        <v>5011</v>
      </c>
      <c r="AM1071">
        <v>14400</v>
      </c>
      <c r="AS1071">
        <v>1</v>
      </c>
      <c r="AT1071" t="s">
        <v>372</v>
      </c>
      <c r="AU1071" t="s">
        <v>137</v>
      </c>
      <c r="AV1071" t="s">
        <v>25335</v>
      </c>
      <c r="AW1071" t="s">
        <v>11447</v>
      </c>
    </row>
    <row r="1072" spans="1:49">
      <c r="A1072" s="1">
        <f>HYPERLINK("https://lsnyc.legalserver.org/matter/dynamic-profile/view/1898066","19-1898066")</f>
        <v>0</v>
      </c>
      <c r="B1072" t="s">
        <v>108</v>
      </c>
      <c r="C1072" t="s">
        <v>553</v>
      </c>
      <c r="E1072" t="s">
        <v>1452</v>
      </c>
      <c r="F1072" t="s">
        <v>4037</v>
      </c>
      <c r="G1072" t="s">
        <v>7236</v>
      </c>
      <c r="H1072">
        <v>15</v>
      </c>
      <c r="I1072" t="s">
        <v>11385</v>
      </c>
      <c r="J1072">
        <v>11226</v>
      </c>
      <c r="K1072" t="s">
        <v>11446</v>
      </c>
      <c r="M1072" t="s">
        <v>14746</v>
      </c>
      <c r="N1072" t="s">
        <v>14781</v>
      </c>
      <c r="P1072" t="s">
        <v>14797</v>
      </c>
      <c r="Q1072" t="s">
        <v>11446</v>
      </c>
      <c r="S1072" t="s">
        <v>14827</v>
      </c>
      <c r="U1072" t="s">
        <v>553</v>
      </c>
      <c r="V1072">
        <v>717</v>
      </c>
      <c r="W1072" t="s">
        <v>14859</v>
      </c>
      <c r="Z1072" t="s">
        <v>15914</v>
      </c>
      <c r="AB1072" t="s">
        <v>21003</v>
      </c>
      <c r="AC1072">
        <v>16</v>
      </c>
      <c r="AF1072">
        <v>14</v>
      </c>
      <c r="AG1072">
        <v>3</v>
      </c>
      <c r="AH1072">
        <v>0</v>
      </c>
      <c r="AI1072">
        <v>328.18</v>
      </c>
      <c r="AJ1072" t="s">
        <v>551</v>
      </c>
      <c r="AK1072" t="s">
        <v>24629</v>
      </c>
      <c r="AL1072" t="s">
        <v>5011</v>
      </c>
      <c r="AM1072">
        <v>70000</v>
      </c>
      <c r="AS1072">
        <v>0</v>
      </c>
      <c r="AU1072" t="s">
        <v>75</v>
      </c>
      <c r="AV1072" t="s">
        <v>25335</v>
      </c>
      <c r="AW1072" t="s">
        <v>11447</v>
      </c>
    </row>
    <row r="1073" spans="1:49">
      <c r="A1073" s="1">
        <f>HYPERLINK("https://lsnyc.legalserver.org/matter/dynamic-profile/view/1906210","19-1906210")</f>
        <v>0</v>
      </c>
      <c r="B1073" t="s">
        <v>63</v>
      </c>
      <c r="C1073" t="s">
        <v>553</v>
      </c>
      <c r="E1073" t="s">
        <v>1245</v>
      </c>
      <c r="F1073" t="s">
        <v>4268</v>
      </c>
      <c r="G1073" t="s">
        <v>7237</v>
      </c>
      <c r="H1073" t="s">
        <v>10774</v>
      </c>
      <c r="I1073" t="s">
        <v>11389</v>
      </c>
      <c r="J1073">
        <v>11354</v>
      </c>
      <c r="K1073" t="s">
        <v>11446</v>
      </c>
      <c r="L1073" t="s">
        <v>11790</v>
      </c>
      <c r="M1073" t="s">
        <v>14762</v>
      </c>
      <c r="N1073" t="s">
        <v>14783</v>
      </c>
      <c r="P1073" t="s">
        <v>14797</v>
      </c>
      <c r="Q1073" t="s">
        <v>11446</v>
      </c>
      <c r="S1073" t="s">
        <v>14827</v>
      </c>
      <c r="T1073" t="s">
        <v>14832</v>
      </c>
      <c r="U1073" t="s">
        <v>553</v>
      </c>
      <c r="V1073">
        <v>1808</v>
      </c>
      <c r="W1073" t="s">
        <v>14861</v>
      </c>
      <c r="X1073" t="s">
        <v>14879</v>
      </c>
      <c r="Z1073" t="s">
        <v>15915</v>
      </c>
      <c r="AB1073" t="s">
        <v>21004</v>
      </c>
      <c r="AC1073">
        <v>91</v>
      </c>
      <c r="AD1073" t="s">
        <v>24595</v>
      </c>
      <c r="AE1073" t="s">
        <v>11459</v>
      </c>
      <c r="AF1073">
        <v>5</v>
      </c>
      <c r="AG1073">
        <v>1</v>
      </c>
      <c r="AH1073">
        <v>1</v>
      </c>
      <c r="AI1073">
        <v>392.67</v>
      </c>
      <c r="AJ1073" t="s">
        <v>491</v>
      </c>
      <c r="AK1073" t="s">
        <v>24629</v>
      </c>
      <c r="AL1073" t="s">
        <v>5011</v>
      </c>
      <c r="AM1073">
        <v>66400</v>
      </c>
      <c r="AP1073" t="s">
        <v>14755</v>
      </c>
      <c r="AS1073">
        <v>0.4</v>
      </c>
      <c r="AT1073" t="s">
        <v>485</v>
      </c>
      <c r="AU1073" t="s">
        <v>292</v>
      </c>
      <c r="AV1073" t="s">
        <v>25335</v>
      </c>
      <c r="AW1073" t="s">
        <v>11447</v>
      </c>
    </row>
    <row r="1074" spans="1:49">
      <c r="A1074" s="1">
        <f>HYPERLINK("https://lsnyc.legalserver.org/matter/dynamic-profile/view/1906208","19-1906208")</f>
        <v>0</v>
      </c>
      <c r="B1074" t="s">
        <v>216</v>
      </c>
      <c r="C1074" t="s">
        <v>553</v>
      </c>
      <c r="E1074" t="s">
        <v>1426</v>
      </c>
      <c r="F1074" t="s">
        <v>4269</v>
      </c>
      <c r="G1074" t="s">
        <v>7238</v>
      </c>
      <c r="H1074" t="s">
        <v>10775</v>
      </c>
      <c r="I1074" t="s">
        <v>11386</v>
      </c>
      <c r="J1074">
        <v>10024</v>
      </c>
      <c r="K1074" t="s">
        <v>11446</v>
      </c>
      <c r="N1074" t="s">
        <v>14778</v>
      </c>
      <c r="P1074" t="s">
        <v>14797</v>
      </c>
      <c r="Q1074" t="s">
        <v>11448</v>
      </c>
      <c r="R1074" t="s">
        <v>14813</v>
      </c>
      <c r="S1074" t="s">
        <v>14827</v>
      </c>
      <c r="U1074" t="s">
        <v>553</v>
      </c>
      <c r="V1074">
        <v>3039.5</v>
      </c>
      <c r="W1074" t="s">
        <v>14860</v>
      </c>
      <c r="X1074" t="s">
        <v>14867</v>
      </c>
      <c r="Z1074" t="s">
        <v>15916</v>
      </c>
      <c r="AB1074" t="s">
        <v>21005</v>
      </c>
      <c r="AC1074">
        <v>249</v>
      </c>
      <c r="AD1074" t="s">
        <v>24595</v>
      </c>
      <c r="AE1074" t="s">
        <v>11459</v>
      </c>
      <c r="AF1074">
        <v>20</v>
      </c>
      <c r="AG1074">
        <v>3</v>
      </c>
      <c r="AH1074">
        <v>0</v>
      </c>
      <c r="AI1074">
        <v>482.89</v>
      </c>
      <c r="AL1074" t="s">
        <v>5011</v>
      </c>
      <c r="AM1074">
        <v>103000</v>
      </c>
      <c r="AS1074">
        <v>3.5</v>
      </c>
      <c r="AT1074" t="s">
        <v>641</v>
      </c>
      <c r="AU1074" t="s">
        <v>137</v>
      </c>
      <c r="AV1074" t="s">
        <v>25335</v>
      </c>
      <c r="AW1074" t="s">
        <v>11447</v>
      </c>
    </row>
    <row r="1075" spans="1:49">
      <c r="A1075" s="1">
        <f>HYPERLINK("https://lsnyc.legalserver.org/matter/dynamic-profile/view/1906006","19-1906006")</f>
        <v>0</v>
      </c>
      <c r="B1075" t="s">
        <v>216</v>
      </c>
      <c r="C1075" t="s">
        <v>553</v>
      </c>
      <c r="E1075" t="s">
        <v>1766</v>
      </c>
      <c r="F1075" t="s">
        <v>4270</v>
      </c>
      <c r="G1075" t="s">
        <v>7239</v>
      </c>
      <c r="H1075" t="s">
        <v>10450</v>
      </c>
      <c r="I1075" t="s">
        <v>11386</v>
      </c>
      <c r="J1075">
        <v>10033</v>
      </c>
      <c r="K1075" t="s">
        <v>11446</v>
      </c>
      <c r="N1075" t="s">
        <v>14782</v>
      </c>
      <c r="P1075" t="s">
        <v>14797</v>
      </c>
      <c r="Q1075" t="s">
        <v>11448</v>
      </c>
      <c r="R1075" t="s">
        <v>14813</v>
      </c>
      <c r="S1075" t="s">
        <v>14827</v>
      </c>
      <c r="U1075" t="s">
        <v>553</v>
      </c>
      <c r="V1075">
        <v>2275</v>
      </c>
      <c r="W1075" t="s">
        <v>14860</v>
      </c>
      <c r="X1075" t="s">
        <v>14867</v>
      </c>
      <c r="Z1075" t="s">
        <v>15917</v>
      </c>
      <c r="AB1075" t="s">
        <v>21006</v>
      </c>
      <c r="AC1075">
        <v>49</v>
      </c>
      <c r="AD1075" t="s">
        <v>24595</v>
      </c>
      <c r="AE1075" t="s">
        <v>11459</v>
      </c>
      <c r="AF1075">
        <v>8</v>
      </c>
      <c r="AG1075">
        <v>3</v>
      </c>
      <c r="AH1075">
        <v>0</v>
      </c>
      <c r="AI1075">
        <v>825.13</v>
      </c>
      <c r="AL1075" t="s">
        <v>5011</v>
      </c>
      <c r="AM1075">
        <v>176000</v>
      </c>
      <c r="AS1075">
        <v>0</v>
      </c>
      <c r="AU1075" t="s">
        <v>137</v>
      </c>
      <c r="AV1075" t="s">
        <v>25335</v>
      </c>
      <c r="AW1075" t="s">
        <v>11447</v>
      </c>
    </row>
    <row r="1076" spans="1:49">
      <c r="A1076" s="1">
        <f>HYPERLINK("https://lsnyc.legalserver.org/matter/dynamic-profile/view/1906286","19-1906286")</f>
        <v>0</v>
      </c>
      <c r="B1076" t="s">
        <v>123</v>
      </c>
      <c r="C1076" t="s">
        <v>355</v>
      </c>
      <c r="E1076" t="s">
        <v>1140</v>
      </c>
      <c r="F1076" t="s">
        <v>3728</v>
      </c>
      <c r="G1076" t="s">
        <v>6500</v>
      </c>
      <c r="H1076" t="s">
        <v>10484</v>
      </c>
      <c r="I1076" t="s">
        <v>11385</v>
      </c>
      <c r="J1076">
        <v>11226</v>
      </c>
      <c r="K1076" t="s">
        <v>11446</v>
      </c>
      <c r="L1076" t="s">
        <v>11791</v>
      </c>
      <c r="M1076" t="s">
        <v>14762</v>
      </c>
      <c r="N1076" t="s">
        <v>14780</v>
      </c>
      <c r="P1076" t="s">
        <v>14797</v>
      </c>
      <c r="Q1076" t="s">
        <v>11448</v>
      </c>
      <c r="S1076" t="s">
        <v>14827</v>
      </c>
      <c r="U1076" t="s">
        <v>355</v>
      </c>
      <c r="V1076">
        <v>1024.45</v>
      </c>
      <c r="W1076" t="s">
        <v>14859</v>
      </c>
      <c r="Z1076" t="s">
        <v>15124</v>
      </c>
      <c r="AC1076">
        <v>27</v>
      </c>
      <c r="AD1076" t="s">
        <v>24595</v>
      </c>
      <c r="AF1076">
        <v>23</v>
      </c>
      <c r="AG1076">
        <v>4</v>
      </c>
      <c r="AH1076">
        <v>0</v>
      </c>
      <c r="AI1076">
        <v>97.09</v>
      </c>
      <c r="AL1076" t="s">
        <v>5011</v>
      </c>
      <c r="AM1076">
        <v>25000</v>
      </c>
      <c r="AS1076">
        <v>0.6</v>
      </c>
      <c r="AT1076" t="s">
        <v>620</v>
      </c>
      <c r="AU1076" t="s">
        <v>177</v>
      </c>
      <c r="AV1076" t="s">
        <v>25335</v>
      </c>
      <c r="AW1076" t="s">
        <v>11447</v>
      </c>
    </row>
    <row r="1077" spans="1:49">
      <c r="A1077" s="1">
        <f>HYPERLINK("https://lsnyc.legalserver.org/matter/dynamic-profile/view/1904900","19-1904900")</f>
        <v>0</v>
      </c>
      <c r="B1077" t="s">
        <v>87</v>
      </c>
      <c r="C1077" t="s">
        <v>355</v>
      </c>
      <c r="E1077" t="s">
        <v>1057</v>
      </c>
      <c r="F1077" t="s">
        <v>4012</v>
      </c>
      <c r="G1077" t="s">
        <v>7240</v>
      </c>
      <c r="H1077">
        <v>1</v>
      </c>
      <c r="I1077" t="s">
        <v>11384</v>
      </c>
      <c r="J1077">
        <v>10301</v>
      </c>
      <c r="K1077" t="s">
        <v>11446</v>
      </c>
      <c r="L1077" t="s">
        <v>11792</v>
      </c>
      <c r="M1077" t="s">
        <v>14744</v>
      </c>
      <c r="N1077" t="s">
        <v>14781</v>
      </c>
      <c r="P1077" t="s">
        <v>14797</v>
      </c>
      <c r="Q1077" t="s">
        <v>11448</v>
      </c>
      <c r="S1077" t="s">
        <v>14827</v>
      </c>
      <c r="T1077" t="s">
        <v>14832</v>
      </c>
      <c r="U1077" t="s">
        <v>355</v>
      </c>
      <c r="V1077">
        <v>355</v>
      </c>
      <c r="W1077" t="s">
        <v>14862</v>
      </c>
      <c r="X1077" t="s">
        <v>14863</v>
      </c>
      <c r="Z1077" t="s">
        <v>15918</v>
      </c>
      <c r="AB1077" t="s">
        <v>21007</v>
      </c>
      <c r="AC1077">
        <v>10</v>
      </c>
      <c r="AD1077" t="s">
        <v>24600</v>
      </c>
      <c r="AE1077" t="s">
        <v>24616</v>
      </c>
      <c r="AF1077">
        <v>2</v>
      </c>
      <c r="AG1077">
        <v>1</v>
      </c>
      <c r="AH1077">
        <v>0</v>
      </c>
      <c r="AI1077">
        <v>116.83</v>
      </c>
      <c r="AL1077" t="s">
        <v>5011</v>
      </c>
      <c r="AM1077">
        <v>14592</v>
      </c>
      <c r="AO1077" t="s">
        <v>24934</v>
      </c>
      <c r="AP1077" t="s">
        <v>14755</v>
      </c>
      <c r="AQ1077" t="s">
        <v>24987</v>
      </c>
      <c r="AR1077" t="s">
        <v>25030</v>
      </c>
      <c r="AS1077">
        <v>6.8</v>
      </c>
      <c r="AT1077" t="s">
        <v>476</v>
      </c>
      <c r="AU1077" t="s">
        <v>25270</v>
      </c>
      <c r="AV1077" t="s">
        <v>25335</v>
      </c>
      <c r="AW1077" t="s">
        <v>11447</v>
      </c>
    </row>
    <row r="1078" spans="1:49">
      <c r="A1078" s="1">
        <f>HYPERLINK("https://lsnyc.legalserver.org/matter/dynamic-profile/view/1906258","19-1906258")</f>
        <v>0</v>
      </c>
      <c r="B1078" t="s">
        <v>108</v>
      </c>
      <c r="C1078" t="s">
        <v>355</v>
      </c>
      <c r="E1078" t="s">
        <v>1767</v>
      </c>
      <c r="F1078" t="s">
        <v>4271</v>
      </c>
      <c r="G1078" t="s">
        <v>7241</v>
      </c>
      <c r="H1078">
        <v>6</v>
      </c>
      <c r="I1078" t="s">
        <v>11385</v>
      </c>
      <c r="J1078">
        <v>11230</v>
      </c>
      <c r="K1078" t="s">
        <v>11446</v>
      </c>
      <c r="M1078" t="s">
        <v>14746</v>
      </c>
      <c r="N1078" t="s">
        <v>14781</v>
      </c>
      <c r="P1078" t="s">
        <v>14797</v>
      </c>
      <c r="Q1078" t="s">
        <v>11448</v>
      </c>
      <c r="S1078" t="s">
        <v>14827</v>
      </c>
      <c r="U1078" t="s">
        <v>355</v>
      </c>
      <c r="V1078">
        <v>0</v>
      </c>
      <c r="W1078" t="s">
        <v>14859</v>
      </c>
      <c r="Z1078" t="s">
        <v>15919</v>
      </c>
      <c r="AB1078" t="s">
        <v>21008</v>
      </c>
      <c r="AC1078">
        <v>6</v>
      </c>
      <c r="AD1078" t="s">
        <v>24595</v>
      </c>
      <c r="AF1078">
        <v>0</v>
      </c>
      <c r="AG1078">
        <v>2</v>
      </c>
      <c r="AH1078">
        <v>1</v>
      </c>
      <c r="AI1078">
        <v>216.6</v>
      </c>
      <c r="AJ1078" t="s">
        <v>462</v>
      </c>
      <c r="AK1078" t="s">
        <v>24629</v>
      </c>
      <c r="AL1078" t="s">
        <v>24632</v>
      </c>
      <c r="AM1078">
        <v>46200</v>
      </c>
      <c r="AS1078">
        <v>15.2</v>
      </c>
      <c r="AT1078" t="s">
        <v>645</v>
      </c>
      <c r="AU1078" t="s">
        <v>75</v>
      </c>
      <c r="AV1078" t="s">
        <v>25335</v>
      </c>
      <c r="AW1078" t="s">
        <v>11447</v>
      </c>
    </row>
    <row r="1079" spans="1:49">
      <c r="A1079" s="1">
        <f>HYPERLINK("https://lsnyc.legalserver.org/matter/dynamic-profile/view/1906473","19-1906473")</f>
        <v>0</v>
      </c>
      <c r="B1079" t="s">
        <v>183</v>
      </c>
      <c r="C1079" t="s">
        <v>380</v>
      </c>
      <c r="E1079" t="s">
        <v>1768</v>
      </c>
      <c r="F1079" t="s">
        <v>1264</v>
      </c>
      <c r="G1079" t="s">
        <v>7242</v>
      </c>
      <c r="H1079" t="s">
        <v>10510</v>
      </c>
      <c r="I1079" t="s">
        <v>11385</v>
      </c>
      <c r="J1079">
        <v>11208</v>
      </c>
      <c r="K1079" t="s">
        <v>11446</v>
      </c>
      <c r="L1079" t="s">
        <v>11793</v>
      </c>
      <c r="M1079" t="s">
        <v>14744</v>
      </c>
      <c r="N1079" t="s">
        <v>14781</v>
      </c>
      <c r="P1079" t="s">
        <v>14797</v>
      </c>
      <c r="Q1079" t="s">
        <v>11448</v>
      </c>
      <c r="S1079" t="s">
        <v>14827</v>
      </c>
      <c r="T1079" t="s">
        <v>14832</v>
      </c>
      <c r="U1079" t="s">
        <v>355</v>
      </c>
      <c r="V1079">
        <v>913</v>
      </c>
      <c r="W1079" t="s">
        <v>14859</v>
      </c>
      <c r="X1079" t="s">
        <v>14868</v>
      </c>
      <c r="Z1079" t="s">
        <v>15920</v>
      </c>
      <c r="AA1079" t="s">
        <v>11459</v>
      </c>
      <c r="AB1079" t="s">
        <v>21009</v>
      </c>
      <c r="AC1079">
        <v>64</v>
      </c>
      <c r="AD1079" t="s">
        <v>24595</v>
      </c>
      <c r="AE1079" t="s">
        <v>11459</v>
      </c>
      <c r="AF1079">
        <v>5</v>
      </c>
      <c r="AG1079">
        <v>2</v>
      </c>
      <c r="AH1079">
        <v>0</v>
      </c>
      <c r="AI1079">
        <v>218.81</v>
      </c>
      <c r="AJ1079" t="s">
        <v>462</v>
      </c>
      <c r="AK1079" t="s">
        <v>24629</v>
      </c>
      <c r="AL1079" t="s">
        <v>5011</v>
      </c>
      <c r="AM1079">
        <v>37000</v>
      </c>
      <c r="AS1079">
        <v>5.7</v>
      </c>
      <c r="AT1079" t="s">
        <v>551</v>
      </c>
      <c r="AU1079" t="s">
        <v>66</v>
      </c>
      <c r="AV1079" t="s">
        <v>25335</v>
      </c>
      <c r="AW1079" t="s">
        <v>11447</v>
      </c>
    </row>
    <row r="1080" spans="1:49">
      <c r="A1080" s="1">
        <f>HYPERLINK("https://lsnyc.legalserver.org/matter/dynamic-profile/view/1906367","19-1906367")</f>
        <v>0</v>
      </c>
      <c r="B1080" t="s">
        <v>187</v>
      </c>
      <c r="C1080" t="s">
        <v>485</v>
      </c>
      <c r="E1080" t="s">
        <v>1769</v>
      </c>
      <c r="F1080" t="s">
        <v>3965</v>
      </c>
      <c r="G1080" t="s">
        <v>7229</v>
      </c>
      <c r="H1080" t="s">
        <v>10595</v>
      </c>
      <c r="I1080" t="s">
        <v>11385</v>
      </c>
      <c r="J1080">
        <v>11216</v>
      </c>
      <c r="K1080" t="s">
        <v>11446</v>
      </c>
      <c r="L1080" t="s">
        <v>11794</v>
      </c>
      <c r="M1080" t="s">
        <v>14744</v>
      </c>
      <c r="N1080" t="s">
        <v>14781</v>
      </c>
      <c r="P1080" t="s">
        <v>14797</v>
      </c>
      <c r="Q1080" t="s">
        <v>11446</v>
      </c>
      <c r="S1080" t="s">
        <v>14827</v>
      </c>
      <c r="T1080" t="s">
        <v>14837</v>
      </c>
      <c r="U1080" t="s">
        <v>355</v>
      </c>
      <c r="V1080">
        <v>1550</v>
      </c>
      <c r="W1080" t="s">
        <v>14859</v>
      </c>
      <c r="X1080" t="s">
        <v>14876</v>
      </c>
      <c r="Z1080" t="s">
        <v>15921</v>
      </c>
      <c r="AA1080" t="s">
        <v>11465</v>
      </c>
      <c r="AB1080" t="s">
        <v>21010</v>
      </c>
      <c r="AC1080">
        <v>82</v>
      </c>
      <c r="AD1080" t="s">
        <v>24595</v>
      </c>
      <c r="AE1080" t="s">
        <v>11459</v>
      </c>
      <c r="AF1080">
        <v>8</v>
      </c>
      <c r="AG1080">
        <v>1</v>
      </c>
      <c r="AH1080">
        <v>0</v>
      </c>
      <c r="AI1080">
        <v>792.63</v>
      </c>
      <c r="AK1080" t="s">
        <v>24629</v>
      </c>
      <c r="AL1080" t="s">
        <v>5011</v>
      </c>
      <c r="AM1080">
        <v>99000</v>
      </c>
      <c r="AN1080" t="s">
        <v>24753</v>
      </c>
      <c r="AS1080">
        <v>46.6</v>
      </c>
      <c r="AT1080" t="s">
        <v>537</v>
      </c>
      <c r="AU1080" t="s">
        <v>66</v>
      </c>
      <c r="AV1080" t="s">
        <v>25335</v>
      </c>
      <c r="AW1080" t="s">
        <v>11447</v>
      </c>
    </row>
    <row r="1081" spans="1:49">
      <c r="A1081" s="1">
        <f>HYPERLINK("https://lsnyc.legalserver.org/matter/dynamic-profile/view/1904512","19-1904512")</f>
        <v>0</v>
      </c>
      <c r="B1081" t="s">
        <v>103</v>
      </c>
      <c r="C1081" t="s">
        <v>493</v>
      </c>
      <c r="E1081" t="s">
        <v>1356</v>
      </c>
      <c r="F1081" t="s">
        <v>4272</v>
      </c>
      <c r="G1081" t="s">
        <v>7243</v>
      </c>
      <c r="H1081">
        <v>9</v>
      </c>
      <c r="I1081" t="s">
        <v>11385</v>
      </c>
      <c r="J1081">
        <v>11212</v>
      </c>
      <c r="K1081" t="s">
        <v>11446</v>
      </c>
      <c r="L1081" t="s">
        <v>11795</v>
      </c>
      <c r="M1081" t="s">
        <v>14744</v>
      </c>
      <c r="N1081" t="s">
        <v>14781</v>
      </c>
      <c r="P1081" t="s">
        <v>14797</v>
      </c>
      <c r="Q1081" t="s">
        <v>11448</v>
      </c>
      <c r="S1081" t="s">
        <v>14827</v>
      </c>
      <c r="T1081" t="s">
        <v>14832</v>
      </c>
      <c r="U1081" t="s">
        <v>485</v>
      </c>
      <c r="V1081">
        <v>1300</v>
      </c>
      <c r="W1081" t="s">
        <v>14859</v>
      </c>
      <c r="X1081" t="s">
        <v>14870</v>
      </c>
      <c r="Z1081" t="s">
        <v>15922</v>
      </c>
      <c r="AA1081" t="s">
        <v>19404</v>
      </c>
      <c r="AB1081" t="s">
        <v>21011</v>
      </c>
      <c r="AC1081">
        <v>23</v>
      </c>
      <c r="AD1081" t="s">
        <v>24595</v>
      </c>
      <c r="AE1081" t="s">
        <v>11459</v>
      </c>
      <c r="AF1081">
        <v>1</v>
      </c>
      <c r="AG1081">
        <v>1</v>
      </c>
      <c r="AH1081">
        <v>2</v>
      </c>
      <c r="AI1081">
        <v>22.5</v>
      </c>
      <c r="AL1081" t="s">
        <v>5011</v>
      </c>
      <c r="AM1081">
        <v>4800</v>
      </c>
      <c r="AS1081">
        <v>11</v>
      </c>
      <c r="AT1081" t="s">
        <v>509</v>
      </c>
      <c r="AU1081" t="s">
        <v>66</v>
      </c>
      <c r="AV1081" t="s">
        <v>25335</v>
      </c>
      <c r="AW1081" t="s">
        <v>11447</v>
      </c>
    </row>
    <row r="1082" spans="1:49">
      <c r="A1082" s="1">
        <f>HYPERLINK("https://lsnyc.legalserver.org/matter/dynamic-profile/view/1905013","19-1905013")</f>
        <v>0</v>
      </c>
      <c r="B1082" t="s">
        <v>103</v>
      </c>
      <c r="C1082" t="s">
        <v>593</v>
      </c>
      <c r="E1082" t="s">
        <v>1255</v>
      </c>
      <c r="F1082" t="s">
        <v>3787</v>
      </c>
      <c r="G1082" t="s">
        <v>7244</v>
      </c>
      <c r="H1082" t="s">
        <v>10671</v>
      </c>
      <c r="I1082" t="s">
        <v>11385</v>
      </c>
      <c r="J1082">
        <v>11212</v>
      </c>
      <c r="K1082" t="s">
        <v>11446</v>
      </c>
      <c r="L1082" t="s">
        <v>11796</v>
      </c>
      <c r="M1082" t="s">
        <v>14743</v>
      </c>
      <c r="N1082" t="s">
        <v>14778</v>
      </c>
      <c r="P1082" t="s">
        <v>14797</v>
      </c>
      <c r="Q1082" t="s">
        <v>11448</v>
      </c>
      <c r="S1082" t="s">
        <v>14827</v>
      </c>
      <c r="U1082" t="s">
        <v>485</v>
      </c>
      <c r="V1082">
        <v>790</v>
      </c>
      <c r="W1082" t="s">
        <v>14859</v>
      </c>
      <c r="X1082" t="s">
        <v>14879</v>
      </c>
      <c r="Z1082" t="s">
        <v>15923</v>
      </c>
      <c r="AB1082" t="s">
        <v>21012</v>
      </c>
      <c r="AC1082">
        <v>2</v>
      </c>
      <c r="AD1082" t="s">
        <v>24600</v>
      </c>
      <c r="AE1082" t="s">
        <v>11459</v>
      </c>
      <c r="AF1082">
        <v>5</v>
      </c>
      <c r="AG1082">
        <v>1</v>
      </c>
      <c r="AH1082">
        <v>0</v>
      </c>
      <c r="AI1082">
        <v>36.12</v>
      </c>
      <c r="AL1082" t="s">
        <v>5011</v>
      </c>
      <c r="AM1082">
        <v>4512</v>
      </c>
      <c r="AS1082">
        <v>8.25</v>
      </c>
      <c r="AT1082" t="s">
        <v>455</v>
      </c>
      <c r="AU1082" t="s">
        <v>25226</v>
      </c>
      <c r="AV1082" t="s">
        <v>25335</v>
      </c>
      <c r="AW1082" t="s">
        <v>11447</v>
      </c>
    </row>
    <row r="1083" spans="1:49">
      <c r="A1083" s="1">
        <f>HYPERLINK("https://lsnyc.legalserver.org/matter/dynamic-profile/view/1881736","18-1881736")</f>
        <v>0</v>
      </c>
      <c r="B1083" t="s">
        <v>183</v>
      </c>
      <c r="C1083" t="s">
        <v>648</v>
      </c>
      <c r="E1083" t="s">
        <v>1770</v>
      </c>
      <c r="F1083" t="s">
        <v>4273</v>
      </c>
      <c r="G1083" t="s">
        <v>7243</v>
      </c>
      <c r="H1083">
        <v>21</v>
      </c>
      <c r="I1083" t="s">
        <v>11385</v>
      </c>
      <c r="J1083">
        <v>11212</v>
      </c>
      <c r="K1083" t="s">
        <v>11448</v>
      </c>
      <c r="L1083" t="s">
        <v>11797</v>
      </c>
      <c r="M1083" t="s">
        <v>14744</v>
      </c>
      <c r="N1083" t="s">
        <v>14781</v>
      </c>
      <c r="P1083" t="s">
        <v>14797</v>
      </c>
      <c r="Q1083" t="s">
        <v>11448</v>
      </c>
      <c r="S1083" t="s">
        <v>14827</v>
      </c>
      <c r="T1083" t="s">
        <v>14834</v>
      </c>
      <c r="U1083" t="s">
        <v>485</v>
      </c>
      <c r="V1083">
        <v>1200</v>
      </c>
      <c r="W1083" t="s">
        <v>14859</v>
      </c>
      <c r="X1083" t="s">
        <v>14870</v>
      </c>
      <c r="Z1083" t="s">
        <v>15924</v>
      </c>
      <c r="AA1083" t="s">
        <v>19405</v>
      </c>
      <c r="AB1083" t="s">
        <v>21013</v>
      </c>
      <c r="AC1083">
        <v>23</v>
      </c>
      <c r="AD1083" t="s">
        <v>24595</v>
      </c>
      <c r="AE1083" t="s">
        <v>24612</v>
      </c>
      <c r="AF1083">
        <v>3</v>
      </c>
      <c r="AG1083">
        <v>1</v>
      </c>
      <c r="AH1083">
        <v>0</v>
      </c>
      <c r="AI1083">
        <v>42.83</v>
      </c>
      <c r="AL1083" t="s">
        <v>5011</v>
      </c>
      <c r="AM1083">
        <v>5200</v>
      </c>
      <c r="AS1083">
        <v>37.4</v>
      </c>
      <c r="AT1083" t="s">
        <v>658</v>
      </c>
      <c r="AU1083" t="s">
        <v>66</v>
      </c>
      <c r="AV1083" t="s">
        <v>25334</v>
      </c>
      <c r="AW1083" t="s">
        <v>11448</v>
      </c>
    </row>
    <row r="1084" spans="1:49">
      <c r="A1084" s="1">
        <f>HYPERLINK("https://lsnyc.legalserver.org/matter/dynamic-profile/view/1880652","18-1880652")</f>
        <v>0</v>
      </c>
      <c r="B1084" t="s">
        <v>149</v>
      </c>
      <c r="C1084" t="s">
        <v>386</v>
      </c>
      <c r="E1084" t="s">
        <v>1240</v>
      </c>
      <c r="F1084" t="s">
        <v>3695</v>
      </c>
      <c r="G1084" t="s">
        <v>7245</v>
      </c>
      <c r="H1084" t="s">
        <v>10776</v>
      </c>
      <c r="I1084" t="s">
        <v>11385</v>
      </c>
      <c r="J1084">
        <v>11233</v>
      </c>
      <c r="K1084" t="s">
        <v>11446</v>
      </c>
      <c r="L1084" t="s">
        <v>11798</v>
      </c>
      <c r="M1084" t="s">
        <v>14743</v>
      </c>
      <c r="N1084" t="s">
        <v>14781</v>
      </c>
      <c r="P1084" t="s">
        <v>14797</v>
      </c>
      <c r="Q1084" t="s">
        <v>11448</v>
      </c>
      <c r="S1084" t="s">
        <v>14827</v>
      </c>
      <c r="T1084" t="s">
        <v>14834</v>
      </c>
      <c r="U1084" t="s">
        <v>485</v>
      </c>
      <c r="V1084">
        <v>700</v>
      </c>
      <c r="W1084" t="s">
        <v>14859</v>
      </c>
      <c r="X1084" t="s">
        <v>14863</v>
      </c>
      <c r="Z1084" t="s">
        <v>15049</v>
      </c>
      <c r="AB1084" t="s">
        <v>21014</v>
      </c>
      <c r="AC1084">
        <v>27</v>
      </c>
      <c r="AF1084">
        <v>10</v>
      </c>
      <c r="AG1084">
        <v>1</v>
      </c>
      <c r="AH1084">
        <v>0</v>
      </c>
      <c r="AI1084">
        <v>66.72</v>
      </c>
      <c r="AL1084" t="s">
        <v>5011</v>
      </c>
      <c r="AM1084">
        <v>8100</v>
      </c>
      <c r="AN1084" t="s">
        <v>24754</v>
      </c>
      <c r="AS1084">
        <v>37</v>
      </c>
      <c r="AT1084" t="s">
        <v>580</v>
      </c>
      <c r="AU1084" t="s">
        <v>25238</v>
      </c>
      <c r="AV1084" t="s">
        <v>25335</v>
      </c>
      <c r="AW1084" t="s">
        <v>11446</v>
      </c>
    </row>
    <row r="1085" spans="1:49">
      <c r="A1085" s="1">
        <f>HYPERLINK("https://lsnyc.legalserver.org/matter/dynamic-profile/view/1905118","19-1905118")</f>
        <v>0</v>
      </c>
      <c r="B1085" t="s">
        <v>56</v>
      </c>
      <c r="C1085" t="s">
        <v>456</v>
      </c>
      <c r="E1085" t="s">
        <v>1139</v>
      </c>
      <c r="F1085" t="s">
        <v>1114</v>
      </c>
      <c r="G1085" t="s">
        <v>7246</v>
      </c>
      <c r="H1085" t="s">
        <v>10529</v>
      </c>
      <c r="I1085" t="s">
        <v>11385</v>
      </c>
      <c r="J1085">
        <v>11233</v>
      </c>
      <c r="K1085" t="s">
        <v>11446</v>
      </c>
      <c r="L1085" t="s">
        <v>11799</v>
      </c>
      <c r="M1085" t="s">
        <v>14744</v>
      </c>
      <c r="N1085" t="s">
        <v>14781</v>
      </c>
      <c r="P1085" t="s">
        <v>14797</v>
      </c>
      <c r="Q1085" t="s">
        <v>11448</v>
      </c>
      <c r="S1085" t="s">
        <v>14827</v>
      </c>
      <c r="T1085" t="s">
        <v>14832</v>
      </c>
      <c r="U1085" t="s">
        <v>485</v>
      </c>
      <c r="V1085">
        <v>826</v>
      </c>
      <c r="W1085" t="s">
        <v>14859</v>
      </c>
      <c r="X1085" t="s">
        <v>14868</v>
      </c>
      <c r="Z1085" t="s">
        <v>15925</v>
      </c>
      <c r="AA1085" t="s">
        <v>11465</v>
      </c>
      <c r="AB1085" t="s">
        <v>21015</v>
      </c>
      <c r="AC1085">
        <v>42</v>
      </c>
      <c r="AD1085" t="s">
        <v>24595</v>
      </c>
      <c r="AE1085" t="s">
        <v>24613</v>
      </c>
      <c r="AF1085">
        <v>14</v>
      </c>
      <c r="AG1085">
        <v>1</v>
      </c>
      <c r="AH1085">
        <v>0</v>
      </c>
      <c r="AI1085">
        <v>68.69</v>
      </c>
      <c r="AL1085" t="s">
        <v>5011</v>
      </c>
      <c r="AM1085">
        <v>8580</v>
      </c>
      <c r="AS1085">
        <v>27</v>
      </c>
      <c r="AT1085" t="s">
        <v>521</v>
      </c>
      <c r="AU1085" t="s">
        <v>66</v>
      </c>
      <c r="AV1085" t="s">
        <v>25335</v>
      </c>
      <c r="AW1085" t="s">
        <v>11447</v>
      </c>
    </row>
    <row r="1086" spans="1:49">
      <c r="A1086" s="1">
        <f>HYPERLINK("https://lsnyc.legalserver.org/matter/dynamic-profile/view/1904758","19-1904758")</f>
        <v>0</v>
      </c>
      <c r="B1086" t="s">
        <v>67</v>
      </c>
      <c r="C1086" t="s">
        <v>365</v>
      </c>
      <c r="E1086" t="s">
        <v>1218</v>
      </c>
      <c r="F1086" t="s">
        <v>4274</v>
      </c>
      <c r="G1086" t="s">
        <v>7247</v>
      </c>
      <c r="H1086" t="s">
        <v>10574</v>
      </c>
      <c r="I1086" t="s">
        <v>11383</v>
      </c>
      <c r="J1086">
        <v>10474</v>
      </c>
      <c r="K1086" t="s">
        <v>11446</v>
      </c>
      <c r="M1086" t="s">
        <v>14743</v>
      </c>
      <c r="N1086" t="s">
        <v>14780</v>
      </c>
      <c r="P1086" t="s">
        <v>14797</v>
      </c>
      <c r="Q1086" t="s">
        <v>11448</v>
      </c>
      <c r="S1086" t="s">
        <v>14827</v>
      </c>
      <c r="T1086" t="s">
        <v>14832</v>
      </c>
      <c r="U1086" t="s">
        <v>485</v>
      </c>
      <c r="V1086">
        <v>912.41</v>
      </c>
      <c r="W1086" t="s">
        <v>14858</v>
      </c>
      <c r="X1086" t="s">
        <v>14868</v>
      </c>
      <c r="Z1086" t="s">
        <v>15926</v>
      </c>
      <c r="AC1086">
        <v>60</v>
      </c>
      <c r="AD1086" t="s">
        <v>24595</v>
      </c>
      <c r="AE1086" t="s">
        <v>11459</v>
      </c>
      <c r="AF1086">
        <v>15</v>
      </c>
      <c r="AG1086">
        <v>3</v>
      </c>
      <c r="AH1086">
        <v>0</v>
      </c>
      <c r="AI1086">
        <v>73.14</v>
      </c>
      <c r="AL1086" t="s">
        <v>24632</v>
      </c>
      <c r="AM1086">
        <v>15600</v>
      </c>
      <c r="AS1086">
        <v>2.5</v>
      </c>
      <c r="AT1086" t="s">
        <v>456</v>
      </c>
      <c r="AU1086" t="s">
        <v>67</v>
      </c>
      <c r="AV1086" t="s">
        <v>25335</v>
      </c>
      <c r="AW1086" t="s">
        <v>11447</v>
      </c>
    </row>
    <row r="1087" spans="1:49">
      <c r="A1087" s="1">
        <f>HYPERLINK("https://lsnyc.legalserver.org/matter/dynamic-profile/view/1901147","19-1901147")</f>
        <v>0</v>
      </c>
      <c r="B1087" t="s">
        <v>136</v>
      </c>
      <c r="C1087" t="s">
        <v>595</v>
      </c>
      <c r="E1087" t="s">
        <v>1771</v>
      </c>
      <c r="F1087" t="s">
        <v>3819</v>
      </c>
      <c r="G1087" t="s">
        <v>7248</v>
      </c>
      <c r="H1087" t="s">
        <v>10513</v>
      </c>
      <c r="I1087" t="s">
        <v>11385</v>
      </c>
      <c r="J1087">
        <v>11215</v>
      </c>
      <c r="K1087" t="s">
        <v>11446</v>
      </c>
      <c r="M1087" t="s">
        <v>14745</v>
      </c>
      <c r="N1087" t="s">
        <v>14780</v>
      </c>
      <c r="P1087" t="s">
        <v>14797</v>
      </c>
      <c r="Q1087" t="s">
        <v>11448</v>
      </c>
      <c r="S1087" t="s">
        <v>14827</v>
      </c>
      <c r="U1087" t="s">
        <v>485</v>
      </c>
      <c r="V1087">
        <v>985</v>
      </c>
      <c r="W1087" t="s">
        <v>14859</v>
      </c>
      <c r="X1087" t="s">
        <v>14870</v>
      </c>
      <c r="Z1087" t="s">
        <v>15927</v>
      </c>
      <c r="AB1087" t="s">
        <v>21016</v>
      </c>
      <c r="AC1087">
        <v>8</v>
      </c>
      <c r="AD1087" t="s">
        <v>24595</v>
      </c>
      <c r="AE1087" t="s">
        <v>24613</v>
      </c>
      <c r="AF1087">
        <v>39</v>
      </c>
      <c r="AG1087">
        <v>1</v>
      </c>
      <c r="AH1087">
        <v>0</v>
      </c>
      <c r="AI1087">
        <v>100.4</v>
      </c>
      <c r="AL1087" t="s">
        <v>5011</v>
      </c>
      <c r="AM1087">
        <v>12540</v>
      </c>
      <c r="AS1087">
        <v>14.6</v>
      </c>
      <c r="AT1087" t="s">
        <v>366</v>
      </c>
      <c r="AU1087" t="s">
        <v>25226</v>
      </c>
      <c r="AV1087" t="s">
        <v>25335</v>
      </c>
      <c r="AW1087" t="s">
        <v>11447</v>
      </c>
    </row>
    <row r="1088" spans="1:49">
      <c r="A1088" s="1">
        <f>HYPERLINK("https://lsnyc.legalserver.org/matter/dynamic-profile/view/1908353","19-1908353")</f>
        <v>0</v>
      </c>
      <c r="B1088" t="s">
        <v>205</v>
      </c>
      <c r="C1088" t="s">
        <v>464</v>
      </c>
      <c r="E1088" t="s">
        <v>1772</v>
      </c>
      <c r="F1088" t="s">
        <v>4275</v>
      </c>
      <c r="G1088" t="s">
        <v>7249</v>
      </c>
      <c r="H1088" t="s">
        <v>10777</v>
      </c>
      <c r="I1088" t="s">
        <v>11386</v>
      </c>
      <c r="J1088">
        <v>10029</v>
      </c>
      <c r="K1088" t="s">
        <v>11446</v>
      </c>
      <c r="M1088" t="s">
        <v>11601</v>
      </c>
      <c r="N1088" t="s">
        <v>14779</v>
      </c>
      <c r="P1088" t="s">
        <v>14797</v>
      </c>
      <c r="Q1088" t="s">
        <v>11448</v>
      </c>
      <c r="S1088" t="s">
        <v>14827</v>
      </c>
      <c r="T1088" t="s">
        <v>14832</v>
      </c>
      <c r="U1088" t="s">
        <v>485</v>
      </c>
      <c r="V1088">
        <v>4169</v>
      </c>
      <c r="W1088" t="s">
        <v>14860</v>
      </c>
      <c r="X1088" t="s">
        <v>14868</v>
      </c>
      <c r="Z1088" t="s">
        <v>15928</v>
      </c>
      <c r="AA1088">
        <v>43832149</v>
      </c>
      <c r="AB1088" t="s">
        <v>21017</v>
      </c>
      <c r="AC1088">
        <v>323</v>
      </c>
      <c r="AD1088" t="s">
        <v>11479</v>
      </c>
      <c r="AE1088" t="s">
        <v>24610</v>
      </c>
      <c r="AF1088">
        <v>36</v>
      </c>
      <c r="AG1088">
        <v>3</v>
      </c>
      <c r="AH1088">
        <v>1</v>
      </c>
      <c r="AI1088">
        <v>102.9</v>
      </c>
      <c r="AL1088" t="s">
        <v>5011</v>
      </c>
      <c r="AM1088">
        <v>26496</v>
      </c>
      <c r="AS1088">
        <v>0.1</v>
      </c>
      <c r="AT1088" t="s">
        <v>377</v>
      </c>
      <c r="AU1088" t="s">
        <v>25266</v>
      </c>
      <c r="AV1088" t="s">
        <v>25335</v>
      </c>
      <c r="AW1088" t="s">
        <v>11447</v>
      </c>
    </row>
    <row r="1089" spans="1:49">
      <c r="A1089" s="1">
        <f>HYPERLINK("https://lsnyc.legalserver.org/matter/dynamic-profile/view/1906385","19-1906385")</f>
        <v>0</v>
      </c>
      <c r="B1089" t="s">
        <v>144</v>
      </c>
      <c r="C1089" t="s">
        <v>485</v>
      </c>
      <c r="E1089" t="s">
        <v>1607</v>
      </c>
      <c r="F1089" t="s">
        <v>4276</v>
      </c>
      <c r="G1089" t="s">
        <v>7250</v>
      </c>
      <c r="H1089" t="s">
        <v>10482</v>
      </c>
      <c r="I1089" t="s">
        <v>11409</v>
      </c>
      <c r="J1089">
        <v>11377</v>
      </c>
      <c r="K1089" t="s">
        <v>11446</v>
      </c>
      <c r="L1089" t="s">
        <v>11800</v>
      </c>
      <c r="M1089" t="s">
        <v>14743</v>
      </c>
      <c r="N1089" t="s">
        <v>14781</v>
      </c>
      <c r="P1089" t="s">
        <v>14797</v>
      </c>
      <c r="Q1089" t="s">
        <v>11448</v>
      </c>
      <c r="S1089" t="s">
        <v>14827</v>
      </c>
      <c r="T1089" t="s">
        <v>14832</v>
      </c>
      <c r="U1089" t="s">
        <v>485</v>
      </c>
      <c r="V1089">
        <v>1024</v>
      </c>
      <c r="W1089" t="s">
        <v>14861</v>
      </c>
      <c r="X1089" t="s">
        <v>14865</v>
      </c>
      <c r="Z1089" t="s">
        <v>15929</v>
      </c>
      <c r="AB1089" t="s">
        <v>21018</v>
      </c>
      <c r="AC1089">
        <v>60</v>
      </c>
      <c r="AD1089" t="s">
        <v>24595</v>
      </c>
      <c r="AE1089" t="s">
        <v>11459</v>
      </c>
      <c r="AF1089">
        <v>26</v>
      </c>
      <c r="AG1089">
        <v>5</v>
      </c>
      <c r="AH1089">
        <v>1</v>
      </c>
      <c r="AI1089">
        <v>105.81</v>
      </c>
      <c r="AL1089" t="s">
        <v>24632</v>
      </c>
      <c r="AM1089">
        <v>36600</v>
      </c>
      <c r="AP1089" t="s">
        <v>14755</v>
      </c>
      <c r="AS1089">
        <v>13.05</v>
      </c>
      <c r="AT1089" t="s">
        <v>478</v>
      </c>
      <c r="AU1089" t="s">
        <v>292</v>
      </c>
      <c r="AV1089" t="s">
        <v>25335</v>
      </c>
      <c r="AW1089" t="s">
        <v>11447</v>
      </c>
    </row>
    <row r="1090" spans="1:49">
      <c r="A1090" s="1">
        <f>HYPERLINK("https://lsnyc.legalserver.org/matter/dynamic-profile/view/1903001","19-1903001")</f>
        <v>0</v>
      </c>
      <c r="B1090" t="s">
        <v>103</v>
      </c>
      <c r="C1090" t="s">
        <v>659</v>
      </c>
      <c r="E1090" t="s">
        <v>1773</v>
      </c>
      <c r="F1090" t="s">
        <v>4085</v>
      </c>
      <c r="G1090" t="s">
        <v>7132</v>
      </c>
      <c r="H1090" t="s">
        <v>10451</v>
      </c>
      <c r="I1090" t="s">
        <v>11385</v>
      </c>
      <c r="J1090">
        <v>11212</v>
      </c>
      <c r="K1090" t="s">
        <v>11446</v>
      </c>
      <c r="L1090" t="s">
        <v>11801</v>
      </c>
      <c r="M1090" t="s">
        <v>14744</v>
      </c>
      <c r="N1090" t="s">
        <v>14781</v>
      </c>
      <c r="P1090" t="s">
        <v>14797</v>
      </c>
      <c r="Q1090" t="s">
        <v>11448</v>
      </c>
      <c r="S1090" t="s">
        <v>14827</v>
      </c>
      <c r="T1090" t="s">
        <v>14832</v>
      </c>
      <c r="U1090" t="s">
        <v>485</v>
      </c>
      <c r="V1090">
        <v>1534</v>
      </c>
      <c r="W1090" t="s">
        <v>14859</v>
      </c>
      <c r="X1090" t="s">
        <v>14868</v>
      </c>
      <c r="Z1090" t="s">
        <v>15930</v>
      </c>
      <c r="AA1090">
        <v>9407455</v>
      </c>
      <c r="AB1090" t="s">
        <v>21019</v>
      </c>
      <c r="AC1090">
        <v>21</v>
      </c>
      <c r="AD1090" t="s">
        <v>24595</v>
      </c>
      <c r="AE1090" t="s">
        <v>24615</v>
      </c>
      <c r="AF1090">
        <v>9</v>
      </c>
      <c r="AG1090">
        <v>1</v>
      </c>
      <c r="AH1090">
        <v>2</v>
      </c>
      <c r="AI1090">
        <v>107.75</v>
      </c>
      <c r="AL1090" t="s">
        <v>5011</v>
      </c>
      <c r="AM1090">
        <v>22984.08</v>
      </c>
      <c r="AS1090">
        <v>41.8</v>
      </c>
      <c r="AT1090" t="s">
        <v>509</v>
      </c>
      <c r="AU1090" t="s">
        <v>120</v>
      </c>
      <c r="AV1090" t="s">
        <v>25335</v>
      </c>
      <c r="AW1090" t="s">
        <v>11447</v>
      </c>
    </row>
    <row r="1091" spans="1:49">
      <c r="A1091" s="1">
        <f>HYPERLINK("https://lsnyc.legalserver.org/matter/dynamic-profile/view/1906058","19-1906058")</f>
        <v>0</v>
      </c>
      <c r="B1091" t="s">
        <v>103</v>
      </c>
      <c r="C1091" t="s">
        <v>618</v>
      </c>
      <c r="E1091" t="s">
        <v>1774</v>
      </c>
      <c r="F1091" t="s">
        <v>4277</v>
      </c>
      <c r="G1091" t="s">
        <v>7251</v>
      </c>
      <c r="H1091" t="s">
        <v>10778</v>
      </c>
      <c r="I1091" t="s">
        <v>11385</v>
      </c>
      <c r="J1091">
        <v>11233</v>
      </c>
      <c r="K1091" t="s">
        <v>11446</v>
      </c>
      <c r="L1091" t="s">
        <v>11802</v>
      </c>
      <c r="M1091" t="s">
        <v>14744</v>
      </c>
      <c r="N1091" t="s">
        <v>14781</v>
      </c>
      <c r="P1091" t="s">
        <v>14797</v>
      </c>
      <c r="Q1091" t="s">
        <v>11448</v>
      </c>
      <c r="S1091" t="s">
        <v>14827</v>
      </c>
      <c r="T1091" t="s">
        <v>14833</v>
      </c>
      <c r="U1091" t="s">
        <v>485</v>
      </c>
      <c r="V1091">
        <v>1100.06</v>
      </c>
      <c r="W1091" t="s">
        <v>14859</v>
      </c>
      <c r="X1091" t="s">
        <v>14879</v>
      </c>
      <c r="Z1091" t="s">
        <v>15931</v>
      </c>
      <c r="AA1091" t="s">
        <v>11479</v>
      </c>
      <c r="AB1091" t="s">
        <v>21020</v>
      </c>
      <c r="AC1091">
        <v>43</v>
      </c>
      <c r="AD1091" t="s">
        <v>24595</v>
      </c>
      <c r="AE1091" t="s">
        <v>11459</v>
      </c>
      <c r="AF1091">
        <v>45</v>
      </c>
      <c r="AG1091">
        <v>3</v>
      </c>
      <c r="AH1091">
        <v>0</v>
      </c>
      <c r="AI1091">
        <v>110.15</v>
      </c>
      <c r="AL1091" t="s">
        <v>5011</v>
      </c>
      <c r="AM1091">
        <v>23496</v>
      </c>
      <c r="AS1091">
        <v>25.8</v>
      </c>
      <c r="AT1091" t="s">
        <v>516</v>
      </c>
      <c r="AU1091" t="s">
        <v>66</v>
      </c>
      <c r="AV1091" t="s">
        <v>25335</v>
      </c>
      <c r="AW1091" t="s">
        <v>11447</v>
      </c>
    </row>
    <row r="1092" spans="1:49">
      <c r="A1092" s="1">
        <f>HYPERLINK("https://lsnyc.legalserver.org/matter/dynamic-profile/view/1904920","19-1904920")</f>
        <v>0</v>
      </c>
      <c r="B1092" t="s">
        <v>103</v>
      </c>
      <c r="C1092" t="s">
        <v>593</v>
      </c>
      <c r="E1092" t="s">
        <v>1506</v>
      </c>
      <c r="F1092" t="s">
        <v>3965</v>
      </c>
      <c r="G1092" t="s">
        <v>7252</v>
      </c>
      <c r="H1092" t="s">
        <v>10779</v>
      </c>
      <c r="I1092" t="s">
        <v>11385</v>
      </c>
      <c r="J1092">
        <v>11233</v>
      </c>
      <c r="K1092" t="s">
        <v>11446</v>
      </c>
      <c r="L1092" t="s">
        <v>11803</v>
      </c>
      <c r="M1092" t="s">
        <v>14744</v>
      </c>
      <c r="N1092" t="s">
        <v>14778</v>
      </c>
      <c r="P1092" t="s">
        <v>14797</v>
      </c>
      <c r="Q1092" t="s">
        <v>11448</v>
      </c>
      <c r="S1092" t="s">
        <v>14827</v>
      </c>
      <c r="T1092" t="s">
        <v>14832</v>
      </c>
      <c r="U1092" t="s">
        <v>485</v>
      </c>
      <c r="V1092">
        <v>2100</v>
      </c>
      <c r="W1092" t="s">
        <v>14859</v>
      </c>
      <c r="X1092" t="s">
        <v>14870</v>
      </c>
      <c r="Z1092" t="s">
        <v>15932</v>
      </c>
      <c r="AA1092" t="s">
        <v>19336</v>
      </c>
      <c r="AB1092" t="s">
        <v>21021</v>
      </c>
      <c r="AC1092">
        <v>3</v>
      </c>
      <c r="AD1092" t="s">
        <v>24600</v>
      </c>
      <c r="AE1092" t="s">
        <v>14755</v>
      </c>
      <c r="AF1092">
        <v>1</v>
      </c>
      <c r="AG1092">
        <v>1</v>
      </c>
      <c r="AH1092">
        <v>1</v>
      </c>
      <c r="AI1092">
        <v>119.79</v>
      </c>
      <c r="AL1092" t="s">
        <v>5011</v>
      </c>
      <c r="AM1092">
        <v>20256</v>
      </c>
      <c r="AS1092">
        <v>5.25</v>
      </c>
      <c r="AT1092" t="s">
        <v>626</v>
      </c>
      <c r="AU1092" t="s">
        <v>25240</v>
      </c>
      <c r="AV1092" t="s">
        <v>25335</v>
      </c>
      <c r="AW1092" t="s">
        <v>11447</v>
      </c>
    </row>
    <row r="1093" spans="1:49">
      <c r="A1093" s="1">
        <f>HYPERLINK("https://lsnyc.legalserver.org/matter/dynamic-profile/view/1903617","19-1903617")</f>
        <v>0</v>
      </c>
      <c r="B1093" t="s">
        <v>223</v>
      </c>
      <c r="C1093" t="s">
        <v>522</v>
      </c>
      <c r="E1093" t="s">
        <v>1775</v>
      </c>
      <c r="F1093" t="s">
        <v>3299</v>
      </c>
      <c r="G1093" t="s">
        <v>7253</v>
      </c>
      <c r="H1093" t="s">
        <v>10598</v>
      </c>
      <c r="I1093" t="s">
        <v>11386</v>
      </c>
      <c r="J1093">
        <v>10033</v>
      </c>
      <c r="K1093" t="s">
        <v>11446</v>
      </c>
      <c r="L1093" t="s">
        <v>11804</v>
      </c>
      <c r="M1093" t="s">
        <v>14743</v>
      </c>
      <c r="N1093" t="s">
        <v>14781</v>
      </c>
      <c r="P1093" t="s">
        <v>14797</v>
      </c>
      <c r="Q1093" t="s">
        <v>11448</v>
      </c>
      <c r="S1093" t="s">
        <v>14827</v>
      </c>
      <c r="U1093" t="s">
        <v>485</v>
      </c>
      <c r="V1093">
        <v>1123.72</v>
      </c>
      <c r="W1093" t="s">
        <v>14860</v>
      </c>
      <c r="Z1093" t="s">
        <v>15933</v>
      </c>
      <c r="AB1093" t="s">
        <v>21022</v>
      </c>
      <c r="AC1093">
        <v>53</v>
      </c>
      <c r="AF1093">
        <v>29</v>
      </c>
      <c r="AG1093">
        <v>1</v>
      </c>
      <c r="AH1093">
        <v>0</v>
      </c>
      <c r="AI1093">
        <v>124.89</v>
      </c>
      <c r="AL1093" t="s">
        <v>24632</v>
      </c>
      <c r="AM1093">
        <v>15598.8</v>
      </c>
      <c r="AS1093">
        <v>11.05</v>
      </c>
      <c r="AT1093" t="s">
        <v>412</v>
      </c>
      <c r="AU1093" t="s">
        <v>25278</v>
      </c>
      <c r="AV1093" t="s">
        <v>25335</v>
      </c>
      <c r="AW1093" t="s">
        <v>11447</v>
      </c>
    </row>
    <row r="1094" spans="1:49">
      <c r="A1094" s="1">
        <f>HYPERLINK("https://lsnyc.legalserver.org/matter/dynamic-profile/view/1907796","19-1907796")</f>
        <v>0</v>
      </c>
      <c r="B1094" t="s">
        <v>174</v>
      </c>
      <c r="C1094" t="s">
        <v>377</v>
      </c>
      <c r="E1094" t="s">
        <v>1216</v>
      </c>
      <c r="F1094" t="s">
        <v>3765</v>
      </c>
      <c r="G1094" t="s">
        <v>7227</v>
      </c>
      <c r="H1094" t="s">
        <v>10557</v>
      </c>
      <c r="I1094" t="s">
        <v>11385</v>
      </c>
      <c r="J1094">
        <v>11212</v>
      </c>
      <c r="K1094" t="s">
        <v>11446</v>
      </c>
      <c r="L1094" t="s">
        <v>11459</v>
      </c>
      <c r="M1094" t="s">
        <v>14745</v>
      </c>
      <c r="N1094" t="s">
        <v>14779</v>
      </c>
      <c r="P1094" t="s">
        <v>14797</v>
      </c>
      <c r="Q1094" t="s">
        <v>11446</v>
      </c>
      <c r="S1094" t="s">
        <v>14827</v>
      </c>
      <c r="T1094" t="s">
        <v>14832</v>
      </c>
      <c r="U1094" t="s">
        <v>485</v>
      </c>
      <c r="V1094">
        <v>430.8</v>
      </c>
      <c r="W1094" t="s">
        <v>14859</v>
      </c>
      <c r="X1094" t="s">
        <v>14864</v>
      </c>
      <c r="Z1094" t="s">
        <v>15345</v>
      </c>
      <c r="AA1094" t="s">
        <v>19406</v>
      </c>
      <c r="AB1094" t="s">
        <v>21023</v>
      </c>
      <c r="AC1094">
        <v>96</v>
      </c>
      <c r="AD1094" t="s">
        <v>24595</v>
      </c>
      <c r="AE1094" t="s">
        <v>14755</v>
      </c>
      <c r="AF1094">
        <v>4</v>
      </c>
      <c r="AG1094">
        <v>1</v>
      </c>
      <c r="AH1094">
        <v>0</v>
      </c>
      <c r="AI1094">
        <v>137.97</v>
      </c>
      <c r="AL1094" t="s">
        <v>5011</v>
      </c>
      <c r="AM1094">
        <v>17232</v>
      </c>
      <c r="AS1094">
        <v>0.08</v>
      </c>
      <c r="AT1094" t="s">
        <v>511</v>
      </c>
      <c r="AU1094" t="s">
        <v>120</v>
      </c>
      <c r="AV1094" t="s">
        <v>25335</v>
      </c>
      <c r="AW1094" t="s">
        <v>11447</v>
      </c>
    </row>
    <row r="1095" spans="1:49">
      <c r="A1095" s="1">
        <f>HYPERLINK("https://lsnyc.legalserver.org/matter/dynamic-profile/view/1904814","19-1904814")</f>
        <v>0</v>
      </c>
      <c r="B1095" t="s">
        <v>102</v>
      </c>
      <c r="C1095" t="s">
        <v>345</v>
      </c>
      <c r="E1095" t="s">
        <v>1030</v>
      </c>
      <c r="F1095" t="s">
        <v>4159</v>
      </c>
      <c r="G1095" t="s">
        <v>7254</v>
      </c>
      <c r="H1095" t="s">
        <v>10780</v>
      </c>
      <c r="I1095" t="s">
        <v>11383</v>
      </c>
      <c r="J1095">
        <v>10452</v>
      </c>
      <c r="K1095" t="s">
        <v>11446</v>
      </c>
      <c r="L1095" t="s">
        <v>11465</v>
      </c>
      <c r="N1095" t="s">
        <v>14778</v>
      </c>
      <c r="P1095" t="s">
        <v>14797</v>
      </c>
      <c r="S1095" t="s">
        <v>14827</v>
      </c>
      <c r="U1095" t="s">
        <v>485</v>
      </c>
      <c r="V1095">
        <v>1350</v>
      </c>
      <c r="W1095" t="s">
        <v>14858</v>
      </c>
      <c r="Z1095" t="s">
        <v>15934</v>
      </c>
      <c r="AB1095" t="s">
        <v>21024</v>
      </c>
      <c r="AC1095">
        <v>139</v>
      </c>
      <c r="AF1095">
        <v>12</v>
      </c>
      <c r="AG1095">
        <v>2</v>
      </c>
      <c r="AH1095">
        <v>0</v>
      </c>
      <c r="AI1095">
        <v>179.49</v>
      </c>
      <c r="AL1095" t="s">
        <v>5011</v>
      </c>
      <c r="AM1095">
        <v>30352</v>
      </c>
      <c r="AS1095">
        <v>2</v>
      </c>
      <c r="AT1095" t="s">
        <v>500</v>
      </c>
      <c r="AU1095" t="s">
        <v>25227</v>
      </c>
      <c r="AV1095" t="s">
        <v>25335</v>
      </c>
      <c r="AW1095" t="s">
        <v>11447</v>
      </c>
    </row>
    <row r="1096" spans="1:49">
      <c r="A1096" s="1">
        <f>HYPERLINK("https://lsnyc.legalserver.org/matter/dynamic-profile/view/1903502","19-1903502")</f>
        <v>0</v>
      </c>
      <c r="B1096" t="s">
        <v>90</v>
      </c>
      <c r="C1096" t="s">
        <v>631</v>
      </c>
      <c r="E1096" t="s">
        <v>1181</v>
      </c>
      <c r="F1096" t="s">
        <v>3561</v>
      </c>
      <c r="G1096" t="s">
        <v>7255</v>
      </c>
      <c r="H1096" t="s">
        <v>10467</v>
      </c>
      <c r="I1096" t="s">
        <v>11383</v>
      </c>
      <c r="J1096">
        <v>10453</v>
      </c>
      <c r="K1096" t="s">
        <v>11446</v>
      </c>
      <c r="L1096" t="s">
        <v>11805</v>
      </c>
      <c r="M1096" t="s">
        <v>14743</v>
      </c>
      <c r="N1096" t="s">
        <v>14781</v>
      </c>
      <c r="P1096" t="s">
        <v>14797</v>
      </c>
      <c r="Q1096" t="s">
        <v>11448</v>
      </c>
      <c r="S1096" t="s">
        <v>14827</v>
      </c>
      <c r="T1096" t="s">
        <v>14832</v>
      </c>
      <c r="U1096" t="s">
        <v>485</v>
      </c>
      <c r="V1096">
        <v>825</v>
      </c>
      <c r="W1096" t="s">
        <v>14858</v>
      </c>
      <c r="X1096" t="s">
        <v>14755</v>
      </c>
      <c r="Z1096" t="s">
        <v>15935</v>
      </c>
      <c r="AB1096" t="s">
        <v>21025</v>
      </c>
      <c r="AC1096">
        <v>25</v>
      </c>
      <c r="AD1096" t="s">
        <v>24595</v>
      </c>
      <c r="AE1096" t="s">
        <v>11459</v>
      </c>
      <c r="AF1096">
        <v>19</v>
      </c>
      <c r="AG1096">
        <v>1</v>
      </c>
      <c r="AH1096">
        <v>0</v>
      </c>
      <c r="AI1096">
        <v>199.84</v>
      </c>
      <c r="AL1096" t="s">
        <v>5011</v>
      </c>
      <c r="AM1096">
        <v>24960</v>
      </c>
      <c r="AS1096">
        <v>30.36</v>
      </c>
      <c r="AT1096" t="s">
        <v>491</v>
      </c>
      <c r="AU1096" t="s">
        <v>25240</v>
      </c>
      <c r="AV1096" t="s">
        <v>25335</v>
      </c>
      <c r="AW1096" t="s">
        <v>11447</v>
      </c>
    </row>
    <row r="1097" spans="1:49">
      <c r="A1097" s="1">
        <f>HYPERLINK("https://lsnyc.legalserver.org/matter/dynamic-profile/view/1906387","19-1906387")</f>
        <v>0</v>
      </c>
      <c r="B1097" t="s">
        <v>175</v>
      </c>
      <c r="C1097" t="s">
        <v>485</v>
      </c>
      <c r="E1097" t="s">
        <v>1601</v>
      </c>
      <c r="F1097" t="s">
        <v>4278</v>
      </c>
      <c r="G1097" t="s">
        <v>7256</v>
      </c>
      <c r="H1097">
        <v>41</v>
      </c>
      <c r="I1097" t="s">
        <v>11386</v>
      </c>
      <c r="J1097">
        <v>10032</v>
      </c>
      <c r="K1097" t="s">
        <v>11446</v>
      </c>
      <c r="M1097" t="s">
        <v>14746</v>
      </c>
      <c r="N1097" t="s">
        <v>14780</v>
      </c>
      <c r="P1097" t="s">
        <v>14797</v>
      </c>
      <c r="Q1097" t="s">
        <v>11446</v>
      </c>
      <c r="S1097" t="s">
        <v>14827</v>
      </c>
      <c r="U1097" t="s">
        <v>485</v>
      </c>
      <c r="V1097">
        <v>1600</v>
      </c>
      <c r="W1097" t="s">
        <v>14860</v>
      </c>
      <c r="X1097" t="s">
        <v>14867</v>
      </c>
      <c r="Z1097" t="s">
        <v>15936</v>
      </c>
      <c r="AB1097" t="s">
        <v>21026</v>
      </c>
      <c r="AC1097">
        <v>46</v>
      </c>
      <c r="AD1097" t="s">
        <v>24595</v>
      </c>
      <c r="AE1097" t="s">
        <v>11459</v>
      </c>
      <c r="AF1097">
        <v>30</v>
      </c>
      <c r="AG1097">
        <v>2</v>
      </c>
      <c r="AH1097">
        <v>3</v>
      </c>
      <c r="AI1097">
        <v>265.16</v>
      </c>
      <c r="AJ1097" t="s">
        <v>551</v>
      </c>
      <c r="AK1097" t="s">
        <v>24629</v>
      </c>
      <c r="AL1097" t="s">
        <v>5011</v>
      </c>
      <c r="AM1097">
        <v>80000</v>
      </c>
      <c r="AS1097">
        <v>0</v>
      </c>
      <c r="AU1097" t="s">
        <v>137</v>
      </c>
      <c r="AV1097" t="s">
        <v>25335</v>
      </c>
      <c r="AW1097" t="s">
        <v>11447</v>
      </c>
    </row>
    <row r="1098" spans="1:49">
      <c r="A1098" s="1">
        <f>HYPERLINK("https://lsnyc.legalserver.org/matter/dynamic-profile/view/1906399","19-1906399")</f>
        <v>0</v>
      </c>
      <c r="B1098" t="s">
        <v>175</v>
      </c>
      <c r="C1098" t="s">
        <v>485</v>
      </c>
      <c r="E1098" t="s">
        <v>1776</v>
      </c>
      <c r="F1098" t="s">
        <v>4120</v>
      </c>
      <c r="G1098" t="s">
        <v>7256</v>
      </c>
      <c r="H1098">
        <v>55</v>
      </c>
      <c r="I1098" t="s">
        <v>11386</v>
      </c>
      <c r="J1098">
        <v>10032</v>
      </c>
      <c r="K1098" t="s">
        <v>11446</v>
      </c>
      <c r="M1098" t="s">
        <v>14746</v>
      </c>
      <c r="N1098" t="s">
        <v>14780</v>
      </c>
      <c r="P1098" t="s">
        <v>14797</v>
      </c>
      <c r="Q1098" t="s">
        <v>11446</v>
      </c>
      <c r="S1098" t="s">
        <v>14827</v>
      </c>
      <c r="U1098" t="s">
        <v>485</v>
      </c>
      <c r="V1098">
        <v>2395</v>
      </c>
      <c r="W1098" t="s">
        <v>14860</v>
      </c>
      <c r="X1098" t="s">
        <v>14867</v>
      </c>
      <c r="Z1098" t="s">
        <v>15937</v>
      </c>
      <c r="AB1098" t="s">
        <v>21027</v>
      </c>
      <c r="AC1098">
        <v>46</v>
      </c>
      <c r="AD1098" t="s">
        <v>24595</v>
      </c>
      <c r="AE1098" t="s">
        <v>11459</v>
      </c>
      <c r="AF1098">
        <v>2</v>
      </c>
      <c r="AG1098">
        <v>2</v>
      </c>
      <c r="AH1098">
        <v>0</v>
      </c>
      <c r="AI1098">
        <v>354.82</v>
      </c>
      <c r="AJ1098" t="s">
        <v>551</v>
      </c>
      <c r="AK1098" t="s">
        <v>24629</v>
      </c>
      <c r="AL1098" t="s">
        <v>5011</v>
      </c>
      <c r="AM1098">
        <v>60000</v>
      </c>
      <c r="AS1098">
        <v>0</v>
      </c>
      <c r="AU1098" t="s">
        <v>137</v>
      </c>
      <c r="AV1098" t="s">
        <v>25335</v>
      </c>
      <c r="AW1098" t="s">
        <v>11447</v>
      </c>
    </row>
    <row r="1099" spans="1:49">
      <c r="A1099" s="1">
        <f>HYPERLINK("https://lsnyc.legalserver.org/matter/dynamic-profile/view/1906393","19-1906393")</f>
        <v>0</v>
      </c>
      <c r="B1099" t="s">
        <v>175</v>
      </c>
      <c r="C1099" t="s">
        <v>485</v>
      </c>
      <c r="E1099" t="s">
        <v>1777</v>
      </c>
      <c r="F1099" t="s">
        <v>4279</v>
      </c>
      <c r="G1099" t="s">
        <v>7256</v>
      </c>
      <c r="H1099">
        <v>36</v>
      </c>
      <c r="I1099" t="s">
        <v>11386</v>
      </c>
      <c r="J1099">
        <v>10032</v>
      </c>
      <c r="K1099" t="s">
        <v>11446</v>
      </c>
      <c r="M1099" t="s">
        <v>14746</v>
      </c>
      <c r="N1099" t="s">
        <v>14780</v>
      </c>
      <c r="P1099" t="s">
        <v>14797</v>
      </c>
      <c r="Q1099" t="s">
        <v>11446</v>
      </c>
      <c r="S1099" t="s">
        <v>14827</v>
      </c>
      <c r="U1099" t="s">
        <v>485</v>
      </c>
      <c r="V1099">
        <v>0</v>
      </c>
      <c r="W1099" t="s">
        <v>14860</v>
      </c>
      <c r="X1099" t="s">
        <v>14867</v>
      </c>
      <c r="Z1099" t="s">
        <v>15938</v>
      </c>
      <c r="AB1099" t="s">
        <v>21028</v>
      </c>
      <c r="AC1099">
        <v>46</v>
      </c>
      <c r="AD1099" t="s">
        <v>24595</v>
      </c>
      <c r="AE1099" t="s">
        <v>11459</v>
      </c>
      <c r="AF1099">
        <v>4</v>
      </c>
      <c r="AG1099">
        <v>1</v>
      </c>
      <c r="AH1099">
        <v>0</v>
      </c>
      <c r="AI1099">
        <v>412.33</v>
      </c>
      <c r="AL1099" t="s">
        <v>5011</v>
      </c>
      <c r="AM1099">
        <v>51500</v>
      </c>
      <c r="AS1099">
        <v>0.1</v>
      </c>
      <c r="AT1099" t="s">
        <v>521</v>
      </c>
      <c r="AU1099" t="s">
        <v>137</v>
      </c>
      <c r="AV1099" t="s">
        <v>25335</v>
      </c>
      <c r="AW1099" t="s">
        <v>11447</v>
      </c>
    </row>
    <row r="1100" spans="1:49">
      <c r="A1100" s="1">
        <f>HYPERLINK("https://lsnyc.legalserver.org/matter/dynamic-profile/view/1905736","19-1905736")</f>
        <v>0</v>
      </c>
      <c r="B1100" t="s">
        <v>224</v>
      </c>
      <c r="C1100" t="s">
        <v>496</v>
      </c>
      <c r="E1100" t="s">
        <v>1620</v>
      </c>
      <c r="F1100" t="s">
        <v>3756</v>
      </c>
      <c r="G1100" t="s">
        <v>7087</v>
      </c>
      <c r="H1100" t="s">
        <v>10638</v>
      </c>
      <c r="I1100" t="s">
        <v>11385</v>
      </c>
      <c r="J1100">
        <v>11233</v>
      </c>
      <c r="K1100" t="s">
        <v>11446</v>
      </c>
      <c r="L1100" t="s">
        <v>11806</v>
      </c>
      <c r="M1100" t="s">
        <v>14746</v>
      </c>
      <c r="N1100" t="s">
        <v>14781</v>
      </c>
      <c r="P1100" t="s">
        <v>14797</v>
      </c>
      <c r="Q1100" t="s">
        <v>11446</v>
      </c>
      <c r="S1100" t="s">
        <v>14827</v>
      </c>
      <c r="T1100" t="s">
        <v>14832</v>
      </c>
      <c r="U1100" t="s">
        <v>485</v>
      </c>
      <c r="V1100">
        <v>1200</v>
      </c>
      <c r="W1100" t="s">
        <v>14859</v>
      </c>
      <c r="X1100" t="s">
        <v>14868</v>
      </c>
      <c r="Z1100" t="s">
        <v>15721</v>
      </c>
      <c r="AA1100" t="s">
        <v>11465</v>
      </c>
      <c r="AB1100" t="s">
        <v>20821</v>
      </c>
      <c r="AC1100">
        <v>6</v>
      </c>
      <c r="AD1100" t="s">
        <v>24595</v>
      </c>
      <c r="AE1100" t="s">
        <v>11459</v>
      </c>
      <c r="AF1100">
        <v>6</v>
      </c>
      <c r="AG1100">
        <v>1</v>
      </c>
      <c r="AH1100">
        <v>0</v>
      </c>
      <c r="AI1100">
        <v>464.37</v>
      </c>
      <c r="AL1100" t="s">
        <v>5011</v>
      </c>
      <c r="AM1100">
        <v>58000</v>
      </c>
      <c r="AN1100" t="s">
        <v>24739</v>
      </c>
      <c r="AS1100">
        <v>0.1</v>
      </c>
      <c r="AT1100" t="s">
        <v>511</v>
      </c>
      <c r="AU1100" t="s">
        <v>66</v>
      </c>
      <c r="AV1100" t="s">
        <v>25335</v>
      </c>
      <c r="AW1100" t="s">
        <v>11447</v>
      </c>
    </row>
    <row r="1101" spans="1:49">
      <c r="A1101" s="1">
        <f>HYPERLINK("https://lsnyc.legalserver.org/matter/dynamic-profile/view/1896149","19-1896149")</f>
        <v>0</v>
      </c>
      <c r="B1101" t="s">
        <v>136</v>
      </c>
      <c r="C1101" t="s">
        <v>660</v>
      </c>
      <c r="E1101" t="s">
        <v>1778</v>
      </c>
      <c r="F1101" t="s">
        <v>4280</v>
      </c>
      <c r="G1101" t="s">
        <v>7257</v>
      </c>
      <c r="H1101">
        <v>3</v>
      </c>
      <c r="I1101" t="s">
        <v>11385</v>
      </c>
      <c r="J1101">
        <v>11208</v>
      </c>
      <c r="K1101" t="s">
        <v>11446</v>
      </c>
      <c r="L1101" t="s">
        <v>11807</v>
      </c>
      <c r="M1101" t="s">
        <v>14743</v>
      </c>
      <c r="N1101" t="s">
        <v>14781</v>
      </c>
      <c r="P1101" t="s">
        <v>14797</v>
      </c>
      <c r="Q1101" t="s">
        <v>11446</v>
      </c>
      <c r="S1101" t="s">
        <v>14827</v>
      </c>
      <c r="U1101" t="s">
        <v>485</v>
      </c>
      <c r="V1101">
        <v>1300</v>
      </c>
      <c r="W1101" t="s">
        <v>14859</v>
      </c>
      <c r="Z1101" t="s">
        <v>15939</v>
      </c>
      <c r="AB1101" t="s">
        <v>21029</v>
      </c>
      <c r="AC1101">
        <v>4</v>
      </c>
      <c r="AF1101">
        <v>9</v>
      </c>
      <c r="AG1101">
        <v>2</v>
      </c>
      <c r="AH1101">
        <v>0</v>
      </c>
      <c r="AI1101">
        <v>484.92</v>
      </c>
      <c r="AL1101" t="s">
        <v>5011</v>
      </c>
      <c r="AM1101">
        <v>82000</v>
      </c>
      <c r="AN1101" t="s">
        <v>24755</v>
      </c>
      <c r="AS1101">
        <v>1</v>
      </c>
      <c r="AT1101" t="s">
        <v>360</v>
      </c>
      <c r="AU1101" t="s">
        <v>75</v>
      </c>
      <c r="AV1101" t="s">
        <v>25335</v>
      </c>
      <c r="AW1101" t="s">
        <v>11446</v>
      </c>
    </row>
    <row r="1102" spans="1:49">
      <c r="A1102" s="1">
        <f>HYPERLINK("https://lsnyc.legalserver.org/matter/dynamic-profile/view/1906404","19-1906404")</f>
        <v>0</v>
      </c>
      <c r="B1102" t="s">
        <v>175</v>
      </c>
      <c r="C1102" t="s">
        <v>485</v>
      </c>
      <c r="E1102" t="s">
        <v>1779</v>
      </c>
      <c r="F1102" t="s">
        <v>4281</v>
      </c>
      <c r="G1102" t="s">
        <v>7256</v>
      </c>
      <c r="H1102">
        <v>5</v>
      </c>
      <c r="I1102" t="s">
        <v>11386</v>
      </c>
      <c r="J1102">
        <v>10032</v>
      </c>
      <c r="K1102" t="s">
        <v>11446</v>
      </c>
      <c r="M1102" t="s">
        <v>14746</v>
      </c>
      <c r="N1102" t="s">
        <v>14780</v>
      </c>
      <c r="P1102" t="s">
        <v>14797</v>
      </c>
      <c r="Q1102" t="s">
        <v>11446</v>
      </c>
      <c r="S1102" t="s">
        <v>14827</v>
      </c>
      <c r="U1102" t="s">
        <v>485</v>
      </c>
      <c r="V1102">
        <v>2250</v>
      </c>
      <c r="W1102" t="s">
        <v>14860</v>
      </c>
      <c r="X1102" t="s">
        <v>14867</v>
      </c>
      <c r="Z1102" t="s">
        <v>15940</v>
      </c>
      <c r="AB1102" t="s">
        <v>21030</v>
      </c>
      <c r="AC1102">
        <v>46</v>
      </c>
      <c r="AD1102" t="s">
        <v>24595</v>
      </c>
      <c r="AE1102" t="s">
        <v>11459</v>
      </c>
      <c r="AF1102">
        <v>6</v>
      </c>
      <c r="AG1102">
        <v>1</v>
      </c>
      <c r="AH1102">
        <v>0</v>
      </c>
      <c r="AI1102">
        <v>490.39</v>
      </c>
      <c r="AL1102" t="s">
        <v>5011</v>
      </c>
      <c r="AM1102">
        <v>61250</v>
      </c>
      <c r="AS1102">
        <v>17.1</v>
      </c>
      <c r="AT1102" t="s">
        <v>509</v>
      </c>
      <c r="AU1102" t="s">
        <v>137</v>
      </c>
      <c r="AV1102" t="s">
        <v>25335</v>
      </c>
      <c r="AW1102" t="s">
        <v>11447</v>
      </c>
    </row>
    <row r="1103" spans="1:49">
      <c r="A1103" s="1">
        <f>HYPERLINK("https://lsnyc.legalserver.org/matter/dynamic-profile/view/1906057","19-1906057")</f>
        <v>0</v>
      </c>
      <c r="B1103" t="s">
        <v>136</v>
      </c>
      <c r="C1103" t="s">
        <v>620</v>
      </c>
      <c r="E1103" t="s">
        <v>1584</v>
      </c>
      <c r="F1103" t="s">
        <v>1636</v>
      </c>
      <c r="G1103" t="s">
        <v>7258</v>
      </c>
      <c r="H1103" t="s">
        <v>10781</v>
      </c>
      <c r="I1103" t="s">
        <v>11385</v>
      </c>
      <c r="J1103">
        <v>11226</v>
      </c>
      <c r="K1103" t="s">
        <v>11446</v>
      </c>
      <c r="M1103" t="s">
        <v>14762</v>
      </c>
      <c r="N1103" t="s">
        <v>14780</v>
      </c>
      <c r="P1103" t="s">
        <v>14797</v>
      </c>
      <c r="Q1103" t="s">
        <v>11446</v>
      </c>
      <c r="S1103" t="s">
        <v>14827</v>
      </c>
      <c r="U1103" t="s">
        <v>380</v>
      </c>
      <c r="V1103">
        <v>0</v>
      </c>
      <c r="W1103" t="s">
        <v>14859</v>
      </c>
      <c r="Z1103" t="s">
        <v>15941</v>
      </c>
      <c r="AB1103" t="s">
        <v>21031</v>
      </c>
      <c r="AC1103">
        <v>54</v>
      </c>
      <c r="AF1103">
        <v>0</v>
      </c>
      <c r="AG1103">
        <v>3</v>
      </c>
      <c r="AH1103">
        <v>0</v>
      </c>
      <c r="AI1103">
        <v>56.26</v>
      </c>
      <c r="AL1103" t="s">
        <v>24641</v>
      </c>
      <c r="AM1103">
        <v>12000</v>
      </c>
      <c r="AS1103">
        <v>2</v>
      </c>
      <c r="AT1103" t="s">
        <v>630</v>
      </c>
      <c r="AU1103" t="s">
        <v>25230</v>
      </c>
      <c r="AW1103" t="s">
        <v>11447</v>
      </c>
    </row>
    <row r="1104" spans="1:49">
      <c r="A1104" s="1">
        <f>HYPERLINK("https://lsnyc.legalserver.org/matter/dynamic-profile/view/1906355","19-1906355")</f>
        <v>0</v>
      </c>
      <c r="B1104" t="s">
        <v>165</v>
      </c>
      <c r="C1104" t="s">
        <v>373</v>
      </c>
      <c r="E1104" t="s">
        <v>1780</v>
      </c>
      <c r="F1104" t="s">
        <v>3951</v>
      </c>
      <c r="G1104" t="s">
        <v>7259</v>
      </c>
      <c r="H1104">
        <v>3</v>
      </c>
      <c r="I1104" t="s">
        <v>11384</v>
      </c>
      <c r="J1104">
        <v>10301</v>
      </c>
      <c r="K1104" t="s">
        <v>11446</v>
      </c>
      <c r="L1104" t="s">
        <v>11808</v>
      </c>
      <c r="M1104" t="s">
        <v>14743</v>
      </c>
      <c r="N1104" t="s">
        <v>14781</v>
      </c>
      <c r="P1104" t="s">
        <v>14797</v>
      </c>
      <c r="Q1104" t="s">
        <v>11448</v>
      </c>
      <c r="S1104" t="s">
        <v>14827</v>
      </c>
      <c r="T1104" t="s">
        <v>14832</v>
      </c>
      <c r="U1104" t="s">
        <v>380</v>
      </c>
      <c r="V1104">
        <v>675</v>
      </c>
      <c r="W1104" t="s">
        <v>14862</v>
      </c>
      <c r="X1104" t="s">
        <v>14863</v>
      </c>
      <c r="Z1104" t="s">
        <v>15942</v>
      </c>
      <c r="AB1104" t="s">
        <v>21032</v>
      </c>
      <c r="AC1104">
        <v>2</v>
      </c>
      <c r="AD1104" t="s">
        <v>24600</v>
      </c>
      <c r="AE1104" t="s">
        <v>11459</v>
      </c>
      <c r="AF1104">
        <v>-1</v>
      </c>
      <c r="AG1104">
        <v>2</v>
      </c>
      <c r="AH1104">
        <v>1</v>
      </c>
      <c r="AI1104">
        <v>91.42</v>
      </c>
      <c r="AL1104" t="s">
        <v>5011</v>
      </c>
      <c r="AM1104">
        <v>19500</v>
      </c>
      <c r="AS1104">
        <v>15.6</v>
      </c>
      <c r="AT1104" t="s">
        <v>516</v>
      </c>
      <c r="AU1104" t="s">
        <v>25270</v>
      </c>
      <c r="AV1104" t="s">
        <v>25335</v>
      </c>
      <c r="AW1104" t="s">
        <v>11447</v>
      </c>
    </row>
    <row r="1105" spans="1:49">
      <c r="A1105" s="1">
        <f>HYPERLINK("https://lsnyc.legalserver.org/matter/dynamic-profile/view/1906497","19-1906497")</f>
        <v>0</v>
      </c>
      <c r="B1105" t="s">
        <v>225</v>
      </c>
      <c r="C1105" t="s">
        <v>380</v>
      </c>
      <c r="E1105" t="s">
        <v>1241</v>
      </c>
      <c r="F1105" t="s">
        <v>3667</v>
      </c>
      <c r="G1105" t="s">
        <v>7233</v>
      </c>
      <c r="H1105" t="s">
        <v>10599</v>
      </c>
      <c r="I1105" t="s">
        <v>11391</v>
      </c>
      <c r="J1105">
        <v>11691</v>
      </c>
      <c r="K1105" t="s">
        <v>11446</v>
      </c>
      <c r="L1105" t="s">
        <v>11809</v>
      </c>
      <c r="M1105" t="s">
        <v>14744</v>
      </c>
      <c r="N1105" t="s">
        <v>14778</v>
      </c>
      <c r="P1105" t="s">
        <v>14797</v>
      </c>
      <c r="Q1105" t="s">
        <v>11448</v>
      </c>
      <c r="S1105" t="s">
        <v>14827</v>
      </c>
      <c r="T1105" t="s">
        <v>14836</v>
      </c>
      <c r="U1105" t="s">
        <v>380</v>
      </c>
      <c r="V1105">
        <v>1185</v>
      </c>
      <c r="W1105" t="s">
        <v>14861</v>
      </c>
      <c r="X1105" t="s">
        <v>14865</v>
      </c>
      <c r="Z1105" t="s">
        <v>15943</v>
      </c>
      <c r="AB1105" t="s">
        <v>21033</v>
      </c>
      <c r="AC1105">
        <v>200</v>
      </c>
      <c r="AD1105" t="s">
        <v>24601</v>
      </c>
      <c r="AE1105" t="s">
        <v>24610</v>
      </c>
      <c r="AF1105">
        <v>2</v>
      </c>
      <c r="AG1105">
        <v>2</v>
      </c>
      <c r="AH1105">
        <v>0</v>
      </c>
      <c r="AI1105">
        <v>165.58</v>
      </c>
      <c r="AL1105" t="s">
        <v>5011</v>
      </c>
      <c r="AM1105">
        <v>28000</v>
      </c>
      <c r="AS1105">
        <v>1.85</v>
      </c>
      <c r="AT1105" t="s">
        <v>521</v>
      </c>
      <c r="AU1105" t="s">
        <v>292</v>
      </c>
      <c r="AV1105" t="s">
        <v>25335</v>
      </c>
      <c r="AW1105" t="s">
        <v>11447</v>
      </c>
    </row>
    <row r="1106" spans="1:49">
      <c r="A1106" s="1">
        <f>HYPERLINK("https://lsnyc.legalserver.org/matter/dynamic-profile/view/1906517","19-1906517")</f>
        <v>0</v>
      </c>
      <c r="B1106" t="s">
        <v>167</v>
      </c>
      <c r="C1106" t="s">
        <v>380</v>
      </c>
      <c r="E1106" t="s">
        <v>1781</v>
      </c>
      <c r="F1106" t="s">
        <v>4282</v>
      </c>
      <c r="G1106" t="s">
        <v>7260</v>
      </c>
      <c r="H1106" t="s">
        <v>10782</v>
      </c>
      <c r="I1106" t="s">
        <v>11412</v>
      </c>
      <c r="J1106">
        <v>11101</v>
      </c>
      <c r="K1106" t="s">
        <v>11446</v>
      </c>
      <c r="L1106" t="s">
        <v>11810</v>
      </c>
      <c r="M1106" t="s">
        <v>14744</v>
      </c>
      <c r="N1106" t="s">
        <v>14781</v>
      </c>
      <c r="P1106" t="s">
        <v>14797</v>
      </c>
      <c r="Q1106" t="s">
        <v>11446</v>
      </c>
      <c r="S1106" t="s">
        <v>14827</v>
      </c>
      <c r="T1106" t="s">
        <v>14834</v>
      </c>
      <c r="U1106" t="s">
        <v>380</v>
      </c>
      <c r="V1106">
        <v>1558</v>
      </c>
      <c r="W1106" t="s">
        <v>14861</v>
      </c>
      <c r="X1106" t="s">
        <v>14865</v>
      </c>
      <c r="Z1106" t="s">
        <v>15944</v>
      </c>
      <c r="AA1106" t="s">
        <v>19407</v>
      </c>
      <c r="AB1106" t="s">
        <v>21034</v>
      </c>
      <c r="AC1106">
        <v>900</v>
      </c>
      <c r="AD1106" t="s">
        <v>24595</v>
      </c>
      <c r="AE1106" t="s">
        <v>24611</v>
      </c>
      <c r="AF1106">
        <v>1</v>
      </c>
      <c r="AG1106">
        <v>1</v>
      </c>
      <c r="AH1106">
        <v>0</v>
      </c>
      <c r="AI1106">
        <v>182.55</v>
      </c>
      <c r="AL1106" t="s">
        <v>5011</v>
      </c>
      <c r="AM1106">
        <v>22800</v>
      </c>
      <c r="AP1106" t="s">
        <v>14755</v>
      </c>
      <c r="AQ1106" t="s">
        <v>24986</v>
      </c>
      <c r="AR1106" t="s">
        <v>24998</v>
      </c>
      <c r="AS1106">
        <v>7.07</v>
      </c>
      <c r="AT1106" t="s">
        <v>663</v>
      </c>
      <c r="AU1106" t="s">
        <v>25233</v>
      </c>
      <c r="AV1106" t="s">
        <v>25335</v>
      </c>
      <c r="AW1106" t="s">
        <v>11447</v>
      </c>
    </row>
    <row r="1107" spans="1:49">
      <c r="A1107" s="1">
        <f>HYPERLINK("https://lsnyc.legalserver.org/matter/dynamic-profile/view/1907774","19-1907774")</f>
        <v>0</v>
      </c>
      <c r="B1107" t="s">
        <v>174</v>
      </c>
      <c r="C1107" t="s">
        <v>377</v>
      </c>
      <c r="E1107" t="s">
        <v>1782</v>
      </c>
      <c r="F1107" t="s">
        <v>1903</v>
      </c>
      <c r="G1107" t="s">
        <v>7227</v>
      </c>
      <c r="H1107" t="s">
        <v>10574</v>
      </c>
      <c r="I1107" t="s">
        <v>11385</v>
      </c>
      <c r="J1107">
        <v>11212</v>
      </c>
      <c r="K1107" t="s">
        <v>11446</v>
      </c>
      <c r="L1107" t="s">
        <v>11459</v>
      </c>
      <c r="M1107" t="s">
        <v>14745</v>
      </c>
      <c r="N1107" t="s">
        <v>14779</v>
      </c>
      <c r="P1107" t="s">
        <v>14797</v>
      </c>
      <c r="Q1107" t="s">
        <v>11446</v>
      </c>
      <c r="S1107" t="s">
        <v>14827</v>
      </c>
      <c r="T1107" t="s">
        <v>14832</v>
      </c>
      <c r="U1107" t="s">
        <v>14842</v>
      </c>
      <c r="V1107">
        <v>1047.01</v>
      </c>
      <c r="W1107" t="s">
        <v>14859</v>
      </c>
      <c r="X1107" t="s">
        <v>14864</v>
      </c>
      <c r="Z1107" t="s">
        <v>15945</v>
      </c>
      <c r="AB1107" t="s">
        <v>21035</v>
      </c>
      <c r="AC1107">
        <v>96</v>
      </c>
      <c r="AD1107" t="s">
        <v>24595</v>
      </c>
      <c r="AE1107" t="s">
        <v>11459</v>
      </c>
      <c r="AF1107">
        <v>30</v>
      </c>
      <c r="AG1107">
        <v>2</v>
      </c>
      <c r="AH1107">
        <v>0</v>
      </c>
      <c r="AI1107">
        <v>4.99</v>
      </c>
      <c r="AL1107" t="s">
        <v>5011</v>
      </c>
      <c r="AM1107">
        <v>843</v>
      </c>
      <c r="AS1107">
        <v>0.08</v>
      </c>
      <c r="AT1107" t="s">
        <v>511</v>
      </c>
      <c r="AU1107" t="s">
        <v>120</v>
      </c>
      <c r="AV1107" t="s">
        <v>25335</v>
      </c>
      <c r="AW1107" t="s">
        <v>11447</v>
      </c>
    </row>
    <row r="1108" spans="1:49">
      <c r="A1108" s="1">
        <f>HYPERLINK("https://lsnyc.legalserver.org/matter/dynamic-profile/view/1907767","19-1907767")</f>
        <v>0</v>
      </c>
      <c r="B1108" t="s">
        <v>174</v>
      </c>
      <c r="C1108" t="s">
        <v>377</v>
      </c>
      <c r="E1108" t="s">
        <v>1194</v>
      </c>
      <c r="F1108" t="s">
        <v>1999</v>
      </c>
      <c r="G1108" t="s">
        <v>7227</v>
      </c>
      <c r="H1108" t="s">
        <v>10451</v>
      </c>
      <c r="I1108" t="s">
        <v>11385</v>
      </c>
      <c r="J1108">
        <v>11212</v>
      </c>
      <c r="K1108" t="s">
        <v>11446</v>
      </c>
      <c r="L1108" t="s">
        <v>11459</v>
      </c>
      <c r="M1108" t="s">
        <v>14745</v>
      </c>
      <c r="N1108" t="s">
        <v>14779</v>
      </c>
      <c r="P1108" t="s">
        <v>14797</v>
      </c>
      <c r="Q1108" t="s">
        <v>11446</v>
      </c>
      <c r="S1108" t="s">
        <v>14827</v>
      </c>
      <c r="U1108" t="s">
        <v>373</v>
      </c>
      <c r="V1108">
        <v>165</v>
      </c>
      <c r="W1108" t="s">
        <v>14859</v>
      </c>
      <c r="X1108" t="s">
        <v>14864</v>
      </c>
      <c r="Z1108" t="s">
        <v>15946</v>
      </c>
      <c r="AB1108" t="s">
        <v>21036</v>
      </c>
      <c r="AC1108">
        <v>96</v>
      </c>
      <c r="AD1108" t="s">
        <v>24595</v>
      </c>
      <c r="AE1108" t="s">
        <v>14755</v>
      </c>
      <c r="AF1108">
        <v>6</v>
      </c>
      <c r="AG1108">
        <v>1</v>
      </c>
      <c r="AH1108">
        <v>0</v>
      </c>
      <c r="AI1108">
        <v>76.29000000000001</v>
      </c>
      <c r="AL1108" t="s">
        <v>5011</v>
      </c>
      <c r="AM1108">
        <v>9528</v>
      </c>
      <c r="AS1108">
        <v>0</v>
      </c>
      <c r="AU1108" t="s">
        <v>120</v>
      </c>
      <c r="AV1108" t="s">
        <v>25335</v>
      </c>
      <c r="AW1108" t="s">
        <v>11447</v>
      </c>
    </row>
    <row r="1109" spans="1:49">
      <c r="A1109" s="1">
        <f>HYPERLINK("https://lsnyc.legalserver.org/matter/dynamic-profile/view/1906690","19-1906690")</f>
        <v>0</v>
      </c>
      <c r="B1109" t="s">
        <v>138</v>
      </c>
      <c r="C1109" t="s">
        <v>373</v>
      </c>
      <c r="E1109" t="s">
        <v>1783</v>
      </c>
      <c r="F1109" t="s">
        <v>1430</v>
      </c>
      <c r="G1109" t="s">
        <v>7261</v>
      </c>
      <c r="I1109" t="s">
        <v>11389</v>
      </c>
      <c r="J1109">
        <v>11354</v>
      </c>
      <c r="K1109" t="s">
        <v>11446</v>
      </c>
      <c r="L1109" t="s">
        <v>11811</v>
      </c>
      <c r="M1109" t="s">
        <v>14768</v>
      </c>
      <c r="N1109" t="s">
        <v>14783</v>
      </c>
      <c r="P1109" t="s">
        <v>14797</v>
      </c>
      <c r="Q1109" t="s">
        <v>11448</v>
      </c>
      <c r="S1109" t="s">
        <v>14827</v>
      </c>
      <c r="T1109" t="s">
        <v>14832</v>
      </c>
      <c r="U1109" t="s">
        <v>373</v>
      </c>
      <c r="V1109">
        <v>1100</v>
      </c>
      <c r="W1109" t="s">
        <v>14861</v>
      </c>
      <c r="X1109" t="s">
        <v>14868</v>
      </c>
      <c r="Z1109" t="s">
        <v>15947</v>
      </c>
      <c r="AA1109" t="s">
        <v>19344</v>
      </c>
      <c r="AB1109" t="s">
        <v>21037</v>
      </c>
      <c r="AC1109">
        <v>2</v>
      </c>
      <c r="AD1109" t="s">
        <v>24600</v>
      </c>
      <c r="AE1109" t="s">
        <v>11459</v>
      </c>
      <c r="AF1109">
        <v>1</v>
      </c>
      <c r="AG1109">
        <v>1</v>
      </c>
      <c r="AH1109">
        <v>0</v>
      </c>
      <c r="AI1109">
        <v>120.1</v>
      </c>
      <c r="AL1109" t="s">
        <v>24638</v>
      </c>
      <c r="AM1109">
        <v>15000</v>
      </c>
      <c r="AP1109" t="s">
        <v>14755</v>
      </c>
      <c r="AS1109">
        <v>16.15</v>
      </c>
      <c r="AT1109" t="s">
        <v>539</v>
      </c>
      <c r="AU1109" t="s">
        <v>292</v>
      </c>
      <c r="AV1109" t="s">
        <v>25335</v>
      </c>
      <c r="AW1109" t="s">
        <v>11447</v>
      </c>
    </row>
    <row r="1110" spans="1:49">
      <c r="A1110" s="1">
        <f>HYPERLINK("https://lsnyc.legalserver.org/matter/dynamic-profile/view/1906581","19-1906581")</f>
        <v>0</v>
      </c>
      <c r="B1110" t="s">
        <v>110</v>
      </c>
      <c r="C1110" t="s">
        <v>373</v>
      </c>
      <c r="E1110" t="s">
        <v>1224</v>
      </c>
      <c r="F1110" t="s">
        <v>4283</v>
      </c>
      <c r="G1110" t="s">
        <v>7262</v>
      </c>
      <c r="H1110" t="s">
        <v>10575</v>
      </c>
      <c r="I1110" t="s">
        <v>11392</v>
      </c>
      <c r="J1110">
        <v>11372</v>
      </c>
      <c r="K1110" t="s">
        <v>11446</v>
      </c>
      <c r="L1110" t="s">
        <v>11812</v>
      </c>
      <c r="M1110" t="s">
        <v>14743</v>
      </c>
      <c r="N1110" t="s">
        <v>14781</v>
      </c>
      <c r="P1110" t="s">
        <v>14797</v>
      </c>
      <c r="Q1110" t="s">
        <v>11448</v>
      </c>
      <c r="S1110" t="s">
        <v>14827</v>
      </c>
      <c r="T1110" t="s">
        <v>14832</v>
      </c>
      <c r="U1110" t="s">
        <v>373</v>
      </c>
      <c r="V1110">
        <v>1150</v>
      </c>
      <c r="W1110" t="s">
        <v>14861</v>
      </c>
      <c r="X1110" t="s">
        <v>14865</v>
      </c>
      <c r="Z1110" t="s">
        <v>15948</v>
      </c>
      <c r="AA1110" t="s">
        <v>19408</v>
      </c>
      <c r="AB1110" t="s">
        <v>21038</v>
      </c>
      <c r="AC1110">
        <v>101</v>
      </c>
      <c r="AD1110" t="s">
        <v>24595</v>
      </c>
      <c r="AE1110" t="s">
        <v>11459</v>
      </c>
      <c r="AF1110">
        <v>22</v>
      </c>
      <c r="AG1110">
        <v>3</v>
      </c>
      <c r="AH1110">
        <v>0</v>
      </c>
      <c r="AI1110">
        <v>127.52</v>
      </c>
      <c r="AL1110" t="s">
        <v>24632</v>
      </c>
      <c r="AM1110">
        <v>27200</v>
      </c>
      <c r="AP1110" t="s">
        <v>14755</v>
      </c>
      <c r="AS1110">
        <v>18.45</v>
      </c>
      <c r="AT1110" t="s">
        <v>477</v>
      </c>
      <c r="AU1110" t="s">
        <v>292</v>
      </c>
      <c r="AV1110" t="s">
        <v>25335</v>
      </c>
      <c r="AW1110" t="s">
        <v>11447</v>
      </c>
    </row>
    <row r="1111" spans="1:49">
      <c r="A1111" s="1">
        <f>HYPERLINK("https://lsnyc.legalserver.org/matter/dynamic-profile/view/1906627","19-1906627")</f>
        <v>0</v>
      </c>
      <c r="B1111" t="s">
        <v>203</v>
      </c>
      <c r="C1111" t="s">
        <v>373</v>
      </c>
      <c r="E1111" t="s">
        <v>1132</v>
      </c>
      <c r="F1111" t="s">
        <v>3044</v>
      </c>
      <c r="G1111" t="s">
        <v>7263</v>
      </c>
      <c r="I1111" t="s">
        <v>11385</v>
      </c>
      <c r="J1111">
        <v>11206</v>
      </c>
      <c r="K1111" t="s">
        <v>11446</v>
      </c>
      <c r="L1111" t="s">
        <v>11813</v>
      </c>
      <c r="M1111" t="s">
        <v>14744</v>
      </c>
      <c r="N1111" t="s">
        <v>14781</v>
      </c>
      <c r="P1111" t="s">
        <v>14797</v>
      </c>
      <c r="Q1111" t="s">
        <v>11448</v>
      </c>
      <c r="S1111" t="s">
        <v>14827</v>
      </c>
      <c r="T1111" t="s">
        <v>14832</v>
      </c>
      <c r="U1111" t="s">
        <v>373</v>
      </c>
      <c r="V1111">
        <v>588</v>
      </c>
      <c r="W1111" t="s">
        <v>14859</v>
      </c>
      <c r="X1111" t="s">
        <v>14868</v>
      </c>
      <c r="Z1111" t="s">
        <v>15949</v>
      </c>
      <c r="AB1111" t="s">
        <v>21039</v>
      </c>
      <c r="AC1111">
        <v>8</v>
      </c>
      <c r="AD1111" t="s">
        <v>24595</v>
      </c>
      <c r="AF1111">
        <v>4</v>
      </c>
      <c r="AG1111">
        <v>1</v>
      </c>
      <c r="AH1111">
        <v>1</v>
      </c>
      <c r="AI1111">
        <v>218.81</v>
      </c>
      <c r="AJ1111" t="s">
        <v>462</v>
      </c>
      <c r="AK1111" t="s">
        <v>24629</v>
      </c>
      <c r="AL1111" t="s">
        <v>5011</v>
      </c>
      <c r="AM1111">
        <v>37000</v>
      </c>
      <c r="AS1111">
        <v>21.65</v>
      </c>
      <c r="AT1111" t="s">
        <v>533</v>
      </c>
      <c r="AU1111" t="s">
        <v>181</v>
      </c>
      <c r="AV1111" t="s">
        <v>25335</v>
      </c>
      <c r="AW1111" t="s">
        <v>11447</v>
      </c>
    </row>
    <row r="1112" spans="1:49">
      <c r="A1112" s="1">
        <f>HYPERLINK("https://lsnyc.legalserver.org/matter/dynamic-profile/view/1906550","19-1906550")</f>
        <v>0</v>
      </c>
      <c r="B1112" t="s">
        <v>222</v>
      </c>
      <c r="C1112" t="s">
        <v>373</v>
      </c>
      <c r="E1112" t="s">
        <v>1754</v>
      </c>
      <c r="F1112" t="s">
        <v>4254</v>
      </c>
      <c r="G1112" t="s">
        <v>7223</v>
      </c>
      <c r="H1112" t="s">
        <v>10581</v>
      </c>
      <c r="I1112" t="s">
        <v>11385</v>
      </c>
      <c r="J1112">
        <v>11225</v>
      </c>
      <c r="K1112" t="s">
        <v>11446</v>
      </c>
      <c r="M1112" t="s">
        <v>14762</v>
      </c>
      <c r="N1112" t="s">
        <v>14783</v>
      </c>
      <c r="P1112" t="s">
        <v>14797</v>
      </c>
      <c r="Q1112" t="s">
        <v>11446</v>
      </c>
      <c r="R1112" t="s">
        <v>14820</v>
      </c>
      <c r="S1112" t="s">
        <v>14827</v>
      </c>
      <c r="U1112" t="s">
        <v>373</v>
      </c>
      <c r="V1112">
        <v>1639.26</v>
      </c>
      <c r="W1112" t="s">
        <v>14859</v>
      </c>
      <c r="Z1112" t="s">
        <v>15894</v>
      </c>
      <c r="AB1112" t="s">
        <v>20984</v>
      </c>
      <c r="AC1112">
        <v>11</v>
      </c>
      <c r="AD1112" t="s">
        <v>24595</v>
      </c>
      <c r="AF1112">
        <v>7</v>
      </c>
      <c r="AG1112">
        <v>2</v>
      </c>
      <c r="AH1112">
        <v>0</v>
      </c>
      <c r="AI1112">
        <v>473.09</v>
      </c>
      <c r="AL1112" t="s">
        <v>5011</v>
      </c>
      <c r="AM1112">
        <v>80000</v>
      </c>
      <c r="AS1112">
        <v>0.1</v>
      </c>
      <c r="AT1112" t="s">
        <v>458</v>
      </c>
      <c r="AU1112" t="s">
        <v>75</v>
      </c>
      <c r="AV1112" t="s">
        <v>25335</v>
      </c>
      <c r="AW1112" t="s">
        <v>11447</v>
      </c>
    </row>
    <row r="1113" spans="1:49">
      <c r="A1113" s="1">
        <f>HYPERLINK("https://lsnyc.legalserver.org/matter/dynamic-profile/view/1906862","19-1906862")</f>
        <v>0</v>
      </c>
      <c r="B1113" t="s">
        <v>87</v>
      </c>
      <c r="C1113" t="s">
        <v>564</v>
      </c>
      <c r="E1113" t="s">
        <v>1242</v>
      </c>
      <c r="F1113" t="s">
        <v>4284</v>
      </c>
      <c r="G1113" t="s">
        <v>7046</v>
      </c>
      <c r="H1113" t="s">
        <v>10783</v>
      </c>
      <c r="I1113" t="s">
        <v>11384</v>
      </c>
      <c r="J1113">
        <v>10301</v>
      </c>
      <c r="K1113" t="s">
        <v>11446</v>
      </c>
      <c r="L1113" t="s">
        <v>11814</v>
      </c>
      <c r="M1113" t="s">
        <v>14744</v>
      </c>
      <c r="N1113" t="s">
        <v>14781</v>
      </c>
      <c r="P1113" t="s">
        <v>14797</v>
      </c>
      <c r="Q1113" t="s">
        <v>11448</v>
      </c>
      <c r="S1113" t="s">
        <v>14827</v>
      </c>
      <c r="T1113" t="s">
        <v>14832</v>
      </c>
      <c r="U1113" t="s">
        <v>564</v>
      </c>
      <c r="V1113">
        <v>0</v>
      </c>
      <c r="W1113" t="s">
        <v>14862</v>
      </c>
      <c r="X1113" t="s">
        <v>14868</v>
      </c>
      <c r="Z1113" t="s">
        <v>15950</v>
      </c>
      <c r="AB1113" t="s">
        <v>21040</v>
      </c>
      <c r="AC1113">
        <v>454</v>
      </c>
      <c r="AE1113" t="s">
        <v>11459</v>
      </c>
      <c r="AF1113">
        <v>-1</v>
      </c>
      <c r="AG1113">
        <v>1</v>
      </c>
      <c r="AH1113">
        <v>2</v>
      </c>
      <c r="AI1113">
        <v>85.33</v>
      </c>
      <c r="AL1113" t="s">
        <v>24646</v>
      </c>
      <c r="AM1113">
        <v>18200</v>
      </c>
      <c r="AS1113">
        <v>14.75</v>
      </c>
      <c r="AT1113" t="s">
        <v>516</v>
      </c>
      <c r="AU1113" t="s">
        <v>25270</v>
      </c>
      <c r="AV1113" t="s">
        <v>25335</v>
      </c>
      <c r="AW1113" t="s">
        <v>11447</v>
      </c>
    </row>
    <row r="1114" spans="1:49">
      <c r="A1114" s="1">
        <f>HYPERLINK("https://lsnyc.legalserver.org/matter/dynamic-profile/view/1909123","19-1909123")</f>
        <v>0</v>
      </c>
      <c r="B1114" t="s">
        <v>205</v>
      </c>
      <c r="C1114" t="s">
        <v>462</v>
      </c>
      <c r="E1114" t="s">
        <v>1784</v>
      </c>
      <c r="F1114" t="s">
        <v>4285</v>
      </c>
      <c r="G1114" t="s">
        <v>7264</v>
      </c>
      <c r="H1114" t="s">
        <v>10559</v>
      </c>
      <c r="I1114" t="s">
        <v>11386</v>
      </c>
      <c r="J1114">
        <v>10035</v>
      </c>
      <c r="K1114" t="s">
        <v>11446</v>
      </c>
      <c r="M1114" t="s">
        <v>11601</v>
      </c>
      <c r="N1114" t="s">
        <v>14779</v>
      </c>
      <c r="P1114" t="s">
        <v>14797</v>
      </c>
      <c r="Q1114" t="s">
        <v>11446</v>
      </c>
      <c r="S1114" t="s">
        <v>14827</v>
      </c>
      <c r="T1114" t="s">
        <v>14838</v>
      </c>
      <c r="U1114" t="s">
        <v>564</v>
      </c>
      <c r="V1114">
        <v>1893</v>
      </c>
      <c r="W1114" t="s">
        <v>14860</v>
      </c>
      <c r="X1114" t="s">
        <v>14870</v>
      </c>
      <c r="Z1114" t="s">
        <v>15951</v>
      </c>
      <c r="AB1114" t="s">
        <v>21041</v>
      </c>
      <c r="AC1114">
        <v>72</v>
      </c>
      <c r="AD1114" t="s">
        <v>24595</v>
      </c>
      <c r="AE1114" t="s">
        <v>24610</v>
      </c>
      <c r="AF1114">
        <v>33</v>
      </c>
      <c r="AG1114">
        <v>3</v>
      </c>
      <c r="AH1114">
        <v>1</v>
      </c>
      <c r="AI1114">
        <v>229.13</v>
      </c>
      <c r="AL1114" t="s">
        <v>5011</v>
      </c>
      <c r="AM1114">
        <v>59000</v>
      </c>
      <c r="AS1114">
        <v>11.5</v>
      </c>
      <c r="AT1114" t="s">
        <v>476</v>
      </c>
      <c r="AU1114" t="s">
        <v>25266</v>
      </c>
      <c r="AV1114" t="s">
        <v>25335</v>
      </c>
      <c r="AW1114" t="s">
        <v>11447</v>
      </c>
    </row>
    <row r="1115" spans="1:49">
      <c r="A1115" s="1">
        <f>HYPERLINK("https://lsnyc.legalserver.org/matter/dynamic-profile/view/1909127","19-1909127")</f>
        <v>0</v>
      </c>
      <c r="B1115" t="s">
        <v>205</v>
      </c>
      <c r="C1115" t="s">
        <v>462</v>
      </c>
      <c r="E1115" t="s">
        <v>1032</v>
      </c>
      <c r="F1115" t="s">
        <v>4286</v>
      </c>
      <c r="G1115" t="s">
        <v>7264</v>
      </c>
      <c r="H1115" t="s">
        <v>10552</v>
      </c>
      <c r="I1115" t="s">
        <v>11386</v>
      </c>
      <c r="J1115">
        <v>10035</v>
      </c>
      <c r="K1115" t="s">
        <v>11446</v>
      </c>
      <c r="M1115" t="s">
        <v>14743</v>
      </c>
      <c r="N1115" t="s">
        <v>14779</v>
      </c>
      <c r="P1115" t="s">
        <v>14797</v>
      </c>
      <c r="Q1115" t="s">
        <v>11448</v>
      </c>
      <c r="S1115" t="s">
        <v>14827</v>
      </c>
      <c r="T1115" t="s">
        <v>14832</v>
      </c>
      <c r="U1115" t="s">
        <v>564</v>
      </c>
      <c r="V1115">
        <v>2150</v>
      </c>
      <c r="W1115" t="s">
        <v>14860</v>
      </c>
      <c r="X1115" t="s">
        <v>14870</v>
      </c>
      <c r="Z1115" t="s">
        <v>15952</v>
      </c>
      <c r="AB1115" t="s">
        <v>21042</v>
      </c>
      <c r="AC1115">
        <v>72</v>
      </c>
      <c r="AD1115" t="s">
        <v>24595</v>
      </c>
      <c r="AE1115" t="s">
        <v>11459</v>
      </c>
      <c r="AF1115">
        <v>1</v>
      </c>
      <c r="AG1115">
        <v>2</v>
      </c>
      <c r="AH1115">
        <v>0</v>
      </c>
      <c r="AI1115">
        <v>413.96</v>
      </c>
      <c r="AL1115" t="s">
        <v>5011</v>
      </c>
      <c r="AM1115">
        <v>70000</v>
      </c>
      <c r="AS1115">
        <v>2.5</v>
      </c>
      <c r="AT1115" t="s">
        <v>486</v>
      </c>
      <c r="AU1115" t="s">
        <v>25266</v>
      </c>
      <c r="AV1115" t="s">
        <v>25335</v>
      </c>
      <c r="AW1115" t="s">
        <v>11447</v>
      </c>
    </row>
    <row r="1116" spans="1:49">
      <c r="A1116" s="1">
        <f>HYPERLINK("https://lsnyc.legalserver.org/matter/dynamic-profile/view/1906910","19-1906910")</f>
        <v>0</v>
      </c>
      <c r="B1116" t="s">
        <v>205</v>
      </c>
      <c r="C1116" t="s">
        <v>354</v>
      </c>
      <c r="E1116" t="s">
        <v>1025</v>
      </c>
      <c r="F1116" t="s">
        <v>4287</v>
      </c>
      <c r="G1116" t="s">
        <v>7265</v>
      </c>
      <c r="H1116" t="s">
        <v>10513</v>
      </c>
      <c r="I1116" t="s">
        <v>11386</v>
      </c>
      <c r="J1116">
        <v>10035</v>
      </c>
      <c r="K1116" t="s">
        <v>11446</v>
      </c>
      <c r="M1116" t="s">
        <v>14769</v>
      </c>
      <c r="N1116" t="s">
        <v>14779</v>
      </c>
      <c r="P1116" t="s">
        <v>14797</v>
      </c>
      <c r="Q1116" t="s">
        <v>11448</v>
      </c>
      <c r="S1116" t="s">
        <v>14827</v>
      </c>
      <c r="T1116" t="s">
        <v>14834</v>
      </c>
      <c r="U1116" t="s">
        <v>354</v>
      </c>
      <c r="V1116">
        <v>645</v>
      </c>
      <c r="W1116" t="s">
        <v>14860</v>
      </c>
      <c r="X1116" t="s">
        <v>14868</v>
      </c>
      <c r="Z1116" t="s">
        <v>15953</v>
      </c>
      <c r="AA1116" t="s">
        <v>19409</v>
      </c>
      <c r="AC1116">
        <v>8</v>
      </c>
      <c r="AD1116" t="s">
        <v>24595</v>
      </c>
      <c r="AE1116" t="s">
        <v>24615</v>
      </c>
      <c r="AF1116">
        <v>20</v>
      </c>
      <c r="AG1116">
        <v>1</v>
      </c>
      <c r="AH1116">
        <v>2</v>
      </c>
      <c r="AI1116">
        <v>14.91</v>
      </c>
      <c r="AL1116" t="s">
        <v>24632</v>
      </c>
      <c r="AM1116">
        <v>3180</v>
      </c>
      <c r="AP1116" t="s">
        <v>24951</v>
      </c>
      <c r="AS1116">
        <v>16.1</v>
      </c>
      <c r="AT1116" t="s">
        <v>602</v>
      </c>
      <c r="AU1116" t="s">
        <v>25266</v>
      </c>
      <c r="AV1116" t="s">
        <v>25335</v>
      </c>
      <c r="AW1116" t="s">
        <v>11447</v>
      </c>
    </row>
    <row r="1117" spans="1:49">
      <c r="A1117" s="1">
        <f>HYPERLINK("https://lsnyc.legalserver.org/matter/dynamic-profile/view/1908586","19-1908586")</f>
        <v>0</v>
      </c>
      <c r="B1117" t="s">
        <v>205</v>
      </c>
      <c r="C1117" t="s">
        <v>497</v>
      </c>
      <c r="E1117" t="s">
        <v>1030</v>
      </c>
      <c r="F1117" t="s">
        <v>4288</v>
      </c>
      <c r="G1117" t="s">
        <v>7264</v>
      </c>
      <c r="H1117" t="s">
        <v>10452</v>
      </c>
      <c r="I1117" t="s">
        <v>11386</v>
      </c>
      <c r="J1117">
        <v>10035</v>
      </c>
      <c r="K1117" t="s">
        <v>11446</v>
      </c>
      <c r="L1117" t="s">
        <v>11815</v>
      </c>
      <c r="M1117" t="s">
        <v>14744</v>
      </c>
      <c r="N1117" t="s">
        <v>14781</v>
      </c>
      <c r="P1117" t="s">
        <v>14797</v>
      </c>
      <c r="Q1117" t="s">
        <v>11446</v>
      </c>
      <c r="S1117" t="s">
        <v>14827</v>
      </c>
      <c r="T1117" t="s">
        <v>14832</v>
      </c>
      <c r="U1117" t="s">
        <v>354</v>
      </c>
      <c r="V1117">
        <v>1630.81</v>
      </c>
      <c r="W1117" t="s">
        <v>14860</v>
      </c>
      <c r="X1117" t="s">
        <v>14876</v>
      </c>
      <c r="Z1117" t="s">
        <v>15954</v>
      </c>
      <c r="AB1117" t="s">
        <v>21043</v>
      </c>
      <c r="AC1117">
        <v>72</v>
      </c>
      <c r="AD1117" t="s">
        <v>24595</v>
      </c>
      <c r="AE1117" t="s">
        <v>24610</v>
      </c>
      <c r="AF1117">
        <v>19</v>
      </c>
      <c r="AG1117">
        <v>2</v>
      </c>
      <c r="AH1117">
        <v>2</v>
      </c>
      <c r="AI1117">
        <v>73.70999999999999</v>
      </c>
      <c r="AL1117" t="s">
        <v>5011</v>
      </c>
      <c r="AM1117">
        <v>18980</v>
      </c>
      <c r="AS1117">
        <v>1</v>
      </c>
      <c r="AT1117" t="s">
        <v>470</v>
      </c>
      <c r="AU1117" t="s">
        <v>25266</v>
      </c>
      <c r="AV1117" t="s">
        <v>25335</v>
      </c>
      <c r="AW1117" t="s">
        <v>11447</v>
      </c>
    </row>
    <row r="1118" spans="1:49">
      <c r="A1118" s="1">
        <f>HYPERLINK("https://lsnyc.legalserver.org/matter/dynamic-profile/view/1907769","19-1907769")</f>
        <v>0</v>
      </c>
      <c r="B1118" t="s">
        <v>174</v>
      </c>
      <c r="C1118" t="s">
        <v>377</v>
      </c>
      <c r="E1118" t="s">
        <v>1785</v>
      </c>
      <c r="F1118" t="s">
        <v>3719</v>
      </c>
      <c r="G1118" t="s">
        <v>7227</v>
      </c>
      <c r="H1118" t="s">
        <v>10448</v>
      </c>
      <c r="I1118" t="s">
        <v>11385</v>
      </c>
      <c r="J1118">
        <v>11212</v>
      </c>
      <c r="K1118" t="s">
        <v>11446</v>
      </c>
      <c r="L1118" t="s">
        <v>11459</v>
      </c>
      <c r="M1118" t="s">
        <v>14745</v>
      </c>
      <c r="N1118" t="s">
        <v>14779</v>
      </c>
      <c r="P1118" t="s">
        <v>14797</v>
      </c>
      <c r="Q1118" t="s">
        <v>11446</v>
      </c>
      <c r="S1118" t="s">
        <v>14827</v>
      </c>
      <c r="T1118" t="s">
        <v>14832</v>
      </c>
      <c r="U1118" t="s">
        <v>354</v>
      </c>
      <c r="V1118">
        <v>257</v>
      </c>
      <c r="W1118" t="s">
        <v>14859</v>
      </c>
      <c r="X1118" t="s">
        <v>14864</v>
      </c>
      <c r="Z1118" t="s">
        <v>15419</v>
      </c>
      <c r="AB1118" t="s">
        <v>21044</v>
      </c>
      <c r="AC1118">
        <v>96</v>
      </c>
      <c r="AD1118" t="s">
        <v>24595</v>
      </c>
      <c r="AE1118" t="s">
        <v>14755</v>
      </c>
      <c r="AF1118">
        <v>6</v>
      </c>
      <c r="AG1118">
        <v>1</v>
      </c>
      <c r="AH1118">
        <v>0</v>
      </c>
      <c r="AI1118">
        <v>76</v>
      </c>
      <c r="AL1118" t="s">
        <v>5011</v>
      </c>
      <c r="AM1118">
        <v>9492</v>
      </c>
      <c r="AS1118">
        <v>0.08</v>
      </c>
      <c r="AT1118" t="s">
        <v>511</v>
      </c>
      <c r="AU1118" t="s">
        <v>120</v>
      </c>
      <c r="AV1118" t="s">
        <v>25335</v>
      </c>
      <c r="AW1118" t="s">
        <v>11447</v>
      </c>
    </row>
    <row r="1119" spans="1:49">
      <c r="A1119" s="1">
        <f>HYPERLINK("https://lsnyc.legalserver.org/matter/dynamic-profile/view/1906962","19-1906962")</f>
        <v>0</v>
      </c>
      <c r="B1119" t="s">
        <v>136</v>
      </c>
      <c r="C1119" t="s">
        <v>354</v>
      </c>
      <c r="E1119" t="s">
        <v>1135</v>
      </c>
      <c r="F1119" t="s">
        <v>3552</v>
      </c>
      <c r="G1119" t="s">
        <v>7257</v>
      </c>
      <c r="I1119" t="s">
        <v>11385</v>
      </c>
      <c r="J1119">
        <v>11208</v>
      </c>
      <c r="K1119" t="s">
        <v>11446</v>
      </c>
      <c r="M1119" t="s">
        <v>14754</v>
      </c>
      <c r="N1119" t="s">
        <v>14783</v>
      </c>
      <c r="P1119" t="s">
        <v>14797</v>
      </c>
      <c r="Q1119" t="s">
        <v>11448</v>
      </c>
      <c r="S1119" t="s">
        <v>14827</v>
      </c>
      <c r="U1119" t="s">
        <v>354</v>
      </c>
      <c r="V1119">
        <v>0</v>
      </c>
      <c r="W1119" t="s">
        <v>14859</v>
      </c>
      <c r="Z1119" t="s">
        <v>15955</v>
      </c>
      <c r="AB1119" t="s">
        <v>21045</v>
      </c>
      <c r="AC1119">
        <v>4</v>
      </c>
      <c r="AF1119">
        <v>0</v>
      </c>
      <c r="AG1119">
        <v>1</v>
      </c>
      <c r="AH1119">
        <v>0</v>
      </c>
      <c r="AI1119">
        <v>116.54</v>
      </c>
      <c r="AL1119" t="s">
        <v>24632</v>
      </c>
      <c r="AM1119">
        <v>14556</v>
      </c>
      <c r="AS1119">
        <v>0</v>
      </c>
      <c r="AU1119" t="s">
        <v>75</v>
      </c>
      <c r="AV1119" t="s">
        <v>25335</v>
      </c>
      <c r="AW1119" t="s">
        <v>11447</v>
      </c>
    </row>
    <row r="1120" spans="1:49">
      <c r="A1120" s="1">
        <f>HYPERLINK("https://lsnyc.legalserver.org/matter/dynamic-profile/view/1906449","19-1906449")</f>
        <v>0</v>
      </c>
      <c r="B1120" t="s">
        <v>56</v>
      </c>
      <c r="C1120" t="s">
        <v>485</v>
      </c>
      <c r="E1120" t="s">
        <v>1786</v>
      </c>
      <c r="F1120" t="s">
        <v>4289</v>
      </c>
      <c r="G1120" t="s">
        <v>7266</v>
      </c>
      <c r="H1120" t="s">
        <v>10482</v>
      </c>
      <c r="I1120" t="s">
        <v>11385</v>
      </c>
      <c r="J1120">
        <v>11239</v>
      </c>
      <c r="K1120" t="s">
        <v>11446</v>
      </c>
      <c r="L1120" t="s">
        <v>11816</v>
      </c>
      <c r="M1120" t="s">
        <v>14744</v>
      </c>
      <c r="N1120" t="s">
        <v>14781</v>
      </c>
      <c r="P1120" t="s">
        <v>14797</v>
      </c>
      <c r="Q1120" t="s">
        <v>11448</v>
      </c>
      <c r="S1120" t="s">
        <v>14827</v>
      </c>
      <c r="T1120" t="s">
        <v>14832</v>
      </c>
      <c r="U1120" t="s">
        <v>354</v>
      </c>
      <c r="V1120">
        <v>1205</v>
      </c>
      <c r="W1120" t="s">
        <v>14859</v>
      </c>
      <c r="X1120" t="s">
        <v>14866</v>
      </c>
      <c r="Z1120" t="s">
        <v>15956</v>
      </c>
      <c r="AA1120" t="s">
        <v>11465</v>
      </c>
      <c r="AB1120" t="s">
        <v>21046</v>
      </c>
      <c r="AC1120">
        <v>80</v>
      </c>
      <c r="AD1120" t="s">
        <v>24595</v>
      </c>
      <c r="AE1120" t="s">
        <v>24614</v>
      </c>
      <c r="AF1120">
        <v>9</v>
      </c>
      <c r="AG1120">
        <v>1</v>
      </c>
      <c r="AH1120">
        <v>0</v>
      </c>
      <c r="AI1120">
        <v>187.35</v>
      </c>
      <c r="AL1120" t="s">
        <v>5011</v>
      </c>
      <c r="AM1120">
        <v>23400</v>
      </c>
      <c r="AS1120">
        <v>11.3</v>
      </c>
      <c r="AT1120" t="s">
        <v>483</v>
      </c>
      <c r="AU1120" t="s">
        <v>25241</v>
      </c>
      <c r="AV1120" t="s">
        <v>25335</v>
      </c>
      <c r="AW1120" t="s">
        <v>11447</v>
      </c>
    </row>
    <row r="1121" spans="1:49">
      <c r="A1121" s="1">
        <f>HYPERLINK("https://lsnyc.legalserver.org/matter/dynamic-profile/view/1907063","19-1907063")</f>
        <v>0</v>
      </c>
      <c r="B1121" t="s">
        <v>210</v>
      </c>
      <c r="C1121" t="s">
        <v>626</v>
      </c>
      <c r="E1121" t="s">
        <v>1787</v>
      </c>
      <c r="F1121" t="s">
        <v>4290</v>
      </c>
      <c r="G1121" t="s">
        <v>7267</v>
      </c>
      <c r="H1121" t="s">
        <v>10547</v>
      </c>
      <c r="I1121" t="s">
        <v>11385</v>
      </c>
      <c r="J1121">
        <v>11213</v>
      </c>
      <c r="K1121" t="s">
        <v>11446</v>
      </c>
      <c r="M1121" t="s">
        <v>14745</v>
      </c>
      <c r="N1121" t="s">
        <v>14780</v>
      </c>
      <c r="P1121" t="s">
        <v>14797</v>
      </c>
      <c r="S1121" t="s">
        <v>14827</v>
      </c>
      <c r="U1121" t="s">
        <v>354</v>
      </c>
      <c r="V1121">
        <v>0</v>
      </c>
      <c r="W1121" t="s">
        <v>14859</v>
      </c>
      <c r="Z1121" t="s">
        <v>15957</v>
      </c>
      <c r="AB1121" t="s">
        <v>21047</v>
      </c>
      <c r="AC1121">
        <v>38</v>
      </c>
      <c r="AF1121">
        <v>0</v>
      </c>
      <c r="AG1121">
        <v>2</v>
      </c>
      <c r="AH1121">
        <v>0</v>
      </c>
      <c r="AI1121">
        <v>839.15</v>
      </c>
      <c r="AL1121" t="s">
        <v>5011</v>
      </c>
      <c r="AM1121">
        <v>141900</v>
      </c>
      <c r="AS1121">
        <v>1.4</v>
      </c>
      <c r="AT1121" t="s">
        <v>626</v>
      </c>
      <c r="AU1121" t="s">
        <v>177</v>
      </c>
      <c r="AV1121" t="s">
        <v>11459</v>
      </c>
      <c r="AW1121" t="s">
        <v>11447</v>
      </c>
    </row>
    <row r="1122" spans="1:49">
      <c r="A1122" s="1">
        <f>HYPERLINK("https://lsnyc.legalserver.org/matter/dynamic-profile/view/1906999","19-1906999")</f>
        <v>0</v>
      </c>
      <c r="B1122" t="s">
        <v>216</v>
      </c>
      <c r="C1122" t="s">
        <v>626</v>
      </c>
      <c r="E1122" t="s">
        <v>1788</v>
      </c>
      <c r="F1122" t="s">
        <v>4291</v>
      </c>
      <c r="G1122" t="s">
        <v>7268</v>
      </c>
      <c r="H1122">
        <v>25</v>
      </c>
      <c r="I1122" t="s">
        <v>11386</v>
      </c>
      <c r="J1122">
        <v>10034</v>
      </c>
      <c r="K1122" t="s">
        <v>11446</v>
      </c>
      <c r="N1122" t="s">
        <v>14782</v>
      </c>
      <c r="P1122" t="s">
        <v>14797</v>
      </c>
      <c r="Q1122" t="s">
        <v>11448</v>
      </c>
      <c r="S1122" t="s">
        <v>14827</v>
      </c>
      <c r="U1122" t="s">
        <v>626</v>
      </c>
      <c r="V1122">
        <v>1138</v>
      </c>
      <c r="W1122" t="s">
        <v>14860</v>
      </c>
      <c r="X1122" t="s">
        <v>14867</v>
      </c>
      <c r="Z1122" t="s">
        <v>15958</v>
      </c>
      <c r="AB1122" t="s">
        <v>21048</v>
      </c>
      <c r="AC1122">
        <v>26</v>
      </c>
      <c r="AD1122" t="s">
        <v>24595</v>
      </c>
      <c r="AE1122" t="s">
        <v>11459</v>
      </c>
      <c r="AF1122">
        <v>45</v>
      </c>
      <c r="AG1122">
        <v>1</v>
      </c>
      <c r="AH1122">
        <v>0</v>
      </c>
      <c r="AI1122">
        <v>0</v>
      </c>
      <c r="AL1122" t="s">
        <v>5011</v>
      </c>
      <c r="AM1122">
        <v>0</v>
      </c>
      <c r="AS1122">
        <v>2.9</v>
      </c>
      <c r="AT1122" t="s">
        <v>504</v>
      </c>
      <c r="AU1122" t="s">
        <v>137</v>
      </c>
      <c r="AV1122" t="s">
        <v>25335</v>
      </c>
      <c r="AW1122" t="s">
        <v>11447</v>
      </c>
    </row>
    <row r="1123" spans="1:49">
      <c r="A1123" s="1">
        <f>HYPERLINK("https://lsnyc.legalserver.org/matter/dynamic-profile/view/1907052","19-1907052")</f>
        <v>0</v>
      </c>
      <c r="B1123" t="s">
        <v>216</v>
      </c>
      <c r="C1123" t="s">
        <v>626</v>
      </c>
      <c r="E1123" t="s">
        <v>1117</v>
      </c>
      <c r="F1123" t="s">
        <v>4292</v>
      </c>
      <c r="G1123" t="s">
        <v>7269</v>
      </c>
      <c r="H1123" t="s">
        <v>10491</v>
      </c>
      <c r="I1123" t="s">
        <v>11386</v>
      </c>
      <c r="J1123">
        <v>10032</v>
      </c>
      <c r="K1123" t="s">
        <v>11446</v>
      </c>
      <c r="L1123" t="s">
        <v>11817</v>
      </c>
      <c r="M1123" t="s">
        <v>14744</v>
      </c>
      <c r="N1123" t="s">
        <v>14782</v>
      </c>
      <c r="P1123" t="s">
        <v>14797</v>
      </c>
      <c r="Q1123" t="s">
        <v>11448</v>
      </c>
      <c r="S1123" t="s">
        <v>14827</v>
      </c>
      <c r="U1123" t="s">
        <v>626</v>
      </c>
      <c r="V1123">
        <v>918.5599999999999</v>
      </c>
      <c r="W1123" t="s">
        <v>14860</v>
      </c>
      <c r="X1123" t="s">
        <v>14867</v>
      </c>
      <c r="Z1123" t="s">
        <v>15959</v>
      </c>
      <c r="AB1123" t="s">
        <v>21049</v>
      </c>
      <c r="AC1123">
        <v>46</v>
      </c>
      <c r="AD1123" t="s">
        <v>24595</v>
      </c>
      <c r="AE1123" t="s">
        <v>11459</v>
      </c>
      <c r="AF1123">
        <v>30</v>
      </c>
      <c r="AG1123">
        <v>1</v>
      </c>
      <c r="AH1123">
        <v>0</v>
      </c>
      <c r="AI1123">
        <v>0</v>
      </c>
      <c r="AL1123" t="s">
        <v>5011</v>
      </c>
      <c r="AM1123">
        <v>0</v>
      </c>
      <c r="AS1123">
        <v>2</v>
      </c>
      <c r="AT1123" t="s">
        <v>372</v>
      </c>
      <c r="AU1123" t="s">
        <v>137</v>
      </c>
      <c r="AV1123" t="s">
        <v>25335</v>
      </c>
      <c r="AW1123" t="s">
        <v>11447</v>
      </c>
    </row>
    <row r="1124" spans="1:49">
      <c r="A1124" s="1">
        <f>HYPERLINK("https://lsnyc.legalserver.org/matter/dynamic-profile/view/1907074","19-1907074")</f>
        <v>0</v>
      </c>
      <c r="B1124" t="s">
        <v>55</v>
      </c>
      <c r="C1124" t="s">
        <v>626</v>
      </c>
      <c r="E1124" t="s">
        <v>1320</v>
      </c>
      <c r="F1124" t="s">
        <v>3823</v>
      </c>
      <c r="G1124" t="s">
        <v>7072</v>
      </c>
      <c r="H1124" t="s">
        <v>10524</v>
      </c>
      <c r="I1124" t="s">
        <v>11386</v>
      </c>
      <c r="J1124">
        <v>10034</v>
      </c>
      <c r="K1124" t="s">
        <v>11446</v>
      </c>
      <c r="M1124" t="s">
        <v>14762</v>
      </c>
      <c r="N1124" t="s">
        <v>14783</v>
      </c>
      <c r="P1124" t="s">
        <v>14797</v>
      </c>
      <c r="Q1124" t="s">
        <v>11448</v>
      </c>
      <c r="S1124" t="s">
        <v>14827</v>
      </c>
      <c r="U1124" t="s">
        <v>626</v>
      </c>
      <c r="V1124">
        <v>972.72</v>
      </c>
      <c r="W1124" t="s">
        <v>14860</v>
      </c>
      <c r="X1124" t="s">
        <v>14868</v>
      </c>
      <c r="Z1124" t="s">
        <v>15960</v>
      </c>
      <c r="AB1124" t="s">
        <v>21050</v>
      </c>
      <c r="AC1124">
        <v>121</v>
      </c>
      <c r="AD1124" t="s">
        <v>24595</v>
      </c>
      <c r="AE1124" t="s">
        <v>11459</v>
      </c>
      <c r="AF1124">
        <v>32</v>
      </c>
      <c r="AG1124">
        <v>1</v>
      </c>
      <c r="AH1124">
        <v>0</v>
      </c>
      <c r="AI1124">
        <v>20.66</v>
      </c>
      <c r="AL1124" t="s">
        <v>24632</v>
      </c>
      <c r="AM1124">
        <v>2580</v>
      </c>
      <c r="AS1124">
        <v>0.1</v>
      </c>
      <c r="AT1124" t="s">
        <v>626</v>
      </c>
      <c r="AU1124" t="s">
        <v>137</v>
      </c>
      <c r="AV1124" t="s">
        <v>25335</v>
      </c>
      <c r="AW1124" t="s">
        <v>11447</v>
      </c>
    </row>
    <row r="1125" spans="1:49">
      <c r="A1125" s="1">
        <f>HYPERLINK("https://lsnyc.legalserver.org/matter/dynamic-profile/view/1907072","19-1907072")</f>
        <v>0</v>
      </c>
      <c r="B1125" t="s">
        <v>55</v>
      </c>
      <c r="C1125" t="s">
        <v>626</v>
      </c>
      <c r="E1125" t="s">
        <v>1320</v>
      </c>
      <c r="F1125" t="s">
        <v>3823</v>
      </c>
      <c r="G1125" t="s">
        <v>7072</v>
      </c>
      <c r="H1125" t="s">
        <v>10524</v>
      </c>
      <c r="I1125" t="s">
        <v>11386</v>
      </c>
      <c r="J1125">
        <v>10034</v>
      </c>
      <c r="K1125" t="s">
        <v>11446</v>
      </c>
      <c r="M1125" t="s">
        <v>14747</v>
      </c>
      <c r="N1125" t="s">
        <v>14783</v>
      </c>
      <c r="P1125" t="s">
        <v>14797</v>
      </c>
      <c r="Q1125" t="s">
        <v>11448</v>
      </c>
      <c r="S1125" t="s">
        <v>14827</v>
      </c>
      <c r="U1125" t="s">
        <v>626</v>
      </c>
      <c r="V1125">
        <v>972.72</v>
      </c>
      <c r="W1125" t="s">
        <v>14860</v>
      </c>
      <c r="X1125" t="s">
        <v>14868</v>
      </c>
      <c r="Z1125" t="s">
        <v>15960</v>
      </c>
      <c r="AB1125" t="s">
        <v>21050</v>
      </c>
      <c r="AC1125">
        <v>121</v>
      </c>
      <c r="AD1125" t="s">
        <v>24595</v>
      </c>
      <c r="AE1125" t="s">
        <v>11459</v>
      </c>
      <c r="AF1125">
        <v>32</v>
      </c>
      <c r="AG1125">
        <v>1</v>
      </c>
      <c r="AH1125">
        <v>0</v>
      </c>
      <c r="AI1125">
        <v>20.66</v>
      </c>
      <c r="AL1125" t="s">
        <v>24632</v>
      </c>
      <c r="AM1125">
        <v>2580</v>
      </c>
      <c r="AS1125">
        <v>0.1</v>
      </c>
      <c r="AT1125" t="s">
        <v>626</v>
      </c>
      <c r="AU1125" t="s">
        <v>137</v>
      </c>
      <c r="AV1125" t="s">
        <v>25335</v>
      </c>
      <c r="AW1125" t="s">
        <v>11447</v>
      </c>
    </row>
    <row r="1126" spans="1:49">
      <c r="A1126" s="1">
        <f>HYPERLINK("https://lsnyc.legalserver.org/matter/dynamic-profile/view/1907025","19-1907025")</f>
        <v>0</v>
      </c>
      <c r="B1126" t="s">
        <v>136</v>
      </c>
      <c r="C1126" t="s">
        <v>626</v>
      </c>
      <c r="E1126" t="s">
        <v>1170</v>
      </c>
      <c r="F1126" t="s">
        <v>4293</v>
      </c>
      <c r="G1126" t="s">
        <v>7270</v>
      </c>
      <c r="H1126" t="s">
        <v>10574</v>
      </c>
      <c r="I1126" t="s">
        <v>11385</v>
      </c>
      <c r="J1126">
        <v>11225</v>
      </c>
      <c r="K1126" t="s">
        <v>11446</v>
      </c>
      <c r="M1126" t="s">
        <v>14770</v>
      </c>
      <c r="N1126" t="s">
        <v>14781</v>
      </c>
      <c r="P1126" t="s">
        <v>14797</v>
      </c>
      <c r="Q1126" t="s">
        <v>11448</v>
      </c>
      <c r="S1126" t="s">
        <v>14827</v>
      </c>
      <c r="U1126" t="s">
        <v>626</v>
      </c>
      <c r="V1126">
        <v>1450</v>
      </c>
      <c r="W1126" t="s">
        <v>14859</v>
      </c>
      <c r="Z1126" t="s">
        <v>15961</v>
      </c>
      <c r="AB1126" t="s">
        <v>21051</v>
      </c>
      <c r="AC1126">
        <v>72</v>
      </c>
      <c r="AF1126">
        <v>0</v>
      </c>
      <c r="AG1126">
        <v>3</v>
      </c>
      <c r="AH1126">
        <v>0</v>
      </c>
      <c r="AI1126">
        <v>70.31999999999999</v>
      </c>
      <c r="AL1126" t="s">
        <v>5011</v>
      </c>
      <c r="AM1126">
        <v>15000</v>
      </c>
      <c r="AS1126">
        <v>55.5</v>
      </c>
      <c r="AT1126" t="s">
        <v>654</v>
      </c>
      <c r="AU1126" t="s">
        <v>75</v>
      </c>
      <c r="AV1126" t="s">
        <v>25335</v>
      </c>
      <c r="AW1126" t="s">
        <v>11447</v>
      </c>
    </row>
    <row r="1127" spans="1:49">
      <c r="A1127" s="1">
        <f>HYPERLINK("https://lsnyc.legalserver.org/matter/dynamic-profile/view/1907071","19-1907071")</f>
        <v>0</v>
      </c>
      <c r="B1127" t="s">
        <v>55</v>
      </c>
      <c r="C1127" t="s">
        <v>626</v>
      </c>
      <c r="E1127" t="s">
        <v>1789</v>
      </c>
      <c r="F1127" t="s">
        <v>3699</v>
      </c>
      <c r="G1127" t="s">
        <v>7271</v>
      </c>
      <c r="H1127" t="s">
        <v>10686</v>
      </c>
      <c r="I1127" t="s">
        <v>11386</v>
      </c>
      <c r="J1127">
        <v>10032</v>
      </c>
      <c r="K1127" t="s">
        <v>11446</v>
      </c>
      <c r="M1127" t="s">
        <v>14747</v>
      </c>
      <c r="N1127" t="s">
        <v>14780</v>
      </c>
      <c r="P1127" t="s">
        <v>14797</v>
      </c>
      <c r="Q1127" t="s">
        <v>11448</v>
      </c>
      <c r="S1127" t="s">
        <v>14827</v>
      </c>
      <c r="U1127" t="s">
        <v>626</v>
      </c>
      <c r="V1127">
        <v>370</v>
      </c>
      <c r="W1127" t="s">
        <v>14860</v>
      </c>
      <c r="X1127" t="s">
        <v>14868</v>
      </c>
      <c r="Z1127" t="s">
        <v>15962</v>
      </c>
      <c r="AB1127" t="s">
        <v>21052</v>
      </c>
      <c r="AC1127">
        <v>69</v>
      </c>
      <c r="AD1127" t="s">
        <v>24599</v>
      </c>
      <c r="AE1127" t="s">
        <v>11459</v>
      </c>
      <c r="AF1127">
        <v>9</v>
      </c>
      <c r="AG1127">
        <v>3</v>
      </c>
      <c r="AH1127">
        <v>0</v>
      </c>
      <c r="AI1127">
        <v>109.7</v>
      </c>
      <c r="AL1127" t="s">
        <v>24632</v>
      </c>
      <c r="AM1127">
        <v>23400</v>
      </c>
      <c r="AS1127">
        <v>10.6</v>
      </c>
      <c r="AT1127" t="s">
        <v>559</v>
      </c>
      <c r="AU1127" t="s">
        <v>137</v>
      </c>
      <c r="AV1127" t="s">
        <v>25335</v>
      </c>
      <c r="AW1127" t="s">
        <v>11447</v>
      </c>
    </row>
    <row r="1128" spans="1:49">
      <c r="A1128" s="1">
        <f>HYPERLINK("https://lsnyc.legalserver.org/matter/dynamic-profile/view/1907066","19-1907066")</f>
        <v>0</v>
      </c>
      <c r="B1128" t="s">
        <v>55</v>
      </c>
      <c r="C1128" t="s">
        <v>626</v>
      </c>
      <c r="E1128" t="s">
        <v>1470</v>
      </c>
      <c r="F1128" t="s">
        <v>3654</v>
      </c>
      <c r="G1128" t="s">
        <v>7272</v>
      </c>
      <c r="H1128" t="s">
        <v>10452</v>
      </c>
      <c r="I1128" t="s">
        <v>11386</v>
      </c>
      <c r="J1128">
        <v>10034</v>
      </c>
      <c r="K1128" t="s">
        <v>11446</v>
      </c>
      <c r="M1128" t="s">
        <v>11601</v>
      </c>
      <c r="N1128" t="s">
        <v>14779</v>
      </c>
      <c r="P1128" t="s">
        <v>14797</v>
      </c>
      <c r="Q1128" t="s">
        <v>11448</v>
      </c>
      <c r="S1128" t="s">
        <v>14827</v>
      </c>
      <c r="U1128" t="s">
        <v>626</v>
      </c>
      <c r="V1128">
        <v>1220</v>
      </c>
      <c r="W1128" t="s">
        <v>14860</v>
      </c>
      <c r="X1128" t="s">
        <v>14868</v>
      </c>
      <c r="Z1128" t="s">
        <v>15963</v>
      </c>
      <c r="AB1128" t="s">
        <v>21053</v>
      </c>
      <c r="AC1128">
        <v>70</v>
      </c>
      <c r="AD1128" t="s">
        <v>24595</v>
      </c>
      <c r="AE1128" t="s">
        <v>11459</v>
      </c>
      <c r="AF1128">
        <v>33</v>
      </c>
      <c r="AG1128">
        <v>1</v>
      </c>
      <c r="AH1128">
        <v>0</v>
      </c>
      <c r="AI1128">
        <v>163.33</v>
      </c>
      <c r="AL1128" t="s">
        <v>24632</v>
      </c>
      <c r="AM1128">
        <v>20400</v>
      </c>
      <c r="AS1128">
        <v>4.1</v>
      </c>
      <c r="AT1128" t="s">
        <v>368</v>
      </c>
      <c r="AU1128" t="s">
        <v>137</v>
      </c>
      <c r="AV1128" t="s">
        <v>25335</v>
      </c>
      <c r="AW1128" t="s">
        <v>11447</v>
      </c>
    </row>
    <row r="1129" spans="1:49">
      <c r="A1129" s="1">
        <f>HYPERLINK("https://lsnyc.legalserver.org/matter/dynamic-profile/view/1907122","19-1907122")</f>
        <v>0</v>
      </c>
      <c r="B1129" t="s">
        <v>63</v>
      </c>
      <c r="C1129" t="s">
        <v>661</v>
      </c>
      <c r="E1129" t="s">
        <v>1790</v>
      </c>
      <c r="F1129" t="s">
        <v>4294</v>
      </c>
      <c r="G1129" t="s">
        <v>7273</v>
      </c>
      <c r="H1129" t="s">
        <v>10638</v>
      </c>
      <c r="I1129" t="s">
        <v>11404</v>
      </c>
      <c r="J1129">
        <v>11103</v>
      </c>
      <c r="K1129" t="s">
        <v>11446</v>
      </c>
      <c r="L1129" t="s">
        <v>11818</v>
      </c>
      <c r="M1129" t="s">
        <v>14762</v>
      </c>
      <c r="N1129" t="s">
        <v>14783</v>
      </c>
      <c r="P1129" t="s">
        <v>14797</v>
      </c>
      <c r="Q1129" t="s">
        <v>11448</v>
      </c>
      <c r="S1129" t="s">
        <v>14827</v>
      </c>
      <c r="T1129" t="s">
        <v>14832</v>
      </c>
      <c r="U1129" t="s">
        <v>661</v>
      </c>
      <c r="V1129">
        <v>1400</v>
      </c>
      <c r="W1129" t="s">
        <v>14861</v>
      </c>
      <c r="X1129" t="s">
        <v>14869</v>
      </c>
      <c r="Z1129" t="s">
        <v>15964</v>
      </c>
      <c r="AB1129" t="s">
        <v>21054</v>
      </c>
      <c r="AC1129">
        <v>4</v>
      </c>
      <c r="AD1129" t="s">
        <v>24595</v>
      </c>
      <c r="AE1129" t="s">
        <v>11459</v>
      </c>
      <c r="AF1129">
        <v>9</v>
      </c>
      <c r="AG1129">
        <v>2</v>
      </c>
      <c r="AH1129">
        <v>1</v>
      </c>
      <c r="AI1129">
        <v>117.21</v>
      </c>
      <c r="AL1129" t="s">
        <v>5011</v>
      </c>
      <c r="AM1129">
        <v>25000</v>
      </c>
      <c r="AP1129" t="s">
        <v>24952</v>
      </c>
      <c r="AS1129">
        <v>1.05</v>
      </c>
      <c r="AT1129" t="s">
        <v>509</v>
      </c>
      <c r="AU1129" t="s">
        <v>63</v>
      </c>
      <c r="AV1129" t="s">
        <v>25335</v>
      </c>
      <c r="AW1129" t="s">
        <v>11447</v>
      </c>
    </row>
    <row r="1130" spans="1:49">
      <c r="A1130" s="1">
        <f>HYPERLINK("https://lsnyc.legalserver.org/matter/dynamic-profile/view/1911968","19-1911968")</f>
        <v>0</v>
      </c>
      <c r="B1130" t="s">
        <v>108</v>
      </c>
      <c r="C1130" t="s">
        <v>586</v>
      </c>
      <c r="E1130" t="s">
        <v>1092</v>
      </c>
      <c r="F1130" t="s">
        <v>3727</v>
      </c>
      <c r="G1130" t="s">
        <v>7274</v>
      </c>
      <c r="H1130" t="s">
        <v>10784</v>
      </c>
      <c r="I1130" t="s">
        <v>11385</v>
      </c>
      <c r="J1130">
        <v>11219</v>
      </c>
      <c r="K1130" t="s">
        <v>11446</v>
      </c>
      <c r="M1130" t="s">
        <v>14746</v>
      </c>
      <c r="N1130" t="s">
        <v>14781</v>
      </c>
      <c r="P1130" t="s">
        <v>14797</v>
      </c>
      <c r="Q1130" t="s">
        <v>11446</v>
      </c>
      <c r="S1130" t="s">
        <v>14827</v>
      </c>
      <c r="U1130" t="s">
        <v>379</v>
      </c>
      <c r="V1130">
        <v>0</v>
      </c>
      <c r="W1130" t="s">
        <v>14859</v>
      </c>
      <c r="Z1130" t="s">
        <v>15965</v>
      </c>
      <c r="AB1130" t="s">
        <v>21055</v>
      </c>
      <c r="AC1130">
        <v>20</v>
      </c>
      <c r="AF1130">
        <v>22</v>
      </c>
      <c r="AG1130">
        <v>4</v>
      </c>
      <c r="AH1130">
        <v>0</v>
      </c>
      <c r="AI1130">
        <v>152.89</v>
      </c>
      <c r="AL1130" t="s">
        <v>5011</v>
      </c>
      <c r="AM1130">
        <v>39368</v>
      </c>
      <c r="AS1130">
        <v>0</v>
      </c>
      <c r="AU1130" t="s">
        <v>75</v>
      </c>
      <c r="AV1130" t="s">
        <v>25335</v>
      </c>
      <c r="AW1130" t="s">
        <v>11447</v>
      </c>
    </row>
    <row r="1131" spans="1:49">
      <c r="A1131" s="1">
        <f>HYPERLINK("https://lsnyc.legalserver.org/matter/dynamic-profile/view/1907242","19-1907242")</f>
        <v>0</v>
      </c>
      <c r="B1131" t="s">
        <v>110</v>
      </c>
      <c r="C1131" t="s">
        <v>366</v>
      </c>
      <c r="E1131" t="s">
        <v>1791</v>
      </c>
      <c r="F1131" t="s">
        <v>4295</v>
      </c>
      <c r="G1131" t="s">
        <v>7275</v>
      </c>
      <c r="I1131" t="s">
        <v>11387</v>
      </c>
      <c r="J1131">
        <v>11436</v>
      </c>
      <c r="K1131" t="s">
        <v>11446</v>
      </c>
      <c r="L1131" t="s">
        <v>11819</v>
      </c>
      <c r="M1131" t="s">
        <v>14744</v>
      </c>
      <c r="N1131" t="s">
        <v>14781</v>
      </c>
      <c r="P1131" t="s">
        <v>14797</v>
      </c>
      <c r="Q1131" t="s">
        <v>11448</v>
      </c>
      <c r="S1131" t="s">
        <v>14827</v>
      </c>
      <c r="T1131" t="s">
        <v>14832</v>
      </c>
      <c r="U1131" t="s">
        <v>366</v>
      </c>
      <c r="V1131">
        <v>1554</v>
      </c>
      <c r="W1131" t="s">
        <v>14861</v>
      </c>
      <c r="X1131" t="s">
        <v>14865</v>
      </c>
      <c r="Z1131" t="s">
        <v>15966</v>
      </c>
      <c r="AA1131" t="s">
        <v>19410</v>
      </c>
      <c r="AB1131" t="s">
        <v>21056</v>
      </c>
      <c r="AC1131">
        <v>3</v>
      </c>
      <c r="AD1131" t="s">
        <v>11479</v>
      </c>
      <c r="AE1131" t="s">
        <v>24615</v>
      </c>
      <c r="AF1131">
        <v>-1</v>
      </c>
      <c r="AG1131">
        <v>1</v>
      </c>
      <c r="AH1131">
        <v>0</v>
      </c>
      <c r="AI1131">
        <v>37.28</v>
      </c>
      <c r="AL1131" t="s">
        <v>5011</v>
      </c>
      <c r="AM1131">
        <v>4656</v>
      </c>
      <c r="AP1131" t="s">
        <v>14755</v>
      </c>
      <c r="AS1131">
        <v>6.15</v>
      </c>
      <c r="AT1131" t="s">
        <v>539</v>
      </c>
      <c r="AU1131" t="s">
        <v>292</v>
      </c>
      <c r="AV1131" t="s">
        <v>25335</v>
      </c>
      <c r="AW1131" t="s">
        <v>11447</v>
      </c>
    </row>
    <row r="1132" spans="1:49">
      <c r="A1132" s="1">
        <f>HYPERLINK("https://lsnyc.legalserver.org/matter/dynamic-profile/view/1907283","19-1907283")</f>
        <v>0</v>
      </c>
      <c r="B1132" t="s">
        <v>172</v>
      </c>
      <c r="C1132" t="s">
        <v>366</v>
      </c>
      <c r="E1132" t="s">
        <v>1792</v>
      </c>
      <c r="F1132" t="s">
        <v>4188</v>
      </c>
      <c r="G1132" t="s">
        <v>7276</v>
      </c>
      <c r="H1132">
        <v>51</v>
      </c>
      <c r="I1132" t="s">
        <v>11386</v>
      </c>
      <c r="J1132">
        <v>10034</v>
      </c>
      <c r="K1132" t="s">
        <v>11446</v>
      </c>
      <c r="M1132" t="s">
        <v>14747</v>
      </c>
      <c r="N1132" t="s">
        <v>14782</v>
      </c>
      <c r="P1132" t="s">
        <v>14797</v>
      </c>
      <c r="Q1132" t="s">
        <v>11448</v>
      </c>
      <c r="S1132" t="s">
        <v>14827</v>
      </c>
      <c r="U1132" t="s">
        <v>366</v>
      </c>
      <c r="V1132">
        <v>1664.13</v>
      </c>
      <c r="W1132" t="s">
        <v>14860</v>
      </c>
      <c r="X1132" t="s">
        <v>14868</v>
      </c>
      <c r="Z1132" t="s">
        <v>15967</v>
      </c>
      <c r="AB1132" t="s">
        <v>21057</v>
      </c>
      <c r="AC1132">
        <v>26</v>
      </c>
      <c r="AD1132" t="s">
        <v>24595</v>
      </c>
      <c r="AE1132" t="s">
        <v>24610</v>
      </c>
      <c r="AF1132">
        <v>26</v>
      </c>
      <c r="AG1132">
        <v>3</v>
      </c>
      <c r="AH1132">
        <v>0</v>
      </c>
      <c r="AI1132">
        <v>41.69</v>
      </c>
      <c r="AL1132" t="s">
        <v>24632</v>
      </c>
      <c r="AM1132">
        <v>8892</v>
      </c>
      <c r="AS1132">
        <v>1.5</v>
      </c>
      <c r="AT1132" t="s">
        <v>497</v>
      </c>
      <c r="AU1132" t="s">
        <v>137</v>
      </c>
      <c r="AV1132" t="s">
        <v>25335</v>
      </c>
      <c r="AW1132" t="s">
        <v>11447</v>
      </c>
    </row>
    <row r="1133" spans="1:49">
      <c r="A1133" s="1">
        <f>HYPERLINK("https://lsnyc.legalserver.org/matter/dynamic-profile/view/1907269","19-1907269")</f>
        <v>0</v>
      </c>
      <c r="B1133" t="s">
        <v>59</v>
      </c>
      <c r="C1133" t="s">
        <v>366</v>
      </c>
      <c r="E1133" t="s">
        <v>1329</v>
      </c>
      <c r="F1133" t="s">
        <v>4001</v>
      </c>
      <c r="G1133" t="s">
        <v>7277</v>
      </c>
      <c r="H1133" t="s">
        <v>10513</v>
      </c>
      <c r="I1133" t="s">
        <v>11411</v>
      </c>
      <c r="J1133">
        <v>11418</v>
      </c>
      <c r="K1133" t="s">
        <v>11446</v>
      </c>
      <c r="L1133" t="s">
        <v>11820</v>
      </c>
      <c r="M1133" t="s">
        <v>14743</v>
      </c>
      <c r="N1133" t="s">
        <v>14781</v>
      </c>
      <c r="P1133" t="s">
        <v>14797</v>
      </c>
      <c r="Q1133" t="s">
        <v>11448</v>
      </c>
      <c r="S1133" t="s">
        <v>14827</v>
      </c>
      <c r="T1133" t="s">
        <v>14832</v>
      </c>
      <c r="U1133" t="s">
        <v>366</v>
      </c>
      <c r="V1133">
        <v>1400</v>
      </c>
      <c r="W1133" t="s">
        <v>14861</v>
      </c>
      <c r="X1133" t="s">
        <v>14865</v>
      </c>
      <c r="Z1133" t="s">
        <v>15968</v>
      </c>
      <c r="AA1133" t="s">
        <v>19411</v>
      </c>
      <c r="AB1133" t="s">
        <v>21058</v>
      </c>
      <c r="AC1133">
        <v>4</v>
      </c>
      <c r="AD1133" t="s">
        <v>24600</v>
      </c>
      <c r="AE1133" t="s">
        <v>11459</v>
      </c>
      <c r="AF1133">
        <v>5</v>
      </c>
      <c r="AG1133">
        <v>1</v>
      </c>
      <c r="AH1133">
        <v>2</v>
      </c>
      <c r="AI1133">
        <v>123.3</v>
      </c>
      <c r="AL1133" t="s">
        <v>24632</v>
      </c>
      <c r="AM1133">
        <v>26300</v>
      </c>
      <c r="AO1133" t="s">
        <v>24937</v>
      </c>
      <c r="AP1133" t="s">
        <v>24942</v>
      </c>
      <c r="AQ1133" t="s">
        <v>24986</v>
      </c>
      <c r="AR1133" t="s">
        <v>25032</v>
      </c>
      <c r="AS1133">
        <v>25.7</v>
      </c>
      <c r="AT1133" t="s">
        <v>491</v>
      </c>
      <c r="AU1133" t="s">
        <v>292</v>
      </c>
      <c r="AV1133" t="s">
        <v>25335</v>
      </c>
      <c r="AW1133" t="s">
        <v>11447</v>
      </c>
    </row>
    <row r="1134" spans="1:49">
      <c r="A1134" s="1">
        <f>HYPERLINK("https://lsnyc.legalserver.org/matter/dynamic-profile/view/1910363","19-1910363")</f>
        <v>0</v>
      </c>
      <c r="B1134" t="s">
        <v>226</v>
      </c>
      <c r="C1134" t="s">
        <v>540</v>
      </c>
      <c r="E1134" t="s">
        <v>1381</v>
      </c>
      <c r="F1134" t="s">
        <v>4296</v>
      </c>
      <c r="G1134" t="s">
        <v>7278</v>
      </c>
      <c r="H1134" t="s">
        <v>10465</v>
      </c>
      <c r="I1134" t="s">
        <v>11385</v>
      </c>
      <c r="J1134">
        <v>11212</v>
      </c>
      <c r="K1134" t="s">
        <v>11446</v>
      </c>
      <c r="L1134" t="s">
        <v>11474</v>
      </c>
      <c r="M1134" t="s">
        <v>14745</v>
      </c>
      <c r="N1134" t="s">
        <v>14779</v>
      </c>
      <c r="P1134" t="s">
        <v>14797</v>
      </c>
      <c r="Q1134" t="s">
        <v>11446</v>
      </c>
      <c r="S1134" t="s">
        <v>14827</v>
      </c>
      <c r="T1134" t="s">
        <v>14832</v>
      </c>
      <c r="U1134" t="s">
        <v>368</v>
      </c>
      <c r="V1134">
        <v>1253</v>
      </c>
      <c r="W1134" t="s">
        <v>14859</v>
      </c>
      <c r="X1134" t="s">
        <v>14868</v>
      </c>
      <c r="Z1134" t="s">
        <v>15969</v>
      </c>
      <c r="AA1134" t="s">
        <v>19354</v>
      </c>
      <c r="AB1134" t="s">
        <v>21059</v>
      </c>
      <c r="AC1134">
        <v>6</v>
      </c>
      <c r="AD1134" t="s">
        <v>11479</v>
      </c>
      <c r="AE1134" t="s">
        <v>24610</v>
      </c>
      <c r="AF1134">
        <v>3</v>
      </c>
      <c r="AG1134">
        <v>2</v>
      </c>
      <c r="AH1134">
        <v>0</v>
      </c>
      <c r="AI1134">
        <v>49.67</v>
      </c>
      <c r="AL1134" t="s">
        <v>5011</v>
      </c>
      <c r="AM1134">
        <v>8400</v>
      </c>
      <c r="AS1134">
        <v>0.1</v>
      </c>
      <c r="AT1134" t="s">
        <v>486</v>
      </c>
      <c r="AU1134" t="s">
        <v>66</v>
      </c>
      <c r="AV1134" t="s">
        <v>25335</v>
      </c>
      <c r="AW1134" t="s">
        <v>11447</v>
      </c>
    </row>
    <row r="1135" spans="1:49">
      <c r="A1135" s="1">
        <f>HYPERLINK("https://lsnyc.legalserver.org/matter/dynamic-profile/view/1910351","19-1910351")</f>
        <v>0</v>
      </c>
      <c r="B1135" t="s">
        <v>226</v>
      </c>
      <c r="C1135" t="s">
        <v>540</v>
      </c>
      <c r="E1135" t="s">
        <v>1793</v>
      </c>
      <c r="F1135" t="s">
        <v>4297</v>
      </c>
      <c r="G1135" t="s">
        <v>7278</v>
      </c>
      <c r="H1135" t="s">
        <v>10513</v>
      </c>
      <c r="I1135" t="s">
        <v>11385</v>
      </c>
      <c r="J1135">
        <v>11212</v>
      </c>
      <c r="K1135" t="s">
        <v>11446</v>
      </c>
      <c r="L1135" t="s">
        <v>11474</v>
      </c>
      <c r="M1135" t="s">
        <v>14745</v>
      </c>
      <c r="N1135" t="s">
        <v>14779</v>
      </c>
      <c r="P1135" t="s">
        <v>14797</v>
      </c>
      <c r="Q1135" t="s">
        <v>11446</v>
      </c>
      <c r="S1135" t="s">
        <v>14827</v>
      </c>
      <c r="T1135" t="s">
        <v>14832</v>
      </c>
      <c r="U1135" t="s">
        <v>368</v>
      </c>
      <c r="V1135">
        <v>1326</v>
      </c>
      <c r="W1135" t="s">
        <v>14859</v>
      </c>
      <c r="X1135" t="s">
        <v>14868</v>
      </c>
      <c r="Z1135" t="s">
        <v>15970</v>
      </c>
      <c r="AA1135" t="s">
        <v>11465</v>
      </c>
      <c r="AB1135" t="s">
        <v>21060</v>
      </c>
      <c r="AC1135">
        <v>4</v>
      </c>
      <c r="AD1135" t="s">
        <v>11479</v>
      </c>
      <c r="AE1135" t="s">
        <v>11459</v>
      </c>
      <c r="AF1135">
        <v>9</v>
      </c>
      <c r="AG1135">
        <v>2</v>
      </c>
      <c r="AH1135">
        <v>0</v>
      </c>
      <c r="AI1135">
        <v>127.74</v>
      </c>
      <c r="AL1135" t="s">
        <v>5011</v>
      </c>
      <c r="AM1135">
        <v>21600</v>
      </c>
      <c r="AS1135">
        <v>0.1</v>
      </c>
      <c r="AT1135" t="s">
        <v>486</v>
      </c>
      <c r="AU1135" t="s">
        <v>66</v>
      </c>
      <c r="AV1135" t="s">
        <v>25335</v>
      </c>
      <c r="AW1135" t="s">
        <v>11447</v>
      </c>
    </row>
    <row r="1136" spans="1:49">
      <c r="A1136" s="1">
        <f>HYPERLINK("https://lsnyc.legalserver.org/matter/dynamic-profile/view/1910350","19-1910350")</f>
        <v>0</v>
      </c>
      <c r="B1136" t="s">
        <v>226</v>
      </c>
      <c r="C1136" t="s">
        <v>540</v>
      </c>
      <c r="E1136" t="s">
        <v>1794</v>
      </c>
      <c r="F1136" t="s">
        <v>1953</v>
      </c>
      <c r="G1136" t="s">
        <v>7278</v>
      </c>
      <c r="H1136" t="s">
        <v>10464</v>
      </c>
      <c r="I1136" t="s">
        <v>11385</v>
      </c>
      <c r="J1136">
        <v>11212</v>
      </c>
      <c r="K1136" t="s">
        <v>11446</v>
      </c>
      <c r="L1136" t="s">
        <v>11474</v>
      </c>
      <c r="M1136" t="s">
        <v>14745</v>
      </c>
      <c r="N1136" t="s">
        <v>14779</v>
      </c>
      <c r="P1136" t="s">
        <v>14797</v>
      </c>
      <c r="Q1136" t="s">
        <v>11446</v>
      </c>
      <c r="S1136" t="s">
        <v>14827</v>
      </c>
      <c r="T1136" t="s">
        <v>14832</v>
      </c>
      <c r="U1136" t="s">
        <v>368</v>
      </c>
      <c r="V1136">
        <v>1400</v>
      </c>
      <c r="W1136" t="s">
        <v>14859</v>
      </c>
      <c r="X1136" t="s">
        <v>14868</v>
      </c>
      <c r="Z1136" t="s">
        <v>15971</v>
      </c>
      <c r="AA1136" t="s">
        <v>11459</v>
      </c>
      <c r="AB1136" t="s">
        <v>21061</v>
      </c>
      <c r="AC1136">
        <v>4</v>
      </c>
      <c r="AD1136" t="s">
        <v>24595</v>
      </c>
      <c r="AE1136" t="s">
        <v>11459</v>
      </c>
      <c r="AF1136">
        <v>4</v>
      </c>
      <c r="AG1136">
        <v>1</v>
      </c>
      <c r="AH1136">
        <v>0</v>
      </c>
      <c r="AI1136">
        <v>181.49</v>
      </c>
      <c r="AL1136" t="s">
        <v>5011</v>
      </c>
      <c r="AM1136">
        <v>22668</v>
      </c>
      <c r="AS1136">
        <v>0.1</v>
      </c>
      <c r="AT1136" t="s">
        <v>486</v>
      </c>
      <c r="AU1136" t="s">
        <v>66</v>
      </c>
      <c r="AV1136" t="s">
        <v>25335</v>
      </c>
      <c r="AW1136" t="s">
        <v>11447</v>
      </c>
    </row>
    <row r="1137" spans="1:49">
      <c r="A1137" s="1">
        <f>HYPERLINK("https://lsnyc.legalserver.org/matter/dynamic-profile/view/1907450","19-1907450")</f>
        <v>0</v>
      </c>
      <c r="B1137" t="s">
        <v>104</v>
      </c>
      <c r="C1137" t="s">
        <v>465</v>
      </c>
      <c r="E1137" t="s">
        <v>1249</v>
      </c>
      <c r="F1137" t="s">
        <v>4298</v>
      </c>
      <c r="G1137" t="s">
        <v>7279</v>
      </c>
      <c r="H1137" t="s">
        <v>10529</v>
      </c>
      <c r="I1137" t="s">
        <v>11386</v>
      </c>
      <c r="J1137">
        <v>10034</v>
      </c>
      <c r="K1137" t="s">
        <v>11446</v>
      </c>
      <c r="M1137" t="s">
        <v>11601</v>
      </c>
      <c r="N1137" t="s">
        <v>14779</v>
      </c>
      <c r="P1137" t="s">
        <v>14797</v>
      </c>
      <c r="Q1137" t="s">
        <v>11448</v>
      </c>
      <c r="S1137" t="s">
        <v>14827</v>
      </c>
      <c r="T1137" t="s">
        <v>14832</v>
      </c>
      <c r="U1137" t="s">
        <v>368</v>
      </c>
      <c r="V1137">
        <v>1448.89</v>
      </c>
      <c r="W1137" t="s">
        <v>14860</v>
      </c>
      <c r="X1137" t="s">
        <v>14867</v>
      </c>
      <c r="Z1137" t="s">
        <v>15972</v>
      </c>
      <c r="AB1137" t="s">
        <v>21062</v>
      </c>
      <c r="AC1137">
        <v>32</v>
      </c>
      <c r="AD1137" t="s">
        <v>24595</v>
      </c>
      <c r="AE1137" t="s">
        <v>11459</v>
      </c>
      <c r="AF1137">
        <v>18</v>
      </c>
      <c r="AG1137">
        <v>1</v>
      </c>
      <c r="AH1137">
        <v>0</v>
      </c>
      <c r="AI1137">
        <v>240.19</v>
      </c>
      <c r="AL1137" t="s">
        <v>5011</v>
      </c>
      <c r="AM1137">
        <v>30000</v>
      </c>
      <c r="AS1137">
        <v>21.35</v>
      </c>
      <c r="AT1137" t="s">
        <v>592</v>
      </c>
      <c r="AU1137" t="s">
        <v>25266</v>
      </c>
      <c r="AV1137" t="s">
        <v>25335</v>
      </c>
      <c r="AW1137" t="s">
        <v>11447</v>
      </c>
    </row>
    <row r="1138" spans="1:49">
      <c r="A1138" s="1">
        <f>HYPERLINK("https://lsnyc.legalserver.org/matter/dynamic-profile/view/1907457","19-1907457")</f>
        <v>0</v>
      </c>
      <c r="B1138" t="s">
        <v>110</v>
      </c>
      <c r="C1138" t="s">
        <v>465</v>
      </c>
      <c r="E1138" t="s">
        <v>1228</v>
      </c>
      <c r="F1138" t="s">
        <v>1056</v>
      </c>
      <c r="G1138" t="s">
        <v>7280</v>
      </c>
      <c r="I1138" t="s">
        <v>11387</v>
      </c>
      <c r="J1138">
        <v>11435</v>
      </c>
      <c r="K1138" t="s">
        <v>11446</v>
      </c>
      <c r="L1138" t="s">
        <v>11821</v>
      </c>
      <c r="M1138" t="s">
        <v>14744</v>
      </c>
      <c r="N1138" t="s">
        <v>14781</v>
      </c>
      <c r="P1138" t="s">
        <v>14797</v>
      </c>
      <c r="Q1138" t="s">
        <v>11448</v>
      </c>
      <c r="S1138" t="s">
        <v>14827</v>
      </c>
      <c r="T1138" t="s">
        <v>14832</v>
      </c>
      <c r="U1138" t="s">
        <v>465</v>
      </c>
      <c r="V1138">
        <v>1650</v>
      </c>
      <c r="W1138" t="s">
        <v>14861</v>
      </c>
      <c r="X1138" t="s">
        <v>14865</v>
      </c>
      <c r="Z1138" t="s">
        <v>15973</v>
      </c>
      <c r="AB1138" t="s">
        <v>21063</v>
      </c>
      <c r="AC1138">
        <v>2</v>
      </c>
      <c r="AD1138" t="s">
        <v>24600</v>
      </c>
      <c r="AE1138" t="s">
        <v>11459</v>
      </c>
      <c r="AF1138">
        <v>2</v>
      </c>
      <c r="AG1138">
        <v>1</v>
      </c>
      <c r="AH1138">
        <v>3</v>
      </c>
      <c r="AI1138">
        <v>0</v>
      </c>
      <c r="AL1138" t="s">
        <v>5011</v>
      </c>
      <c r="AM1138">
        <v>0</v>
      </c>
      <c r="AP1138" t="s">
        <v>14755</v>
      </c>
      <c r="AS1138">
        <v>17.85</v>
      </c>
      <c r="AT1138" t="s">
        <v>551</v>
      </c>
      <c r="AU1138" t="s">
        <v>110</v>
      </c>
      <c r="AV1138" t="s">
        <v>25335</v>
      </c>
      <c r="AW1138" t="s">
        <v>11447</v>
      </c>
    </row>
    <row r="1139" spans="1:49">
      <c r="A1139" s="1">
        <f>HYPERLINK("https://lsnyc.legalserver.org/matter/dynamic-profile/view/1907358","19-1907358")</f>
        <v>0</v>
      </c>
      <c r="B1139" t="s">
        <v>56</v>
      </c>
      <c r="C1139" t="s">
        <v>368</v>
      </c>
      <c r="E1139" t="s">
        <v>1055</v>
      </c>
      <c r="F1139" t="s">
        <v>4299</v>
      </c>
      <c r="G1139" t="s">
        <v>7281</v>
      </c>
      <c r="H1139" t="s">
        <v>10615</v>
      </c>
      <c r="I1139" t="s">
        <v>11385</v>
      </c>
      <c r="J1139">
        <v>11233</v>
      </c>
      <c r="K1139" t="s">
        <v>11446</v>
      </c>
      <c r="L1139" t="s">
        <v>11822</v>
      </c>
      <c r="M1139" t="s">
        <v>14744</v>
      </c>
      <c r="N1139" t="s">
        <v>14781</v>
      </c>
      <c r="P1139" t="s">
        <v>14797</v>
      </c>
      <c r="Q1139" t="s">
        <v>11448</v>
      </c>
      <c r="S1139" t="s">
        <v>14827</v>
      </c>
      <c r="T1139" t="s">
        <v>14837</v>
      </c>
      <c r="U1139" t="s">
        <v>465</v>
      </c>
      <c r="V1139">
        <v>1542</v>
      </c>
      <c r="W1139" t="s">
        <v>14859</v>
      </c>
      <c r="X1139" t="s">
        <v>14755</v>
      </c>
      <c r="Z1139" t="s">
        <v>15447</v>
      </c>
      <c r="AB1139" t="s">
        <v>21064</v>
      </c>
      <c r="AC1139">
        <v>287</v>
      </c>
      <c r="AD1139" t="s">
        <v>24601</v>
      </c>
      <c r="AE1139" t="s">
        <v>11459</v>
      </c>
      <c r="AF1139">
        <v>4</v>
      </c>
      <c r="AG1139">
        <v>1</v>
      </c>
      <c r="AH1139">
        <v>2</v>
      </c>
      <c r="AI1139">
        <v>0</v>
      </c>
      <c r="AL1139" t="s">
        <v>5011</v>
      </c>
      <c r="AM1139">
        <v>0</v>
      </c>
      <c r="AS1139">
        <v>11.7</v>
      </c>
      <c r="AT1139" t="s">
        <v>509</v>
      </c>
      <c r="AU1139" t="s">
        <v>25227</v>
      </c>
      <c r="AV1139" t="s">
        <v>25335</v>
      </c>
      <c r="AW1139" t="s">
        <v>11447</v>
      </c>
    </row>
    <row r="1140" spans="1:49">
      <c r="A1140" s="1">
        <f>HYPERLINK("https://lsnyc.legalserver.org/matter/dynamic-profile/view/1907514","19-1907514")</f>
        <v>0</v>
      </c>
      <c r="B1140" t="s">
        <v>210</v>
      </c>
      <c r="C1140" t="s">
        <v>465</v>
      </c>
      <c r="E1140" t="s">
        <v>1048</v>
      </c>
      <c r="F1140" t="s">
        <v>4300</v>
      </c>
      <c r="G1140" t="s">
        <v>7282</v>
      </c>
      <c r="H1140" t="s">
        <v>10785</v>
      </c>
      <c r="I1140" t="s">
        <v>11385</v>
      </c>
      <c r="J1140">
        <v>11225</v>
      </c>
      <c r="K1140" t="s">
        <v>11446</v>
      </c>
      <c r="M1140" t="s">
        <v>14745</v>
      </c>
      <c r="N1140" t="s">
        <v>14780</v>
      </c>
      <c r="P1140" t="s">
        <v>14797</v>
      </c>
      <c r="Q1140" t="s">
        <v>11446</v>
      </c>
      <c r="R1140" t="s">
        <v>14820</v>
      </c>
      <c r="S1140" t="s">
        <v>14827</v>
      </c>
      <c r="U1140" t="s">
        <v>465</v>
      </c>
      <c r="V1140">
        <v>0</v>
      </c>
      <c r="W1140" t="s">
        <v>14859</v>
      </c>
      <c r="Z1140" t="s">
        <v>15974</v>
      </c>
      <c r="AC1140">
        <v>46</v>
      </c>
      <c r="AF1140">
        <v>0</v>
      </c>
      <c r="AG1140">
        <v>3</v>
      </c>
      <c r="AH1140">
        <v>2</v>
      </c>
      <c r="AI1140">
        <v>0</v>
      </c>
      <c r="AL1140" t="s">
        <v>5011</v>
      </c>
      <c r="AM1140">
        <v>0</v>
      </c>
      <c r="AS1140">
        <v>0</v>
      </c>
      <c r="AU1140" t="s">
        <v>75</v>
      </c>
      <c r="AV1140" t="s">
        <v>25335</v>
      </c>
      <c r="AW1140" t="s">
        <v>11447</v>
      </c>
    </row>
    <row r="1141" spans="1:49">
      <c r="A1141" s="1">
        <f>HYPERLINK("https://lsnyc.legalserver.org/matter/dynamic-profile/view/1907304","19-1907304")</f>
        <v>0</v>
      </c>
      <c r="B1141" t="s">
        <v>210</v>
      </c>
      <c r="C1141" t="s">
        <v>465</v>
      </c>
      <c r="E1141" t="s">
        <v>1025</v>
      </c>
      <c r="F1141" t="s">
        <v>4301</v>
      </c>
      <c r="G1141" t="s">
        <v>7282</v>
      </c>
      <c r="H1141" t="s">
        <v>10786</v>
      </c>
      <c r="I1141" t="s">
        <v>11385</v>
      </c>
      <c r="J1141">
        <v>11225</v>
      </c>
      <c r="K1141" t="s">
        <v>11446</v>
      </c>
      <c r="M1141" t="s">
        <v>14745</v>
      </c>
      <c r="N1141" t="s">
        <v>14780</v>
      </c>
      <c r="P1141" t="s">
        <v>14797</v>
      </c>
      <c r="Q1141" t="s">
        <v>11446</v>
      </c>
      <c r="R1141" t="s">
        <v>14820</v>
      </c>
      <c r="S1141" t="s">
        <v>14827</v>
      </c>
      <c r="U1141" t="s">
        <v>465</v>
      </c>
      <c r="V1141">
        <v>0</v>
      </c>
      <c r="W1141" t="s">
        <v>14859</v>
      </c>
      <c r="Z1141" t="s">
        <v>15975</v>
      </c>
      <c r="AB1141" t="s">
        <v>21065</v>
      </c>
      <c r="AC1141">
        <v>46</v>
      </c>
      <c r="AF1141">
        <v>0</v>
      </c>
      <c r="AG1141">
        <v>3</v>
      </c>
      <c r="AH1141">
        <v>0</v>
      </c>
      <c r="AI1141">
        <v>16.37</v>
      </c>
      <c r="AL1141" t="s">
        <v>24632</v>
      </c>
      <c r="AM1141">
        <v>3492</v>
      </c>
      <c r="AS1141">
        <v>0</v>
      </c>
      <c r="AU1141" t="s">
        <v>75</v>
      </c>
      <c r="AW1141" t="s">
        <v>11447</v>
      </c>
    </row>
    <row r="1142" spans="1:49">
      <c r="A1142" s="1">
        <f>HYPERLINK("https://lsnyc.legalserver.org/matter/dynamic-profile/view/1907609","19-1907609")</f>
        <v>0</v>
      </c>
      <c r="B1142" t="s">
        <v>108</v>
      </c>
      <c r="C1142" t="s">
        <v>630</v>
      </c>
      <c r="E1142" t="s">
        <v>1795</v>
      </c>
      <c r="F1142" t="s">
        <v>4302</v>
      </c>
      <c r="G1142" t="s">
        <v>7283</v>
      </c>
      <c r="H1142" t="s">
        <v>10787</v>
      </c>
      <c r="I1142" t="s">
        <v>11385</v>
      </c>
      <c r="J1142">
        <v>11210</v>
      </c>
      <c r="K1142" t="s">
        <v>11446</v>
      </c>
      <c r="M1142" t="s">
        <v>14745</v>
      </c>
      <c r="N1142" t="s">
        <v>14780</v>
      </c>
      <c r="P1142" t="s">
        <v>14797</v>
      </c>
      <c r="Q1142" t="s">
        <v>11448</v>
      </c>
      <c r="S1142" t="s">
        <v>14827</v>
      </c>
      <c r="U1142" t="s">
        <v>465</v>
      </c>
      <c r="V1142">
        <v>1725</v>
      </c>
      <c r="W1142" t="s">
        <v>14859</v>
      </c>
      <c r="Z1142" t="s">
        <v>15976</v>
      </c>
      <c r="AC1142">
        <v>65</v>
      </c>
      <c r="AF1142">
        <v>20</v>
      </c>
      <c r="AG1142">
        <v>6</v>
      </c>
      <c r="AH1142">
        <v>2</v>
      </c>
      <c r="AI1142">
        <v>71.84</v>
      </c>
      <c r="AL1142" t="s">
        <v>24641</v>
      </c>
      <c r="AM1142">
        <v>31200</v>
      </c>
      <c r="AS1142">
        <v>0</v>
      </c>
      <c r="AU1142" t="s">
        <v>75</v>
      </c>
      <c r="AV1142" t="s">
        <v>25335</v>
      </c>
      <c r="AW1142" t="s">
        <v>11447</v>
      </c>
    </row>
    <row r="1143" spans="1:49">
      <c r="A1143" s="1">
        <f>HYPERLINK("https://lsnyc.legalserver.org/matter/dynamic-profile/view/1907469","19-1907469")</f>
        <v>0</v>
      </c>
      <c r="B1143" t="s">
        <v>210</v>
      </c>
      <c r="C1143" t="s">
        <v>465</v>
      </c>
      <c r="E1143" t="s">
        <v>1683</v>
      </c>
      <c r="F1143" t="s">
        <v>4303</v>
      </c>
      <c r="G1143" t="s">
        <v>7282</v>
      </c>
      <c r="H1143" t="s">
        <v>10788</v>
      </c>
      <c r="I1143" t="s">
        <v>11385</v>
      </c>
      <c r="J1143">
        <v>11225</v>
      </c>
      <c r="K1143" t="s">
        <v>11446</v>
      </c>
      <c r="M1143" t="s">
        <v>14745</v>
      </c>
      <c r="N1143" t="s">
        <v>14780</v>
      </c>
      <c r="P1143" t="s">
        <v>14797</v>
      </c>
      <c r="Q1143" t="s">
        <v>11446</v>
      </c>
      <c r="R1143" t="s">
        <v>14820</v>
      </c>
      <c r="S1143" t="s">
        <v>14827</v>
      </c>
      <c r="U1143" t="s">
        <v>465</v>
      </c>
      <c r="V1143">
        <v>0</v>
      </c>
      <c r="W1143" t="s">
        <v>14859</v>
      </c>
      <c r="Z1143" t="s">
        <v>15304</v>
      </c>
      <c r="AC1143">
        <v>46</v>
      </c>
      <c r="AF1143">
        <v>0</v>
      </c>
      <c r="AG1143">
        <v>3</v>
      </c>
      <c r="AH1143">
        <v>0</v>
      </c>
      <c r="AI1143">
        <v>90.01000000000001</v>
      </c>
      <c r="AL1143" t="s">
        <v>5011</v>
      </c>
      <c r="AM1143">
        <v>19200</v>
      </c>
      <c r="AS1143">
        <v>0</v>
      </c>
      <c r="AU1143" t="s">
        <v>75</v>
      </c>
      <c r="AV1143" t="s">
        <v>25335</v>
      </c>
      <c r="AW1143" t="s">
        <v>11447</v>
      </c>
    </row>
    <row r="1144" spans="1:49">
      <c r="A1144" s="1">
        <f>HYPERLINK("https://lsnyc.legalserver.org/matter/dynamic-profile/view/1907453","19-1907453")</f>
        <v>0</v>
      </c>
      <c r="B1144" t="s">
        <v>227</v>
      </c>
      <c r="C1144" t="s">
        <v>465</v>
      </c>
      <c r="E1144" t="s">
        <v>1230</v>
      </c>
      <c r="F1144" t="s">
        <v>4304</v>
      </c>
      <c r="G1144" t="s">
        <v>7284</v>
      </c>
      <c r="H1144" t="s">
        <v>10705</v>
      </c>
      <c r="I1144" t="s">
        <v>11399</v>
      </c>
      <c r="J1144">
        <v>11421</v>
      </c>
      <c r="K1144" t="s">
        <v>11446</v>
      </c>
      <c r="L1144" t="s">
        <v>11823</v>
      </c>
      <c r="M1144" t="s">
        <v>14743</v>
      </c>
      <c r="N1144" t="s">
        <v>14781</v>
      </c>
      <c r="P1144" t="s">
        <v>14797</v>
      </c>
      <c r="Q1144" t="s">
        <v>11448</v>
      </c>
      <c r="S1144" t="s">
        <v>14827</v>
      </c>
      <c r="T1144" t="s">
        <v>14834</v>
      </c>
      <c r="U1144" t="s">
        <v>465</v>
      </c>
      <c r="V1144">
        <v>1800</v>
      </c>
      <c r="W1144" t="s">
        <v>14861</v>
      </c>
      <c r="X1144" t="s">
        <v>14865</v>
      </c>
      <c r="Z1144" t="s">
        <v>15977</v>
      </c>
      <c r="AB1144" t="s">
        <v>21066</v>
      </c>
      <c r="AC1144">
        <v>2</v>
      </c>
      <c r="AD1144" t="s">
        <v>11479</v>
      </c>
      <c r="AE1144" t="s">
        <v>11459</v>
      </c>
      <c r="AF1144">
        <v>8</v>
      </c>
      <c r="AG1144">
        <v>1</v>
      </c>
      <c r="AH1144">
        <v>3</v>
      </c>
      <c r="AI1144">
        <v>93.2</v>
      </c>
      <c r="AL1144" t="s">
        <v>5011</v>
      </c>
      <c r="AM1144">
        <v>24000</v>
      </c>
      <c r="AO1144" t="s">
        <v>24932</v>
      </c>
      <c r="AP1144" t="s">
        <v>14755</v>
      </c>
      <c r="AQ1144" t="s">
        <v>24987</v>
      </c>
      <c r="AR1144" t="s">
        <v>25033</v>
      </c>
      <c r="AS1144">
        <v>29.25</v>
      </c>
      <c r="AT1144" t="s">
        <v>475</v>
      </c>
      <c r="AU1144" t="s">
        <v>292</v>
      </c>
      <c r="AV1144" t="s">
        <v>25335</v>
      </c>
      <c r="AW1144" t="s">
        <v>11447</v>
      </c>
    </row>
    <row r="1145" spans="1:49">
      <c r="A1145" s="1">
        <f>HYPERLINK("https://lsnyc.legalserver.org/matter/dynamic-profile/view/1907462","19-1907462")</f>
        <v>0</v>
      </c>
      <c r="B1145" t="s">
        <v>209</v>
      </c>
      <c r="C1145" t="s">
        <v>465</v>
      </c>
      <c r="E1145" t="s">
        <v>1796</v>
      </c>
      <c r="F1145" t="s">
        <v>4305</v>
      </c>
      <c r="G1145" t="s">
        <v>7285</v>
      </c>
      <c r="I1145" t="s">
        <v>11421</v>
      </c>
      <c r="J1145">
        <v>11429</v>
      </c>
      <c r="K1145" t="s">
        <v>11446</v>
      </c>
      <c r="L1145" t="s">
        <v>11824</v>
      </c>
      <c r="M1145" t="s">
        <v>14743</v>
      </c>
      <c r="N1145" t="s">
        <v>14778</v>
      </c>
      <c r="P1145" t="s">
        <v>14797</v>
      </c>
      <c r="Q1145" t="s">
        <v>11448</v>
      </c>
      <c r="S1145" t="s">
        <v>14827</v>
      </c>
      <c r="T1145" t="s">
        <v>14834</v>
      </c>
      <c r="U1145" t="s">
        <v>465</v>
      </c>
      <c r="V1145">
        <v>450</v>
      </c>
      <c r="W1145" t="s">
        <v>14861</v>
      </c>
      <c r="X1145" t="s">
        <v>14865</v>
      </c>
      <c r="Z1145" t="s">
        <v>15978</v>
      </c>
      <c r="AA1145" t="s">
        <v>19344</v>
      </c>
      <c r="AB1145" t="s">
        <v>19344</v>
      </c>
      <c r="AC1145">
        <v>2</v>
      </c>
      <c r="AD1145" t="s">
        <v>11479</v>
      </c>
      <c r="AE1145" t="s">
        <v>11459</v>
      </c>
      <c r="AF1145">
        <v>2</v>
      </c>
      <c r="AG1145">
        <v>1</v>
      </c>
      <c r="AH1145">
        <v>2</v>
      </c>
      <c r="AI1145">
        <v>93.76000000000001</v>
      </c>
      <c r="AL1145" t="s">
        <v>5011</v>
      </c>
      <c r="AM1145">
        <v>20000</v>
      </c>
      <c r="AS1145">
        <v>2.45</v>
      </c>
      <c r="AT1145" t="s">
        <v>410</v>
      </c>
      <c r="AU1145" t="s">
        <v>292</v>
      </c>
      <c r="AV1145" t="s">
        <v>25335</v>
      </c>
      <c r="AW1145" t="s">
        <v>11447</v>
      </c>
    </row>
    <row r="1146" spans="1:49">
      <c r="A1146" s="1">
        <f>HYPERLINK("https://lsnyc.legalserver.org/matter/dynamic-profile/view/1907460","19-1907460")</f>
        <v>0</v>
      </c>
      <c r="B1146" t="s">
        <v>210</v>
      </c>
      <c r="C1146" t="s">
        <v>465</v>
      </c>
      <c r="E1146" t="s">
        <v>1797</v>
      </c>
      <c r="F1146" t="s">
        <v>4306</v>
      </c>
      <c r="G1146" t="s">
        <v>7282</v>
      </c>
      <c r="H1146" t="s">
        <v>10524</v>
      </c>
      <c r="I1146" t="s">
        <v>11385</v>
      </c>
      <c r="J1146">
        <v>11225</v>
      </c>
      <c r="K1146" t="s">
        <v>11446</v>
      </c>
      <c r="M1146" t="s">
        <v>14745</v>
      </c>
      <c r="N1146" t="s">
        <v>14780</v>
      </c>
      <c r="P1146" t="s">
        <v>14797</v>
      </c>
      <c r="Q1146" t="s">
        <v>11446</v>
      </c>
      <c r="R1146" t="s">
        <v>14820</v>
      </c>
      <c r="S1146" t="s">
        <v>14827</v>
      </c>
      <c r="U1146" t="s">
        <v>465</v>
      </c>
      <c r="V1146">
        <v>0</v>
      </c>
      <c r="W1146" t="s">
        <v>14859</v>
      </c>
      <c r="Z1146" t="s">
        <v>15979</v>
      </c>
      <c r="AB1146" t="s">
        <v>21067</v>
      </c>
      <c r="AC1146">
        <v>46</v>
      </c>
      <c r="AF1146">
        <v>0</v>
      </c>
      <c r="AG1146">
        <v>2</v>
      </c>
      <c r="AH1146">
        <v>0</v>
      </c>
      <c r="AI1146">
        <v>124.19</v>
      </c>
      <c r="AL1146" t="s">
        <v>5011</v>
      </c>
      <c r="AM1146">
        <v>21000</v>
      </c>
      <c r="AS1146">
        <v>0</v>
      </c>
      <c r="AU1146" t="s">
        <v>75</v>
      </c>
      <c r="AV1146" t="s">
        <v>25335</v>
      </c>
      <c r="AW1146" t="s">
        <v>11447</v>
      </c>
    </row>
    <row r="1147" spans="1:49">
      <c r="A1147" s="1">
        <f>HYPERLINK("https://lsnyc.legalserver.org/matter/dynamic-profile/view/1907459","19-1907459")</f>
        <v>0</v>
      </c>
      <c r="B1147" t="s">
        <v>178</v>
      </c>
      <c r="C1147" t="s">
        <v>465</v>
      </c>
      <c r="E1147" t="s">
        <v>1798</v>
      </c>
      <c r="F1147" t="s">
        <v>4307</v>
      </c>
      <c r="G1147" t="s">
        <v>7286</v>
      </c>
      <c r="H1147">
        <v>4</v>
      </c>
      <c r="I1147" t="s">
        <v>11386</v>
      </c>
      <c r="J1147">
        <v>10034</v>
      </c>
      <c r="K1147" t="s">
        <v>11446</v>
      </c>
      <c r="N1147" t="s">
        <v>14782</v>
      </c>
      <c r="P1147" t="s">
        <v>14797</v>
      </c>
      <c r="Q1147" t="s">
        <v>11448</v>
      </c>
      <c r="S1147" t="s">
        <v>14827</v>
      </c>
      <c r="U1147" t="s">
        <v>465</v>
      </c>
      <c r="V1147">
        <v>1384</v>
      </c>
      <c r="W1147" t="s">
        <v>14860</v>
      </c>
      <c r="X1147" t="s">
        <v>14867</v>
      </c>
      <c r="Z1147" t="s">
        <v>15980</v>
      </c>
      <c r="AB1147" t="s">
        <v>21068</v>
      </c>
      <c r="AC1147">
        <v>20</v>
      </c>
      <c r="AD1147" t="s">
        <v>24595</v>
      </c>
      <c r="AE1147" t="s">
        <v>11459</v>
      </c>
      <c r="AF1147">
        <v>7</v>
      </c>
      <c r="AG1147">
        <v>4</v>
      </c>
      <c r="AH1147">
        <v>1</v>
      </c>
      <c r="AI1147">
        <v>271.79</v>
      </c>
      <c r="AL1147" t="s">
        <v>24632</v>
      </c>
      <c r="AM1147">
        <v>82000</v>
      </c>
      <c r="AS1147">
        <v>43.45</v>
      </c>
      <c r="AT1147" t="s">
        <v>580</v>
      </c>
      <c r="AU1147" t="s">
        <v>137</v>
      </c>
      <c r="AV1147" t="s">
        <v>25335</v>
      </c>
      <c r="AW1147" t="s">
        <v>11447</v>
      </c>
    </row>
    <row r="1148" spans="1:49">
      <c r="A1148" s="1">
        <f>HYPERLINK("https://lsnyc.legalserver.org/matter/dynamic-profile/view/1906363","19-1906363")</f>
        <v>0</v>
      </c>
      <c r="B1148" t="s">
        <v>187</v>
      </c>
      <c r="C1148" t="s">
        <v>485</v>
      </c>
      <c r="E1148" t="s">
        <v>1769</v>
      </c>
      <c r="F1148" t="s">
        <v>3965</v>
      </c>
      <c r="G1148" t="s">
        <v>7229</v>
      </c>
      <c r="H1148" t="s">
        <v>10595</v>
      </c>
      <c r="I1148" t="s">
        <v>11385</v>
      </c>
      <c r="J1148">
        <v>11216</v>
      </c>
      <c r="K1148" t="s">
        <v>11446</v>
      </c>
      <c r="L1148" t="s">
        <v>11465</v>
      </c>
      <c r="M1148" t="s">
        <v>11601</v>
      </c>
      <c r="N1148" t="s">
        <v>14779</v>
      </c>
      <c r="P1148" t="s">
        <v>14797</v>
      </c>
      <c r="Q1148" t="s">
        <v>11446</v>
      </c>
      <c r="S1148" t="s">
        <v>14827</v>
      </c>
      <c r="T1148" t="s">
        <v>14832</v>
      </c>
      <c r="U1148" t="s">
        <v>465</v>
      </c>
      <c r="V1148">
        <v>1550</v>
      </c>
      <c r="W1148" t="s">
        <v>14859</v>
      </c>
      <c r="X1148" t="s">
        <v>14876</v>
      </c>
      <c r="Z1148" t="s">
        <v>15921</v>
      </c>
      <c r="AA1148" t="s">
        <v>11465</v>
      </c>
      <c r="AB1148" t="s">
        <v>21010</v>
      </c>
      <c r="AC1148">
        <v>82</v>
      </c>
      <c r="AD1148" t="s">
        <v>24595</v>
      </c>
      <c r="AE1148" t="s">
        <v>11459</v>
      </c>
      <c r="AF1148">
        <v>8</v>
      </c>
      <c r="AG1148">
        <v>1</v>
      </c>
      <c r="AH1148">
        <v>0</v>
      </c>
      <c r="AI1148">
        <v>792.63</v>
      </c>
      <c r="AK1148" t="s">
        <v>24629</v>
      </c>
      <c r="AL1148" t="s">
        <v>5011</v>
      </c>
      <c r="AM1148">
        <v>99000</v>
      </c>
      <c r="AN1148" t="s">
        <v>24756</v>
      </c>
      <c r="AS1148">
        <v>0</v>
      </c>
      <c r="AU1148" t="s">
        <v>66</v>
      </c>
      <c r="AV1148" t="s">
        <v>25335</v>
      </c>
      <c r="AW1148" t="s">
        <v>11447</v>
      </c>
    </row>
    <row r="1149" spans="1:49">
      <c r="A1149" s="1">
        <f>HYPERLINK("https://lsnyc.legalserver.org/matter/dynamic-profile/view/1907507","19-1907507")</f>
        <v>0</v>
      </c>
      <c r="B1149" t="s">
        <v>210</v>
      </c>
      <c r="C1149" t="s">
        <v>465</v>
      </c>
      <c r="E1149" t="s">
        <v>1799</v>
      </c>
      <c r="F1149" t="s">
        <v>4308</v>
      </c>
      <c r="G1149" t="s">
        <v>7282</v>
      </c>
      <c r="H1149" t="s">
        <v>10789</v>
      </c>
      <c r="I1149" t="s">
        <v>11385</v>
      </c>
      <c r="J1149">
        <v>11225</v>
      </c>
      <c r="K1149" t="s">
        <v>11446</v>
      </c>
      <c r="M1149" t="s">
        <v>14745</v>
      </c>
      <c r="N1149" t="s">
        <v>14780</v>
      </c>
      <c r="P1149" t="s">
        <v>14797</v>
      </c>
      <c r="Q1149" t="s">
        <v>11446</v>
      </c>
      <c r="S1149" t="s">
        <v>14827</v>
      </c>
      <c r="U1149" t="s">
        <v>465</v>
      </c>
      <c r="V1149">
        <v>0</v>
      </c>
      <c r="W1149" t="s">
        <v>14859</v>
      </c>
      <c r="Z1149" t="s">
        <v>15981</v>
      </c>
      <c r="AB1149" t="s">
        <v>21069</v>
      </c>
      <c r="AC1149">
        <v>46</v>
      </c>
      <c r="AF1149">
        <v>0</v>
      </c>
      <c r="AG1149">
        <v>1</v>
      </c>
      <c r="AH1149">
        <v>0</v>
      </c>
      <c r="AI1149">
        <v>1136.91</v>
      </c>
      <c r="AL1149" t="s">
        <v>5011</v>
      </c>
      <c r="AM1149">
        <v>142000</v>
      </c>
      <c r="AS1149">
        <v>0</v>
      </c>
      <c r="AU1149" t="s">
        <v>75</v>
      </c>
      <c r="AV1149" t="s">
        <v>25335</v>
      </c>
      <c r="AW1149" t="s">
        <v>11447</v>
      </c>
    </row>
    <row r="1150" spans="1:49">
      <c r="A1150" s="1">
        <f>HYPERLINK("https://lsnyc.legalserver.org/matter/dynamic-profile/view/1906741","19-1906741")</f>
        <v>0</v>
      </c>
      <c r="B1150" t="s">
        <v>100</v>
      </c>
      <c r="C1150" t="s">
        <v>620</v>
      </c>
      <c r="E1150" t="s">
        <v>1354</v>
      </c>
      <c r="F1150" t="s">
        <v>3662</v>
      </c>
      <c r="G1150" t="s">
        <v>7287</v>
      </c>
      <c r="H1150" t="s">
        <v>10547</v>
      </c>
      <c r="I1150" t="s">
        <v>11383</v>
      </c>
      <c r="J1150">
        <v>10455</v>
      </c>
      <c r="K1150" t="s">
        <v>11446</v>
      </c>
      <c r="L1150" t="s">
        <v>11825</v>
      </c>
      <c r="M1150" t="s">
        <v>14744</v>
      </c>
      <c r="N1150" t="s">
        <v>14781</v>
      </c>
      <c r="P1150" t="s">
        <v>14797</v>
      </c>
      <c r="Q1150" t="s">
        <v>11448</v>
      </c>
      <c r="S1150" t="s">
        <v>14827</v>
      </c>
      <c r="T1150" t="s">
        <v>14833</v>
      </c>
      <c r="U1150" t="s">
        <v>630</v>
      </c>
      <c r="V1150">
        <v>347</v>
      </c>
      <c r="W1150" t="s">
        <v>14858</v>
      </c>
      <c r="X1150" t="s">
        <v>14871</v>
      </c>
      <c r="Z1150" t="s">
        <v>15982</v>
      </c>
      <c r="AB1150" t="s">
        <v>21070</v>
      </c>
      <c r="AC1150">
        <v>45</v>
      </c>
      <c r="AD1150" t="s">
        <v>24596</v>
      </c>
      <c r="AE1150" t="s">
        <v>11459</v>
      </c>
      <c r="AF1150">
        <v>16</v>
      </c>
      <c r="AG1150">
        <v>2</v>
      </c>
      <c r="AH1150">
        <v>0</v>
      </c>
      <c r="AI1150">
        <v>61.5</v>
      </c>
      <c r="AL1150" t="s">
        <v>5011</v>
      </c>
      <c r="AM1150">
        <v>10400</v>
      </c>
      <c r="AS1150">
        <v>17.25</v>
      </c>
      <c r="AT1150" t="s">
        <v>592</v>
      </c>
      <c r="AU1150" t="s">
        <v>245</v>
      </c>
      <c r="AV1150" t="s">
        <v>25335</v>
      </c>
      <c r="AW1150" t="s">
        <v>11447</v>
      </c>
    </row>
    <row r="1151" spans="1:49">
      <c r="A1151" s="1">
        <f>HYPERLINK("https://lsnyc.legalserver.org/matter/dynamic-profile/view/1907589","19-1907589")</f>
        <v>0</v>
      </c>
      <c r="B1151" t="s">
        <v>108</v>
      </c>
      <c r="C1151" t="s">
        <v>630</v>
      </c>
      <c r="E1151" t="s">
        <v>1795</v>
      </c>
      <c r="F1151" t="s">
        <v>4302</v>
      </c>
      <c r="G1151" t="s">
        <v>7283</v>
      </c>
      <c r="H1151" t="s">
        <v>10787</v>
      </c>
      <c r="I1151" t="s">
        <v>11385</v>
      </c>
      <c r="J1151">
        <v>11210</v>
      </c>
      <c r="K1151" t="s">
        <v>11446</v>
      </c>
      <c r="L1151" t="s">
        <v>11826</v>
      </c>
      <c r="M1151" t="s">
        <v>14744</v>
      </c>
      <c r="N1151" t="s">
        <v>14781</v>
      </c>
      <c r="P1151" t="s">
        <v>14797</v>
      </c>
      <c r="Q1151" t="s">
        <v>11448</v>
      </c>
      <c r="S1151" t="s">
        <v>14827</v>
      </c>
      <c r="U1151" t="s">
        <v>630</v>
      </c>
      <c r="V1151">
        <v>1725</v>
      </c>
      <c r="W1151" t="s">
        <v>14859</v>
      </c>
      <c r="Z1151" t="s">
        <v>15976</v>
      </c>
      <c r="AC1151">
        <v>65</v>
      </c>
      <c r="AF1151">
        <v>20</v>
      </c>
      <c r="AG1151">
        <v>6</v>
      </c>
      <c r="AH1151">
        <v>2</v>
      </c>
      <c r="AI1151">
        <v>71.84</v>
      </c>
      <c r="AL1151" t="s">
        <v>24641</v>
      </c>
      <c r="AM1151">
        <v>31200</v>
      </c>
      <c r="AS1151">
        <v>4</v>
      </c>
      <c r="AT1151" t="s">
        <v>473</v>
      </c>
      <c r="AU1151" t="s">
        <v>75</v>
      </c>
      <c r="AV1151" t="s">
        <v>25335</v>
      </c>
      <c r="AW1151" t="s">
        <v>11447</v>
      </c>
    </row>
    <row r="1152" spans="1:49">
      <c r="A1152" s="1">
        <f>HYPERLINK("https://lsnyc.legalserver.org/matter/dynamic-profile/view/1907182","19-1907182")</f>
        <v>0</v>
      </c>
      <c r="B1152" t="s">
        <v>165</v>
      </c>
      <c r="C1152" t="s">
        <v>630</v>
      </c>
      <c r="E1152" t="s">
        <v>1749</v>
      </c>
      <c r="F1152" t="s">
        <v>4309</v>
      </c>
      <c r="G1152" t="s">
        <v>7288</v>
      </c>
      <c r="H1152" t="s">
        <v>10790</v>
      </c>
      <c r="I1152" t="s">
        <v>11384</v>
      </c>
      <c r="J1152">
        <v>10301</v>
      </c>
      <c r="K1152" t="s">
        <v>11446</v>
      </c>
      <c r="L1152" t="s">
        <v>11827</v>
      </c>
      <c r="M1152" t="s">
        <v>14744</v>
      </c>
      <c r="N1152" t="s">
        <v>14781</v>
      </c>
      <c r="P1152" t="s">
        <v>14797</v>
      </c>
      <c r="Q1152" t="s">
        <v>11448</v>
      </c>
      <c r="S1152" t="s">
        <v>14830</v>
      </c>
      <c r="T1152" t="s">
        <v>14832</v>
      </c>
      <c r="U1152" t="s">
        <v>630</v>
      </c>
      <c r="V1152">
        <v>215</v>
      </c>
      <c r="W1152" t="s">
        <v>14862</v>
      </c>
      <c r="X1152" t="s">
        <v>14870</v>
      </c>
      <c r="Z1152" t="s">
        <v>15983</v>
      </c>
      <c r="AB1152" t="s">
        <v>21071</v>
      </c>
      <c r="AC1152">
        <v>454</v>
      </c>
      <c r="AD1152" t="s">
        <v>24605</v>
      </c>
      <c r="AE1152" t="s">
        <v>24610</v>
      </c>
      <c r="AF1152">
        <v>37</v>
      </c>
      <c r="AG1152">
        <v>1</v>
      </c>
      <c r="AH1152">
        <v>0</v>
      </c>
      <c r="AI1152">
        <v>74.08</v>
      </c>
      <c r="AL1152" t="s">
        <v>5011</v>
      </c>
      <c r="AM1152">
        <v>9252</v>
      </c>
      <c r="AO1152" t="s">
        <v>24931</v>
      </c>
      <c r="AS1152">
        <v>10.9</v>
      </c>
      <c r="AT1152" t="s">
        <v>495</v>
      </c>
      <c r="AU1152" t="s">
        <v>25270</v>
      </c>
      <c r="AV1152" t="s">
        <v>25335</v>
      </c>
      <c r="AW1152" t="s">
        <v>11447</v>
      </c>
    </row>
    <row r="1153" spans="1:49">
      <c r="A1153" s="1">
        <f>HYPERLINK("https://lsnyc.legalserver.org/matter/dynamic-profile/view/1907747","19-1907747")</f>
        <v>0</v>
      </c>
      <c r="B1153" t="s">
        <v>76</v>
      </c>
      <c r="C1153" t="s">
        <v>377</v>
      </c>
      <c r="E1153" t="s">
        <v>1274</v>
      </c>
      <c r="F1153" t="s">
        <v>3623</v>
      </c>
      <c r="G1153" t="s">
        <v>7289</v>
      </c>
      <c r="H1153" t="s">
        <v>10791</v>
      </c>
      <c r="I1153" t="s">
        <v>11385</v>
      </c>
      <c r="J1153">
        <v>11219</v>
      </c>
      <c r="K1153" t="s">
        <v>11446</v>
      </c>
      <c r="L1153" t="s">
        <v>11828</v>
      </c>
      <c r="M1153" t="s">
        <v>14744</v>
      </c>
      <c r="N1153" t="s">
        <v>14781</v>
      </c>
      <c r="P1153" t="s">
        <v>14797</v>
      </c>
      <c r="Q1153" t="s">
        <v>11448</v>
      </c>
      <c r="S1153" t="s">
        <v>14827</v>
      </c>
      <c r="T1153" t="s">
        <v>14832</v>
      </c>
      <c r="U1153" t="s">
        <v>630</v>
      </c>
      <c r="V1153">
        <v>900</v>
      </c>
      <c r="W1153" t="s">
        <v>14859</v>
      </c>
      <c r="X1153" t="s">
        <v>14868</v>
      </c>
      <c r="Z1153" t="s">
        <v>15984</v>
      </c>
      <c r="AB1153" t="s">
        <v>21072</v>
      </c>
      <c r="AC1153">
        <v>6</v>
      </c>
      <c r="AD1153" t="s">
        <v>24595</v>
      </c>
      <c r="AE1153" t="s">
        <v>11459</v>
      </c>
      <c r="AF1153">
        <v>10</v>
      </c>
      <c r="AG1153">
        <v>3</v>
      </c>
      <c r="AH1153">
        <v>0</v>
      </c>
      <c r="AI1153">
        <v>84.39</v>
      </c>
      <c r="AL1153" t="s">
        <v>24632</v>
      </c>
      <c r="AM1153">
        <v>18000</v>
      </c>
      <c r="AS1153">
        <v>20.5</v>
      </c>
      <c r="AT1153" t="s">
        <v>654</v>
      </c>
      <c r="AU1153" t="s">
        <v>120</v>
      </c>
      <c r="AV1153" t="s">
        <v>25335</v>
      </c>
      <c r="AW1153" t="s">
        <v>11447</v>
      </c>
    </row>
    <row r="1154" spans="1:49">
      <c r="A1154" s="1">
        <f>HYPERLINK("https://lsnyc.legalserver.org/matter/dynamic-profile/view/1906165","19-1906165")</f>
        <v>0</v>
      </c>
      <c r="B1154" t="s">
        <v>56</v>
      </c>
      <c r="C1154" t="s">
        <v>553</v>
      </c>
      <c r="E1154" t="s">
        <v>1800</v>
      </c>
      <c r="F1154" t="s">
        <v>4310</v>
      </c>
      <c r="G1154" t="s">
        <v>7290</v>
      </c>
      <c r="H1154" t="s">
        <v>10792</v>
      </c>
      <c r="I1154" t="s">
        <v>11385</v>
      </c>
      <c r="J1154">
        <v>11233</v>
      </c>
      <c r="K1154" t="s">
        <v>11446</v>
      </c>
      <c r="L1154" t="s">
        <v>11829</v>
      </c>
      <c r="M1154" t="s">
        <v>14744</v>
      </c>
      <c r="N1154" t="s">
        <v>14781</v>
      </c>
      <c r="P1154" t="s">
        <v>14797</v>
      </c>
      <c r="Q1154" t="s">
        <v>11448</v>
      </c>
      <c r="S1154" t="s">
        <v>14827</v>
      </c>
      <c r="T1154" t="s">
        <v>14837</v>
      </c>
      <c r="U1154" t="s">
        <v>630</v>
      </c>
      <c r="V1154">
        <v>2100</v>
      </c>
      <c r="W1154" t="s">
        <v>14859</v>
      </c>
      <c r="X1154" t="s">
        <v>14755</v>
      </c>
      <c r="Z1154" t="s">
        <v>15985</v>
      </c>
      <c r="AA1154">
        <v>6659617</v>
      </c>
      <c r="AB1154" t="s">
        <v>21073</v>
      </c>
      <c r="AC1154">
        <v>287</v>
      </c>
      <c r="AD1154" t="s">
        <v>24595</v>
      </c>
      <c r="AE1154" t="s">
        <v>24610</v>
      </c>
      <c r="AF1154">
        <v>3</v>
      </c>
      <c r="AG1154">
        <v>1</v>
      </c>
      <c r="AH1154">
        <v>0</v>
      </c>
      <c r="AI1154">
        <v>98.8</v>
      </c>
      <c r="AL1154" t="s">
        <v>5011</v>
      </c>
      <c r="AM1154">
        <v>12340</v>
      </c>
      <c r="AS1154">
        <v>12.1</v>
      </c>
      <c r="AT1154" t="s">
        <v>478</v>
      </c>
      <c r="AU1154" t="s">
        <v>25227</v>
      </c>
      <c r="AV1154" t="s">
        <v>25335</v>
      </c>
      <c r="AW1154" t="s">
        <v>11447</v>
      </c>
    </row>
    <row r="1155" spans="1:49">
      <c r="A1155" s="1">
        <f>HYPERLINK("https://lsnyc.legalserver.org/matter/dynamic-profile/view/1907582","19-1907582")</f>
        <v>0</v>
      </c>
      <c r="B1155" t="s">
        <v>190</v>
      </c>
      <c r="C1155" t="s">
        <v>630</v>
      </c>
      <c r="E1155" t="s">
        <v>1228</v>
      </c>
      <c r="F1155" t="s">
        <v>4311</v>
      </c>
      <c r="G1155" t="s">
        <v>7291</v>
      </c>
      <c r="H1155" t="s">
        <v>10524</v>
      </c>
      <c r="I1155" t="s">
        <v>11386</v>
      </c>
      <c r="J1155">
        <v>10034</v>
      </c>
      <c r="K1155" t="s">
        <v>11446</v>
      </c>
      <c r="M1155" t="s">
        <v>14747</v>
      </c>
      <c r="N1155" t="s">
        <v>14778</v>
      </c>
      <c r="P1155" t="s">
        <v>14797</v>
      </c>
      <c r="Q1155" t="s">
        <v>11448</v>
      </c>
      <c r="S1155" t="s">
        <v>14827</v>
      </c>
      <c r="U1155" t="s">
        <v>630</v>
      </c>
      <c r="V1155">
        <v>857.51</v>
      </c>
      <c r="W1155" t="s">
        <v>14860</v>
      </c>
      <c r="X1155" t="s">
        <v>14877</v>
      </c>
      <c r="Z1155" t="s">
        <v>15986</v>
      </c>
      <c r="AB1155" t="s">
        <v>21074</v>
      </c>
      <c r="AC1155">
        <v>22</v>
      </c>
      <c r="AD1155" t="s">
        <v>24595</v>
      </c>
      <c r="AE1155" t="s">
        <v>11459</v>
      </c>
      <c r="AF1155">
        <v>41</v>
      </c>
      <c r="AG1155">
        <v>1</v>
      </c>
      <c r="AH1155">
        <v>0</v>
      </c>
      <c r="AI1155">
        <v>98.95999999999999</v>
      </c>
      <c r="AL1155" t="s">
        <v>24632</v>
      </c>
      <c r="AM1155">
        <v>12360</v>
      </c>
      <c r="AS1155">
        <v>10.2</v>
      </c>
      <c r="AT1155" t="s">
        <v>654</v>
      </c>
      <c r="AU1155" t="s">
        <v>137</v>
      </c>
      <c r="AV1155" t="s">
        <v>25335</v>
      </c>
      <c r="AW1155" t="s">
        <v>11447</v>
      </c>
    </row>
    <row r="1156" spans="1:49">
      <c r="A1156" s="1">
        <f>HYPERLINK("https://lsnyc.legalserver.org/matter/dynamic-profile/view/1907576","19-1907576")</f>
        <v>0</v>
      </c>
      <c r="B1156" t="s">
        <v>178</v>
      </c>
      <c r="C1156" t="s">
        <v>630</v>
      </c>
      <c r="E1156" t="s">
        <v>1801</v>
      </c>
      <c r="F1156" t="s">
        <v>3877</v>
      </c>
      <c r="G1156" t="s">
        <v>7292</v>
      </c>
      <c r="H1156" t="s">
        <v>10793</v>
      </c>
      <c r="I1156" t="s">
        <v>11386</v>
      </c>
      <c r="J1156">
        <v>10034</v>
      </c>
      <c r="K1156" t="s">
        <v>11446</v>
      </c>
      <c r="N1156" t="s">
        <v>14779</v>
      </c>
      <c r="P1156" t="s">
        <v>14797</v>
      </c>
      <c r="Q1156" t="s">
        <v>11448</v>
      </c>
      <c r="S1156" t="s">
        <v>14827</v>
      </c>
      <c r="U1156" t="s">
        <v>630</v>
      </c>
      <c r="V1156">
        <v>0</v>
      </c>
      <c r="W1156" t="s">
        <v>14860</v>
      </c>
      <c r="X1156" t="s">
        <v>14867</v>
      </c>
      <c r="Z1156" t="s">
        <v>15987</v>
      </c>
      <c r="AB1156" t="s">
        <v>21075</v>
      </c>
      <c r="AC1156">
        <v>25</v>
      </c>
      <c r="AD1156" t="s">
        <v>24595</v>
      </c>
      <c r="AE1156" t="s">
        <v>11459</v>
      </c>
      <c r="AF1156">
        <v>14</v>
      </c>
      <c r="AG1156">
        <v>3</v>
      </c>
      <c r="AH1156">
        <v>0</v>
      </c>
      <c r="AI1156">
        <v>141.77</v>
      </c>
      <c r="AL1156" t="s">
        <v>24632</v>
      </c>
      <c r="AM1156">
        <v>30240</v>
      </c>
      <c r="AS1156">
        <v>1.7</v>
      </c>
      <c r="AT1156" t="s">
        <v>528</v>
      </c>
      <c r="AU1156" t="s">
        <v>137</v>
      </c>
      <c r="AV1156" t="s">
        <v>25335</v>
      </c>
      <c r="AW1156" t="s">
        <v>11447</v>
      </c>
    </row>
    <row r="1157" spans="1:49">
      <c r="A1157" s="1">
        <f>HYPERLINK("https://lsnyc.legalserver.org/matter/dynamic-profile/view/1907245","19-1907245")</f>
        <v>0</v>
      </c>
      <c r="B1157" t="s">
        <v>165</v>
      </c>
      <c r="C1157" t="s">
        <v>630</v>
      </c>
      <c r="E1157" t="s">
        <v>1802</v>
      </c>
      <c r="F1157" t="s">
        <v>1264</v>
      </c>
      <c r="G1157" t="s">
        <v>6802</v>
      </c>
      <c r="H1157" t="s">
        <v>10794</v>
      </c>
      <c r="I1157" t="s">
        <v>11384</v>
      </c>
      <c r="J1157">
        <v>10304</v>
      </c>
      <c r="K1157" t="s">
        <v>11446</v>
      </c>
      <c r="L1157" t="s">
        <v>11830</v>
      </c>
      <c r="M1157" t="s">
        <v>14744</v>
      </c>
      <c r="N1157" t="s">
        <v>14781</v>
      </c>
      <c r="P1157" t="s">
        <v>14797</v>
      </c>
      <c r="Q1157" t="s">
        <v>11448</v>
      </c>
      <c r="S1157" t="s">
        <v>14830</v>
      </c>
      <c r="T1157" t="s">
        <v>14832</v>
      </c>
      <c r="U1157" t="s">
        <v>630</v>
      </c>
      <c r="V1157">
        <v>213</v>
      </c>
      <c r="W1157" t="s">
        <v>14862</v>
      </c>
      <c r="X1157" t="s">
        <v>14863</v>
      </c>
      <c r="Z1157" t="s">
        <v>15988</v>
      </c>
      <c r="AB1157" t="s">
        <v>21076</v>
      </c>
      <c r="AC1157">
        <v>403</v>
      </c>
      <c r="AD1157" t="s">
        <v>24596</v>
      </c>
      <c r="AE1157" t="s">
        <v>11459</v>
      </c>
      <c r="AF1157">
        <v>7</v>
      </c>
      <c r="AG1157">
        <v>1</v>
      </c>
      <c r="AH1157">
        <v>1</v>
      </c>
      <c r="AI1157">
        <v>167.9</v>
      </c>
      <c r="AL1157" t="s">
        <v>5011</v>
      </c>
      <c r="AM1157">
        <v>28392</v>
      </c>
      <c r="AS1157">
        <v>5.85</v>
      </c>
      <c r="AT1157" t="s">
        <v>504</v>
      </c>
      <c r="AU1157" t="s">
        <v>25270</v>
      </c>
      <c r="AV1157" t="s">
        <v>25335</v>
      </c>
      <c r="AW1157" t="s">
        <v>11447</v>
      </c>
    </row>
    <row r="1158" spans="1:49">
      <c r="A1158" s="1">
        <f>HYPERLINK("https://lsnyc.legalserver.org/matter/dynamic-profile/view/1907581","19-1907581")</f>
        <v>0</v>
      </c>
      <c r="B1158" t="s">
        <v>178</v>
      </c>
      <c r="C1158" t="s">
        <v>630</v>
      </c>
      <c r="E1158" t="s">
        <v>1435</v>
      </c>
      <c r="F1158" t="s">
        <v>4312</v>
      </c>
      <c r="G1158" t="s">
        <v>7177</v>
      </c>
      <c r="H1158" t="s">
        <v>10795</v>
      </c>
      <c r="I1158" t="s">
        <v>11386</v>
      </c>
      <c r="J1158">
        <v>10034</v>
      </c>
      <c r="K1158" t="s">
        <v>11446</v>
      </c>
      <c r="M1158" t="s">
        <v>14747</v>
      </c>
      <c r="N1158" t="s">
        <v>14778</v>
      </c>
      <c r="P1158" t="s">
        <v>14797</v>
      </c>
      <c r="Q1158" t="s">
        <v>11448</v>
      </c>
      <c r="S1158" t="s">
        <v>14827</v>
      </c>
      <c r="U1158" t="s">
        <v>630</v>
      </c>
      <c r="V1158">
        <v>2700</v>
      </c>
      <c r="W1158" t="s">
        <v>14860</v>
      </c>
      <c r="X1158" t="s">
        <v>14867</v>
      </c>
      <c r="Z1158" t="s">
        <v>15989</v>
      </c>
      <c r="AC1158">
        <v>69</v>
      </c>
      <c r="AD1158" t="s">
        <v>24595</v>
      </c>
      <c r="AE1158" t="s">
        <v>11459</v>
      </c>
      <c r="AF1158">
        <v>25</v>
      </c>
      <c r="AG1158">
        <v>2</v>
      </c>
      <c r="AH1158">
        <v>0</v>
      </c>
      <c r="AI1158">
        <v>305.14</v>
      </c>
      <c r="AL1158" t="s">
        <v>24636</v>
      </c>
      <c r="AM1158">
        <v>51600</v>
      </c>
      <c r="AS1158">
        <v>1.4</v>
      </c>
      <c r="AT1158" t="s">
        <v>368</v>
      </c>
      <c r="AU1158" t="s">
        <v>137</v>
      </c>
      <c r="AV1158" t="s">
        <v>25335</v>
      </c>
      <c r="AW1158" t="s">
        <v>11447</v>
      </c>
    </row>
    <row r="1159" spans="1:49">
      <c r="A1159" s="1">
        <f>HYPERLINK("https://lsnyc.legalserver.org/matter/dynamic-profile/view/1907585","19-1907585")</f>
        <v>0</v>
      </c>
      <c r="B1159" t="s">
        <v>123</v>
      </c>
      <c r="C1159" t="s">
        <v>630</v>
      </c>
      <c r="E1159" t="s">
        <v>1803</v>
      </c>
      <c r="F1159" t="s">
        <v>4313</v>
      </c>
      <c r="G1159" t="s">
        <v>7293</v>
      </c>
      <c r="H1159" t="s">
        <v>10581</v>
      </c>
      <c r="I1159" t="s">
        <v>11385</v>
      </c>
      <c r="J1159">
        <v>11226</v>
      </c>
      <c r="K1159" t="s">
        <v>11446</v>
      </c>
      <c r="M1159" t="s">
        <v>14746</v>
      </c>
      <c r="N1159" t="s">
        <v>14781</v>
      </c>
      <c r="P1159" t="s">
        <v>14797</v>
      </c>
      <c r="Q1159" t="s">
        <v>11446</v>
      </c>
      <c r="S1159" t="s">
        <v>14827</v>
      </c>
      <c r="U1159" t="s">
        <v>630</v>
      </c>
      <c r="V1159">
        <v>786.46</v>
      </c>
      <c r="W1159" t="s">
        <v>14859</v>
      </c>
      <c r="Z1159" t="s">
        <v>15990</v>
      </c>
      <c r="AB1159" t="s">
        <v>21077</v>
      </c>
      <c r="AC1159">
        <v>16</v>
      </c>
      <c r="AD1159" t="s">
        <v>24595</v>
      </c>
      <c r="AF1159">
        <v>19</v>
      </c>
      <c r="AG1159">
        <v>1</v>
      </c>
      <c r="AH1159">
        <v>0</v>
      </c>
      <c r="AI1159">
        <v>400.32</v>
      </c>
      <c r="AL1159" t="s">
        <v>5011</v>
      </c>
      <c r="AM1159">
        <v>50000</v>
      </c>
      <c r="AS1159">
        <v>22.1</v>
      </c>
      <c r="AT1159" t="s">
        <v>495</v>
      </c>
      <c r="AU1159" t="s">
        <v>75</v>
      </c>
      <c r="AV1159" t="s">
        <v>25335</v>
      </c>
      <c r="AW1159" t="s">
        <v>11447</v>
      </c>
    </row>
    <row r="1160" spans="1:49">
      <c r="A1160" s="1">
        <f>HYPERLINK("https://lsnyc.legalserver.org/matter/dynamic-profile/view/1907709","19-1907709")</f>
        <v>0</v>
      </c>
      <c r="B1160" t="s">
        <v>187</v>
      </c>
      <c r="C1160" t="s">
        <v>633</v>
      </c>
      <c r="E1160" t="s">
        <v>1804</v>
      </c>
      <c r="F1160" t="s">
        <v>4314</v>
      </c>
      <c r="G1160" t="s">
        <v>7294</v>
      </c>
      <c r="H1160" t="s">
        <v>10481</v>
      </c>
      <c r="I1160" t="s">
        <v>11385</v>
      </c>
      <c r="J1160">
        <v>11238</v>
      </c>
      <c r="K1160" t="s">
        <v>11446</v>
      </c>
      <c r="L1160" t="s">
        <v>11459</v>
      </c>
      <c r="M1160" t="s">
        <v>14745</v>
      </c>
      <c r="N1160" t="s">
        <v>14779</v>
      </c>
      <c r="P1160" t="s">
        <v>14797</v>
      </c>
      <c r="Q1160" t="s">
        <v>11448</v>
      </c>
      <c r="S1160" t="s">
        <v>14827</v>
      </c>
      <c r="T1160" t="s">
        <v>14832</v>
      </c>
      <c r="U1160" t="s">
        <v>633</v>
      </c>
      <c r="V1160">
        <v>1266.98</v>
      </c>
      <c r="W1160" t="s">
        <v>14859</v>
      </c>
      <c r="X1160" t="s">
        <v>14868</v>
      </c>
      <c r="Z1160" t="s">
        <v>15991</v>
      </c>
      <c r="AA1160" t="s">
        <v>19412</v>
      </c>
      <c r="AB1160" t="s">
        <v>21078</v>
      </c>
      <c r="AC1160">
        <v>16</v>
      </c>
      <c r="AD1160" t="s">
        <v>24595</v>
      </c>
      <c r="AE1160" t="s">
        <v>24616</v>
      </c>
      <c r="AF1160">
        <v>0</v>
      </c>
      <c r="AG1160">
        <v>1</v>
      </c>
      <c r="AH1160">
        <v>1</v>
      </c>
      <c r="AI1160">
        <v>40.73</v>
      </c>
      <c r="AL1160" t="s">
        <v>5011</v>
      </c>
      <c r="AM1160">
        <v>6888</v>
      </c>
      <c r="AS1160">
        <v>2.5</v>
      </c>
      <c r="AT1160" t="s">
        <v>604</v>
      </c>
      <c r="AU1160" t="s">
        <v>66</v>
      </c>
      <c r="AV1160" t="s">
        <v>25334</v>
      </c>
      <c r="AW1160" t="s">
        <v>11447</v>
      </c>
    </row>
    <row r="1161" spans="1:49">
      <c r="A1161" s="1">
        <f>HYPERLINK("https://lsnyc.legalserver.org/matter/dynamic-profile/view/1907666","19-1907666")</f>
        <v>0</v>
      </c>
      <c r="B1161" t="s">
        <v>123</v>
      </c>
      <c r="C1161" t="s">
        <v>633</v>
      </c>
      <c r="E1161" t="s">
        <v>1805</v>
      </c>
      <c r="F1161" t="s">
        <v>4315</v>
      </c>
      <c r="G1161" t="s">
        <v>7212</v>
      </c>
      <c r="H1161" t="s">
        <v>10796</v>
      </c>
      <c r="I1161" t="s">
        <v>11385</v>
      </c>
      <c r="J1161">
        <v>11226</v>
      </c>
      <c r="K1161" t="s">
        <v>11446</v>
      </c>
      <c r="M1161" t="s">
        <v>14762</v>
      </c>
      <c r="N1161" t="s">
        <v>14783</v>
      </c>
      <c r="P1161" t="s">
        <v>14797</v>
      </c>
      <c r="Q1161" t="s">
        <v>11446</v>
      </c>
      <c r="S1161" t="s">
        <v>14827</v>
      </c>
      <c r="U1161" t="s">
        <v>633</v>
      </c>
      <c r="V1161">
        <v>0</v>
      </c>
      <c r="W1161" t="s">
        <v>14859</v>
      </c>
      <c r="Z1161" t="s">
        <v>15992</v>
      </c>
      <c r="AC1161">
        <v>36</v>
      </c>
      <c r="AD1161" t="s">
        <v>24595</v>
      </c>
      <c r="AF1161">
        <v>0</v>
      </c>
      <c r="AG1161">
        <v>2</v>
      </c>
      <c r="AH1161">
        <v>1</v>
      </c>
      <c r="AI1161">
        <v>48.76</v>
      </c>
      <c r="AL1161" t="s">
        <v>24632</v>
      </c>
      <c r="AM1161">
        <v>10400</v>
      </c>
      <c r="AN1161" t="s">
        <v>24757</v>
      </c>
      <c r="AS1161">
        <v>0.2</v>
      </c>
      <c r="AT1161" t="s">
        <v>633</v>
      </c>
      <c r="AU1161" t="s">
        <v>177</v>
      </c>
      <c r="AV1161" t="s">
        <v>25335</v>
      </c>
      <c r="AW1161" t="s">
        <v>11447</v>
      </c>
    </row>
    <row r="1162" spans="1:49">
      <c r="A1162" s="1">
        <f>HYPERLINK("https://lsnyc.legalserver.org/matter/dynamic-profile/view/1907662","19-1907662")</f>
        <v>0</v>
      </c>
      <c r="B1162" t="s">
        <v>109</v>
      </c>
      <c r="C1162" t="s">
        <v>633</v>
      </c>
      <c r="E1162" t="s">
        <v>1194</v>
      </c>
      <c r="F1162" t="s">
        <v>4316</v>
      </c>
      <c r="G1162" t="s">
        <v>7295</v>
      </c>
      <c r="H1162" t="s">
        <v>10797</v>
      </c>
      <c r="I1162" t="s">
        <v>11385</v>
      </c>
      <c r="J1162">
        <v>11238</v>
      </c>
      <c r="K1162" t="s">
        <v>11446</v>
      </c>
      <c r="M1162" t="s">
        <v>14745</v>
      </c>
      <c r="N1162" t="s">
        <v>14780</v>
      </c>
      <c r="P1162" t="s">
        <v>14797</v>
      </c>
      <c r="Q1162" t="s">
        <v>11448</v>
      </c>
      <c r="S1162" t="s">
        <v>14827</v>
      </c>
      <c r="U1162" t="s">
        <v>633</v>
      </c>
      <c r="V1162">
        <v>0</v>
      </c>
      <c r="W1162" t="s">
        <v>14859</v>
      </c>
      <c r="Z1162" t="s">
        <v>15993</v>
      </c>
      <c r="AB1162" t="s">
        <v>21079</v>
      </c>
      <c r="AC1162">
        <v>29</v>
      </c>
      <c r="AF1162">
        <v>0</v>
      </c>
      <c r="AG1162">
        <v>2</v>
      </c>
      <c r="AH1162">
        <v>0</v>
      </c>
      <c r="AI1162">
        <v>53.22</v>
      </c>
      <c r="AL1162" t="s">
        <v>5011</v>
      </c>
      <c r="AM1162">
        <v>9000</v>
      </c>
      <c r="AS1162">
        <v>9</v>
      </c>
      <c r="AT1162" t="s">
        <v>483</v>
      </c>
      <c r="AU1162" t="s">
        <v>177</v>
      </c>
      <c r="AV1162" t="s">
        <v>25335</v>
      </c>
      <c r="AW1162" t="s">
        <v>11447</v>
      </c>
    </row>
    <row r="1163" spans="1:49">
      <c r="A1163" s="1">
        <f>HYPERLINK("https://lsnyc.legalserver.org/matter/dynamic-profile/view/1907707","19-1907707")</f>
        <v>0</v>
      </c>
      <c r="B1163" t="s">
        <v>144</v>
      </c>
      <c r="C1163" t="s">
        <v>633</v>
      </c>
      <c r="E1163" t="s">
        <v>1025</v>
      </c>
      <c r="F1163" t="s">
        <v>2719</v>
      </c>
      <c r="G1163" t="s">
        <v>7296</v>
      </c>
      <c r="H1163" t="s">
        <v>10575</v>
      </c>
      <c r="I1163" t="s">
        <v>11409</v>
      </c>
      <c r="J1163">
        <v>11377</v>
      </c>
      <c r="K1163" t="s">
        <v>11446</v>
      </c>
      <c r="M1163" t="s">
        <v>14762</v>
      </c>
      <c r="N1163" t="s">
        <v>14783</v>
      </c>
      <c r="P1163" t="s">
        <v>14797</v>
      </c>
      <c r="Q1163" t="s">
        <v>11446</v>
      </c>
      <c r="S1163" t="s">
        <v>14827</v>
      </c>
      <c r="T1163" t="s">
        <v>14832</v>
      </c>
      <c r="U1163" t="s">
        <v>633</v>
      </c>
      <c r="V1163">
        <v>1102</v>
      </c>
      <c r="W1163" t="s">
        <v>14861</v>
      </c>
      <c r="X1163" t="s">
        <v>14864</v>
      </c>
      <c r="Z1163" t="s">
        <v>15994</v>
      </c>
      <c r="AB1163" t="s">
        <v>21080</v>
      </c>
      <c r="AC1163">
        <v>234</v>
      </c>
      <c r="AD1163" t="s">
        <v>11479</v>
      </c>
      <c r="AE1163" t="s">
        <v>24610</v>
      </c>
      <c r="AF1163">
        <v>40</v>
      </c>
      <c r="AG1163">
        <v>2</v>
      </c>
      <c r="AH1163">
        <v>0</v>
      </c>
      <c r="AI1163">
        <v>83.52</v>
      </c>
      <c r="AL1163" t="s">
        <v>24632</v>
      </c>
      <c r="AM1163">
        <v>14124</v>
      </c>
      <c r="AP1163" t="s">
        <v>14755</v>
      </c>
      <c r="AS1163">
        <v>0.11</v>
      </c>
      <c r="AT1163" t="s">
        <v>539</v>
      </c>
      <c r="AU1163" t="s">
        <v>292</v>
      </c>
      <c r="AV1163" t="s">
        <v>25335</v>
      </c>
      <c r="AW1163" t="s">
        <v>11447</v>
      </c>
    </row>
    <row r="1164" spans="1:49">
      <c r="A1164" s="1">
        <f>HYPERLINK("https://lsnyc.legalserver.org/matter/dynamic-profile/view/1907664","19-1907664")</f>
        <v>0</v>
      </c>
      <c r="B1164" t="s">
        <v>123</v>
      </c>
      <c r="C1164" t="s">
        <v>633</v>
      </c>
      <c r="E1164" t="s">
        <v>1806</v>
      </c>
      <c r="F1164" t="s">
        <v>1114</v>
      </c>
      <c r="G1164" t="s">
        <v>7212</v>
      </c>
      <c r="H1164" t="s">
        <v>10598</v>
      </c>
      <c r="I1164" t="s">
        <v>11385</v>
      </c>
      <c r="J1164">
        <v>11226</v>
      </c>
      <c r="K1164" t="s">
        <v>11446</v>
      </c>
      <c r="M1164" t="s">
        <v>14762</v>
      </c>
      <c r="N1164" t="s">
        <v>14783</v>
      </c>
      <c r="P1164" t="s">
        <v>14797</v>
      </c>
      <c r="Q1164" t="s">
        <v>11446</v>
      </c>
      <c r="S1164" t="s">
        <v>14827</v>
      </c>
      <c r="U1164" t="s">
        <v>633</v>
      </c>
      <c r="V1164">
        <v>0</v>
      </c>
      <c r="W1164" t="s">
        <v>14859</v>
      </c>
      <c r="Z1164" t="s">
        <v>15995</v>
      </c>
      <c r="AB1164" t="s">
        <v>21081</v>
      </c>
      <c r="AC1164">
        <v>36</v>
      </c>
      <c r="AD1164" t="s">
        <v>24595</v>
      </c>
      <c r="AF1164">
        <v>0</v>
      </c>
      <c r="AG1164">
        <v>3</v>
      </c>
      <c r="AH1164">
        <v>0</v>
      </c>
      <c r="AI1164">
        <v>85.33</v>
      </c>
      <c r="AL1164" t="s">
        <v>24643</v>
      </c>
      <c r="AM1164">
        <v>18200</v>
      </c>
      <c r="AN1164" t="s">
        <v>24758</v>
      </c>
      <c r="AS1164">
        <v>0.2</v>
      </c>
      <c r="AT1164" t="s">
        <v>633</v>
      </c>
      <c r="AU1164" t="s">
        <v>177</v>
      </c>
      <c r="AV1164" t="s">
        <v>25335</v>
      </c>
      <c r="AW1164" t="s">
        <v>11447</v>
      </c>
    </row>
    <row r="1165" spans="1:49">
      <c r="A1165" s="1">
        <f>HYPERLINK("https://lsnyc.legalserver.org/matter/dynamic-profile/view/1907667","19-1907667")</f>
        <v>0</v>
      </c>
      <c r="B1165" t="s">
        <v>123</v>
      </c>
      <c r="C1165" t="s">
        <v>633</v>
      </c>
      <c r="E1165" t="s">
        <v>1584</v>
      </c>
      <c r="F1165" t="s">
        <v>4317</v>
      </c>
      <c r="G1165" t="s">
        <v>7212</v>
      </c>
      <c r="H1165" t="s">
        <v>10579</v>
      </c>
      <c r="I1165" t="s">
        <v>11385</v>
      </c>
      <c r="J1165">
        <v>11226</v>
      </c>
      <c r="K1165" t="s">
        <v>11446</v>
      </c>
      <c r="M1165" t="s">
        <v>14762</v>
      </c>
      <c r="N1165" t="s">
        <v>14783</v>
      </c>
      <c r="P1165" t="s">
        <v>14797</v>
      </c>
      <c r="Q1165" t="s">
        <v>11446</v>
      </c>
      <c r="S1165" t="s">
        <v>14827</v>
      </c>
      <c r="U1165" t="s">
        <v>633</v>
      </c>
      <c r="V1165">
        <v>0</v>
      </c>
      <c r="W1165" t="s">
        <v>14859</v>
      </c>
      <c r="Z1165" t="s">
        <v>15996</v>
      </c>
      <c r="AB1165" t="s">
        <v>21082</v>
      </c>
      <c r="AC1165">
        <v>36</v>
      </c>
      <c r="AD1165" t="s">
        <v>24595</v>
      </c>
      <c r="AF1165">
        <v>0</v>
      </c>
      <c r="AG1165">
        <v>1</v>
      </c>
      <c r="AH1165">
        <v>0</v>
      </c>
      <c r="AI1165">
        <v>124.9</v>
      </c>
      <c r="AL1165" t="s">
        <v>24643</v>
      </c>
      <c r="AM1165">
        <v>15600</v>
      </c>
      <c r="AS1165">
        <v>0.2</v>
      </c>
      <c r="AT1165" t="s">
        <v>633</v>
      </c>
      <c r="AU1165" t="s">
        <v>177</v>
      </c>
      <c r="AW1165" t="s">
        <v>11447</v>
      </c>
    </row>
    <row r="1166" spans="1:49">
      <c r="A1166" s="1">
        <f>HYPERLINK("https://lsnyc.legalserver.org/matter/dynamic-profile/view/1907712","19-1907712")</f>
        <v>0</v>
      </c>
      <c r="B1166" t="s">
        <v>144</v>
      </c>
      <c r="C1166" t="s">
        <v>633</v>
      </c>
      <c r="E1166" t="s">
        <v>1372</v>
      </c>
      <c r="F1166" t="s">
        <v>4318</v>
      </c>
      <c r="G1166" t="s">
        <v>7297</v>
      </c>
      <c r="H1166" t="s">
        <v>10474</v>
      </c>
      <c r="I1166" t="s">
        <v>11409</v>
      </c>
      <c r="J1166">
        <v>11377</v>
      </c>
      <c r="K1166" t="s">
        <v>11446</v>
      </c>
      <c r="L1166" t="s">
        <v>11831</v>
      </c>
      <c r="M1166" t="s">
        <v>14762</v>
      </c>
      <c r="N1166" t="s">
        <v>14783</v>
      </c>
      <c r="P1166" t="s">
        <v>14797</v>
      </c>
      <c r="Q1166" t="s">
        <v>11446</v>
      </c>
      <c r="S1166" t="s">
        <v>14827</v>
      </c>
      <c r="T1166" t="s">
        <v>14832</v>
      </c>
      <c r="U1166" t="s">
        <v>633</v>
      </c>
      <c r="V1166">
        <v>0</v>
      </c>
      <c r="W1166" t="s">
        <v>14861</v>
      </c>
      <c r="X1166" t="s">
        <v>14864</v>
      </c>
      <c r="Z1166" t="s">
        <v>15997</v>
      </c>
      <c r="AB1166" t="s">
        <v>21083</v>
      </c>
      <c r="AC1166">
        <v>390</v>
      </c>
      <c r="AD1166" t="s">
        <v>24595</v>
      </c>
      <c r="AE1166" t="s">
        <v>11459</v>
      </c>
      <c r="AF1166">
        <v>32</v>
      </c>
      <c r="AG1166">
        <v>4</v>
      </c>
      <c r="AH1166">
        <v>0</v>
      </c>
      <c r="AI1166">
        <v>233.01</v>
      </c>
      <c r="AJ1166" t="s">
        <v>491</v>
      </c>
      <c r="AK1166" t="s">
        <v>24629</v>
      </c>
      <c r="AL1166" t="s">
        <v>24632</v>
      </c>
      <c r="AM1166">
        <v>60000</v>
      </c>
      <c r="AP1166" t="s">
        <v>14755</v>
      </c>
      <c r="AS1166">
        <v>0.45</v>
      </c>
      <c r="AT1166" t="s">
        <v>589</v>
      </c>
      <c r="AU1166" t="s">
        <v>292</v>
      </c>
      <c r="AV1166" t="s">
        <v>25335</v>
      </c>
      <c r="AW1166" t="s">
        <v>11447</v>
      </c>
    </row>
    <row r="1167" spans="1:49">
      <c r="A1167" s="1">
        <f>HYPERLINK("https://lsnyc.legalserver.org/matter/dynamic-profile/view/1907690","19-1907690")</f>
        <v>0</v>
      </c>
      <c r="B1167" t="s">
        <v>144</v>
      </c>
      <c r="C1167" t="s">
        <v>633</v>
      </c>
      <c r="E1167" t="s">
        <v>1807</v>
      </c>
      <c r="F1167" t="s">
        <v>4319</v>
      </c>
      <c r="G1167" t="s">
        <v>7297</v>
      </c>
      <c r="H1167" t="s">
        <v>10524</v>
      </c>
      <c r="I1167" t="s">
        <v>11409</v>
      </c>
      <c r="J1167">
        <v>11377</v>
      </c>
      <c r="K1167" t="s">
        <v>11446</v>
      </c>
      <c r="L1167" t="s">
        <v>11831</v>
      </c>
      <c r="M1167" t="s">
        <v>14762</v>
      </c>
      <c r="N1167" t="s">
        <v>14783</v>
      </c>
      <c r="P1167" t="s">
        <v>14797</v>
      </c>
      <c r="Q1167" t="s">
        <v>11446</v>
      </c>
      <c r="S1167" t="s">
        <v>14827</v>
      </c>
      <c r="T1167" t="s">
        <v>14832</v>
      </c>
      <c r="U1167" t="s">
        <v>633</v>
      </c>
      <c r="V1167">
        <v>1635.49</v>
      </c>
      <c r="W1167" t="s">
        <v>14861</v>
      </c>
      <c r="X1167" t="s">
        <v>14864</v>
      </c>
      <c r="Z1167" t="s">
        <v>15998</v>
      </c>
      <c r="AB1167" t="s">
        <v>21084</v>
      </c>
      <c r="AC1167">
        <v>390</v>
      </c>
      <c r="AD1167" t="s">
        <v>24595</v>
      </c>
      <c r="AE1167" t="s">
        <v>11459</v>
      </c>
      <c r="AF1167">
        <v>5</v>
      </c>
      <c r="AG1167">
        <v>3</v>
      </c>
      <c r="AH1167">
        <v>1</v>
      </c>
      <c r="AI1167">
        <v>322.33</v>
      </c>
      <c r="AJ1167" t="s">
        <v>491</v>
      </c>
      <c r="AK1167" t="s">
        <v>24629</v>
      </c>
      <c r="AL1167" t="s">
        <v>5011</v>
      </c>
      <c r="AM1167">
        <v>83000</v>
      </c>
      <c r="AP1167" t="s">
        <v>14755</v>
      </c>
      <c r="AS1167">
        <v>0.4</v>
      </c>
      <c r="AT1167" t="s">
        <v>633</v>
      </c>
      <c r="AU1167" t="s">
        <v>292</v>
      </c>
      <c r="AV1167" t="s">
        <v>25335</v>
      </c>
      <c r="AW1167" t="s">
        <v>11447</v>
      </c>
    </row>
    <row r="1168" spans="1:49">
      <c r="A1168" s="1">
        <f>HYPERLINK("https://lsnyc.legalserver.org/matter/dynamic-profile/view/1907697","19-1907697")</f>
        <v>0</v>
      </c>
      <c r="B1168" t="s">
        <v>144</v>
      </c>
      <c r="C1168" t="s">
        <v>633</v>
      </c>
      <c r="E1168" t="s">
        <v>1032</v>
      </c>
      <c r="F1168" t="s">
        <v>3569</v>
      </c>
      <c r="G1168" t="s">
        <v>7297</v>
      </c>
      <c r="I1168" t="s">
        <v>11409</v>
      </c>
      <c r="J1168">
        <v>11377</v>
      </c>
      <c r="K1168" t="s">
        <v>11446</v>
      </c>
      <c r="L1168" t="s">
        <v>11831</v>
      </c>
      <c r="M1168" t="s">
        <v>14762</v>
      </c>
      <c r="N1168" t="s">
        <v>14783</v>
      </c>
      <c r="P1168" t="s">
        <v>14797</v>
      </c>
      <c r="Q1168" t="s">
        <v>11446</v>
      </c>
      <c r="S1168" t="s">
        <v>14827</v>
      </c>
      <c r="T1168" t="s">
        <v>14832</v>
      </c>
      <c r="U1168" t="s">
        <v>633</v>
      </c>
      <c r="V1168">
        <v>1543</v>
      </c>
      <c r="W1168" t="s">
        <v>14861</v>
      </c>
      <c r="X1168" t="s">
        <v>14864</v>
      </c>
      <c r="Z1168" t="s">
        <v>15999</v>
      </c>
      <c r="AB1168" t="s">
        <v>21085</v>
      </c>
      <c r="AC1168">
        <v>390</v>
      </c>
      <c r="AD1168" t="s">
        <v>11479</v>
      </c>
      <c r="AE1168" t="s">
        <v>11459</v>
      </c>
      <c r="AF1168">
        <v>2</v>
      </c>
      <c r="AG1168">
        <v>2</v>
      </c>
      <c r="AH1168">
        <v>0</v>
      </c>
      <c r="AI1168">
        <v>591.37</v>
      </c>
      <c r="AL1168" t="s">
        <v>24632</v>
      </c>
      <c r="AM1168">
        <v>100000</v>
      </c>
      <c r="AP1168" t="s">
        <v>14755</v>
      </c>
      <c r="AS1168">
        <v>0.4</v>
      </c>
      <c r="AT1168" t="s">
        <v>633</v>
      </c>
      <c r="AU1168" t="s">
        <v>292</v>
      </c>
      <c r="AV1168" t="s">
        <v>25335</v>
      </c>
      <c r="AW1168" t="s">
        <v>11447</v>
      </c>
    </row>
    <row r="1169" spans="1:49">
      <c r="A1169" s="1">
        <f>HYPERLINK("https://lsnyc.legalserver.org/matter/dynamic-profile/view/1907714","19-1907714")</f>
        <v>0</v>
      </c>
      <c r="B1169" t="s">
        <v>144</v>
      </c>
      <c r="C1169" t="s">
        <v>633</v>
      </c>
      <c r="E1169" t="s">
        <v>1808</v>
      </c>
      <c r="F1169" t="s">
        <v>4320</v>
      </c>
      <c r="G1169" t="s">
        <v>7297</v>
      </c>
      <c r="H1169" t="s">
        <v>10527</v>
      </c>
      <c r="I1169" t="s">
        <v>11409</v>
      </c>
      <c r="J1169">
        <v>11377</v>
      </c>
      <c r="K1169" t="s">
        <v>11446</v>
      </c>
      <c r="L1169" t="s">
        <v>11831</v>
      </c>
      <c r="M1169" t="s">
        <v>14762</v>
      </c>
      <c r="N1169" t="s">
        <v>14783</v>
      </c>
      <c r="P1169" t="s">
        <v>14797</v>
      </c>
      <c r="Q1169" t="s">
        <v>11446</v>
      </c>
      <c r="S1169" t="s">
        <v>14827</v>
      </c>
      <c r="T1169" t="s">
        <v>14832</v>
      </c>
      <c r="U1169" t="s">
        <v>633</v>
      </c>
      <c r="V1169">
        <v>2000</v>
      </c>
      <c r="W1169" t="s">
        <v>14861</v>
      </c>
      <c r="X1169" t="s">
        <v>14864</v>
      </c>
      <c r="Z1169" t="s">
        <v>16000</v>
      </c>
      <c r="AB1169" t="s">
        <v>21086</v>
      </c>
      <c r="AC1169">
        <v>390</v>
      </c>
      <c r="AD1169" t="s">
        <v>24595</v>
      </c>
      <c r="AE1169" t="s">
        <v>14755</v>
      </c>
      <c r="AF1169">
        <v>-1</v>
      </c>
      <c r="AG1169">
        <v>2</v>
      </c>
      <c r="AH1169">
        <v>0</v>
      </c>
      <c r="AI1169">
        <v>650.5</v>
      </c>
      <c r="AL1169" t="s">
        <v>5011</v>
      </c>
      <c r="AM1169">
        <v>110000</v>
      </c>
      <c r="AP1169" t="s">
        <v>14755</v>
      </c>
      <c r="AS1169">
        <v>0.4</v>
      </c>
      <c r="AT1169" t="s">
        <v>633</v>
      </c>
      <c r="AU1169" t="s">
        <v>292</v>
      </c>
      <c r="AV1169" t="s">
        <v>25335</v>
      </c>
      <c r="AW1169" t="s">
        <v>11447</v>
      </c>
    </row>
    <row r="1170" spans="1:49">
      <c r="A1170" s="1">
        <f>HYPERLINK("https://lsnyc.legalserver.org/matter/dynamic-profile/view/1907743","19-1907743")</f>
        <v>0</v>
      </c>
      <c r="B1170" t="s">
        <v>210</v>
      </c>
      <c r="C1170" t="s">
        <v>377</v>
      </c>
      <c r="E1170" t="s">
        <v>1809</v>
      </c>
      <c r="F1170" t="s">
        <v>4321</v>
      </c>
      <c r="G1170" t="s">
        <v>7298</v>
      </c>
      <c r="H1170" t="s">
        <v>10522</v>
      </c>
      <c r="I1170" t="s">
        <v>11385</v>
      </c>
      <c r="J1170">
        <v>11210</v>
      </c>
      <c r="K1170" t="s">
        <v>11446</v>
      </c>
      <c r="L1170" t="s">
        <v>11832</v>
      </c>
      <c r="M1170" t="s">
        <v>14743</v>
      </c>
      <c r="N1170" t="s">
        <v>14781</v>
      </c>
      <c r="P1170" t="s">
        <v>14797</v>
      </c>
      <c r="Q1170" t="s">
        <v>11448</v>
      </c>
      <c r="S1170" t="s">
        <v>14827</v>
      </c>
      <c r="U1170" t="s">
        <v>377</v>
      </c>
      <c r="V1170">
        <v>1400</v>
      </c>
      <c r="W1170" t="s">
        <v>14859</v>
      </c>
      <c r="Z1170" t="s">
        <v>16001</v>
      </c>
      <c r="AB1170" t="s">
        <v>21087</v>
      </c>
      <c r="AC1170">
        <v>42</v>
      </c>
      <c r="AD1170" t="s">
        <v>24595</v>
      </c>
      <c r="AF1170">
        <v>23</v>
      </c>
      <c r="AG1170">
        <v>1</v>
      </c>
      <c r="AH1170">
        <v>2</v>
      </c>
      <c r="AI1170">
        <v>0</v>
      </c>
      <c r="AL1170" t="s">
        <v>5011</v>
      </c>
      <c r="AM1170">
        <v>0</v>
      </c>
      <c r="AS1170">
        <v>9.85</v>
      </c>
      <c r="AT1170" t="s">
        <v>644</v>
      </c>
      <c r="AU1170" t="s">
        <v>25244</v>
      </c>
      <c r="AV1170" t="s">
        <v>25335</v>
      </c>
      <c r="AW1170" t="s">
        <v>11447</v>
      </c>
    </row>
    <row r="1171" spans="1:49">
      <c r="A1171" s="1">
        <f>HYPERLINK("https://lsnyc.legalserver.org/matter/dynamic-profile/view/1907746","19-1907746")</f>
        <v>0</v>
      </c>
      <c r="B1171" t="s">
        <v>166</v>
      </c>
      <c r="C1171" t="s">
        <v>377</v>
      </c>
      <c r="E1171" t="s">
        <v>1810</v>
      </c>
      <c r="F1171" t="s">
        <v>2485</v>
      </c>
      <c r="G1171" t="s">
        <v>7299</v>
      </c>
      <c r="H1171" t="s">
        <v>10500</v>
      </c>
      <c r="I1171" t="s">
        <v>11384</v>
      </c>
      <c r="J1171">
        <v>10304</v>
      </c>
      <c r="K1171" t="s">
        <v>11446</v>
      </c>
      <c r="L1171" t="s">
        <v>11833</v>
      </c>
      <c r="M1171" t="s">
        <v>14744</v>
      </c>
      <c r="N1171" t="s">
        <v>14781</v>
      </c>
      <c r="P1171" t="s">
        <v>14797</v>
      </c>
      <c r="Q1171" t="s">
        <v>11448</v>
      </c>
      <c r="S1171" t="s">
        <v>14827</v>
      </c>
      <c r="T1171" t="s">
        <v>14832</v>
      </c>
      <c r="U1171" t="s">
        <v>377</v>
      </c>
      <c r="V1171">
        <v>529</v>
      </c>
      <c r="W1171" t="s">
        <v>14862</v>
      </c>
      <c r="X1171" t="s">
        <v>14863</v>
      </c>
      <c r="Z1171" t="s">
        <v>16002</v>
      </c>
      <c r="AB1171" t="s">
        <v>21088</v>
      </c>
      <c r="AC1171">
        <v>98</v>
      </c>
      <c r="AD1171" t="s">
        <v>24595</v>
      </c>
      <c r="AE1171" t="s">
        <v>11459</v>
      </c>
      <c r="AF1171">
        <v>10</v>
      </c>
      <c r="AG1171">
        <v>1</v>
      </c>
      <c r="AH1171">
        <v>3</v>
      </c>
      <c r="AI1171">
        <v>0</v>
      </c>
      <c r="AL1171" t="s">
        <v>5011</v>
      </c>
      <c r="AM1171">
        <v>0</v>
      </c>
      <c r="AS1171">
        <v>14.1</v>
      </c>
      <c r="AT1171" t="s">
        <v>654</v>
      </c>
      <c r="AU1171" t="s">
        <v>25270</v>
      </c>
      <c r="AV1171" t="s">
        <v>25335</v>
      </c>
      <c r="AW1171" t="s">
        <v>11447</v>
      </c>
    </row>
    <row r="1172" spans="1:49">
      <c r="A1172" s="1">
        <f>HYPERLINK("https://lsnyc.legalserver.org/matter/dynamic-profile/view/1908325","19-1908325")</f>
        <v>0</v>
      </c>
      <c r="B1172" t="s">
        <v>187</v>
      </c>
      <c r="C1172" t="s">
        <v>375</v>
      </c>
      <c r="E1172" t="s">
        <v>1176</v>
      </c>
      <c r="F1172" t="s">
        <v>2317</v>
      </c>
      <c r="G1172" t="s">
        <v>7181</v>
      </c>
      <c r="H1172" t="s">
        <v>10484</v>
      </c>
      <c r="I1172" t="s">
        <v>11385</v>
      </c>
      <c r="J1172">
        <v>11213</v>
      </c>
      <c r="K1172" t="s">
        <v>11446</v>
      </c>
      <c r="L1172" t="s">
        <v>11459</v>
      </c>
      <c r="M1172" t="s">
        <v>11601</v>
      </c>
      <c r="N1172" t="s">
        <v>14779</v>
      </c>
      <c r="P1172" t="s">
        <v>14797</v>
      </c>
      <c r="Q1172" t="s">
        <v>11446</v>
      </c>
      <c r="S1172" t="s">
        <v>14827</v>
      </c>
      <c r="T1172" t="s">
        <v>14832</v>
      </c>
      <c r="U1172" t="s">
        <v>377</v>
      </c>
      <c r="V1172">
        <v>0</v>
      </c>
      <c r="W1172" t="s">
        <v>14859</v>
      </c>
      <c r="X1172" t="s">
        <v>14864</v>
      </c>
      <c r="Z1172" t="s">
        <v>16003</v>
      </c>
      <c r="AA1172" t="s">
        <v>19413</v>
      </c>
      <c r="AB1172" t="s">
        <v>21089</v>
      </c>
      <c r="AC1172">
        <v>107</v>
      </c>
      <c r="AD1172" t="s">
        <v>24595</v>
      </c>
      <c r="AF1172">
        <v>4</v>
      </c>
      <c r="AG1172">
        <v>1</v>
      </c>
      <c r="AH1172">
        <v>0</v>
      </c>
      <c r="AI1172">
        <v>8.789999999999999</v>
      </c>
      <c r="AL1172" t="s">
        <v>5011</v>
      </c>
      <c r="AM1172">
        <v>1098</v>
      </c>
      <c r="AS1172">
        <v>0</v>
      </c>
      <c r="AU1172" t="s">
        <v>66</v>
      </c>
      <c r="AV1172" t="s">
        <v>25335</v>
      </c>
      <c r="AW1172" t="s">
        <v>11447</v>
      </c>
    </row>
    <row r="1173" spans="1:49">
      <c r="A1173" s="1">
        <f>HYPERLINK("https://lsnyc.legalserver.org/matter/dynamic-profile/view/1907026","19-1907026")</f>
        <v>0</v>
      </c>
      <c r="B1173" t="s">
        <v>55</v>
      </c>
      <c r="C1173" t="s">
        <v>626</v>
      </c>
      <c r="E1173" t="s">
        <v>1354</v>
      </c>
      <c r="F1173" t="s">
        <v>2330</v>
      </c>
      <c r="G1173" t="s">
        <v>7300</v>
      </c>
      <c r="H1173">
        <v>21</v>
      </c>
      <c r="I1173" t="s">
        <v>11386</v>
      </c>
      <c r="J1173">
        <v>10034</v>
      </c>
      <c r="K1173" t="s">
        <v>11446</v>
      </c>
      <c r="L1173" t="s">
        <v>11834</v>
      </c>
      <c r="M1173" t="s">
        <v>14744</v>
      </c>
      <c r="N1173" t="s">
        <v>14779</v>
      </c>
      <c r="P1173" t="s">
        <v>14797</v>
      </c>
      <c r="Q1173" t="s">
        <v>11448</v>
      </c>
      <c r="S1173" t="s">
        <v>14827</v>
      </c>
      <c r="U1173" t="s">
        <v>377</v>
      </c>
      <c r="V1173">
        <v>1717</v>
      </c>
      <c r="W1173" t="s">
        <v>14860</v>
      </c>
      <c r="X1173" t="s">
        <v>14863</v>
      </c>
      <c r="Z1173" t="s">
        <v>16004</v>
      </c>
      <c r="AA1173" t="s">
        <v>19414</v>
      </c>
      <c r="AB1173" t="s">
        <v>21090</v>
      </c>
      <c r="AC1173">
        <v>27</v>
      </c>
      <c r="AD1173" t="s">
        <v>24595</v>
      </c>
      <c r="AE1173" t="s">
        <v>11459</v>
      </c>
      <c r="AF1173">
        <v>1</v>
      </c>
      <c r="AG1173">
        <v>2</v>
      </c>
      <c r="AH1173">
        <v>1</v>
      </c>
      <c r="AI1173">
        <v>89.45</v>
      </c>
      <c r="AL1173" t="s">
        <v>24632</v>
      </c>
      <c r="AM1173">
        <v>19080</v>
      </c>
      <c r="AS1173">
        <v>4.85</v>
      </c>
      <c r="AT1173" t="s">
        <v>585</v>
      </c>
      <c r="AU1173" t="s">
        <v>25225</v>
      </c>
      <c r="AV1173" t="s">
        <v>25334</v>
      </c>
      <c r="AW1173" t="s">
        <v>11447</v>
      </c>
    </row>
    <row r="1174" spans="1:49">
      <c r="A1174" s="1">
        <f>HYPERLINK("https://lsnyc.legalserver.org/matter/dynamic-profile/view/1907781","19-1907781")</f>
        <v>0</v>
      </c>
      <c r="B1174" t="s">
        <v>107</v>
      </c>
      <c r="C1174" t="s">
        <v>377</v>
      </c>
      <c r="E1174" t="s">
        <v>1811</v>
      </c>
      <c r="F1174" t="s">
        <v>4322</v>
      </c>
      <c r="G1174" t="s">
        <v>7301</v>
      </c>
      <c r="H1174" t="s">
        <v>10448</v>
      </c>
      <c r="I1174" t="s">
        <v>11385</v>
      </c>
      <c r="J1174">
        <v>11233</v>
      </c>
      <c r="K1174" t="s">
        <v>11446</v>
      </c>
      <c r="L1174" t="s">
        <v>11456</v>
      </c>
      <c r="M1174" t="s">
        <v>11601</v>
      </c>
      <c r="N1174" t="s">
        <v>14778</v>
      </c>
      <c r="P1174" t="s">
        <v>14797</v>
      </c>
      <c r="Q1174" t="s">
        <v>11448</v>
      </c>
      <c r="S1174" t="s">
        <v>14827</v>
      </c>
      <c r="T1174" t="s">
        <v>14832</v>
      </c>
      <c r="U1174" t="s">
        <v>377</v>
      </c>
      <c r="V1174">
        <v>835</v>
      </c>
      <c r="W1174" t="s">
        <v>14859</v>
      </c>
      <c r="X1174" t="s">
        <v>14867</v>
      </c>
      <c r="Z1174" t="s">
        <v>16005</v>
      </c>
      <c r="AA1174" t="s">
        <v>11465</v>
      </c>
      <c r="AB1174" t="s">
        <v>21091</v>
      </c>
      <c r="AC1174">
        <v>6</v>
      </c>
      <c r="AD1174" t="s">
        <v>24595</v>
      </c>
      <c r="AE1174" t="s">
        <v>11459</v>
      </c>
      <c r="AF1174">
        <v>1</v>
      </c>
      <c r="AG1174">
        <v>1</v>
      </c>
      <c r="AH1174">
        <v>0</v>
      </c>
      <c r="AI1174">
        <v>160.13</v>
      </c>
      <c r="AL1174" t="s">
        <v>5011</v>
      </c>
      <c r="AM1174">
        <v>20000</v>
      </c>
      <c r="AS1174">
        <v>2.75</v>
      </c>
      <c r="AT1174" t="s">
        <v>475</v>
      </c>
      <c r="AU1174" t="s">
        <v>66</v>
      </c>
      <c r="AV1174" t="s">
        <v>25335</v>
      </c>
      <c r="AW1174" t="s">
        <v>11447</v>
      </c>
    </row>
    <row r="1175" spans="1:49">
      <c r="A1175" s="1">
        <f>HYPERLINK("https://lsnyc.legalserver.org/matter/dynamic-profile/view/1908589","19-1908589")</f>
        <v>0</v>
      </c>
      <c r="B1175" t="s">
        <v>205</v>
      </c>
      <c r="C1175" t="s">
        <v>497</v>
      </c>
      <c r="E1175" t="s">
        <v>1812</v>
      </c>
      <c r="F1175" t="s">
        <v>4040</v>
      </c>
      <c r="G1175" t="s">
        <v>7264</v>
      </c>
      <c r="H1175" t="s">
        <v>10482</v>
      </c>
      <c r="I1175" t="s">
        <v>11386</v>
      </c>
      <c r="J1175">
        <v>10035</v>
      </c>
      <c r="K1175" t="s">
        <v>11446</v>
      </c>
      <c r="L1175" t="s">
        <v>11835</v>
      </c>
      <c r="M1175" t="s">
        <v>14744</v>
      </c>
      <c r="N1175" t="s">
        <v>14781</v>
      </c>
      <c r="P1175" t="s">
        <v>14797</v>
      </c>
      <c r="Q1175" t="s">
        <v>11448</v>
      </c>
      <c r="S1175" t="s">
        <v>14827</v>
      </c>
      <c r="T1175" t="s">
        <v>14832</v>
      </c>
      <c r="U1175" t="s">
        <v>377</v>
      </c>
      <c r="V1175">
        <v>1794</v>
      </c>
      <c r="W1175" t="s">
        <v>14860</v>
      </c>
      <c r="X1175" t="s">
        <v>14876</v>
      </c>
      <c r="Z1175" t="s">
        <v>16006</v>
      </c>
      <c r="AB1175" t="s">
        <v>21092</v>
      </c>
      <c r="AC1175">
        <v>72</v>
      </c>
      <c r="AD1175" t="s">
        <v>24595</v>
      </c>
      <c r="AE1175" t="s">
        <v>24610</v>
      </c>
      <c r="AF1175">
        <v>11</v>
      </c>
      <c r="AG1175">
        <v>4</v>
      </c>
      <c r="AH1175">
        <v>0</v>
      </c>
      <c r="AI1175">
        <v>202.73</v>
      </c>
      <c r="AJ1175" t="s">
        <v>551</v>
      </c>
      <c r="AK1175" t="s">
        <v>24629</v>
      </c>
      <c r="AL1175" t="s">
        <v>5011</v>
      </c>
      <c r="AM1175">
        <v>52204</v>
      </c>
      <c r="AS1175">
        <v>5.95</v>
      </c>
      <c r="AT1175" t="s">
        <v>533</v>
      </c>
      <c r="AU1175" t="s">
        <v>25266</v>
      </c>
      <c r="AV1175" t="s">
        <v>25335</v>
      </c>
      <c r="AW1175" t="s">
        <v>11447</v>
      </c>
    </row>
    <row r="1176" spans="1:49">
      <c r="A1176" s="1">
        <f>HYPERLINK("https://lsnyc.legalserver.org/matter/dynamic-profile/view/1907750","19-1907750")</f>
        <v>0</v>
      </c>
      <c r="B1176" t="s">
        <v>204</v>
      </c>
      <c r="C1176" t="s">
        <v>377</v>
      </c>
      <c r="E1176" t="s">
        <v>1813</v>
      </c>
      <c r="F1176" t="s">
        <v>4323</v>
      </c>
      <c r="G1176" t="s">
        <v>7302</v>
      </c>
      <c r="H1176">
        <v>506</v>
      </c>
      <c r="I1176" t="s">
        <v>11389</v>
      </c>
      <c r="J1176">
        <v>11355</v>
      </c>
      <c r="K1176" t="s">
        <v>11446</v>
      </c>
      <c r="L1176" t="s">
        <v>11836</v>
      </c>
      <c r="M1176" t="s">
        <v>14744</v>
      </c>
      <c r="N1176" t="s">
        <v>14781</v>
      </c>
      <c r="P1176" t="s">
        <v>14797</v>
      </c>
      <c r="Q1176" t="s">
        <v>11448</v>
      </c>
      <c r="S1176" t="s">
        <v>14827</v>
      </c>
      <c r="T1176" t="s">
        <v>14834</v>
      </c>
      <c r="U1176" t="s">
        <v>377</v>
      </c>
      <c r="V1176">
        <v>1325</v>
      </c>
      <c r="W1176" t="s">
        <v>14861</v>
      </c>
      <c r="X1176" t="s">
        <v>14868</v>
      </c>
      <c r="Z1176" t="s">
        <v>16007</v>
      </c>
      <c r="AB1176" t="s">
        <v>21093</v>
      </c>
      <c r="AC1176">
        <v>47</v>
      </c>
      <c r="AD1176" t="s">
        <v>11479</v>
      </c>
      <c r="AE1176" t="s">
        <v>11459</v>
      </c>
      <c r="AF1176">
        <v>3</v>
      </c>
      <c r="AG1176">
        <v>2</v>
      </c>
      <c r="AH1176">
        <v>0</v>
      </c>
      <c r="AI1176">
        <v>211.71</v>
      </c>
      <c r="AJ1176" t="s">
        <v>462</v>
      </c>
      <c r="AK1176" t="s">
        <v>24629</v>
      </c>
      <c r="AL1176" t="s">
        <v>5011</v>
      </c>
      <c r="AM1176">
        <v>35800</v>
      </c>
      <c r="AP1176" t="s">
        <v>14755</v>
      </c>
      <c r="AS1176">
        <v>31.6</v>
      </c>
      <c r="AT1176" t="s">
        <v>516</v>
      </c>
      <c r="AU1176" t="s">
        <v>292</v>
      </c>
      <c r="AV1176" t="s">
        <v>25335</v>
      </c>
      <c r="AW1176" t="s">
        <v>11447</v>
      </c>
    </row>
    <row r="1177" spans="1:49">
      <c r="A1177" s="1">
        <f>HYPERLINK("https://lsnyc.legalserver.org/matter/dynamic-profile/view/1907258","19-1907258")</f>
        <v>0</v>
      </c>
      <c r="B1177" t="s">
        <v>76</v>
      </c>
      <c r="C1177" t="s">
        <v>366</v>
      </c>
      <c r="E1177" t="s">
        <v>1814</v>
      </c>
      <c r="F1177" t="s">
        <v>3196</v>
      </c>
      <c r="G1177" t="s">
        <v>7303</v>
      </c>
      <c r="H1177" t="s">
        <v>10448</v>
      </c>
      <c r="I1177" t="s">
        <v>11385</v>
      </c>
      <c r="J1177">
        <v>11233</v>
      </c>
      <c r="K1177" t="s">
        <v>11446</v>
      </c>
      <c r="L1177" t="s">
        <v>11837</v>
      </c>
      <c r="M1177" t="s">
        <v>14744</v>
      </c>
      <c r="N1177" t="s">
        <v>14781</v>
      </c>
      <c r="P1177" t="s">
        <v>14797</v>
      </c>
      <c r="Q1177" t="s">
        <v>11448</v>
      </c>
      <c r="S1177" t="s">
        <v>14827</v>
      </c>
      <c r="T1177" t="s">
        <v>14834</v>
      </c>
      <c r="U1177" t="s">
        <v>524</v>
      </c>
      <c r="V1177">
        <v>627</v>
      </c>
      <c r="W1177" t="s">
        <v>14859</v>
      </c>
      <c r="X1177" t="s">
        <v>14868</v>
      </c>
      <c r="Z1177" t="s">
        <v>16008</v>
      </c>
      <c r="AA1177" t="s">
        <v>19415</v>
      </c>
      <c r="AB1177" t="s">
        <v>21094</v>
      </c>
      <c r="AC1177">
        <v>112</v>
      </c>
      <c r="AD1177" t="s">
        <v>24595</v>
      </c>
      <c r="AE1177" t="s">
        <v>24610</v>
      </c>
      <c r="AF1177">
        <v>8</v>
      </c>
      <c r="AG1177">
        <v>1</v>
      </c>
      <c r="AH1177">
        <v>0</v>
      </c>
      <c r="AI1177">
        <v>26.55</v>
      </c>
      <c r="AL1177" t="s">
        <v>5011</v>
      </c>
      <c r="AM1177">
        <v>3315.6</v>
      </c>
      <c r="AS1177">
        <v>12.3</v>
      </c>
      <c r="AT1177" t="s">
        <v>654</v>
      </c>
      <c r="AU1177" t="s">
        <v>25226</v>
      </c>
      <c r="AV1177" t="s">
        <v>25335</v>
      </c>
      <c r="AW1177" t="s">
        <v>11447</v>
      </c>
    </row>
    <row r="1178" spans="1:49">
      <c r="A1178" s="1">
        <f>HYPERLINK("https://lsnyc.legalserver.org/matter/dynamic-profile/view/1904893","19-1904893")</f>
        <v>0</v>
      </c>
      <c r="B1178" t="s">
        <v>110</v>
      </c>
      <c r="C1178" t="s">
        <v>593</v>
      </c>
      <c r="E1178" t="s">
        <v>1057</v>
      </c>
      <c r="F1178" t="s">
        <v>4324</v>
      </c>
      <c r="G1178" t="s">
        <v>7304</v>
      </c>
      <c r="H1178" t="s">
        <v>10798</v>
      </c>
      <c r="I1178" t="s">
        <v>11405</v>
      </c>
      <c r="J1178">
        <v>11417</v>
      </c>
      <c r="K1178" t="s">
        <v>11446</v>
      </c>
      <c r="L1178" t="s">
        <v>11838</v>
      </c>
      <c r="M1178" t="s">
        <v>14743</v>
      </c>
      <c r="N1178" t="s">
        <v>14781</v>
      </c>
      <c r="P1178" t="s">
        <v>14797</v>
      </c>
      <c r="Q1178" t="s">
        <v>11448</v>
      </c>
      <c r="S1178" t="s">
        <v>14827</v>
      </c>
      <c r="T1178" t="s">
        <v>14832</v>
      </c>
      <c r="U1178" t="s">
        <v>524</v>
      </c>
      <c r="V1178">
        <v>800</v>
      </c>
      <c r="W1178" t="s">
        <v>14861</v>
      </c>
      <c r="X1178" t="s">
        <v>14865</v>
      </c>
      <c r="Z1178" t="s">
        <v>16009</v>
      </c>
      <c r="AB1178" t="s">
        <v>21095</v>
      </c>
      <c r="AC1178">
        <v>2</v>
      </c>
      <c r="AD1178" t="s">
        <v>24600</v>
      </c>
      <c r="AE1178" t="s">
        <v>11459</v>
      </c>
      <c r="AF1178">
        <v>6</v>
      </c>
      <c r="AG1178">
        <v>1</v>
      </c>
      <c r="AH1178">
        <v>2</v>
      </c>
      <c r="AI1178">
        <v>39.38</v>
      </c>
      <c r="AL1178" t="s">
        <v>5011</v>
      </c>
      <c r="AM1178">
        <v>8400</v>
      </c>
      <c r="AP1178" t="s">
        <v>24943</v>
      </c>
      <c r="AS1178">
        <v>24.91</v>
      </c>
      <c r="AT1178" t="s">
        <v>539</v>
      </c>
      <c r="AU1178" t="s">
        <v>25231</v>
      </c>
      <c r="AV1178" t="s">
        <v>25335</v>
      </c>
      <c r="AW1178" t="s">
        <v>11447</v>
      </c>
    </row>
    <row r="1179" spans="1:49">
      <c r="A1179" s="1">
        <f>HYPERLINK("https://lsnyc.legalserver.org/matter/dynamic-profile/view/1908588","19-1908588")</f>
        <v>0</v>
      </c>
      <c r="B1179" t="s">
        <v>205</v>
      </c>
      <c r="C1179" t="s">
        <v>497</v>
      </c>
      <c r="E1179" t="s">
        <v>1754</v>
      </c>
      <c r="F1179" t="s">
        <v>3709</v>
      </c>
      <c r="G1179" t="s">
        <v>7264</v>
      </c>
      <c r="H1179" t="s">
        <v>10677</v>
      </c>
      <c r="I1179" t="s">
        <v>11386</v>
      </c>
      <c r="J1179">
        <v>10035</v>
      </c>
      <c r="K1179" t="s">
        <v>11446</v>
      </c>
      <c r="M1179" t="s">
        <v>14745</v>
      </c>
      <c r="N1179" t="s">
        <v>14779</v>
      </c>
      <c r="P1179" t="s">
        <v>14797</v>
      </c>
      <c r="Q1179" t="s">
        <v>11446</v>
      </c>
      <c r="S1179" t="s">
        <v>14827</v>
      </c>
      <c r="T1179" t="s">
        <v>14832</v>
      </c>
      <c r="U1179" t="s">
        <v>524</v>
      </c>
      <c r="V1179">
        <v>1967.89</v>
      </c>
      <c r="W1179" t="s">
        <v>14860</v>
      </c>
      <c r="X1179" t="s">
        <v>14876</v>
      </c>
      <c r="Z1179" t="s">
        <v>16010</v>
      </c>
      <c r="AA1179" t="s">
        <v>19416</v>
      </c>
      <c r="AB1179" t="s">
        <v>21096</v>
      </c>
      <c r="AC1179">
        <v>72</v>
      </c>
      <c r="AD1179" t="s">
        <v>24595</v>
      </c>
      <c r="AE1179" t="s">
        <v>24610</v>
      </c>
      <c r="AF1179">
        <v>39</v>
      </c>
      <c r="AG1179">
        <v>3</v>
      </c>
      <c r="AH1179">
        <v>0</v>
      </c>
      <c r="AI1179">
        <v>43.38</v>
      </c>
      <c r="AL1179" t="s">
        <v>5011</v>
      </c>
      <c r="AM1179">
        <v>9252</v>
      </c>
      <c r="AS1179">
        <v>0</v>
      </c>
      <c r="AU1179" t="s">
        <v>25266</v>
      </c>
      <c r="AV1179" t="s">
        <v>25335</v>
      </c>
      <c r="AW1179" t="s">
        <v>11447</v>
      </c>
    </row>
    <row r="1180" spans="1:49">
      <c r="A1180" s="1">
        <f>HYPERLINK("https://lsnyc.legalserver.org/matter/dynamic-profile/view/1907870","19-1907870")</f>
        <v>0</v>
      </c>
      <c r="B1180" t="s">
        <v>205</v>
      </c>
      <c r="C1180" t="s">
        <v>524</v>
      </c>
      <c r="E1180" t="s">
        <v>1228</v>
      </c>
      <c r="F1180" t="s">
        <v>3695</v>
      </c>
      <c r="G1180" t="s">
        <v>7305</v>
      </c>
      <c r="H1180" t="s">
        <v>10450</v>
      </c>
      <c r="I1180" t="s">
        <v>11386</v>
      </c>
      <c r="J1180">
        <v>10035</v>
      </c>
      <c r="K1180" t="s">
        <v>11446</v>
      </c>
      <c r="M1180" t="s">
        <v>11601</v>
      </c>
      <c r="N1180" t="s">
        <v>14779</v>
      </c>
      <c r="P1180" t="s">
        <v>14797</v>
      </c>
      <c r="Q1180" t="s">
        <v>11448</v>
      </c>
      <c r="S1180" t="s">
        <v>14827</v>
      </c>
      <c r="T1180" t="s">
        <v>14832</v>
      </c>
      <c r="U1180" t="s">
        <v>524</v>
      </c>
      <c r="V1180">
        <v>1530</v>
      </c>
      <c r="W1180" t="s">
        <v>14860</v>
      </c>
      <c r="X1180" t="s">
        <v>14755</v>
      </c>
      <c r="Z1180" t="s">
        <v>16011</v>
      </c>
      <c r="AB1180" t="s">
        <v>21097</v>
      </c>
      <c r="AC1180">
        <v>16</v>
      </c>
      <c r="AD1180" t="s">
        <v>24595</v>
      </c>
      <c r="AE1180" t="s">
        <v>11459</v>
      </c>
      <c r="AF1180">
        <v>4</v>
      </c>
      <c r="AG1180">
        <v>1</v>
      </c>
      <c r="AH1180">
        <v>1</v>
      </c>
      <c r="AI1180">
        <v>130.1</v>
      </c>
      <c r="AL1180" t="s">
        <v>5011</v>
      </c>
      <c r="AM1180">
        <v>22000</v>
      </c>
      <c r="AS1180">
        <v>0</v>
      </c>
      <c r="AU1180" t="s">
        <v>25266</v>
      </c>
      <c r="AV1180" t="s">
        <v>25335</v>
      </c>
      <c r="AW1180" t="s">
        <v>11447</v>
      </c>
    </row>
    <row r="1181" spans="1:49">
      <c r="A1181" s="1">
        <f>HYPERLINK("https://lsnyc.legalserver.org/matter/dynamic-profile/view/1907818","19-1907818")</f>
        <v>0</v>
      </c>
      <c r="B1181" t="s">
        <v>144</v>
      </c>
      <c r="C1181" t="s">
        <v>524</v>
      </c>
      <c r="E1181" t="s">
        <v>1815</v>
      </c>
      <c r="F1181" t="s">
        <v>3730</v>
      </c>
      <c r="G1181" t="s">
        <v>7306</v>
      </c>
      <c r="H1181" t="s">
        <v>10498</v>
      </c>
      <c r="I1181" t="s">
        <v>11409</v>
      </c>
      <c r="J1181">
        <v>11377</v>
      </c>
      <c r="K1181" t="s">
        <v>11446</v>
      </c>
      <c r="L1181" t="s">
        <v>11839</v>
      </c>
      <c r="M1181" t="s">
        <v>14762</v>
      </c>
      <c r="N1181" t="s">
        <v>14783</v>
      </c>
      <c r="P1181" t="s">
        <v>14797</v>
      </c>
      <c r="Q1181" t="s">
        <v>11446</v>
      </c>
      <c r="S1181" t="s">
        <v>14827</v>
      </c>
      <c r="T1181" t="s">
        <v>14832</v>
      </c>
      <c r="U1181" t="s">
        <v>524</v>
      </c>
      <c r="V1181">
        <v>0</v>
      </c>
      <c r="W1181" t="s">
        <v>14861</v>
      </c>
      <c r="X1181" t="s">
        <v>14864</v>
      </c>
      <c r="Z1181" t="s">
        <v>16012</v>
      </c>
      <c r="AB1181" t="s">
        <v>21098</v>
      </c>
      <c r="AC1181">
        <v>67</v>
      </c>
      <c r="AD1181" t="s">
        <v>24595</v>
      </c>
      <c r="AE1181" t="s">
        <v>11459</v>
      </c>
      <c r="AF1181">
        <v>8</v>
      </c>
      <c r="AG1181">
        <v>1</v>
      </c>
      <c r="AH1181">
        <v>0</v>
      </c>
      <c r="AI1181">
        <v>133.23</v>
      </c>
      <c r="AL1181" t="s">
        <v>24632</v>
      </c>
      <c r="AM1181">
        <v>16640</v>
      </c>
      <c r="AP1181" t="s">
        <v>14755</v>
      </c>
      <c r="AS1181">
        <v>0.55</v>
      </c>
      <c r="AT1181" t="s">
        <v>589</v>
      </c>
      <c r="AU1181" t="s">
        <v>292</v>
      </c>
      <c r="AV1181" t="s">
        <v>25335</v>
      </c>
      <c r="AW1181" t="s">
        <v>11447</v>
      </c>
    </row>
    <row r="1182" spans="1:49">
      <c r="A1182" s="1">
        <f>HYPERLINK("https://lsnyc.legalserver.org/matter/dynamic-profile/view/1907892","19-1907892")</f>
        <v>0</v>
      </c>
      <c r="B1182" t="s">
        <v>172</v>
      </c>
      <c r="C1182" t="s">
        <v>477</v>
      </c>
      <c r="E1182" t="s">
        <v>1255</v>
      </c>
      <c r="F1182" t="s">
        <v>4325</v>
      </c>
      <c r="G1182" t="s">
        <v>7256</v>
      </c>
      <c r="H1182">
        <v>45</v>
      </c>
      <c r="I1182" t="s">
        <v>11386</v>
      </c>
      <c r="J1182">
        <v>10032</v>
      </c>
      <c r="K1182" t="s">
        <v>11446</v>
      </c>
      <c r="N1182" t="s">
        <v>14782</v>
      </c>
      <c r="P1182" t="s">
        <v>14797</v>
      </c>
      <c r="Q1182" t="s">
        <v>11446</v>
      </c>
      <c r="S1182" t="s">
        <v>14827</v>
      </c>
      <c r="U1182" t="s">
        <v>524</v>
      </c>
      <c r="V1182">
        <v>1400</v>
      </c>
      <c r="W1182" t="s">
        <v>14860</v>
      </c>
      <c r="X1182" t="s">
        <v>14867</v>
      </c>
      <c r="AB1182" t="s">
        <v>21099</v>
      </c>
      <c r="AC1182">
        <v>46</v>
      </c>
      <c r="AD1182" t="s">
        <v>24595</v>
      </c>
      <c r="AF1182">
        <v>4</v>
      </c>
      <c r="AG1182">
        <v>1</v>
      </c>
      <c r="AH1182">
        <v>2</v>
      </c>
      <c r="AI1182">
        <v>145.34</v>
      </c>
      <c r="AL1182" t="s">
        <v>5011</v>
      </c>
      <c r="AM1182">
        <v>31000</v>
      </c>
      <c r="AS1182">
        <v>0</v>
      </c>
      <c r="AU1182" t="s">
        <v>25281</v>
      </c>
      <c r="AV1182" t="s">
        <v>25335</v>
      </c>
      <c r="AW1182" t="s">
        <v>11447</v>
      </c>
    </row>
    <row r="1183" spans="1:49">
      <c r="A1183" s="1">
        <f>HYPERLINK("https://lsnyc.legalserver.org/matter/dynamic-profile/view/1907837","19-1907837")</f>
        <v>0</v>
      </c>
      <c r="B1183" t="s">
        <v>144</v>
      </c>
      <c r="C1183" t="s">
        <v>524</v>
      </c>
      <c r="E1183" t="s">
        <v>1816</v>
      </c>
      <c r="F1183" t="s">
        <v>4326</v>
      </c>
      <c r="G1183" t="s">
        <v>7306</v>
      </c>
      <c r="H1183" t="s">
        <v>10581</v>
      </c>
      <c r="I1183" t="s">
        <v>11409</v>
      </c>
      <c r="J1183">
        <v>11377</v>
      </c>
      <c r="K1183" t="s">
        <v>11446</v>
      </c>
      <c r="L1183" t="s">
        <v>11839</v>
      </c>
      <c r="M1183" t="s">
        <v>14762</v>
      </c>
      <c r="N1183" t="s">
        <v>14783</v>
      </c>
      <c r="P1183" t="s">
        <v>14797</v>
      </c>
      <c r="Q1183" t="s">
        <v>11446</v>
      </c>
      <c r="S1183" t="s">
        <v>14827</v>
      </c>
      <c r="T1183" t="s">
        <v>14832</v>
      </c>
      <c r="U1183" t="s">
        <v>524</v>
      </c>
      <c r="V1183">
        <v>892.88</v>
      </c>
      <c r="W1183" t="s">
        <v>14861</v>
      </c>
      <c r="X1183" t="s">
        <v>14864</v>
      </c>
      <c r="Z1183" t="s">
        <v>15166</v>
      </c>
      <c r="AA1183" t="s">
        <v>19417</v>
      </c>
      <c r="AB1183" t="s">
        <v>21100</v>
      </c>
      <c r="AC1183">
        <v>67</v>
      </c>
      <c r="AD1183" t="s">
        <v>24595</v>
      </c>
      <c r="AE1183" t="s">
        <v>24613</v>
      </c>
      <c r="AF1183">
        <v>61</v>
      </c>
      <c r="AG1183">
        <v>1</v>
      </c>
      <c r="AH1183">
        <v>0</v>
      </c>
      <c r="AI1183">
        <v>162.66</v>
      </c>
      <c r="AL1183" t="s">
        <v>5011</v>
      </c>
      <c r="AM1183">
        <v>20316</v>
      </c>
      <c r="AP1183" t="s">
        <v>14755</v>
      </c>
      <c r="AS1183">
        <v>0.4</v>
      </c>
      <c r="AT1183" t="s">
        <v>524</v>
      </c>
      <c r="AU1183" t="s">
        <v>292</v>
      </c>
      <c r="AV1183" t="s">
        <v>25335</v>
      </c>
      <c r="AW1183" t="s">
        <v>11447</v>
      </c>
    </row>
    <row r="1184" spans="1:49">
      <c r="A1184" s="1">
        <f>HYPERLINK("https://lsnyc.legalserver.org/matter/dynamic-profile/view/1907897","19-1907897")</f>
        <v>0</v>
      </c>
      <c r="B1184" t="s">
        <v>211</v>
      </c>
      <c r="C1184" t="s">
        <v>524</v>
      </c>
      <c r="E1184" t="s">
        <v>1817</v>
      </c>
      <c r="F1184" t="s">
        <v>3000</v>
      </c>
      <c r="G1184" t="s">
        <v>7307</v>
      </c>
      <c r="H1184" t="s">
        <v>10506</v>
      </c>
      <c r="I1184" t="s">
        <v>11385</v>
      </c>
      <c r="J1184">
        <v>11233</v>
      </c>
      <c r="K1184" t="s">
        <v>11446</v>
      </c>
      <c r="L1184" t="s">
        <v>11459</v>
      </c>
      <c r="M1184" t="s">
        <v>14745</v>
      </c>
      <c r="N1184" t="s">
        <v>14779</v>
      </c>
      <c r="P1184" t="s">
        <v>14797</v>
      </c>
      <c r="Q1184" t="s">
        <v>11448</v>
      </c>
      <c r="S1184" t="s">
        <v>14827</v>
      </c>
      <c r="T1184" t="s">
        <v>14832</v>
      </c>
      <c r="U1184" t="s">
        <v>524</v>
      </c>
      <c r="V1184">
        <v>482.02</v>
      </c>
      <c r="W1184" t="s">
        <v>14859</v>
      </c>
      <c r="X1184" t="s">
        <v>14868</v>
      </c>
      <c r="Z1184" t="s">
        <v>16013</v>
      </c>
      <c r="AB1184" t="s">
        <v>21101</v>
      </c>
      <c r="AC1184">
        <v>8</v>
      </c>
      <c r="AD1184" t="s">
        <v>24604</v>
      </c>
      <c r="AF1184">
        <v>13</v>
      </c>
      <c r="AG1184">
        <v>2</v>
      </c>
      <c r="AH1184">
        <v>2</v>
      </c>
      <c r="AI1184">
        <v>166.99</v>
      </c>
      <c r="AL1184" t="s">
        <v>5011</v>
      </c>
      <c r="AM1184">
        <v>43000</v>
      </c>
      <c r="AS1184">
        <v>1.6</v>
      </c>
      <c r="AT1184" t="s">
        <v>463</v>
      </c>
      <c r="AU1184" t="s">
        <v>211</v>
      </c>
      <c r="AV1184" t="s">
        <v>25335</v>
      </c>
      <c r="AW1184" t="s">
        <v>11447</v>
      </c>
    </row>
    <row r="1185" spans="1:49">
      <c r="A1185" s="1">
        <f>HYPERLINK("https://lsnyc.legalserver.org/matter/dynamic-profile/view/1907851","19-1907851")</f>
        <v>0</v>
      </c>
      <c r="B1185" t="s">
        <v>144</v>
      </c>
      <c r="C1185" t="s">
        <v>524</v>
      </c>
      <c r="E1185" t="s">
        <v>1818</v>
      </c>
      <c r="F1185" t="s">
        <v>3683</v>
      </c>
      <c r="G1185" t="s">
        <v>7306</v>
      </c>
      <c r="H1185" t="s">
        <v>10732</v>
      </c>
      <c r="I1185" t="s">
        <v>11409</v>
      </c>
      <c r="J1185">
        <v>11377</v>
      </c>
      <c r="K1185" t="s">
        <v>11446</v>
      </c>
      <c r="L1185" t="s">
        <v>11839</v>
      </c>
      <c r="M1185" t="s">
        <v>14762</v>
      </c>
      <c r="N1185" t="s">
        <v>14783</v>
      </c>
      <c r="P1185" t="s">
        <v>14797</v>
      </c>
      <c r="Q1185" t="s">
        <v>11446</v>
      </c>
      <c r="S1185" t="s">
        <v>14827</v>
      </c>
      <c r="T1185" t="s">
        <v>14832</v>
      </c>
      <c r="U1185" t="s">
        <v>524</v>
      </c>
      <c r="V1185">
        <v>1291</v>
      </c>
      <c r="W1185" t="s">
        <v>14861</v>
      </c>
      <c r="X1185" t="s">
        <v>14864</v>
      </c>
      <c r="Z1185" t="s">
        <v>16014</v>
      </c>
      <c r="AA1185" t="s">
        <v>19344</v>
      </c>
      <c r="AB1185" t="s">
        <v>21102</v>
      </c>
      <c r="AC1185">
        <v>67</v>
      </c>
      <c r="AD1185" t="s">
        <v>24595</v>
      </c>
      <c r="AE1185" t="s">
        <v>11459</v>
      </c>
      <c r="AF1185">
        <v>12</v>
      </c>
      <c r="AG1185">
        <v>2</v>
      </c>
      <c r="AH1185">
        <v>1</v>
      </c>
      <c r="AI1185">
        <v>257.85</v>
      </c>
      <c r="AL1185" t="s">
        <v>5011</v>
      </c>
      <c r="AM1185">
        <v>55000</v>
      </c>
      <c r="AP1185" t="s">
        <v>14755</v>
      </c>
      <c r="AS1185">
        <v>0.4</v>
      </c>
      <c r="AT1185" t="s">
        <v>524</v>
      </c>
      <c r="AU1185" t="s">
        <v>292</v>
      </c>
      <c r="AV1185" t="s">
        <v>25335</v>
      </c>
      <c r="AW1185" t="s">
        <v>11447</v>
      </c>
    </row>
    <row r="1186" spans="1:49">
      <c r="A1186" s="1">
        <f>HYPERLINK("https://lsnyc.legalserver.org/matter/dynamic-profile/view/1908410","19-1908410")</f>
        <v>0</v>
      </c>
      <c r="B1186" t="s">
        <v>205</v>
      </c>
      <c r="C1186" t="s">
        <v>464</v>
      </c>
      <c r="E1186" t="s">
        <v>1633</v>
      </c>
      <c r="F1186" t="s">
        <v>3975</v>
      </c>
      <c r="G1186" t="s">
        <v>7264</v>
      </c>
      <c r="H1186" t="s">
        <v>10574</v>
      </c>
      <c r="I1186" t="s">
        <v>11386</v>
      </c>
      <c r="J1186">
        <v>10035</v>
      </c>
      <c r="K1186" t="s">
        <v>11446</v>
      </c>
      <c r="M1186" t="s">
        <v>11601</v>
      </c>
      <c r="N1186" t="s">
        <v>14779</v>
      </c>
      <c r="P1186" t="s">
        <v>14797</v>
      </c>
      <c r="Q1186" t="s">
        <v>11446</v>
      </c>
      <c r="S1186" t="s">
        <v>14827</v>
      </c>
      <c r="T1186" t="s">
        <v>14832</v>
      </c>
      <c r="U1186" t="s">
        <v>524</v>
      </c>
      <c r="V1186">
        <v>2487</v>
      </c>
      <c r="W1186" t="s">
        <v>14860</v>
      </c>
      <c r="X1186" t="s">
        <v>14876</v>
      </c>
      <c r="Z1186" t="s">
        <v>16015</v>
      </c>
      <c r="AB1186" t="s">
        <v>21103</v>
      </c>
      <c r="AC1186">
        <v>72</v>
      </c>
      <c r="AD1186" t="s">
        <v>24595</v>
      </c>
      <c r="AE1186" t="s">
        <v>11459</v>
      </c>
      <c r="AF1186">
        <v>11</v>
      </c>
      <c r="AG1186">
        <v>1</v>
      </c>
      <c r="AH1186">
        <v>0</v>
      </c>
      <c r="AI1186">
        <v>360.29</v>
      </c>
      <c r="AL1186" t="s">
        <v>5011</v>
      </c>
      <c r="AM1186">
        <v>45000</v>
      </c>
      <c r="AS1186">
        <v>0</v>
      </c>
      <c r="AU1186" t="s">
        <v>25266</v>
      </c>
      <c r="AV1186" t="s">
        <v>25335</v>
      </c>
      <c r="AW1186" t="s">
        <v>11447</v>
      </c>
    </row>
    <row r="1187" spans="1:49">
      <c r="A1187" s="1">
        <f>HYPERLINK("https://lsnyc.legalserver.org/matter/dynamic-profile/view/1908412","19-1908412")</f>
        <v>0</v>
      </c>
      <c r="B1187" t="s">
        <v>205</v>
      </c>
      <c r="C1187" t="s">
        <v>464</v>
      </c>
      <c r="E1187" t="s">
        <v>1393</v>
      </c>
      <c r="F1187" t="s">
        <v>4327</v>
      </c>
      <c r="G1187" t="s">
        <v>7264</v>
      </c>
      <c r="H1187" t="s">
        <v>10799</v>
      </c>
      <c r="I1187" t="s">
        <v>11386</v>
      </c>
      <c r="J1187">
        <v>10035</v>
      </c>
      <c r="K1187" t="s">
        <v>11446</v>
      </c>
      <c r="M1187" t="s">
        <v>14746</v>
      </c>
      <c r="N1187" t="s">
        <v>14779</v>
      </c>
      <c r="P1187" t="s">
        <v>14797</v>
      </c>
      <c r="Q1187" t="s">
        <v>11446</v>
      </c>
      <c r="S1187" t="s">
        <v>14827</v>
      </c>
      <c r="T1187" t="s">
        <v>14832</v>
      </c>
      <c r="U1187" t="s">
        <v>524</v>
      </c>
      <c r="V1187">
        <v>1510</v>
      </c>
      <c r="W1187" t="s">
        <v>14860</v>
      </c>
      <c r="X1187" t="s">
        <v>14876</v>
      </c>
      <c r="Z1187" t="s">
        <v>16016</v>
      </c>
      <c r="AA1187" t="s">
        <v>11459</v>
      </c>
      <c r="AB1187" t="s">
        <v>21104</v>
      </c>
      <c r="AC1187">
        <v>72</v>
      </c>
      <c r="AD1187" t="s">
        <v>24595</v>
      </c>
      <c r="AE1187" t="s">
        <v>11459</v>
      </c>
      <c r="AF1187">
        <v>6</v>
      </c>
      <c r="AG1187">
        <v>1</v>
      </c>
      <c r="AH1187">
        <v>0</v>
      </c>
      <c r="AI1187">
        <v>800.64</v>
      </c>
      <c r="AL1187" t="s">
        <v>5011</v>
      </c>
      <c r="AM1187">
        <v>100000</v>
      </c>
      <c r="AN1187" t="s">
        <v>24759</v>
      </c>
      <c r="AS1187">
        <v>0</v>
      </c>
      <c r="AU1187" t="s">
        <v>25266</v>
      </c>
      <c r="AV1187" t="s">
        <v>25335</v>
      </c>
      <c r="AW1187" t="s">
        <v>11447</v>
      </c>
    </row>
    <row r="1188" spans="1:49">
      <c r="A1188" s="1">
        <f>HYPERLINK("https://lsnyc.legalserver.org/matter/dynamic-profile/view/1907956","19-1907956")</f>
        <v>0</v>
      </c>
      <c r="B1188" t="s">
        <v>183</v>
      </c>
      <c r="C1188" t="s">
        <v>458</v>
      </c>
      <c r="E1188" t="s">
        <v>1723</v>
      </c>
      <c r="F1188" t="s">
        <v>4328</v>
      </c>
      <c r="G1188" t="s">
        <v>7308</v>
      </c>
      <c r="H1188" t="s">
        <v>10486</v>
      </c>
      <c r="I1188" t="s">
        <v>11385</v>
      </c>
      <c r="J1188">
        <v>11207</v>
      </c>
      <c r="K1188" t="s">
        <v>11446</v>
      </c>
      <c r="L1188" t="s">
        <v>11840</v>
      </c>
      <c r="M1188" t="s">
        <v>14743</v>
      </c>
      <c r="N1188" t="s">
        <v>14781</v>
      </c>
      <c r="P1188" t="s">
        <v>14797</v>
      </c>
      <c r="Q1188" t="s">
        <v>11448</v>
      </c>
      <c r="S1188" t="s">
        <v>14827</v>
      </c>
      <c r="T1188" t="s">
        <v>14832</v>
      </c>
      <c r="U1188" t="s">
        <v>458</v>
      </c>
      <c r="V1188">
        <v>1000</v>
      </c>
      <c r="W1188" t="s">
        <v>14859</v>
      </c>
      <c r="X1188" t="s">
        <v>14867</v>
      </c>
      <c r="Z1188" t="s">
        <v>16017</v>
      </c>
      <c r="AA1188" t="s">
        <v>19418</v>
      </c>
      <c r="AB1188" t="s">
        <v>21105</v>
      </c>
      <c r="AC1188">
        <v>3</v>
      </c>
      <c r="AD1188" t="s">
        <v>24600</v>
      </c>
      <c r="AE1188" t="s">
        <v>11459</v>
      </c>
      <c r="AF1188">
        <v>2</v>
      </c>
      <c r="AG1188">
        <v>2</v>
      </c>
      <c r="AH1188">
        <v>0</v>
      </c>
      <c r="AI1188">
        <v>0</v>
      </c>
      <c r="AL1188" t="s">
        <v>5011</v>
      </c>
      <c r="AM1188">
        <v>0</v>
      </c>
      <c r="AS1188">
        <v>25</v>
      </c>
      <c r="AT1188" t="s">
        <v>586</v>
      </c>
      <c r="AU1188" t="s">
        <v>120</v>
      </c>
      <c r="AV1188" t="s">
        <v>25335</v>
      </c>
      <c r="AW1188" t="s">
        <v>11447</v>
      </c>
    </row>
    <row r="1189" spans="1:49">
      <c r="A1189" s="1">
        <f>HYPERLINK("https://lsnyc.legalserver.org/matter/dynamic-profile/view/1897622","19-1897622")</f>
        <v>0</v>
      </c>
      <c r="B1189" t="s">
        <v>178</v>
      </c>
      <c r="C1189" t="s">
        <v>658</v>
      </c>
      <c r="E1189" t="s">
        <v>1819</v>
      </c>
      <c r="F1189" t="s">
        <v>1329</v>
      </c>
      <c r="G1189" t="s">
        <v>7309</v>
      </c>
      <c r="H1189">
        <v>24</v>
      </c>
      <c r="I1189" t="s">
        <v>11386</v>
      </c>
      <c r="J1189">
        <v>10033</v>
      </c>
      <c r="K1189" t="s">
        <v>11446</v>
      </c>
      <c r="L1189" t="s">
        <v>11841</v>
      </c>
      <c r="M1189" t="s">
        <v>14744</v>
      </c>
      <c r="N1189" t="s">
        <v>14781</v>
      </c>
      <c r="P1189" t="s">
        <v>14797</v>
      </c>
      <c r="Q1189" t="s">
        <v>11448</v>
      </c>
      <c r="S1189" t="s">
        <v>14827</v>
      </c>
      <c r="U1189" t="s">
        <v>458</v>
      </c>
      <c r="V1189">
        <v>816.66</v>
      </c>
      <c r="W1189" t="s">
        <v>14860</v>
      </c>
      <c r="X1189" t="s">
        <v>14867</v>
      </c>
      <c r="Z1189" t="s">
        <v>15253</v>
      </c>
      <c r="AB1189" t="s">
        <v>21106</v>
      </c>
      <c r="AC1189">
        <v>20</v>
      </c>
      <c r="AD1189" t="s">
        <v>24595</v>
      </c>
      <c r="AE1189" t="s">
        <v>11459</v>
      </c>
      <c r="AF1189">
        <v>23</v>
      </c>
      <c r="AG1189">
        <v>1</v>
      </c>
      <c r="AH1189">
        <v>0</v>
      </c>
      <c r="AI1189">
        <v>38.24</v>
      </c>
      <c r="AL1189" t="s">
        <v>24632</v>
      </c>
      <c r="AM1189">
        <v>4776</v>
      </c>
      <c r="AS1189">
        <v>10.7</v>
      </c>
      <c r="AT1189" t="s">
        <v>336</v>
      </c>
      <c r="AU1189" t="s">
        <v>137</v>
      </c>
      <c r="AV1189" t="s">
        <v>25335</v>
      </c>
      <c r="AW1189" t="s">
        <v>11446</v>
      </c>
    </row>
    <row r="1190" spans="1:49">
      <c r="A1190" s="1">
        <f>HYPERLINK("https://lsnyc.legalserver.org/matter/dynamic-profile/view/1907958","19-1907958")</f>
        <v>0</v>
      </c>
      <c r="B1190" t="s">
        <v>108</v>
      </c>
      <c r="C1190" t="s">
        <v>458</v>
      </c>
      <c r="E1190" t="s">
        <v>1487</v>
      </c>
      <c r="F1190" t="s">
        <v>4329</v>
      </c>
      <c r="G1190" t="s">
        <v>7310</v>
      </c>
      <c r="I1190" t="s">
        <v>11385</v>
      </c>
      <c r="J1190">
        <v>11217</v>
      </c>
      <c r="K1190" t="s">
        <v>11446</v>
      </c>
      <c r="L1190" t="s">
        <v>11842</v>
      </c>
      <c r="M1190" t="s">
        <v>14744</v>
      </c>
      <c r="N1190" t="s">
        <v>14781</v>
      </c>
      <c r="P1190" t="s">
        <v>14797</v>
      </c>
      <c r="Q1190" t="s">
        <v>11448</v>
      </c>
      <c r="S1190" t="s">
        <v>14827</v>
      </c>
      <c r="U1190" t="s">
        <v>458</v>
      </c>
      <c r="V1190">
        <v>1739.1</v>
      </c>
      <c r="W1190" t="s">
        <v>14859</v>
      </c>
      <c r="X1190" t="s">
        <v>14868</v>
      </c>
      <c r="Z1190" t="s">
        <v>16018</v>
      </c>
      <c r="AB1190" t="s">
        <v>21107</v>
      </c>
      <c r="AC1190">
        <v>20</v>
      </c>
      <c r="AD1190" t="s">
        <v>24595</v>
      </c>
      <c r="AE1190" t="s">
        <v>11459</v>
      </c>
      <c r="AF1190">
        <v>22</v>
      </c>
      <c r="AG1190">
        <v>3</v>
      </c>
      <c r="AH1190">
        <v>0</v>
      </c>
      <c r="AI1190">
        <v>93.76000000000001</v>
      </c>
      <c r="AL1190" t="s">
        <v>24648</v>
      </c>
      <c r="AM1190">
        <v>20000</v>
      </c>
      <c r="AS1190">
        <v>9</v>
      </c>
      <c r="AT1190" t="s">
        <v>521</v>
      </c>
      <c r="AU1190" t="s">
        <v>25225</v>
      </c>
      <c r="AV1190" t="s">
        <v>25335</v>
      </c>
      <c r="AW1190" t="s">
        <v>11447</v>
      </c>
    </row>
    <row r="1191" spans="1:49">
      <c r="A1191" s="1">
        <f>HYPERLINK("https://lsnyc.legalserver.org/matter/dynamic-profile/view/1907920","19-1907920")</f>
        <v>0</v>
      </c>
      <c r="B1191" t="s">
        <v>59</v>
      </c>
      <c r="C1191" t="s">
        <v>458</v>
      </c>
      <c r="E1191" t="s">
        <v>1820</v>
      </c>
      <c r="F1191" t="s">
        <v>3984</v>
      </c>
      <c r="G1191" t="s">
        <v>7311</v>
      </c>
      <c r="H1191" t="s">
        <v>10689</v>
      </c>
      <c r="I1191" t="s">
        <v>11394</v>
      </c>
      <c r="J1191">
        <v>11694</v>
      </c>
      <c r="K1191" t="s">
        <v>11446</v>
      </c>
      <c r="L1191" t="s">
        <v>11843</v>
      </c>
      <c r="M1191" t="s">
        <v>14744</v>
      </c>
      <c r="N1191" t="s">
        <v>14781</v>
      </c>
      <c r="P1191" t="s">
        <v>14797</v>
      </c>
      <c r="Q1191" t="s">
        <v>11448</v>
      </c>
      <c r="S1191" t="s">
        <v>14827</v>
      </c>
      <c r="T1191" t="s">
        <v>14832</v>
      </c>
      <c r="U1191" t="s">
        <v>458</v>
      </c>
      <c r="V1191">
        <v>933.92</v>
      </c>
      <c r="W1191" t="s">
        <v>14861</v>
      </c>
      <c r="X1191" t="s">
        <v>14865</v>
      </c>
      <c r="Z1191" t="s">
        <v>16019</v>
      </c>
      <c r="AA1191" t="s">
        <v>11459</v>
      </c>
      <c r="AB1191" t="s">
        <v>21108</v>
      </c>
      <c r="AC1191">
        <v>240</v>
      </c>
      <c r="AD1191" t="s">
        <v>24595</v>
      </c>
      <c r="AE1191" t="s">
        <v>11459</v>
      </c>
      <c r="AF1191">
        <v>12</v>
      </c>
      <c r="AG1191">
        <v>1</v>
      </c>
      <c r="AH1191">
        <v>0</v>
      </c>
      <c r="AI1191">
        <v>107.8</v>
      </c>
      <c r="AL1191" t="s">
        <v>5011</v>
      </c>
      <c r="AM1191">
        <v>13464</v>
      </c>
      <c r="AO1191" t="s">
        <v>24937</v>
      </c>
      <c r="AP1191" t="s">
        <v>24942</v>
      </c>
      <c r="AQ1191" t="s">
        <v>24986</v>
      </c>
      <c r="AR1191" t="s">
        <v>25034</v>
      </c>
      <c r="AS1191">
        <v>18.8</v>
      </c>
      <c r="AT1191" t="s">
        <v>467</v>
      </c>
      <c r="AU1191" t="s">
        <v>292</v>
      </c>
      <c r="AV1191" t="s">
        <v>25335</v>
      </c>
      <c r="AW1191" t="s">
        <v>11447</v>
      </c>
    </row>
    <row r="1192" spans="1:49">
      <c r="A1192" s="1">
        <f>HYPERLINK("https://lsnyc.legalserver.org/matter/dynamic-profile/view/1907974","19-1907974")</f>
        <v>0</v>
      </c>
      <c r="B1192" t="s">
        <v>144</v>
      </c>
      <c r="C1192" t="s">
        <v>458</v>
      </c>
      <c r="E1192" t="s">
        <v>1330</v>
      </c>
      <c r="F1192" t="s">
        <v>2002</v>
      </c>
      <c r="G1192" t="s">
        <v>7306</v>
      </c>
      <c r="H1192" t="s">
        <v>10451</v>
      </c>
      <c r="I1192" t="s">
        <v>11409</v>
      </c>
      <c r="J1192">
        <v>11377</v>
      </c>
      <c r="K1192" t="s">
        <v>11446</v>
      </c>
      <c r="L1192" t="s">
        <v>11839</v>
      </c>
      <c r="M1192" t="s">
        <v>14762</v>
      </c>
      <c r="N1192" t="s">
        <v>14783</v>
      </c>
      <c r="P1192" t="s">
        <v>14797</v>
      </c>
      <c r="Q1192" t="s">
        <v>11446</v>
      </c>
      <c r="S1192" t="s">
        <v>14827</v>
      </c>
      <c r="T1192" t="s">
        <v>14832</v>
      </c>
      <c r="U1192" t="s">
        <v>458</v>
      </c>
      <c r="V1192">
        <v>1450</v>
      </c>
      <c r="W1192" t="s">
        <v>14861</v>
      </c>
      <c r="X1192" t="s">
        <v>14864</v>
      </c>
      <c r="Z1192" t="s">
        <v>16020</v>
      </c>
      <c r="AB1192" t="s">
        <v>21109</v>
      </c>
      <c r="AC1192">
        <v>67</v>
      </c>
      <c r="AD1192" t="s">
        <v>24595</v>
      </c>
      <c r="AE1192" t="s">
        <v>11459</v>
      </c>
      <c r="AF1192">
        <v>10</v>
      </c>
      <c r="AG1192">
        <v>2</v>
      </c>
      <c r="AH1192">
        <v>1</v>
      </c>
      <c r="AI1192">
        <v>110.17</v>
      </c>
      <c r="AL1192" t="s">
        <v>24632</v>
      </c>
      <c r="AM1192">
        <v>23500</v>
      </c>
      <c r="AP1192" t="s">
        <v>14755</v>
      </c>
      <c r="AS1192">
        <v>0.3</v>
      </c>
      <c r="AT1192" t="s">
        <v>458</v>
      </c>
      <c r="AU1192" t="s">
        <v>292</v>
      </c>
      <c r="AV1192" t="s">
        <v>25335</v>
      </c>
      <c r="AW1192" t="s">
        <v>11447</v>
      </c>
    </row>
    <row r="1193" spans="1:49">
      <c r="A1193" s="1">
        <f>HYPERLINK("https://lsnyc.legalserver.org/matter/dynamic-profile/view/1907939","19-1907939")</f>
        <v>0</v>
      </c>
      <c r="B1193" t="s">
        <v>167</v>
      </c>
      <c r="C1193" t="s">
        <v>458</v>
      </c>
      <c r="E1193" t="s">
        <v>1516</v>
      </c>
      <c r="F1193" t="s">
        <v>4330</v>
      </c>
      <c r="G1193" t="s">
        <v>7312</v>
      </c>
      <c r="H1193" t="s">
        <v>10568</v>
      </c>
      <c r="I1193" t="s">
        <v>11387</v>
      </c>
      <c r="J1193">
        <v>11432</v>
      </c>
      <c r="K1193" t="s">
        <v>11446</v>
      </c>
      <c r="L1193" t="s">
        <v>11844</v>
      </c>
      <c r="M1193" t="s">
        <v>14744</v>
      </c>
      <c r="N1193" t="s">
        <v>14778</v>
      </c>
      <c r="P1193" t="s">
        <v>14797</v>
      </c>
      <c r="Q1193" t="s">
        <v>11448</v>
      </c>
      <c r="S1193" t="s">
        <v>14827</v>
      </c>
      <c r="T1193" t="s">
        <v>14832</v>
      </c>
      <c r="U1193" t="s">
        <v>458</v>
      </c>
      <c r="V1193">
        <v>1425</v>
      </c>
      <c r="W1193" t="s">
        <v>14861</v>
      </c>
      <c r="X1193" t="s">
        <v>14865</v>
      </c>
      <c r="Z1193" t="s">
        <v>16021</v>
      </c>
      <c r="AB1193" t="s">
        <v>21110</v>
      </c>
      <c r="AC1193">
        <v>102</v>
      </c>
      <c r="AD1193" t="s">
        <v>24595</v>
      </c>
      <c r="AE1193" t="s">
        <v>11459</v>
      </c>
      <c r="AF1193">
        <v>3</v>
      </c>
      <c r="AG1193">
        <v>2</v>
      </c>
      <c r="AH1193">
        <v>1</v>
      </c>
      <c r="AI1193">
        <v>117.21</v>
      </c>
      <c r="AL1193" t="s">
        <v>24647</v>
      </c>
      <c r="AM1193">
        <v>25000</v>
      </c>
      <c r="AS1193">
        <v>1.95</v>
      </c>
      <c r="AT1193" t="s">
        <v>475</v>
      </c>
      <c r="AU1193" t="s">
        <v>292</v>
      </c>
      <c r="AV1193" t="s">
        <v>25335</v>
      </c>
      <c r="AW1193" t="s">
        <v>11447</v>
      </c>
    </row>
    <row r="1194" spans="1:49">
      <c r="A1194" s="1">
        <f>HYPERLINK("https://lsnyc.legalserver.org/matter/dynamic-profile/view/1908419","19-1908419")</f>
        <v>0</v>
      </c>
      <c r="B1194" t="s">
        <v>76</v>
      </c>
      <c r="C1194" t="s">
        <v>464</v>
      </c>
      <c r="E1194" t="s">
        <v>1821</v>
      </c>
      <c r="F1194" t="s">
        <v>4331</v>
      </c>
      <c r="G1194" t="s">
        <v>7313</v>
      </c>
      <c r="H1194" t="s">
        <v>10800</v>
      </c>
      <c r="I1194" t="s">
        <v>11385</v>
      </c>
      <c r="J1194">
        <v>11219</v>
      </c>
      <c r="K1194" t="s">
        <v>11446</v>
      </c>
      <c r="L1194" t="s">
        <v>11845</v>
      </c>
      <c r="M1194" t="s">
        <v>14743</v>
      </c>
      <c r="N1194" t="s">
        <v>14781</v>
      </c>
      <c r="P1194" t="s">
        <v>14797</v>
      </c>
      <c r="Q1194" t="s">
        <v>11448</v>
      </c>
      <c r="S1194" t="s">
        <v>14827</v>
      </c>
      <c r="T1194" t="s">
        <v>14832</v>
      </c>
      <c r="U1194" t="s">
        <v>458</v>
      </c>
      <c r="V1194">
        <v>1000</v>
      </c>
      <c r="W1194" t="s">
        <v>14859</v>
      </c>
      <c r="X1194" t="s">
        <v>14863</v>
      </c>
      <c r="Z1194" t="s">
        <v>16022</v>
      </c>
      <c r="AA1194" t="s">
        <v>11459</v>
      </c>
      <c r="AB1194" t="s">
        <v>21111</v>
      </c>
      <c r="AC1194">
        <v>35</v>
      </c>
      <c r="AD1194" t="s">
        <v>24595</v>
      </c>
      <c r="AE1194" t="s">
        <v>11459</v>
      </c>
      <c r="AF1194">
        <v>12</v>
      </c>
      <c r="AG1194">
        <v>4</v>
      </c>
      <c r="AH1194">
        <v>0</v>
      </c>
      <c r="AI1194">
        <v>132.82</v>
      </c>
      <c r="AL1194" t="s">
        <v>24632</v>
      </c>
      <c r="AM1194">
        <v>34200</v>
      </c>
      <c r="AS1194">
        <v>26.8</v>
      </c>
      <c r="AT1194" t="s">
        <v>654</v>
      </c>
      <c r="AU1194" t="s">
        <v>66</v>
      </c>
      <c r="AV1194" t="s">
        <v>25335</v>
      </c>
      <c r="AW1194" t="s">
        <v>11447</v>
      </c>
    </row>
    <row r="1195" spans="1:49">
      <c r="A1195" s="1">
        <f>HYPERLINK("https://lsnyc.legalserver.org/matter/dynamic-profile/view/1907946","19-1907946")</f>
        <v>0</v>
      </c>
      <c r="B1195" t="s">
        <v>59</v>
      </c>
      <c r="C1195" t="s">
        <v>458</v>
      </c>
      <c r="E1195" t="s">
        <v>1822</v>
      </c>
      <c r="F1195" t="s">
        <v>3957</v>
      </c>
      <c r="G1195" t="s">
        <v>7314</v>
      </c>
      <c r="H1195" t="s">
        <v>10586</v>
      </c>
      <c r="I1195" t="s">
        <v>11402</v>
      </c>
      <c r="J1195">
        <v>11422</v>
      </c>
      <c r="K1195" t="s">
        <v>11446</v>
      </c>
      <c r="L1195" t="s">
        <v>11846</v>
      </c>
      <c r="M1195" t="s">
        <v>14743</v>
      </c>
      <c r="N1195" t="s">
        <v>14781</v>
      </c>
      <c r="P1195" t="s">
        <v>14797</v>
      </c>
      <c r="Q1195" t="s">
        <v>11448</v>
      </c>
      <c r="S1195" t="s">
        <v>14827</v>
      </c>
      <c r="T1195" t="s">
        <v>14832</v>
      </c>
      <c r="U1195" t="s">
        <v>458</v>
      </c>
      <c r="V1195">
        <v>800</v>
      </c>
      <c r="W1195" t="s">
        <v>14861</v>
      </c>
      <c r="X1195" t="s">
        <v>14865</v>
      </c>
      <c r="Z1195" t="s">
        <v>16023</v>
      </c>
      <c r="AB1195" t="s">
        <v>21112</v>
      </c>
      <c r="AC1195">
        <v>2</v>
      </c>
      <c r="AD1195" t="s">
        <v>24600</v>
      </c>
      <c r="AE1195" t="s">
        <v>11459</v>
      </c>
      <c r="AF1195">
        <v>-1</v>
      </c>
      <c r="AG1195">
        <v>1</v>
      </c>
      <c r="AH1195">
        <v>2</v>
      </c>
      <c r="AI1195">
        <v>140.65</v>
      </c>
      <c r="AL1195" t="s">
        <v>5011</v>
      </c>
      <c r="AM1195">
        <v>30000</v>
      </c>
      <c r="AP1195" t="s">
        <v>14755</v>
      </c>
      <c r="AS1195">
        <v>16.2</v>
      </c>
      <c r="AT1195" t="s">
        <v>495</v>
      </c>
      <c r="AU1195" t="s">
        <v>292</v>
      </c>
      <c r="AV1195" t="s">
        <v>25335</v>
      </c>
      <c r="AW1195" t="s">
        <v>11447</v>
      </c>
    </row>
    <row r="1196" spans="1:49">
      <c r="A1196" s="1">
        <f>HYPERLINK("https://lsnyc.legalserver.org/matter/dynamic-profile/view/1908462","19-1908462")</f>
        <v>0</v>
      </c>
      <c r="B1196" t="s">
        <v>205</v>
      </c>
      <c r="C1196" t="s">
        <v>466</v>
      </c>
      <c r="E1196" t="s">
        <v>1272</v>
      </c>
      <c r="F1196" t="s">
        <v>4332</v>
      </c>
      <c r="G1196" t="s">
        <v>7264</v>
      </c>
      <c r="H1196" t="s">
        <v>10478</v>
      </c>
      <c r="I1196" t="s">
        <v>11386</v>
      </c>
      <c r="J1196">
        <v>10035</v>
      </c>
      <c r="K1196" t="s">
        <v>11446</v>
      </c>
      <c r="M1196" t="s">
        <v>14746</v>
      </c>
      <c r="N1196" t="s">
        <v>14781</v>
      </c>
      <c r="P1196" t="s">
        <v>14797</v>
      </c>
      <c r="Q1196" t="s">
        <v>11446</v>
      </c>
      <c r="S1196" t="s">
        <v>14827</v>
      </c>
      <c r="T1196" t="s">
        <v>14832</v>
      </c>
      <c r="U1196" t="s">
        <v>458</v>
      </c>
      <c r="V1196">
        <v>1937.63</v>
      </c>
      <c r="W1196" t="s">
        <v>14860</v>
      </c>
      <c r="X1196" t="s">
        <v>14876</v>
      </c>
      <c r="Z1196" t="s">
        <v>16024</v>
      </c>
      <c r="AB1196" t="s">
        <v>21113</v>
      </c>
      <c r="AC1196">
        <v>72</v>
      </c>
      <c r="AD1196" t="s">
        <v>24595</v>
      </c>
      <c r="AE1196" t="s">
        <v>24610</v>
      </c>
      <c r="AF1196">
        <v>39</v>
      </c>
      <c r="AG1196">
        <v>1</v>
      </c>
      <c r="AH1196">
        <v>0</v>
      </c>
      <c r="AI1196">
        <v>144.12</v>
      </c>
      <c r="AL1196" t="s">
        <v>5011</v>
      </c>
      <c r="AM1196">
        <v>18000</v>
      </c>
      <c r="AS1196">
        <v>0</v>
      </c>
      <c r="AU1196" t="s">
        <v>25266</v>
      </c>
      <c r="AV1196" t="s">
        <v>25335</v>
      </c>
      <c r="AW1196" t="s">
        <v>11447</v>
      </c>
    </row>
    <row r="1197" spans="1:49">
      <c r="A1197" s="1">
        <f>HYPERLINK("https://lsnyc.legalserver.org/matter/dynamic-profile/view/1908368","19-1908368")</f>
        <v>0</v>
      </c>
      <c r="B1197" t="s">
        <v>205</v>
      </c>
      <c r="C1197" t="s">
        <v>464</v>
      </c>
      <c r="E1197" t="s">
        <v>1089</v>
      </c>
      <c r="F1197" t="s">
        <v>3561</v>
      </c>
      <c r="G1197" t="s">
        <v>7264</v>
      </c>
      <c r="H1197" t="s">
        <v>10476</v>
      </c>
      <c r="I1197" t="s">
        <v>11386</v>
      </c>
      <c r="J1197">
        <v>10035</v>
      </c>
      <c r="K1197" t="s">
        <v>11446</v>
      </c>
      <c r="M1197" t="s">
        <v>14746</v>
      </c>
      <c r="N1197" t="s">
        <v>14779</v>
      </c>
      <c r="P1197" t="s">
        <v>14797</v>
      </c>
      <c r="Q1197" t="s">
        <v>11446</v>
      </c>
      <c r="S1197" t="s">
        <v>14827</v>
      </c>
      <c r="T1197" t="s">
        <v>14832</v>
      </c>
      <c r="U1197" t="s">
        <v>458</v>
      </c>
      <c r="V1197">
        <v>72</v>
      </c>
      <c r="W1197" t="s">
        <v>14860</v>
      </c>
      <c r="X1197" t="s">
        <v>14876</v>
      </c>
      <c r="Z1197" t="s">
        <v>16025</v>
      </c>
      <c r="AB1197" t="s">
        <v>21114</v>
      </c>
      <c r="AC1197">
        <v>72</v>
      </c>
      <c r="AD1197" t="s">
        <v>24595</v>
      </c>
      <c r="AE1197" t="s">
        <v>24610</v>
      </c>
      <c r="AF1197">
        <v>20</v>
      </c>
      <c r="AG1197">
        <v>1</v>
      </c>
      <c r="AH1197">
        <v>0</v>
      </c>
      <c r="AI1197">
        <v>416.33</v>
      </c>
      <c r="AL1197" t="s">
        <v>5011</v>
      </c>
      <c r="AM1197">
        <v>52000</v>
      </c>
      <c r="AS1197">
        <v>0</v>
      </c>
      <c r="AU1197" t="s">
        <v>25266</v>
      </c>
      <c r="AV1197" t="s">
        <v>25335</v>
      </c>
      <c r="AW1197" t="s">
        <v>11447</v>
      </c>
    </row>
    <row r="1198" spans="1:49">
      <c r="A1198" s="1">
        <f>HYPERLINK("https://lsnyc.legalserver.org/matter/dynamic-profile/view/1908106","19-1908106")</f>
        <v>0</v>
      </c>
      <c r="B1198" t="s">
        <v>196</v>
      </c>
      <c r="C1198" t="s">
        <v>455</v>
      </c>
      <c r="E1198" t="s">
        <v>1823</v>
      </c>
      <c r="F1198" t="s">
        <v>3373</v>
      </c>
      <c r="G1198" t="s">
        <v>7315</v>
      </c>
      <c r="H1198" t="s">
        <v>10465</v>
      </c>
      <c r="I1198" t="s">
        <v>11385</v>
      </c>
      <c r="J1198">
        <v>11213</v>
      </c>
      <c r="K1198" t="s">
        <v>11446</v>
      </c>
      <c r="L1198" t="s">
        <v>11847</v>
      </c>
      <c r="M1198" t="s">
        <v>14762</v>
      </c>
      <c r="N1198" t="s">
        <v>14783</v>
      </c>
      <c r="P1198" t="s">
        <v>14797</v>
      </c>
      <c r="Q1198" t="s">
        <v>11448</v>
      </c>
      <c r="S1198" t="s">
        <v>14827</v>
      </c>
      <c r="T1198" t="s">
        <v>14832</v>
      </c>
      <c r="U1198" t="s">
        <v>455</v>
      </c>
      <c r="V1198">
        <v>0</v>
      </c>
      <c r="W1198" t="s">
        <v>14859</v>
      </c>
      <c r="X1198" t="s">
        <v>14867</v>
      </c>
      <c r="Z1198" t="s">
        <v>16026</v>
      </c>
      <c r="AC1198">
        <v>35</v>
      </c>
      <c r="AD1198" t="s">
        <v>24595</v>
      </c>
      <c r="AF1198">
        <v>0</v>
      </c>
      <c r="AG1198">
        <v>3</v>
      </c>
      <c r="AH1198">
        <v>1</v>
      </c>
      <c r="AI1198">
        <v>24.23</v>
      </c>
      <c r="AL1198" t="s">
        <v>5011</v>
      </c>
      <c r="AM1198">
        <v>6240</v>
      </c>
      <c r="AS1198">
        <v>15.75</v>
      </c>
      <c r="AT1198" t="s">
        <v>515</v>
      </c>
      <c r="AU1198" t="s">
        <v>212</v>
      </c>
      <c r="AV1198" t="s">
        <v>25335</v>
      </c>
      <c r="AW1198" t="s">
        <v>11447</v>
      </c>
    </row>
    <row r="1199" spans="1:49">
      <c r="A1199" s="1">
        <f>HYPERLINK("https://lsnyc.legalserver.org/matter/dynamic-profile/view/1908034","19-1908034")</f>
        <v>0</v>
      </c>
      <c r="B1199" t="s">
        <v>223</v>
      </c>
      <c r="C1199" t="s">
        <v>455</v>
      </c>
      <c r="E1199" t="s">
        <v>1361</v>
      </c>
      <c r="F1199" t="s">
        <v>3662</v>
      </c>
      <c r="G1199" t="s">
        <v>7316</v>
      </c>
      <c r="H1199" t="s">
        <v>10594</v>
      </c>
      <c r="I1199" t="s">
        <v>11386</v>
      </c>
      <c r="J1199">
        <v>10034</v>
      </c>
      <c r="K1199" t="s">
        <v>11446</v>
      </c>
      <c r="L1199" t="s">
        <v>11848</v>
      </c>
      <c r="M1199" t="s">
        <v>14743</v>
      </c>
      <c r="N1199" t="s">
        <v>14782</v>
      </c>
      <c r="P1199" t="s">
        <v>14797</v>
      </c>
      <c r="Q1199" t="s">
        <v>11448</v>
      </c>
      <c r="S1199" t="s">
        <v>14827</v>
      </c>
      <c r="U1199" t="s">
        <v>455</v>
      </c>
      <c r="V1199">
        <v>1000</v>
      </c>
      <c r="W1199" t="s">
        <v>14860</v>
      </c>
      <c r="X1199" t="s">
        <v>14865</v>
      </c>
      <c r="Z1199" t="s">
        <v>16027</v>
      </c>
      <c r="AB1199" t="s">
        <v>21115</v>
      </c>
      <c r="AC1199">
        <v>70</v>
      </c>
      <c r="AD1199" t="s">
        <v>24595</v>
      </c>
      <c r="AE1199" t="s">
        <v>11459</v>
      </c>
      <c r="AF1199">
        <v>8</v>
      </c>
      <c r="AG1199">
        <v>5</v>
      </c>
      <c r="AH1199">
        <v>0</v>
      </c>
      <c r="AI1199">
        <v>199.93</v>
      </c>
      <c r="AL1199" t="s">
        <v>24632</v>
      </c>
      <c r="AM1199">
        <v>60320</v>
      </c>
      <c r="AS1199">
        <v>2</v>
      </c>
      <c r="AT1199" t="s">
        <v>641</v>
      </c>
      <c r="AU1199" t="s">
        <v>25276</v>
      </c>
      <c r="AV1199" t="s">
        <v>25335</v>
      </c>
      <c r="AW1199" t="s">
        <v>11447</v>
      </c>
    </row>
    <row r="1200" spans="1:49">
      <c r="A1200" s="1">
        <f>HYPERLINK("https://lsnyc.legalserver.org/matter/dynamic-profile/view/1908269","19-1908269")</f>
        <v>0</v>
      </c>
      <c r="B1200" t="s">
        <v>213</v>
      </c>
      <c r="C1200" t="s">
        <v>375</v>
      </c>
      <c r="E1200" t="s">
        <v>1236</v>
      </c>
      <c r="F1200" t="s">
        <v>4333</v>
      </c>
      <c r="G1200" t="s">
        <v>7317</v>
      </c>
      <c r="H1200">
        <v>5</v>
      </c>
      <c r="I1200" t="s">
        <v>11385</v>
      </c>
      <c r="J1200">
        <v>11233</v>
      </c>
      <c r="K1200" t="s">
        <v>11446</v>
      </c>
      <c r="L1200" t="s">
        <v>11465</v>
      </c>
      <c r="M1200" t="s">
        <v>14745</v>
      </c>
      <c r="N1200" t="s">
        <v>14779</v>
      </c>
      <c r="P1200" t="s">
        <v>14797</v>
      </c>
      <c r="Q1200" t="s">
        <v>11448</v>
      </c>
      <c r="S1200" t="s">
        <v>14827</v>
      </c>
      <c r="T1200" t="s">
        <v>14832</v>
      </c>
      <c r="U1200" t="s">
        <v>372</v>
      </c>
      <c r="V1200">
        <v>1550</v>
      </c>
      <c r="W1200" t="s">
        <v>14859</v>
      </c>
      <c r="Z1200" t="s">
        <v>16028</v>
      </c>
      <c r="AA1200" t="s">
        <v>19413</v>
      </c>
      <c r="AB1200" t="s">
        <v>21116</v>
      </c>
      <c r="AC1200">
        <v>12</v>
      </c>
      <c r="AD1200" t="s">
        <v>24595</v>
      </c>
      <c r="AE1200" t="s">
        <v>24611</v>
      </c>
      <c r="AF1200">
        <v>4</v>
      </c>
      <c r="AG1200">
        <v>1</v>
      </c>
      <c r="AH1200">
        <v>0</v>
      </c>
      <c r="AI1200">
        <v>31.22</v>
      </c>
      <c r="AL1200" t="s">
        <v>5011</v>
      </c>
      <c r="AM1200">
        <v>3900</v>
      </c>
      <c r="AS1200">
        <v>0</v>
      </c>
      <c r="AU1200" t="s">
        <v>66</v>
      </c>
      <c r="AV1200" t="s">
        <v>25335</v>
      </c>
      <c r="AW1200" t="s">
        <v>11447</v>
      </c>
    </row>
    <row r="1201" spans="1:49">
      <c r="A1201" s="1">
        <f>HYPERLINK("https://lsnyc.legalserver.org/matter/dynamic-profile/view/1910624","19-1910624")</f>
        <v>0</v>
      </c>
      <c r="B1201" t="s">
        <v>123</v>
      </c>
      <c r="C1201" t="s">
        <v>644</v>
      </c>
      <c r="E1201" t="s">
        <v>1824</v>
      </c>
      <c r="F1201" t="s">
        <v>4334</v>
      </c>
      <c r="G1201" t="s">
        <v>7293</v>
      </c>
      <c r="H1201" t="s">
        <v>10589</v>
      </c>
      <c r="I1201" t="s">
        <v>11385</v>
      </c>
      <c r="J1201">
        <v>11226</v>
      </c>
      <c r="K1201" t="s">
        <v>11446</v>
      </c>
      <c r="M1201" t="s">
        <v>14746</v>
      </c>
      <c r="N1201" t="s">
        <v>14781</v>
      </c>
      <c r="P1201" t="s">
        <v>14797</v>
      </c>
      <c r="Q1201" t="s">
        <v>11446</v>
      </c>
      <c r="S1201" t="s">
        <v>14827</v>
      </c>
      <c r="T1201" t="s">
        <v>14832</v>
      </c>
      <c r="U1201" t="s">
        <v>372</v>
      </c>
      <c r="V1201">
        <v>582.34</v>
      </c>
      <c r="W1201" t="s">
        <v>14859</v>
      </c>
      <c r="X1201" t="s">
        <v>14864</v>
      </c>
      <c r="Z1201" t="s">
        <v>16029</v>
      </c>
      <c r="AC1201">
        <v>16</v>
      </c>
      <c r="AD1201" t="s">
        <v>24595</v>
      </c>
      <c r="AF1201">
        <v>29</v>
      </c>
      <c r="AG1201">
        <v>2</v>
      </c>
      <c r="AH1201">
        <v>0</v>
      </c>
      <c r="AI1201">
        <v>74.51000000000001</v>
      </c>
      <c r="AL1201" t="s">
        <v>5011</v>
      </c>
      <c r="AM1201">
        <v>12600</v>
      </c>
      <c r="AS1201">
        <v>0.2</v>
      </c>
      <c r="AT1201" t="s">
        <v>644</v>
      </c>
      <c r="AU1201" t="s">
        <v>177</v>
      </c>
      <c r="AW1201" t="s">
        <v>11447</v>
      </c>
    </row>
    <row r="1202" spans="1:49">
      <c r="A1202" s="1">
        <f>HYPERLINK("https://lsnyc.legalserver.org/matter/dynamic-profile/view/1908072","19-1908072")</f>
        <v>0</v>
      </c>
      <c r="B1202" t="s">
        <v>214</v>
      </c>
      <c r="C1202" t="s">
        <v>455</v>
      </c>
      <c r="E1202" t="s">
        <v>1825</v>
      </c>
      <c r="F1202" t="s">
        <v>4335</v>
      </c>
      <c r="G1202" t="s">
        <v>7318</v>
      </c>
      <c r="H1202" t="s">
        <v>10506</v>
      </c>
      <c r="I1202" t="s">
        <v>11385</v>
      </c>
      <c r="J1202">
        <v>11233</v>
      </c>
      <c r="K1202" t="s">
        <v>11446</v>
      </c>
      <c r="L1202" t="s">
        <v>11849</v>
      </c>
      <c r="M1202" t="s">
        <v>14744</v>
      </c>
      <c r="N1202" t="s">
        <v>14781</v>
      </c>
      <c r="P1202" t="s">
        <v>14797</v>
      </c>
      <c r="Q1202" t="s">
        <v>11448</v>
      </c>
      <c r="S1202" t="s">
        <v>14827</v>
      </c>
      <c r="T1202" t="s">
        <v>14834</v>
      </c>
      <c r="U1202" t="s">
        <v>372</v>
      </c>
      <c r="V1202">
        <v>1132</v>
      </c>
      <c r="W1202" t="s">
        <v>14859</v>
      </c>
      <c r="Z1202" t="s">
        <v>16030</v>
      </c>
      <c r="AB1202" t="s">
        <v>21117</v>
      </c>
      <c r="AC1202">
        <v>6</v>
      </c>
      <c r="AD1202" t="s">
        <v>24595</v>
      </c>
      <c r="AF1202">
        <v>10</v>
      </c>
      <c r="AG1202">
        <v>1</v>
      </c>
      <c r="AH1202">
        <v>0</v>
      </c>
      <c r="AI1202">
        <v>175.53</v>
      </c>
      <c r="AL1202" t="s">
        <v>5011</v>
      </c>
      <c r="AM1202">
        <v>21924</v>
      </c>
      <c r="AS1202">
        <v>6.5</v>
      </c>
      <c r="AT1202" t="s">
        <v>505</v>
      </c>
      <c r="AU1202" t="s">
        <v>25227</v>
      </c>
      <c r="AV1202" t="s">
        <v>25335</v>
      </c>
      <c r="AW1202" t="s">
        <v>11447</v>
      </c>
    </row>
    <row r="1203" spans="1:49">
      <c r="A1203" s="1">
        <f>HYPERLINK("https://lsnyc.legalserver.org/matter/dynamic-profile/view/1908943","19-1908943")</f>
        <v>0</v>
      </c>
      <c r="B1203" t="s">
        <v>183</v>
      </c>
      <c r="C1203" t="s">
        <v>640</v>
      </c>
      <c r="E1203" t="s">
        <v>1826</v>
      </c>
      <c r="F1203" t="s">
        <v>4037</v>
      </c>
      <c r="G1203" t="s">
        <v>7319</v>
      </c>
      <c r="H1203">
        <v>2</v>
      </c>
      <c r="I1203" t="s">
        <v>11385</v>
      </c>
      <c r="J1203">
        <v>11207</v>
      </c>
      <c r="K1203" t="s">
        <v>11446</v>
      </c>
      <c r="L1203" t="s">
        <v>11840</v>
      </c>
      <c r="M1203" t="s">
        <v>14743</v>
      </c>
      <c r="N1203" t="s">
        <v>14781</v>
      </c>
      <c r="P1203" t="s">
        <v>14797</v>
      </c>
      <c r="Q1203" t="s">
        <v>11448</v>
      </c>
      <c r="S1203" t="s">
        <v>14827</v>
      </c>
      <c r="T1203" t="s">
        <v>14832</v>
      </c>
      <c r="U1203" t="s">
        <v>372</v>
      </c>
      <c r="V1203">
        <v>1000</v>
      </c>
      <c r="W1203" t="s">
        <v>14859</v>
      </c>
      <c r="X1203" t="s">
        <v>14867</v>
      </c>
      <c r="Z1203" t="s">
        <v>16031</v>
      </c>
      <c r="AA1203" t="s">
        <v>11459</v>
      </c>
      <c r="AC1203">
        <v>3</v>
      </c>
      <c r="AD1203" t="s">
        <v>24600</v>
      </c>
      <c r="AE1203" t="s">
        <v>11459</v>
      </c>
      <c r="AF1203">
        <v>2</v>
      </c>
      <c r="AG1203">
        <v>2</v>
      </c>
      <c r="AH1203">
        <v>0</v>
      </c>
      <c r="AI1203">
        <v>206.98</v>
      </c>
      <c r="AJ1203" t="s">
        <v>491</v>
      </c>
      <c r="AK1203" t="s">
        <v>24629</v>
      </c>
      <c r="AL1203" t="s">
        <v>5011</v>
      </c>
      <c r="AM1203">
        <v>35000</v>
      </c>
      <c r="AS1203">
        <v>0.5</v>
      </c>
      <c r="AT1203" t="s">
        <v>533</v>
      </c>
      <c r="AU1203" t="s">
        <v>120</v>
      </c>
      <c r="AV1203" t="s">
        <v>25335</v>
      </c>
      <c r="AW1203" t="s">
        <v>11447</v>
      </c>
    </row>
    <row r="1204" spans="1:49">
      <c r="A1204" s="1">
        <f>HYPERLINK("https://lsnyc.legalserver.org/matter/dynamic-profile/view/1908218","19-1908218")</f>
        <v>0</v>
      </c>
      <c r="B1204" t="s">
        <v>144</v>
      </c>
      <c r="C1204" t="s">
        <v>372</v>
      </c>
      <c r="E1204" t="s">
        <v>1550</v>
      </c>
      <c r="F1204" t="s">
        <v>4336</v>
      </c>
      <c r="G1204" t="s">
        <v>7306</v>
      </c>
      <c r="H1204" t="s">
        <v>10598</v>
      </c>
      <c r="I1204" t="s">
        <v>11409</v>
      </c>
      <c r="J1204">
        <v>11377</v>
      </c>
      <c r="K1204" t="s">
        <v>11446</v>
      </c>
      <c r="L1204" t="s">
        <v>11839</v>
      </c>
      <c r="M1204" t="s">
        <v>14762</v>
      </c>
      <c r="N1204" t="s">
        <v>14783</v>
      </c>
      <c r="P1204" t="s">
        <v>14797</v>
      </c>
      <c r="Q1204" t="s">
        <v>11446</v>
      </c>
      <c r="S1204" t="s">
        <v>14827</v>
      </c>
      <c r="T1204" t="s">
        <v>14832</v>
      </c>
      <c r="U1204" t="s">
        <v>372</v>
      </c>
      <c r="V1204">
        <v>1277.9</v>
      </c>
      <c r="W1204" t="s">
        <v>14861</v>
      </c>
      <c r="X1204" t="s">
        <v>14864</v>
      </c>
      <c r="Z1204" t="s">
        <v>16032</v>
      </c>
      <c r="AB1204" t="s">
        <v>21118</v>
      </c>
      <c r="AC1204">
        <v>67</v>
      </c>
      <c r="AD1204" t="s">
        <v>24595</v>
      </c>
      <c r="AE1204" t="s">
        <v>11459</v>
      </c>
      <c r="AF1204">
        <v>0</v>
      </c>
      <c r="AG1204">
        <v>4</v>
      </c>
      <c r="AH1204">
        <v>0</v>
      </c>
      <c r="AI1204">
        <v>411.65</v>
      </c>
      <c r="AL1204" t="s">
        <v>5011</v>
      </c>
      <c r="AM1204">
        <v>106000</v>
      </c>
      <c r="AP1204" t="s">
        <v>14755</v>
      </c>
      <c r="AS1204">
        <v>0.45</v>
      </c>
      <c r="AT1204" t="s">
        <v>589</v>
      </c>
      <c r="AU1204" t="s">
        <v>292</v>
      </c>
      <c r="AV1204" t="s">
        <v>25335</v>
      </c>
      <c r="AW1204" t="s">
        <v>11447</v>
      </c>
    </row>
    <row r="1205" spans="1:49">
      <c r="A1205" s="1">
        <f>HYPERLINK("https://lsnyc.legalserver.org/matter/dynamic-profile/view/1908250","19-1908250")</f>
        <v>0</v>
      </c>
      <c r="B1205" t="s">
        <v>59</v>
      </c>
      <c r="C1205" t="s">
        <v>375</v>
      </c>
      <c r="E1205" t="s">
        <v>1827</v>
      </c>
      <c r="F1205" t="s">
        <v>3579</v>
      </c>
      <c r="G1205" t="s">
        <v>7320</v>
      </c>
      <c r="H1205" t="s">
        <v>10464</v>
      </c>
      <c r="I1205" t="s">
        <v>11409</v>
      </c>
      <c r="J1205">
        <v>11377</v>
      </c>
      <c r="K1205" t="s">
        <v>11446</v>
      </c>
      <c r="L1205" t="s">
        <v>11850</v>
      </c>
      <c r="M1205" t="s">
        <v>14743</v>
      </c>
      <c r="N1205" t="s">
        <v>14781</v>
      </c>
      <c r="P1205" t="s">
        <v>14797</v>
      </c>
      <c r="Q1205" t="s">
        <v>11448</v>
      </c>
      <c r="S1205" t="s">
        <v>14827</v>
      </c>
      <c r="T1205" t="s">
        <v>14832</v>
      </c>
      <c r="U1205" t="s">
        <v>375</v>
      </c>
      <c r="V1205">
        <v>1850</v>
      </c>
      <c r="W1205" t="s">
        <v>14861</v>
      </c>
      <c r="X1205" t="s">
        <v>14865</v>
      </c>
      <c r="Z1205" t="s">
        <v>16033</v>
      </c>
      <c r="AB1205" t="s">
        <v>21119</v>
      </c>
      <c r="AC1205">
        <v>2</v>
      </c>
      <c r="AD1205" t="s">
        <v>24600</v>
      </c>
      <c r="AE1205" t="s">
        <v>11459</v>
      </c>
      <c r="AF1205">
        <v>-1</v>
      </c>
      <c r="AG1205">
        <v>1</v>
      </c>
      <c r="AH1205">
        <v>0</v>
      </c>
      <c r="AI1205">
        <v>43.23</v>
      </c>
      <c r="AL1205" t="s">
        <v>5011</v>
      </c>
      <c r="AM1205">
        <v>5400</v>
      </c>
      <c r="AP1205" t="s">
        <v>14755</v>
      </c>
      <c r="AS1205">
        <v>15.95</v>
      </c>
      <c r="AT1205" t="s">
        <v>509</v>
      </c>
      <c r="AU1205" t="s">
        <v>292</v>
      </c>
      <c r="AV1205" t="s">
        <v>25335</v>
      </c>
      <c r="AW1205" t="s">
        <v>11447</v>
      </c>
    </row>
    <row r="1206" spans="1:49">
      <c r="A1206" s="1">
        <f>HYPERLINK("https://lsnyc.legalserver.org/matter/dynamic-profile/view/1907558","19-1907558")</f>
        <v>0</v>
      </c>
      <c r="B1206" t="s">
        <v>164</v>
      </c>
      <c r="C1206" t="s">
        <v>375</v>
      </c>
      <c r="E1206" t="s">
        <v>1828</v>
      </c>
      <c r="F1206" t="s">
        <v>4337</v>
      </c>
      <c r="G1206" t="s">
        <v>7321</v>
      </c>
      <c r="H1206" t="s">
        <v>10801</v>
      </c>
      <c r="I1206" t="s">
        <v>11426</v>
      </c>
      <c r="J1206">
        <v>10301</v>
      </c>
      <c r="K1206" t="s">
        <v>11446</v>
      </c>
      <c r="L1206" t="s">
        <v>11851</v>
      </c>
      <c r="M1206" t="s">
        <v>14744</v>
      </c>
      <c r="N1206" t="s">
        <v>14781</v>
      </c>
      <c r="P1206" t="s">
        <v>14797</v>
      </c>
      <c r="Q1206" t="s">
        <v>11448</v>
      </c>
      <c r="S1206" t="s">
        <v>14827</v>
      </c>
      <c r="T1206" t="s">
        <v>14832</v>
      </c>
      <c r="U1206" t="s">
        <v>375</v>
      </c>
      <c r="V1206">
        <v>1599</v>
      </c>
      <c r="W1206" t="s">
        <v>14862</v>
      </c>
      <c r="X1206" t="s">
        <v>14880</v>
      </c>
      <c r="Z1206" t="s">
        <v>16034</v>
      </c>
      <c r="AB1206" t="s">
        <v>21120</v>
      </c>
      <c r="AC1206">
        <v>224</v>
      </c>
      <c r="AD1206" t="s">
        <v>24595</v>
      </c>
      <c r="AE1206" t="s">
        <v>11459</v>
      </c>
      <c r="AF1206">
        <v>1</v>
      </c>
      <c r="AG1206">
        <v>2</v>
      </c>
      <c r="AH1206">
        <v>0</v>
      </c>
      <c r="AI1206">
        <v>125.25</v>
      </c>
      <c r="AL1206" t="s">
        <v>5011</v>
      </c>
      <c r="AM1206">
        <v>21180</v>
      </c>
      <c r="AS1206">
        <v>11.2</v>
      </c>
      <c r="AT1206" t="s">
        <v>495</v>
      </c>
      <c r="AU1206" t="s">
        <v>25270</v>
      </c>
      <c r="AV1206" t="s">
        <v>25335</v>
      </c>
      <c r="AW1206" t="s">
        <v>11447</v>
      </c>
    </row>
    <row r="1207" spans="1:49">
      <c r="A1207" s="1">
        <f>HYPERLINK("https://lsnyc.legalserver.org/matter/dynamic-profile/view/1908444","19-1908444")</f>
        <v>0</v>
      </c>
      <c r="B1207" t="s">
        <v>187</v>
      </c>
      <c r="C1207" t="s">
        <v>464</v>
      </c>
      <c r="E1207" t="s">
        <v>1070</v>
      </c>
      <c r="F1207" t="s">
        <v>4338</v>
      </c>
      <c r="G1207" t="s">
        <v>7322</v>
      </c>
      <c r="H1207">
        <v>201</v>
      </c>
      <c r="I1207" t="s">
        <v>11386</v>
      </c>
      <c r="J1207">
        <v>10025</v>
      </c>
      <c r="K1207" t="s">
        <v>11446</v>
      </c>
      <c r="L1207" t="s">
        <v>11465</v>
      </c>
      <c r="M1207" t="s">
        <v>14745</v>
      </c>
      <c r="N1207" t="s">
        <v>14780</v>
      </c>
      <c r="P1207" t="s">
        <v>14797</v>
      </c>
      <c r="Q1207" t="s">
        <v>11448</v>
      </c>
      <c r="S1207" t="s">
        <v>14827</v>
      </c>
      <c r="T1207" t="s">
        <v>14832</v>
      </c>
      <c r="U1207" t="s">
        <v>464</v>
      </c>
      <c r="V1207">
        <v>900</v>
      </c>
      <c r="W1207" t="s">
        <v>14859</v>
      </c>
      <c r="X1207" t="s">
        <v>14868</v>
      </c>
      <c r="Z1207" t="s">
        <v>16035</v>
      </c>
      <c r="AA1207">
        <v>10154731</v>
      </c>
      <c r="AB1207" t="s">
        <v>21121</v>
      </c>
      <c r="AC1207">
        <v>10</v>
      </c>
      <c r="AD1207" t="s">
        <v>24595</v>
      </c>
      <c r="AE1207" t="s">
        <v>24616</v>
      </c>
      <c r="AF1207">
        <v>0</v>
      </c>
      <c r="AG1207">
        <v>2</v>
      </c>
      <c r="AH1207">
        <v>0</v>
      </c>
      <c r="AI1207">
        <v>61.5</v>
      </c>
      <c r="AL1207" t="s">
        <v>5011</v>
      </c>
      <c r="AM1207">
        <v>10400</v>
      </c>
      <c r="AN1207" t="s">
        <v>24760</v>
      </c>
      <c r="AS1207">
        <v>16.5</v>
      </c>
      <c r="AT1207" t="s">
        <v>506</v>
      </c>
      <c r="AU1207" t="s">
        <v>66</v>
      </c>
      <c r="AV1207" t="s">
        <v>25334</v>
      </c>
      <c r="AW1207" t="s">
        <v>11447</v>
      </c>
    </row>
    <row r="1208" spans="1:49">
      <c r="A1208" s="1">
        <f>HYPERLINK("https://lsnyc.legalserver.org/matter/dynamic-profile/view/1908375","19-1908375")</f>
        <v>0</v>
      </c>
      <c r="B1208" t="s">
        <v>144</v>
      </c>
      <c r="C1208" t="s">
        <v>464</v>
      </c>
      <c r="E1208" t="s">
        <v>1829</v>
      </c>
      <c r="F1208" t="s">
        <v>3685</v>
      </c>
      <c r="G1208" t="s">
        <v>7306</v>
      </c>
      <c r="H1208" t="s">
        <v>10585</v>
      </c>
      <c r="I1208" t="s">
        <v>11409</v>
      </c>
      <c r="J1208">
        <v>11377</v>
      </c>
      <c r="K1208" t="s">
        <v>11446</v>
      </c>
      <c r="L1208" t="s">
        <v>11839</v>
      </c>
      <c r="M1208" t="s">
        <v>14762</v>
      </c>
      <c r="N1208" t="s">
        <v>14783</v>
      </c>
      <c r="P1208" t="s">
        <v>14797</v>
      </c>
      <c r="Q1208" t="s">
        <v>11446</v>
      </c>
      <c r="S1208" t="s">
        <v>14827</v>
      </c>
      <c r="T1208" t="s">
        <v>14832</v>
      </c>
      <c r="U1208" t="s">
        <v>464</v>
      </c>
      <c r="V1208">
        <v>1382</v>
      </c>
      <c r="W1208" t="s">
        <v>14861</v>
      </c>
      <c r="X1208" t="s">
        <v>14865</v>
      </c>
      <c r="Z1208" t="s">
        <v>16036</v>
      </c>
      <c r="AB1208" t="s">
        <v>21122</v>
      </c>
      <c r="AC1208">
        <v>67</v>
      </c>
      <c r="AD1208" t="s">
        <v>24595</v>
      </c>
      <c r="AE1208" t="s">
        <v>11459</v>
      </c>
      <c r="AF1208">
        <v>19</v>
      </c>
      <c r="AG1208">
        <v>2</v>
      </c>
      <c r="AH1208">
        <v>0</v>
      </c>
      <c r="AI1208">
        <v>82.79000000000001</v>
      </c>
      <c r="AL1208" t="s">
        <v>24632</v>
      </c>
      <c r="AM1208">
        <v>14000</v>
      </c>
      <c r="AP1208" t="s">
        <v>14755</v>
      </c>
      <c r="AS1208">
        <v>0.4</v>
      </c>
      <c r="AT1208" t="s">
        <v>464</v>
      </c>
      <c r="AU1208" t="s">
        <v>292</v>
      </c>
      <c r="AV1208" t="s">
        <v>25335</v>
      </c>
      <c r="AW1208" t="s">
        <v>11447</v>
      </c>
    </row>
    <row r="1209" spans="1:49">
      <c r="A1209" s="1">
        <f>HYPERLINK("https://lsnyc.legalserver.org/matter/dynamic-profile/view/1908397","19-1908397")</f>
        <v>0</v>
      </c>
      <c r="B1209" t="s">
        <v>108</v>
      </c>
      <c r="C1209" t="s">
        <v>464</v>
      </c>
      <c r="E1209" t="s">
        <v>1224</v>
      </c>
      <c r="F1209" t="s">
        <v>3898</v>
      </c>
      <c r="G1209" t="s">
        <v>7323</v>
      </c>
      <c r="H1209" t="s">
        <v>10465</v>
      </c>
      <c r="I1209" t="s">
        <v>11385</v>
      </c>
      <c r="J1209">
        <v>11217</v>
      </c>
      <c r="K1209" t="s">
        <v>11446</v>
      </c>
      <c r="N1209" t="s">
        <v>14780</v>
      </c>
      <c r="P1209" t="s">
        <v>14797</v>
      </c>
      <c r="S1209" t="s">
        <v>14827</v>
      </c>
      <c r="U1209" t="s">
        <v>464</v>
      </c>
      <c r="V1209">
        <v>0</v>
      </c>
      <c r="W1209" t="s">
        <v>14859</v>
      </c>
      <c r="Z1209" t="s">
        <v>16037</v>
      </c>
      <c r="AB1209" t="s">
        <v>21123</v>
      </c>
      <c r="AC1209">
        <v>8</v>
      </c>
      <c r="AF1209">
        <v>0</v>
      </c>
      <c r="AG1209">
        <v>1</v>
      </c>
      <c r="AH1209">
        <v>0</v>
      </c>
      <c r="AI1209">
        <v>114.49</v>
      </c>
      <c r="AL1209" t="s">
        <v>5011</v>
      </c>
      <c r="AM1209">
        <v>14300</v>
      </c>
      <c r="AS1209">
        <v>11.4</v>
      </c>
      <c r="AT1209" t="s">
        <v>645</v>
      </c>
      <c r="AU1209" t="s">
        <v>177</v>
      </c>
      <c r="AW1209" t="s">
        <v>11447</v>
      </c>
    </row>
    <row r="1210" spans="1:49">
      <c r="A1210" s="1">
        <f>HYPERLINK("https://lsnyc.legalserver.org/matter/dynamic-profile/view/1908351","19-1908351")</f>
        <v>0</v>
      </c>
      <c r="B1210" t="s">
        <v>144</v>
      </c>
      <c r="C1210" t="s">
        <v>464</v>
      </c>
      <c r="E1210" t="s">
        <v>1830</v>
      </c>
      <c r="F1210" t="s">
        <v>4339</v>
      </c>
      <c r="G1210" t="s">
        <v>7306</v>
      </c>
      <c r="H1210" t="s">
        <v>10465</v>
      </c>
      <c r="I1210" t="s">
        <v>11409</v>
      </c>
      <c r="J1210">
        <v>11377</v>
      </c>
      <c r="K1210" t="s">
        <v>11446</v>
      </c>
      <c r="L1210" t="s">
        <v>11839</v>
      </c>
      <c r="M1210" t="s">
        <v>14762</v>
      </c>
      <c r="N1210" t="s">
        <v>14783</v>
      </c>
      <c r="P1210" t="s">
        <v>14797</v>
      </c>
      <c r="Q1210" t="s">
        <v>11446</v>
      </c>
      <c r="S1210" t="s">
        <v>14827</v>
      </c>
      <c r="T1210" t="s">
        <v>14832</v>
      </c>
      <c r="U1210" t="s">
        <v>464</v>
      </c>
      <c r="V1210">
        <v>1624.22</v>
      </c>
      <c r="W1210" t="s">
        <v>14861</v>
      </c>
      <c r="X1210" t="s">
        <v>14864</v>
      </c>
      <c r="Z1210" t="s">
        <v>16038</v>
      </c>
      <c r="AB1210" t="s">
        <v>21124</v>
      </c>
      <c r="AC1210">
        <v>67</v>
      </c>
      <c r="AD1210" t="s">
        <v>24595</v>
      </c>
      <c r="AE1210" t="s">
        <v>11459</v>
      </c>
      <c r="AF1210">
        <v>0</v>
      </c>
      <c r="AG1210">
        <v>4</v>
      </c>
      <c r="AH1210">
        <v>1</v>
      </c>
      <c r="AI1210">
        <v>119.32</v>
      </c>
      <c r="AL1210" t="s">
        <v>5011</v>
      </c>
      <c r="AM1210">
        <v>36000</v>
      </c>
      <c r="AP1210" t="s">
        <v>14755</v>
      </c>
      <c r="AS1210">
        <v>0.45</v>
      </c>
      <c r="AT1210" t="s">
        <v>589</v>
      </c>
      <c r="AU1210" t="s">
        <v>292</v>
      </c>
      <c r="AV1210" t="s">
        <v>25335</v>
      </c>
      <c r="AW1210" t="s">
        <v>11447</v>
      </c>
    </row>
    <row r="1211" spans="1:49">
      <c r="A1211" s="1">
        <f>HYPERLINK("https://lsnyc.legalserver.org/matter/dynamic-profile/view/1908391","19-1908391")</f>
        <v>0</v>
      </c>
      <c r="B1211" t="s">
        <v>108</v>
      </c>
      <c r="C1211" t="s">
        <v>464</v>
      </c>
      <c r="E1211" t="s">
        <v>1831</v>
      </c>
      <c r="F1211" t="s">
        <v>4340</v>
      </c>
      <c r="G1211" t="s">
        <v>7274</v>
      </c>
      <c r="H1211" t="s">
        <v>10802</v>
      </c>
      <c r="I1211" t="s">
        <v>11385</v>
      </c>
      <c r="J1211">
        <v>11219</v>
      </c>
      <c r="K1211" t="s">
        <v>11446</v>
      </c>
      <c r="M1211" t="s">
        <v>14745</v>
      </c>
      <c r="N1211" t="s">
        <v>14780</v>
      </c>
      <c r="P1211" t="s">
        <v>14797</v>
      </c>
      <c r="Q1211" t="s">
        <v>11446</v>
      </c>
      <c r="S1211" t="s">
        <v>14827</v>
      </c>
      <c r="U1211" t="s">
        <v>464</v>
      </c>
      <c r="V1211">
        <v>0</v>
      </c>
      <c r="W1211" t="s">
        <v>14859</v>
      </c>
      <c r="Z1211" t="s">
        <v>16039</v>
      </c>
      <c r="AB1211" t="s">
        <v>21125</v>
      </c>
      <c r="AC1211">
        <v>20</v>
      </c>
      <c r="AF1211">
        <v>0</v>
      </c>
      <c r="AG1211">
        <v>3</v>
      </c>
      <c r="AH1211">
        <v>0</v>
      </c>
      <c r="AI1211">
        <v>234.6</v>
      </c>
      <c r="AL1211" t="s">
        <v>24645</v>
      </c>
      <c r="AM1211">
        <v>50040</v>
      </c>
      <c r="AS1211">
        <v>10.4</v>
      </c>
      <c r="AT1211" t="s">
        <v>464</v>
      </c>
      <c r="AU1211" t="s">
        <v>177</v>
      </c>
      <c r="AW1211" t="s">
        <v>11447</v>
      </c>
    </row>
    <row r="1212" spans="1:49">
      <c r="A1212" s="1">
        <f>HYPERLINK("https://lsnyc.legalserver.org/matter/dynamic-profile/view/1908363","19-1908363")</f>
        <v>0</v>
      </c>
      <c r="B1212" t="s">
        <v>144</v>
      </c>
      <c r="C1212" t="s">
        <v>464</v>
      </c>
      <c r="E1212" t="s">
        <v>1832</v>
      </c>
      <c r="F1212" t="s">
        <v>3737</v>
      </c>
      <c r="G1212" t="s">
        <v>7306</v>
      </c>
      <c r="H1212" t="s">
        <v>10450</v>
      </c>
      <c r="I1212" t="s">
        <v>11409</v>
      </c>
      <c r="J1212">
        <v>11377</v>
      </c>
      <c r="K1212" t="s">
        <v>11446</v>
      </c>
      <c r="L1212" t="s">
        <v>11839</v>
      </c>
      <c r="M1212" t="s">
        <v>14762</v>
      </c>
      <c r="N1212" t="s">
        <v>14783</v>
      </c>
      <c r="P1212" t="s">
        <v>14797</v>
      </c>
      <c r="Q1212" t="s">
        <v>11446</v>
      </c>
      <c r="S1212" t="s">
        <v>14827</v>
      </c>
      <c r="T1212" t="s">
        <v>14832</v>
      </c>
      <c r="U1212" t="s">
        <v>464</v>
      </c>
      <c r="V1212">
        <v>1854</v>
      </c>
      <c r="W1212" t="s">
        <v>14861</v>
      </c>
      <c r="X1212" t="s">
        <v>14864</v>
      </c>
      <c r="Z1212" t="s">
        <v>16040</v>
      </c>
      <c r="AB1212" t="s">
        <v>21126</v>
      </c>
      <c r="AC1212">
        <v>67</v>
      </c>
      <c r="AD1212" t="s">
        <v>24595</v>
      </c>
      <c r="AE1212" t="s">
        <v>11459</v>
      </c>
      <c r="AF1212">
        <v>26</v>
      </c>
      <c r="AG1212">
        <v>1</v>
      </c>
      <c r="AH1212">
        <v>0</v>
      </c>
      <c r="AI1212">
        <v>480.38</v>
      </c>
      <c r="AL1212" t="s">
        <v>24632</v>
      </c>
      <c r="AM1212">
        <v>60000</v>
      </c>
      <c r="AP1212" t="s">
        <v>14755</v>
      </c>
      <c r="AS1212">
        <v>0.4</v>
      </c>
      <c r="AT1212" t="s">
        <v>464</v>
      </c>
      <c r="AU1212" t="s">
        <v>292</v>
      </c>
      <c r="AV1212" t="s">
        <v>25335</v>
      </c>
      <c r="AW1212" t="s">
        <v>11447</v>
      </c>
    </row>
    <row r="1213" spans="1:49">
      <c r="A1213" s="1">
        <f>HYPERLINK("https://lsnyc.legalserver.org/matter/dynamic-profile/view/1908379","19-1908379")</f>
        <v>0</v>
      </c>
      <c r="B1213" t="s">
        <v>76</v>
      </c>
      <c r="C1213" t="s">
        <v>464</v>
      </c>
      <c r="E1213" t="s">
        <v>1025</v>
      </c>
      <c r="F1213" t="s">
        <v>4341</v>
      </c>
      <c r="G1213" t="s">
        <v>7152</v>
      </c>
      <c r="H1213" t="s">
        <v>10803</v>
      </c>
      <c r="I1213" t="s">
        <v>11385</v>
      </c>
      <c r="J1213">
        <v>11233</v>
      </c>
      <c r="K1213" t="s">
        <v>11446</v>
      </c>
      <c r="L1213" t="s">
        <v>11852</v>
      </c>
      <c r="M1213" t="s">
        <v>14743</v>
      </c>
      <c r="N1213" t="s">
        <v>14781</v>
      </c>
      <c r="P1213" t="s">
        <v>14797</v>
      </c>
      <c r="Q1213" t="s">
        <v>11446</v>
      </c>
      <c r="S1213" t="s">
        <v>14827</v>
      </c>
      <c r="T1213" t="s">
        <v>14832</v>
      </c>
      <c r="U1213" t="s">
        <v>464</v>
      </c>
      <c r="V1213">
        <v>890</v>
      </c>
      <c r="W1213" t="s">
        <v>14859</v>
      </c>
      <c r="X1213" t="s">
        <v>14873</v>
      </c>
      <c r="Z1213" t="s">
        <v>16041</v>
      </c>
      <c r="AA1213" t="s">
        <v>11459</v>
      </c>
      <c r="AB1213" t="s">
        <v>21127</v>
      </c>
      <c r="AC1213">
        <v>359</v>
      </c>
      <c r="AD1213" t="s">
        <v>24595</v>
      </c>
      <c r="AE1213" t="s">
        <v>11459</v>
      </c>
      <c r="AF1213">
        <v>9</v>
      </c>
      <c r="AG1213">
        <v>1</v>
      </c>
      <c r="AH1213">
        <v>0</v>
      </c>
      <c r="AI1213">
        <v>504.4</v>
      </c>
      <c r="AL1213" t="s">
        <v>5011</v>
      </c>
      <c r="AM1213">
        <v>63000</v>
      </c>
      <c r="AN1213" t="s">
        <v>24761</v>
      </c>
      <c r="AS1213">
        <v>14.7</v>
      </c>
      <c r="AT1213" t="s">
        <v>509</v>
      </c>
      <c r="AU1213" t="s">
        <v>66</v>
      </c>
      <c r="AV1213" t="s">
        <v>25335</v>
      </c>
      <c r="AW1213" t="s">
        <v>11447</v>
      </c>
    </row>
    <row r="1214" spans="1:49">
      <c r="A1214" s="1">
        <f>HYPERLINK("https://lsnyc.legalserver.org/matter/dynamic-profile/view/1911764","19-1911764")</f>
        <v>0</v>
      </c>
      <c r="B1214" t="s">
        <v>107</v>
      </c>
      <c r="C1214" t="s">
        <v>505</v>
      </c>
      <c r="E1214" t="s">
        <v>1462</v>
      </c>
      <c r="F1214" t="s">
        <v>4342</v>
      </c>
      <c r="G1214" t="s">
        <v>7324</v>
      </c>
      <c r="H1214" t="s">
        <v>10804</v>
      </c>
      <c r="I1214" t="s">
        <v>11385</v>
      </c>
      <c r="J1214">
        <v>11233</v>
      </c>
      <c r="K1214" t="s">
        <v>11446</v>
      </c>
      <c r="L1214" t="s">
        <v>11456</v>
      </c>
      <c r="M1214" t="s">
        <v>11601</v>
      </c>
      <c r="N1214" t="s">
        <v>14779</v>
      </c>
      <c r="P1214" t="s">
        <v>14797</v>
      </c>
      <c r="Q1214" t="s">
        <v>11446</v>
      </c>
      <c r="S1214" t="s">
        <v>14827</v>
      </c>
      <c r="T1214" t="s">
        <v>14832</v>
      </c>
      <c r="U1214" t="s">
        <v>466</v>
      </c>
      <c r="V1214">
        <v>1930</v>
      </c>
      <c r="W1214" t="s">
        <v>14859</v>
      </c>
      <c r="X1214" t="s">
        <v>14868</v>
      </c>
      <c r="Z1214" t="s">
        <v>16042</v>
      </c>
      <c r="AA1214" t="s">
        <v>11465</v>
      </c>
      <c r="AB1214" t="s">
        <v>21128</v>
      </c>
      <c r="AC1214">
        <v>359</v>
      </c>
      <c r="AD1214" t="s">
        <v>24595</v>
      </c>
      <c r="AE1214" t="s">
        <v>11459</v>
      </c>
      <c r="AF1214">
        <v>1</v>
      </c>
      <c r="AG1214">
        <v>1</v>
      </c>
      <c r="AH1214">
        <v>1</v>
      </c>
      <c r="AI1214">
        <v>0</v>
      </c>
      <c r="AL1214" t="s">
        <v>5011</v>
      </c>
      <c r="AM1214">
        <v>0</v>
      </c>
      <c r="AS1214">
        <v>0</v>
      </c>
      <c r="AU1214" t="s">
        <v>66</v>
      </c>
      <c r="AV1214" t="s">
        <v>11459</v>
      </c>
      <c r="AW1214" t="s">
        <v>11447</v>
      </c>
    </row>
    <row r="1215" spans="1:49">
      <c r="A1215" s="1">
        <f>HYPERLINK("https://lsnyc.legalserver.org/matter/dynamic-profile/view/1908818","19-1908818")</f>
        <v>0</v>
      </c>
      <c r="B1215" t="s">
        <v>228</v>
      </c>
      <c r="C1215" t="s">
        <v>585</v>
      </c>
      <c r="E1215" t="s">
        <v>1409</v>
      </c>
      <c r="F1215" t="s">
        <v>4343</v>
      </c>
      <c r="G1215" t="s">
        <v>7325</v>
      </c>
      <c r="H1215" t="s">
        <v>10805</v>
      </c>
      <c r="I1215" t="s">
        <v>11385</v>
      </c>
      <c r="J1215">
        <v>11207</v>
      </c>
      <c r="K1215" t="s">
        <v>11446</v>
      </c>
      <c r="L1215" t="s">
        <v>11853</v>
      </c>
      <c r="M1215" t="s">
        <v>14743</v>
      </c>
      <c r="N1215" t="s">
        <v>14778</v>
      </c>
      <c r="P1215" t="s">
        <v>14797</v>
      </c>
      <c r="Q1215" t="s">
        <v>11448</v>
      </c>
      <c r="S1215" t="s">
        <v>14827</v>
      </c>
      <c r="U1215" t="s">
        <v>466</v>
      </c>
      <c r="V1215">
        <v>800</v>
      </c>
      <c r="W1215" t="s">
        <v>14859</v>
      </c>
      <c r="X1215" t="s">
        <v>14865</v>
      </c>
      <c r="Z1215" t="s">
        <v>16043</v>
      </c>
      <c r="AB1215" t="s">
        <v>21129</v>
      </c>
      <c r="AC1215">
        <v>0</v>
      </c>
      <c r="AF1215">
        <v>0</v>
      </c>
      <c r="AG1215">
        <v>1</v>
      </c>
      <c r="AH1215">
        <v>0</v>
      </c>
      <c r="AI1215">
        <v>17.58</v>
      </c>
      <c r="AL1215" t="s">
        <v>5011</v>
      </c>
      <c r="AM1215">
        <v>2196</v>
      </c>
      <c r="AS1215">
        <v>0</v>
      </c>
      <c r="AU1215" t="s">
        <v>25275</v>
      </c>
      <c r="AV1215" t="s">
        <v>25335</v>
      </c>
      <c r="AW1215" t="s">
        <v>11447</v>
      </c>
    </row>
    <row r="1216" spans="1:49">
      <c r="A1216" s="1">
        <f>HYPERLINK("https://lsnyc.legalserver.org/matter/dynamic-profile/view/1908571","19-1908571")</f>
        <v>0</v>
      </c>
      <c r="B1216" t="s">
        <v>103</v>
      </c>
      <c r="C1216" t="s">
        <v>466</v>
      </c>
      <c r="E1216" t="s">
        <v>1134</v>
      </c>
      <c r="F1216" t="s">
        <v>4344</v>
      </c>
      <c r="G1216" t="s">
        <v>7326</v>
      </c>
      <c r="H1216" t="s">
        <v>10806</v>
      </c>
      <c r="I1216" t="s">
        <v>11385</v>
      </c>
      <c r="J1216">
        <v>11208</v>
      </c>
      <c r="K1216" t="s">
        <v>11446</v>
      </c>
      <c r="L1216" t="s">
        <v>11854</v>
      </c>
      <c r="M1216" t="s">
        <v>14743</v>
      </c>
      <c r="N1216" t="s">
        <v>14778</v>
      </c>
      <c r="P1216" t="s">
        <v>14797</v>
      </c>
      <c r="S1216" t="s">
        <v>14827</v>
      </c>
      <c r="U1216" t="s">
        <v>466</v>
      </c>
      <c r="V1216">
        <v>2199.98</v>
      </c>
      <c r="W1216" t="s">
        <v>14859</v>
      </c>
      <c r="X1216" t="s">
        <v>14865</v>
      </c>
      <c r="Z1216" t="s">
        <v>16044</v>
      </c>
      <c r="AA1216" t="s">
        <v>19419</v>
      </c>
      <c r="AB1216" t="s">
        <v>21130</v>
      </c>
      <c r="AC1216">
        <v>4</v>
      </c>
      <c r="AF1216">
        <v>0</v>
      </c>
      <c r="AG1216">
        <v>1</v>
      </c>
      <c r="AH1216">
        <v>3</v>
      </c>
      <c r="AI1216">
        <v>68.66</v>
      </c>
      <c r="AL1216" t="s">
        <v>5011</v>
      </c>
      <c r="AM1216">
        <v>17680</v>
      </c>
      <c r="AS1216">
        <v>1.25</v>
      </c>
      <c r="AT1216" t="s">
        <v>466</v>
      </c>
      <c r="AU1216" t="s">
        <v>25275</v>
      </c>
      <c r="AV1216" t="s">
        <v>25335</v>
      </c>
      <c r="AW1216" t="s">
        <v>11447</v>
      </c>
    </row>
    <row r="1217" spans="1:49">
      <c r="A1217" s="1">
        <f>HYPERLINK("https://lsnyc.legalserver.org/matter/dynamic-profile/view/1908544","19-1908544")</f>
        <v>0</v>
      </c>
      <c r="B1217" t="s">
        <v>172</v>
      </c>
      <c r="C1217" t="s">
        <v>466</v>
      </c>
      <c r="E1217" t="s">
        <v>1321</v>
      </c>
      <c r="F1217" t="s">
        <v>4345</v>
      </c>
      <c r="G1217" t="s">
        <v>7327</v>
      </c>
      <c r="H1217" t="s">
        <v>10541</v>
      </c>
      <c r="I1217" t="s">
        <v>11386</v>
      </c>
      <c r="J1217">
        <v>10027</v>
      </c>
      <c r="K1217" t="s">
        <v>11446</v>
      </c>
      <c r="M1217" t="s">
        <v>11601</v>
      </c>
      <c r="N1217" t="s">
        <v>14778</v>
      </c>
      <c r="P1217" t="s">
        <v>14797</v>
      </c>
      <c r="Q1217" t="s">
        <v>11448</v>
      </c>
      <c r="S1217" t="s">
        <v>14827</v>
      </c>
      <c r="U1217" t="s">
        <v>466</v>
      </c>
      <c r="V1217">
        <v>433.33</v>
      </c>
      <c r="W1217" t="s">
        <v>14860</v>
      </c>
      <c r="X1217" t="s">
        <v>14864</v>
      </c>
      <c r="Z1217" t="s">
        <v>16045</v>
      </c>
      <c r="AB1217" t="s">
        <v>21131</v>
      </c>
      <c r="AC1217">
        <v>23</v>
      </c>
      <c r="AD1217" t="s">
        <v>24595</v>
      </c>
      <c r="AE1217" t="s">
        <v>11459</v>
      </c>
      <c r="AF1217">
        <v>0</v>
      </c>
      <c r="AG1217">
        <v>1</v>
      </c>
      <c r="AH1217">
        <v>0</v>
      </c>
      <c r="AI1217">
        <v>113.07</v>
      </c>
      <c r="AM1217">
        <v>14122.8</v>
      </c>
      <c r="AS1217">
        <v>5.5</v>
      </c>
      <c r="AT1217" t="s">
        <v>476</v>
      </c>
      <c r="AU1217" t="s">
        <v>25276</v>
      </c>
      <c r="AV1217" t="s">
        <v>25335</v>
      </c>
      <c r="AW1217" t="s">
        <v>11447</v>
      </c>
    </row>
    <row r="1218" spans="1:49">
      <c r="A1218" s="1">
        <f>HYPERLINK("https://lsnyc.legalserver.org/matter/dynamic-profile/view/1908797","19-1908797")</f>
        <v>0</v>
      </c>
      <c r="B1218" t="s">
        <v>228</v>
      </c>
      <c r="C1218" t="s">
        <v>585</v>
      </c>
      <c r="E1218" t="s">
        <v>1048</v>
      </c>
      <c r="F1218" t="s">
        <v>4346</v>
      </c>
      <c r="G1218" t="s">
        <v>7328</v>
      </c>
      <c r="H1218" t="s">
        <v>10464</v>
      </c>
      <c r="I1218" t="s">
        <v>11385</v>
      </c>
      <c r="J1218">
        <v>11208</v>
      </c>
      <c r="K1218" t="s">
        <v>11446</v>
      </c>
      <c r="L1218" t="s">
        <v>11855</v>
      </c>
      <c r="M1218" t="s">
        <v>14743</v>
      </c>
      <c r="N1218" t="s">
        <v>14778</v>
      </c>
      <c r="P1218" t="s">
        <v>14797</v>
      </c>
      <c r="Q1218" t="s">
        <v>11448</v>
      </c>
      <c r="S1218" t="s">
        <v>14827</v>
      </c>
      <c r="U1218" t="s">
        <v>466</v>
      </c>
      <c r="V1218">
        <v>0</v>
      </c>
      <c r="W1218" t="s">
        <v>14859</v>
      </c>
      <c r="X1218" t="s">
        <v>14865</v>
      </c>
      <c r="Z1218" t="s">
        <v>16046</v>
      </c>
      <c r="AA1218" t="s">
        <v>19420</v>
      </c>
      <c r="AB1218" t="s">
        <v>21132</v>
      </c>
      <c r="AC1218">
        <v>0</v>
      </c>
      <c r="AF1218">
        <v>0</v>
      </c>
      <c r="AG1218">
        <v>1</v>
      </c>
      <c r="AH1218">
        <v>0</v>
      </c>
      <c r="AI1218">
        <v>120.77</v>
      </c>
      <c r="AL1218" t="s">
        <v>5011</v>
      </c>
      <c r="AM1218">
        <v>15084</v>
      </c>
      <c r="AS1218">
        <v>0</v>
      </c>
      <c r="AU1218" t="s">
        <v>25275</v>
      </c>
      <c r="AV1218" t="s">
        <v>25335</v>
      </c>
      <c r="AW1218" t="s">
        <v>11447</v>
      </c>
    </row>
    <row r="1219" spans="1:49">
      <c r="A1219" s="1">
        <f>HYPERLINK("https://lsnyc.legalserver.org/matter/dynamic-profile/view/1908507","19-1908507")</f>
        <v>0</v>
      </c>
      <c r="B1219" t="s">
        <v>144</v>
      </c>
      <c r="C1219" t="s">
        <v>466</v>
      </c>
      <c r="E1219" t="s">
        <v>1833</v>
      </c>
      <c r="F1219" t="s">
        <v>4347</v>
      </c>
      <c r="G1219" t="s">
        <v>7329</v>
      </c>
      <c r="H1219" t="s">
        <v>10452</v>
      </c>
      <c r="I1219" t="s">
        <v>11389</v>
      </c>
      <c r="J1219">
        <v>11354</v>
      </c>
      <c r="K1219" t="s">
        <v>11446</v>
      </c>
      <c r="L1219" t="s">
        <v>11856</v>
      </c>
      <c r="M1219" t="s">
        <v>14744</v>
      </c>
      <c r="N1219" t="s">
        <v>14778</v>
      </c>
      <c r="P1219" t="s">
        <v>14797</v>
      </c>
      <c r="Q1219" t="s">
        <v>11448</v>
      </c>
      <c r="S1219" t="s">
        <v>14827</v>
      </c>
      <c r="T1219" t="s">
        <v>14832</v>
      </c>
      <c r="U1219" t="s">
        <v>466</v>
      </c>
      <c r="V1219">
        <v>1550</v>
      </c>
      <c r="W1219" t="s">
        <v>14861</v>
      </c>
      <c r="X1219" t="s">
        <v>14865</v>
      </c>
      <c r="Z1219" t="s">
        <v>16047</v>
      </c>
      <c r="AB1219" t="s">
        <v>21133</v>
      </c>
      <c r="AC1219">
        <v>24</v>
      </c>
      <c r="AD1219" t="s">
        <v>11479</v>
      </c>
      <c r="AE1219" t="s">
        <v>11459</v>
      </c>
      <c r="AF1219">
        <v>4</v>
      </c>
      <c r="AG1219">
        <v>1</v>
      </c>
      <c r="AH1219">
        <v>2</v>
      </c>
      <c r="AI1219">
        <v>187.53</v>
      </c>
      <c r="AL1219" t="s">
        <v>5011</v>
      </c>
      <c r="AM1219">
        <v>40000</v>
      </c>
      <c r="AS1219">
        <v>1.45</v>
      </c>
      <c r="AT1219" t="s">
        <v>539</v>
      </c>
      <c r="AU1219" t="s">
        <v>292</v>
      </c>
      <c r="AV1219" t="s">
        <v>25335</v>
      </c>
      <c r="AW1219" t="s">
        <v>11447</v>
      </c>
    </row>
    <row r="1220" spans="1:49">
      <c r="A1220" s="1">
        <f>HYPERLINK("https://lsnyc.legalserver.org/matter/dynamic-profile/view/1908646","19-1908646")</f>
        <v>0</v>
      </c>
      <c r="B1220" t="s">
        <v>229</v>
      </c>
      <c r="C1220" t="s">
        <v>497</v>
      </c>
      <c r="E1220" t="s">
        <v>1125</v>
      </c>
      <c r="F1220" t="s">
        <v>3685</v>
      </c>
      <c r="G1220" t="s">
        <v>7330</v>
      </c>
      <c r="I1220" t="s">
        <v>11389</v>
      </c>
      <c r="J1220">
        <v>11354</v>
      </c>
      <c r="K1220" t="s">
        <v>11446</v>
      </c>
      <c r="L1220" t="s">
        <v>11857</v>
      </c>
      <c r="M1220" t="s">
        <v>14744</v>
      </c>
      <c r="N1220" t="s">
        <v>14781</v>
      </c>
      <c r="P1220" t="s">
        <v>14797</v>
      </c>
      <c r="Q1220" t="s">
        <v>11448</v>
      </c>
      <c r="S1220" t="s">
        <v>14827</v>
      </c>
      <c r="T1220" t="s">
        <v>14832</v>
      </c>
      <c r="U1220" t="s">
        <v>497</v>
      </c>
      <c r="V1220">
        <v>2400</v>
      </c>
      <c r="W1220" t="s">
        <v>14861</v>
      </c>
      <c r="X1220" t="s">
        <v>14865</v>
      </c>
      <c r="Z1220" t="s">
        <v>16048</v>
      </c>
      <c r="AA1220" t="s">
        <v>19421</v>
      </c>
      <c r="AC1220">
        <v>3</v>
      </c>
      <c r="AD1220" t="s">
        <v>24600</v>
      </c>
      <c r="AE1220" t="s">
        <v>14755</v>
      </c>
      <c r="AF1220">
        <v>1</v>
      </c>
      <c r="AG1220">
        <v>2</v>
      </c>
      <c r="AH1220">
        <v>4</v>
      </c>
      <c r="AI1220">
        <v>72.84999999999999</v>
      </c>
      <c r="AL1220" t="s">
        <v>24632</v>
      </c>
      <c r="AM1220">
        <v>25200</v>
      </c>
      <c r="AP1220" t="s">
        <v>24943</v>
      </c>
      <c r="AS1220">
        <v>7.55</v>
      </c>
      <c r="AT1220" t="s">
        <v>478</v>
      </c>
      <c r="AU1220" t="s">
        <v>271</v>
      </c>
      <c r="AV1220" t="s">
        <v>25335</v>
      </c>
      <c r="AW1220" t="s">
        <v>11447</v>
      </c>
    </row>
    <row r="1221" spans="1:49">
      <c r="A1221" s="1">
        <f>HYPERLINK("https://lsnyc.legalserver.org/matter/dynamic-profile/view/1903921","19-1903921")</f>
        <v>0</v>
      </c>
      <c r="B1221" t="s">
        <v>209</v>
      </c>
      <c r="C1221" t="s">
        <v>378</v>
      </c>
      <c r="E1221" t="s">
        <v>1834</v>
      </c>
      <c r="F1221" t="s">
        <v>4348</v>
      </c>
      <c r="G1221" t="s">
        <v>7331</v>
      </c>
      <c r="H1221" t="s">
        <v>10486</v>
      </c>
      <c r="I1221" t="s">
        <v>11405</v>
      </c>
      <c r="J1221">
        <v>11416</v>
      </c>
      <c r="K1221" t="s">
        <v>11446</v>
      </c>
      <c r="L1221" t="s">
        <v>11858</v>
      </c>
      <c r="M1221" t="s">
        <v>14743</v>
      </c>
      <c r="N1221" t="s">
        <v>14778</v>
      </c>
      <c r="P1221" t="s">
        <v>14797</v>
      </c>
      <c r="Q1221" t="s">
        <v>11448</v>
      </c>
      <c r="S1221" t="s">
        <v>14827</v>
      </c>
      <c r="T1221" t="s">
        <v>14832</v>
      </c>
      <c r="U1221" t="s">
        <v>497</v>
      </c>
      <c r="V1221">
        <v>2110</v>
      </c>
      <c r="W1221" t="s">
        <v>14861</v>
      </c>
      <c r="X1221" t="s">
        <v>14865</v>
      </c>
      <c r="Z1221" t="s">
        <v>16049</v>
      </c>
      <c r="AA1221" t="s">
        <v>19422</v>
      </c>
      <c r="AB1221" t="s">
        <v>21134</v>
      </c>
      <c r="AC1221">
        <v>3</v>
      </c>
      <c r="AD1221" t="s">
        <v>24600</v>
      </c>
      <c r="AE1221" t="s">
        <v>24610</v>
      </c>
      <c r="AF1221">
        <v>2</v>
      </c>
      <c r="AG1221">
        <v>1</v>
      </c>
      <c r="AH1221">
        <v>3</v>
      </c>
      <c r="AI1221">
        <v>84.01000000000001</v>
      </c>
      <c r="AL1221" t="s">
        <v>5011</v>
      </c>
      <c r="AM1221">
        <v>21632</v>
      </c>
      <c r="AS1221">
        <v>1.15</v>
      </c>
      <c r="AT1221" t="s">
        <v>373</v>
      </c>
      <c r="AU1221" t="s">
        <v>209</v>
      </c>
      <c r="AV1221" t="s">
        <v>25335</v>
      </c>
      <c r="AW1221" t="s">
        <v>11447</v>
      </c>
    </row>
    <row r="1222" spans="1:49">
      <c r="A1222" s="1">
        <f>HYPERLINK("https://lsnyc.legalserver.org/matter/dynamic-profile/view/1898572","19-1898572")</f>
        <v>0</v>
      </c>
      <c r="B1222" t="s">
        <v>209</v>
      </c>
      <c r="C1222" t="s">
        <v>411</v>
      </c>
      <c r="E1222" t="s">
        <v>1835</v>
      </c>
      <c r="F1222" t="s">
        <v>4349</v>
      </c>
      <c r="G1222" t="s">
        <v>7332</v>
      </c>
      <c r="I1222" t="s">
        <v>11387</v>
      </c>
      <c r="J1222">
        <v>11436</v>
      </c>
      <c r="K1222" t="s">
        <v>11446</v>
      </c>
      <c r="L1222" t="s">
        <v>11859</v>
      </c>
      <c r="M1222" t="s">
        <v>14743</v>
      </c>
      <c r="N1222" t="s">
        <v>14778</v>
      </c>
      <c r="P1222" t="s">
        <v>14797</v>
      </c>
      <c r="Q1222" t="s">
        <v>11448</v>
      </c>
      <c r="S1222" t="s">
        <v>14827</v>
      </c>
      <c r="T1222" t="s">
        <v>14837</v>
      </c>
      <c r="U1222" t="s">
        <v>497</v>
      </c>
      <c r="V1222">
        <v>1800</v>
      </c>
      <c r="W1222" t="s">
        <v>14861</v>
      </c>
      <c r="X1222" t="s">
        <v>14865</v>
      </c>
      <c r="Z1222" t="s">
        <v>16050</v>
      </c>
      <c r="AB1222" t="s">
        <v>21135</v>
      </c>
      <c r="AC1222">
        <v>3</v>
      </c>
      <c r="AD1222" t="s">
        <v>24607</v>
      </c>
      <c r="AE1222" t="s">
        <v>11459</v>
      </c>
      <c r="AF1222">
        <v>1</v>
      </c>
      <c r="AG1222">
        <v>1</v>
      </c>
      <c r="AH1222">
        <v>2</v>
      </c>
      <c r="AI1222">
        <v>89.08</v>
      </c>
      <c r="AL1222" t="s">
        <v>5011</v>
      </c>
      <c r="AM1222">
        <v>19000</v>
      </c>
      <c r="AS1222">
        <v>0.95</v>
      </c>
      <c r="AT1222" t="s">
        <v>373</v>
      </c>
      <c r="AU1222" t="s">
        <v>209</v>
      </c>
      <c r="AV1222" t="s">
        <v>25335</v>
      </c>
      <c r="AW1222" t="s">
        <v>11446</v>
      </c>
    </row>
    <row r="1223" spans="1:49">
      <c r="A1223" s="1">
        <f>HYPERLINK("https://lsnyc.legalserver.org/matter/dynamic-profile/view/1905354","19-1905354")</f>
        <v>0</v>
      </c>
      <c r="B1223" t="s">
        <v>90</v>
      </c>
      <c r="C1223" t="s">
        <v>619</v>
      </c>
      <c r="E1223" t="s">
        <v>1670</v>
      </c>
      <c r="F1223" t="s">
        <v>3682</v>
      </c>
      <c r="G1223" t="s">
        <v>7333</v>
      </c>
      <c r="H1223" t="s">
        <v>10807</v>
      </c>
      <c r="I1223" t="s">
        <v>11383</v>
      </c>
      <c r="J1223">
        <v>10459</v>
      </c>
      <c r="K1223" t="s">
        <v>11446</v>
      </c>
      <c r="L1223" t="s">
        <v>11860</v>
      </c>
      <c r="M1223" t="s">
        <v>14743</v>
      </c>
      <c r="N1223" t="s">
        <v>14781</v>
      </c>
      <c r="P1223" t="s">
        <v>14797</v>
      </c>
      <c r="Q1223" t="s">
        <v>11448</v>
      </c>
      <c r="S1223" t="s">
        <v>14827</v>
      </c>
      <c r="U1223" t="s">
        <v>497</v>
      </c>
      <c r="V1223">
        <v>833</v>
      </c>
      <c r="W1223" t="s">
        <v>14858</v>
      </c>
      <c r="X1223" t="s">
        <v>14755</v>
      </c>
      <c r="Z1223" t="s">
        <v>16051</v>
      </c>
      <c r="AA1223" t="s">
        <v>19423</v>
      </c>
      <c r="AB1223" t="s">
        <v>21136</v>
      </c>
      <c r="AC1223">
        <v>67</v>
      </c>
      <c r="AD1223" t="s">
        <v>24595</v>
      </c>
      <c r="AE1223" t="s">
        <v>11459</v>
      </c>
      <c r="AF1223">
        <v>14</v>
      </c>
      <c r="AG1223">
        <v>3</v>
      </c>
      <c r="AH1223">
        <v>0</v>
      </c>
      <c r="AI1223">
        <v>92.70999999999999</v>
      </c>
      <c r="AL1223" t="s">
        <v>24632</v>
      </c>
      <c r="AM1223">
        <v>19776</v>
      </c>
      <c r="AS1223">
        <v>23</v>
      </c>
      <c r="AT1223" t="s">
        <v>470</v>
      </c>
      <c r="AU1223" t="s">
        <v>25238</v>
      </c>
      <c r="AV1223" t="s">
        <v>25334</v>
      </c>
      <c r="AW1223" t="s">
        <v>11447</v>
      </c>
    </row>
    <row r="1224" spans="1:49">
      <c r="A1224" s="1">
        <f>HYPERLINK("https://lsnyc.legalserver.org/matter/dynamic-profile/view/1908612","19-1908612")</f>
        <v>0</v>
      </c>
      <c r="B1224" t="s">
        <v>144</v>
      </c>
      <c r="C1224" t="s">
        <v>497</v>
      </c>
      <c r="E1224" t="s">
        <v>1836</v>
      </c>
      <c r="F1224" t="s">
        <v>3623</v>
      </c>
      <c r="G1224" t="s">
        <v>7334</v>
      </c>
      <c r="I1224" t="s">
        <v>11414</v>
      </c>
      <c r="J1224">
        <v>11362</v>
      </c>
      <c r="K1224" t="s">
        <v>11446</v>
      </c>
      <c r="L1224" t="s">
        <v>11861</v>
      </c>
      <c r="M1224" t="s">
        <v>14743</v>
      </c>
      <c r="N1224" t="s">
        <v>14778</v>
      </c>
      <c r="P1224" t="s">
        <v>14797</v>
      </c>
      <c r="Q1224" t="s">
        <v>11448</v>
      </c>
      <c r="S1224" t="s">
        <v>14827</v>
      </c>
      <c r="U1224" t="s">
        <v>497</v>
      </c>
      <c r="V1224">
        <v>0</v>
      </c>
      <c r="W1224" t="s">
        <v>14861</v>
      </c>
      <c r="X1224" t="s">
        <v>14865</v>
      </c>
      <c r="Z1224" t="s">
        <v>16052</v>
      </c>
      <c r="AB1224" t="s">
        <v>21137</v>
      </c>
      <c r="AC1224">
        <v>1</v>
      </c>
      <c r="AD1224" t="s">
        <v>11479</v>
      </c>
      <c r="AE1224" t="s">
        <v>11459</v>
      </c>
      <c r="AF1224">
        <v>1</v>
      </c>
      <c r="AG1224">
        <v>4</v>
      </c>
      <c r="AH1224">
        <v>0</v>
      </c>
      <c r="AI1224">
        <v>121.17</v>
      </c>
      <c r="AL1224" t="s">
        <v>5011</v>
      </c>
      <c r="AM1224">
        <v>31200</v>
      </c>
      <c r="AS1224">
        <v>0.51</v>
      </c>
      <c r="AT1224" t="s">
        <v>410</v>
      </c>
      <c r="AU1224" t="s">
        <v>292</v>
      </c>
      <c r="AV1224" t="s">
        <v>25335</v>
      </c>
      <c r="AW1224" t="s">
        <v>11447</v>
      </c>
    </row>
    <row r="1225" spans="1:49">
      <c r="A1225" s="1">
        <f>HYPERLINK("https://lsnyc.legalserver.org/matter/dynamic-profile/view/1908602","19-1908602")</f>
        <v>0</v>
      </c>
      <c r="B1225" t="s">
        <v>144</v>
      </c>
      <c r="C1225" t="s">
        <v>497</v>
      </c>
      <c r="E1225" t="s">
        <v>1323</v>
      </c>
      <c r="F1225" t="s">
        <v>3796</v>
      </c>
      <c r="G1225" t="s">
        <v>7335</v>
      </c>
      <c r="I1225" t="s">
        <v>11402</v>
      </c>
      <c r="J1225">
        <v>11422</v>
      </c>
      <c r="K1225" t="s">
        <v>11446</v>
      </c>
      <c r="L1225" t="s">
        <v>11862</v>
      </c>
      <c r="M1225" t="s">
        <v>14743</v>
      </c>
      <c r="N1225" t="s">
        <v>14782</v>
      </c>
      <c r="P1225" t="s">
        <v>14797</v>
      </c>
      <c r="Q1225" t="s">
        <v>11448</v>
      </c>
      <c r="S1225" t="s">
        <v>14827</v>
      </c>
      <c r="T1225" t="s">
        <v>14837</v>
      </c>
      <c r="U1225" t="s">
        <v>497</v>
      </c>
      <c r="V1225">
        <v>1028</v>
      </c>
      <c r="W1225" t="s">
        <v>14861</v>
      </c>
      <c r="X1225" t="s">
        <v>14865</v>
      </c>
      <c r="Z1225" t="s">
        <v>16053</v>
      </c>
      <c r="AA1225" t="s">
        <v>19424</v>
      </c>
      <c r="AB1225" t="s">
        <v>21138</v>
      </c>
      <c r="AC1225">
        <v>2</v>
      </c>
      <c r="AD1225" t="s">
        <v>24598</v>
      </c>
      <c r="AE1225" t="s">
        <v>11459</v>
      </c>
      <c r="AF1225">
        <v>13</v>
      </c>
      <c r="AG1225">
        <v>1</v>
      </c>
      <c r="AH1225">
        <v>0</v>
      </c>
      <c r="AI1225">
        <v>169.48</v>
      </c>
      <c r="AL1225" t="s">
        <v>5011</v>
      </c>
      <c r="AM1225">
        <v>21168</v>
      </c>
      <c r="AS1225">
        <v>1.36</v>
      </c>
      <c r="AT1225" t="s">
        <v>589</v>
      </c>
      <c r="AU1225" t="s">
        <v>292</v>
      </c>
      <c r="AV1225" t="s">
        <v>25335</v>
      </c>
      <c r="AW1225" t="s">
        <v>11447</v>
      </c>
    </row>
    <row r="1226" spans="1:49">
      <c r="A1226" s="1">
        <f>HYPERLINK("https://lsnyc.legalserver.org/matter/dynamic-profile/view/1908592","19-1908592")</f>
        <v>0</v>
      </c>
      <c r="B1226" t="s">
        <v>229</v>
      </c>
      <c r="C1226" t="s">
        <v>497</v>
      </c>
      <c r="E1226" t="s">
        <v>1337</v>
      </c>
      <c r="F1226" t="s">
        <v>2002</v>
      </c>
      <c r="G1226" t="s">
        <v>7336</v>
      </c>
      <c r="H1226" t="s">
        <v>10484</v>
      </c>
      <c r="I1226" t="s">
        <v>11401</v>
      </c>
      <c r="J1226">
        <v>11375</v>
      </c>
      <c r="K1226" t="s">
        <v>11446</v>
      </c>
      <c r="L1226" t="s">
        <v>11863</v>
      </c>
      <c r="M1226" t="s">
        <v>14744</v>
      </c>
      <c r="N1226" t="s">
        <v>14781</v>
      </c>
      <c r="P1226" t="s">
        <v>14797</v>
      </c>
      <c r="Q1226" t="s">
        <v>11448</v>
      </c>
      <c r="S1226" t="s">
        <v>14827</v>
      </c>
      <c r="T1226" t="s">
        <v>14832</v>
      </c>
      <c r="U1226" t="s">
        <v>497</v>
      </c>
      <c r="V1226">
        <v>1413.52</v>
      </c>
      <c r="W1226" t="s">
        <v>14861</v>
      </c>
      <c r="X1226" t="s">
        <v>14865</v>
      </c>
      <c r="Z1226" t="s">
        <v>15302</v>
      </c>
      <c r="AA1226" t="s">
        <v>19425</v>
      </c>
      <c r="AB1226" t="s">
        <v>21139</v>
      </c>
      <c r="AC1226">
        <v>40</v>
      </c>
      <c r="AD1226" t="s">
        <v>11479</v>
      </c>
      <c r="AE1226" t="s">
        <v>11459</v>
      </c>
      <c r="AF1226">
        <v>15</v>
      </c>
      <c r="AG1226">
        <v>3</v>
      </c>
      <c r="AH1226">
        <v>0</v>
      </c>
      <c r="AI1226">
        <v>172.53</v>
      </c>
      <c r="AL1226" t="s">
        <v>5011</v>
      </c>
      <c r="AM1226">
        <v>36800</v>
      </c>
      <c r="AP1226" t="s">
        <v>14755</v>
      </c>
      <c r="AS1226">
        <v>30.06</v>
      </c>
      <c r="AT1226" t="s">
        <v>478</v>
      </c>
      <c r="AU1226" t="s">
        <v>292</v>
      </c>
      <c r="AV1226" t="s">
        <v>25335</v>
      </c>
      <c r="AW1226" t="s">
        <v>11447</v>
      </c>
    </row>
    <row r="1227" spans="1:49">
      <c r="A1227" s="1">
        <f>HYPERLINK("https://lsnyc.legalserver.org/matter/dynamic-profile/view/1908228","19-1908228")</f>
        <v>0</v>
      </c>
      <c r="B1227" t="s">
        <v>213</v>
      </c>
      <c r="C1227" t="s">
        <v>372</v>
      </c>
      <c r="E1227" t="s">
        <v>1084</v>
      </c>
      <c r="F1227" t="s">
        <v>4350</v>
      </c>
      <c r="G1227" t="s">
        <v>7229</v>
      </c>
      <c r="H1227" t="s">
        <v>10808</v>
      </c>
      <c r="I1227" t="s">
        <v>11385</v>
      </c>
      <c r="J1227">
        <v>11216</v>
      </c>
      <c r="K1227" t="s">
        <v>11446</v>
      </c>
      <c r="L1227" t="s">
        <v>11459</v>
      </c>
      <c r="M1227" t="s">
        <v>14745</v>
      </c>
      <c r="N1227" t="s">
        <v>14779</v>
      </c>
      <c r="P1227" t="s">
        <v>14797</v>
      </c>
      <c r="Q1227" t="s">
        <v>11446</v>
      </c>
      <c r="S1227" t="s">
        <v>14827</v>
      </c>
      <c r="T1227" t="s">
        <v>14832</v>
      </c>
      <c r="U1227" t="s">
        <v>497</v>
      </c>
      <c r="V1227">
        <v>1624.29</v>
      </c>
      <c r="W1227" t="s">
        <v>14859</v>
      </c>
      <c r="X1227" t="s">
        <v>14876</v>
      </c>
      <c r="Z1227" t="s">
        <v>16054</v>
      </c>
      <c r="AA1227" t="s">
        <v>11465</v>
      </c>
      <c r="AB1227" t="s">
        <v>21140</v>
      </c>
      <c r="AC1227">
        <v>82</v>
      </c>
      <c r="AD1227" t="s">
        <v>24595</v>
      </c>
      <c r="AE1227" t="s">
        <v>11459</v>
      </c>
      <c r="AF1227">
        <v>-1</v>
      </c>
      <c r="AG1227">
        <v>1</v>
      </c>
      <c r="AH1227">
        <v>0</v>
      </c>
      <c r="AI1227">
        <v>780.62</v>
      </c>
      <c r="AL1227" t="s">
        <v>5011</v>
      </c>
      <c r="AM1227">
        <v>97500</v>
      </c>
      <c r="AS1227">
        <v>0</v>
      </c>
      <c r="AU1227" t="s">
        <v>66</v>
      </c>
      <c r="AV1227" t="s">
        <v>25335</v>
      </c>
      <c r="AW1227" t="s">
        <v>11447</v>
      </c>
    </row>
    <row r="1228" spans="1:49">
      <c r="A1228" s="1">
        <f>HYPERLINK("https://lsnyc.legalserver.org/matter/dynamic-profile/view/1905034","19-1905034")</f>
        <v>0</v>
      </c>
      <c r="B1228" t="s">
        <v>84</v>
      </c>
      <c r="C1228" t="s">
        <v>456</v>
      </c>
      <c r="E1228" t="s">
        <v>1024</v>
      </c>
      <c r="F1228" t="s">
        <v>4351</v>
      </c>
      <c r="G1228" t="s">
        <v>7015</v>
      </c>
      <c r="H1228" t="s">
        <v>10809</v>
      </c>
      <c r="I1228" t="s">
        <v>11383</v>
      </c>
      <c r="J1228">
        <v>10453</v>
      </c>
      <c r="K1228" t="s">
        <v>11446</v>
      </c>
      <c r="L1228" t="s">
        <v>11864</v>
      </c>
      <c r="M1228" t="s">
        <v>14762</v>
      </c>
      <c r="N1228" t="s">
        <v>14783</v>
      </c>
      <c r="P1228" t="s">
        <v>14797</v>
      </c>
      <c r="Q1228" t="s">
        <v>11446</v>
      </c>
      <c r="S1228" t="s">
        <v>14827</v>
      </c>
      <c r="U1228" t="s">
        <v>14843</v>
      </c>
      <c r="V1228">
        <v>1091</v>
      </c>
      <c r="W1228" t="s">
        <v>14858</v>
      </c>
      <c r="X1228" t="s">
        <v>14864</v>
      </c>
      <c r="Z1228" t="s">
        <v>16055</v>
      </c>
      <c r="AB1228" t="s">
        <v>21141</v>
      </c>
      <c r="AC1228">
        <v>170</v>
      </c>
      <c r="AD1228" t="s">
        <v>24595</v>
      </c>
      <c r="AE1228" t="s">
        <v>24615</v>
      </c>
      <c r="AF1228">
        <v>12</v>
      </c>
      <c r="AG1228">
        <v>1</v>
      </c>
      <c r="AH1228">
        <v>2</v>
      </c>
      <c r="AI1228">
        <v>41.63</v>
      </c>
      <c r="AL1228" t="s">
        <v>24632</v>
      </c>
      <c r="AM1228">
        <v>8880</v>
      </c>
      <c r="AS1228">
        <v>0</v>
      </c>
      <c r="AU1228" t="s">
        <v>237</v>
      </c>
      <c r="AV1228" t="s">
        <v>25335</v>
      </c>
      <c r="AW1228" t="s">
        <v>11447</v>
      </c>
    </row>
    <row r="1229" spans="1:49">
      <c r="A1229" s="1">
        <f>HYPERLINK("https://lsnyc.legalserver.org/matter/dynamic-profile/view/1904906","19-1904906")</f>
        <v>0</v>
      </c>
      <c r="B1229" t="s">
        <v>84</v>
      </c>
      <c r="C1229" t="s">
        <v>593</v>
      </c>
      <c r="E1229" t="s">
        <v>1837</v>
      </c>
      <c r="F1229" t="s">
        <v>4352</v>
      </c>
      <c r="G1229" t="s">
        <v>7015</v>
      </c>
      <c r="H1229" t="s">
        <v>10810</v>
      </c>
      <c r="I1229" t="s">
        <v>11383</v>
      </c>
      <c r="J1229">
        <v>10453</v>
      </c>
      <c r="K1229" t="s">
        <v>11446</v>
      </c>
      <c r="L1229" t="s">
        <v>11864</v>
      </c>
      <c r="M1229" t="s">
        <v>14762</v>
      </c>
      <c r="N1229" t="s">
        <v>14783</v>
      </c>
      <c r="P1229" t="s">
        <v>14797</v>
      </c>
      <c r="Q1229" t="s">
        <v>11446</v>
      </c>
      <c r="S1229" t="s">
        <v>14827</v>
      </c>
      <c r="U1229" t="s">
        <v>14843</v>
      </c>
      <c r="V1229">
        <v>1172</v>
      </c>
      <c r="W1229" t="s">
        <v>14858</v>
      </c>
      <c r="X1229" t="s">
        <v>14864</v>
      </c>
      <c r="Z1229" t="s">
        <v>16056</v>
      </c>
      <c r="AB1229" t="s">
        <v>21142</v>
      </c>
      <c r="AC1229">
        <v>170</v>
      </c>
      <c r="AD1229" t="s">
        <v>24595</v>
      </c>
      <c r="AE1229" t="s">
        <v>24615</v>
      </c>
      <c r="AF1229">
        <v>16</v>
      </c>
      <c r="AG1229">
        <v>2</v>
      </c>
      <c r="AH1229">
        <v>3</v>
      </c>
      <c r="AI1229">
        <v>51.26</v>
      </c>
      <c r="AL1229" t="s">
        <v>24632</v>
      </c>
      <c r="AM1229">
        <v>15080</v>
      </c>
      <c r="AS1229">
        <v>0</v>
      </c>
      <c r="AU1229" t="s">
        <v>245</v>
      </c>
      <c r="AV1229" t="s">
        <v>25335</v>
      </c>
      <c r="AW1229" t="s">
        <v>11447</v>
      </c>
    </row>
    <row r="1230" spans="1:49">
      <c r="A1230" s="1">
        <f>HYPERLINK("https://lsnyc.legalserver.org/matter/dynamic-profile/view/1905201","19-1905201")</f>
        <v>0</v>
      </c>
      <c r="B1230" t="s">
        <v>84</v>
      </c>
      <c r="C1230" t="s">
        <v>480</v>
      </c>
      <c r="E1230" t="s">
        <v>1057</v>
      </c>
      <c r="F1230" t="s">
        <v>1730</v>
      </c>
      <c r="G1230" t="s">
        <v>7015</v>
      </c>
      <c r="H1230" t="s">
        <v>10568</v>
      </c>
      <c r="I1230" t="s">
        <v>11383</v>
      </c>
      <c r="J1230">
        <v>10453</v>
      </c>
      <c r="K1230" t="s">
        <v>11446</v>
      </c>
      <c r="L1230" t="s">
        <v>11864</v>
      </c>
      <c r="M1230" t="s">
        <v>14762</v>
      </c>
      <c r="N1230" t="s">
        <v>14783</v>
      </c>
      <c r="P1230" t="s">
        <v>14797</v>
      </c>
      <c r="Q1230" t="s">
        <v>11446</v>
      </c>
      <c r="S1230" t="s">
        <v>14827</v>
      </c>
      <c r="U1230" t="s">
        <v>14843</v>
      </c>
      <c r="V1230">
        <v>880.27</v>
      </c>
      <c r="W1230" t="s">
        <v>14858</v>
      </c>
      <c r="X1230" t="s">
        <v>14864</v>
      </c>
      <c r="Z1230" t="s">
        <v>16057</v>
      </c>
      <c r="AB1230" t="s">
        <v>21143</v>
      </c>
      <c r="AC1230">
        <v>170</v>
      </c>
      <c r="AD1230" t="s">
        <v>24595</v>
      </c>
      <c r="AE1230" t="s">
        <v>11459</v>
      </c>
      <c r="AF1230">
        <v>20</v>
      </c>
      <c r="AG1230">
        <v>2</v>
      </c>
      <c r="AH1230">
        <v>4</v>
      </c>
      <c r="AI1230">
        <v>99.43000000000001</v>
      </c>
      <c r="AL1230" t="s">
        <v>5011</v>
      </c>
      <c r="AM1230">
        <v>34392</v>
      </c>
      <c r="AS1230">
        <v>0</v>
      </c>
      <c r="AU1230" t="s">
        <v>25242</v>
      </c>
      <c r="AV1230" t="s">
        <v>25335</v>
      </c>
      <c r="AW1230" t="s">
        <v>11447</v>
      </c>
    </row>
    <row r="1231" spans="1:49">
      <c r="A1231" s="1">
        <f>HYPERLINK("https://lsnyc.legalserver.org/matter/dynamic-profile/view/1904977","19-1904977")</f>
        <v>0</v>
      </c>
      <c r="B1231" t="s">
        <v>84</v>
      </c>
      <c r="C1231" t="s">
        <v>593</v>
      </c>
      <c r="E1231" t="s">
        <v>1273</v>
      </c>
      <c r="F1231" t="s">
        <v>4353</v>
      </c>
      <c r="G1231" t="s">
        <v>7015</v>
      </c>
      <c r="H1231" t="s">
        <v>10529</v>
      </c>
      <c r="I1231" t="s">
        <v>11383</v>
      </c>
      <c r="J1231">
        <v>10453</v>
      </c>
      <c r="K1231" t="s">
        <v>11446</v>
      </c>
      <c r="L1231" t="s">
        <v>11864</v>
      </c>
      <c r="M1231" t="s">
        <v>14762</v>
      </c>
      <c r="N1231" t="s">
        <v>14783</v>
      </c>
      <c r="P1231" t="s">
        <v>14797</v>
      </c>
      <c r="Q1231" t="s">
        <v>11446</v>
      </c>
      <c r="S1231" t="s">
        <v>14827</v>
      </c>
      <c r="U1231" t="s">
        <v>14843</v>
      </c>
      <c r="V1231">
        <v>1140</v>
      </c>
      <c r="W1231" t="s">
        <v>14858</v>
      </c>
      <c r="X1231" t="s">
        <v>14864</v>
      </c>
      <c r="Z1231" t="s">
        <v>16058</v>
      </c>
      <c r="AB1231" t="s">
        <v>21144</v>
      </c>
      <c r="AC1231">
        <v>170</v>
      </c>
      <c r="AD1231" t="s">
        <v>24595</v>
      </c>
      <c r="AE1231" t="s">
        <v>11459</v>
      </c>
      <c r="AF1231">
        <v>6</v>
      </c>
      <c r="AG1231">
        <v>1</v>
      </c>
      <c r="AH1231">
        <v>1</v>
      </c>
      <c r="AI1231">
        <v>187.89</v>
      </c>
      <c r="AL1231" t="s">
        <v>24632</v>
      </c>
      <c r="AM1231">
        <v>31772</v>
      </c>
      <c r="AS1231">
        <v>0</v>
      </c>
      <c r="AU1231" t="s">
        <v>245</v>
      </c>
      <c r="AV1231" t="s">
        <v>25335</v>
      </c>
      <c r="AW1231" t="s">
        <v>11447</v>
      </c>
    </row>
    <row r="1232" spans="1:49">
      <c r="A1232" s="1">
        <f>HYPERLINK("https://lsnyc.legalserver.org/matter/dynamic-profile/view/1910536","19-1910536")</f>
        <v>0</v>
      </c>
      <c r="B1232" t="s">
        <v>211</v>
      </c>
      <c r="C1232" t="s">
        <v>602</v>
      </c>
      <c r="E1232" t="s">
        <v>1838</v>
      </c>
      <c r="F1232" t="s">
        <v>4354</v>
      </c>
      <c r="G1232" t="s">
        <v>7152</v>
      </c>
      <c r="I1232" t="s">
        <v>11385</v>
      </c>
      <c r="J1232">
        <v>11233</v>
      </c>
      <c r="K1232" t="s">
        <v>11446</v>
      </c>
      <c r="L1232" t="s">
        <v>11865</v>
      </c>
      <c r="M1232" t="s">
        <v>14762</v>
      </c>
      <c r="N1232" t="s">
        <v>14783</v>
      </c>
      <c r="P1232" t="s">
        <v>14797</v>
      </c>
      <c r="Q1232" t="s">
        <v>11446</v>
      </c>
      <c r="S1232" t="s">
        <v>14827</v>
      </c>
      <c r="T1232" t="s">
        <v>14832</v>
      </c>
      <c r="U1232" t="s">
        <v>14839</v>
      </c>
      <c r="V1232">
        <v>0</v>
      </c>
      <c r="W1232" t="s">
        <v>14859</v>
      </c>
      <c r="X1232" t="s">
        <v>14876</v>
      </c>
      <c r="Z1232" t="s">
        <v>16059</v>
      </c>
      <c r="AA1232" t="s">
        <v>11465</v>
      </c>
      <c r="AC1232">
        <v>1107</v>
      </c>
      <c r="AD1232" t="s">
        <v>24595</v>
      </c>
      <c r="AE1232" t="s">
        <v>14755</v>
      </c>
      <c r="AF1232">
        <v>0</v>
      </c>
      <c r="AG1232">
        <v>4</v>
      </c>
      <c r="AH1232">
        <v>0</v>
      </c>
      <c r="AI1232">
        <v>0</v>
      </c>
      <c r="AL1232" t="s">
        <v>5011</v>
      </c>
      <c r="AM1232">
        <v>0</v>
      </c>
      <c r="AN1232" t="s">
        <v>24762</v>
      </c>
      <c r="AS1232">
        <v>0</v>
      </c>
      <c r="AU1232" t="s">
        <v>66</v>
      </c>
      <c r="AV1232" t="s">
        <v>11459</v>
      </c>
      <c r="AW1232" t="s">
        <v>11447</v>
      </c>
    </row>
    <row r="1233" spans="1:49">
      <c r="A1233" s="1">
        <f>HYPERLINK("https://lsnyc.legalserver.org/matter/dynamic-profile/view/1904189","19-1904189")</f>
        <v>0</v>
      </c>
      <c r="B1233" t="s">
        <v>183</v>
      </c>
      <c r="C1233" t="s">
        <v>338</v>
      </c>
      <c r="E1233" t="s">
        <v>1839</v>
      </c>
      <c r="F1233" t="s">
        <v>3709</v>
      </c>
      <c r="G1233" t="s">
        <v>6985</v>
      </c>
      <c r="H1233" t="s">
        <v>10719</v>
      </c>
      <c r="I1233" t="s">
        <v>11385</v>
      </c>
      <c r="J1233">
        <v>11233</v>
      </c>
      <c r="K1233" t="s">
        <v>11446</v>
      </c>
      <c r="L1233" t="s">
        <v>11866</v>
      </c>
      <c r="M1233" t="s">
        <v>14744</v>
      </c>
      <c r="N1233" t="s">
        <v>14781</v>
      </c>
      <c r="P1233" t="s">
        <v>14797</v>
      </c>
      <c r="Q1233" t="s">
        <v>11448</v>
      </c>
      <c r="S1233" t="s">
        <v>14827</v>
      </c>
      <c r="T1233" t="s">
        <v>14832</v>
      </c>
      <c r="U1233" t="s">
        <v>14839</v>
      </c>
      <c r="V1233">
        <v>980</v>
      </c>
      <c r="W1233" t="s">
        <v>14859</v>
      </c>
      <c r="X1233" t="s">
        <v>14873</v>
      </c>
      <c r="Z1233" t="s">
        <v>16060</v>
      </c>
      <c r="AA1233" t="s">
        <v>11465</v>
      </c>
      <c r="AB1233" t="s">
        <v>21145</v>
      </c>
      <c r="AC1233">
        <v>359</v>
      </c>
      <c r="AD1233" t="s">
        <v>24595</v>
      </c>
      <c r="AE1233" t="s">
        <v>24614</v>
      </c>
      <c r="AF1233">
        <v>35</v>
      </c>
      <c r="AG1233">
        <v>1</v>
      </c>
      <c r="AH1233">
        <v>2</v>
      </c>
      <c r="AI1233">
        <v>0</v>
      </c>
      <c r="AL1233" t="s">
        <v>5011</v>
      </c>
      <c r="AM1233">
        <v>0</v>
      </c>
      <c r="AS1233">
        <v>14.1</v>
      </c>
      <c r="AT1233" t="s">
        <v>533</v>
      </c>
      <c r="AU1233" t="s">
        <v>66</v>
      </c>
      <c r="AV1233" t="s">
        <v>25335</v>
      </c>
      <c r="AW1233" t="s">
        <v>11447</v>
      </c>
    </row>
    <row r="1234" spans="1:49">
      <c r="A1234" s="1">
        <f>HYPERLINK("https://lsnyc.legalserver.org/matter/dynamic-profile/view/1909085","19-1909085")</f>
        <v>0</v>
      </c>
      <c r="B1234" t="s">
        <v>211</v>
      </c>
      <c r="C1234" t="s">
        <v>641</v>
      </c>
      <c r="E1234" t="s">
        <v>1840</v>
      </c>
      <c r="F1234" t="s">
        <v>4355</v>
      </c>
      <c r="G1234" t="s">
        <v>7324</v>
      </c>
      <c r="H1234" t="s">
        <v>10811</v>
      </c>
      <c r="I1234" t="s">
        <v>11385</v>
      </c>
      <c r="J1234">
        <v>11233</v>
      </c>
      <c r="K1234" t="s">
        <v>11446</v>
      </c>
      <c r="L1234" t="s">
        <v>11865</v>
      </c>
      <c r="M1234" t="s">
        <v>14762</v>
      </c>
      <c r="N1234" t="s">
        <v>14783</v>
      </c>
      <c r="P1234" t="s">
        <v>14797</v>
      </c>
      <c r="Q1234" t="s">
        <v>11446</v>
      </c>
      <c r="S1234" t="s">
        <v>14827</v>
      </c>
      <c r="T1234" t="s">
        <v>14832</v>
      </c>
      <c r="U1234" t="s">
        <v>14839</v>
      </c>
      <c r="V1234">
        <v>840</v>
      </c>
      <c r="W1234" t="s">
        <v>14859</v>
      </c>
      <c r="X1234" t="s">
        <v>14755</v>
      </c>
      <c r="Z1234" t="s">
        <v>16061</v>
      </c>
      <c r="AC1234">
        <v>359</v>
      </c>
      <c r="AD1234" t="s">
        <v>24595</v>
      </c>
      <c r="AF1234">
        <v>20</v>
      </c>
      <c r="AG1234">
        <v>2</v>
      </c>
      <c r="AH1234">
        <v>0</v>
      </c>
      <c r="AI1234">
        <v>35.48</v>
      </c>
      <c r="AL1234" t="s">
        <v>5011</v>
      </c>
      <c r="AM1234">
        <v>6000</v>
      </c>
      <c r="AN1234" t="s">
        <v>24763</v>
      </c>
      <c r="AS1234">
        <v>0</v>
      </c>
      <c r="AU1234" t="s">
        <v>120</v>
      </c>
      <c r="AV1234" t="s">
        <v>11459</v>
      </c>
      <c r="AW1234" t="s">
        <v>11447</v>
      </c>
    </row>
    <row r="1235" spans="1:49">
      <c r="A1235" s="1">
        <f>HYPERLINK("https://lsnyc.legalserver.org/matter/dynamic-profile/view/1909241","19-1909241")</f>
        <v>0</v>
      </c>
      <c r="B1235" t="s">
        <v>187</v>
      </c>
      <c r="C1235" t="s">
        <v>462</v>
      </c>
      <c r="E1235" t="s">
        <v>1141</v>
      </c>
      <c r="F1235" t="s">
        <v>4356</v>
      </c>
      <c r="G1235" t="s">
        <v>7227</v>
      </c>
      <c r="H1235" t="s">
        <v>10491</v>
      </c>
      <c r="I1235" t="s">
        <v>11385</v>
      </c>
      <c r="J1235">
        <v>11212</v>
      </c>
      <c r="K1235" t="s">
        <v>11446</v>
      </c>
      <c r="L1235" t="s">
        <v>11465</v>
      </c>
      <c r="M1235" t="s">
        <v>11601</v>
      </c>
      <c r="N1235" t="s">
        <v>14779</v>
      </c>
      <c r="P1235" t="s">
        <v>14797</v>
      </c>
      <c r="Q1235" t="s">
        <v>11448</v>
      </c>
      <c r="S1235" t="s">
        <v>14827</v>
      </c>
      <c r="T1235" t="s">
        <v>14832</v>
      </c>
      <c r="U1235" t="s">
        <v>14839</v>
      </c>
      <c r="V1235">
        <v>200</v>
      </c>
      <c r="W1235" t="s">
        <v>14859</v>
      </c>
      <c r="X1235" t="s">
        <v>14864</v>
      </c>
      <c r="Z1235" t="s">
        <v>16062</v>
      </c>
      <c r="AA1235" t="s">
        <v>19354</v>
      </c>
      <c r="AB1235" t="s">
        <v>21146</v>
      </c>
      <c r="AC1235">
        <v>96</v>
      </c>
      <c r="AD1235" t="s">
        <v>24595</v>
      </c>
      <c r="AE1235" t="s">
        <v>11459</v>
      </c>
      <c r="AF1235">
        <v>4</v>
      </c>
      <c r="AG1235">
        <v>1</v>
      </c>
      <c r="AH1235">
        <v>0</v>
      </c>
      <c r="AI1235">
        <v>56.2</v>
      </c>
      <c r="AL1235" t="s">
        <v>5011</v>
      </c>
      <c r="AM1235">
        <v>7020</v>
      </c>
      <c r="AS1235">
        <v>0</v>
      </c>
      <c r="AU1235" t="s">
        <v>66</v>
      </c>
      <c r="AV1235" t="s">
        <v>25335</v>
      </c>
      <c r="AW1235" t="s">
        <v>11447</v>
      </c>
    </row>
    <row r="1236" spans="1:49">
      <c r="A1236" s="1">
        <f>HYPERLINK("https://lsnyc.legalserver.org/matter/dynamic-profile/view/1907513","19-1907513")</f>
        <v>0</v>
      </c>
      <c r="B1236" t="s">
        <v>230</v>
      </c>
      <c r="C1236" t="s">
        <v>465</v>
      </c>
      <c r="E1236" t="s">
        <v>1485</v>
      </c>
      <c r="F1236" t="s">
        <v>4357</v>
      </c>
      <c r="G1236" t="s">
        <v>7337</v>
      </c>
      <c r="H1236" t="s">
        <v>10598</v>
      </c>
      <c r="I1236" t="s">
        <v>11383</v>
      </c>
      <c r="J1236">
        <v>10452</v>
      </c>
      <c r="K1236" t="s">
        <v>11446</v>
      </c>
      <c r="L1236" t="s">
        <v>11465</v>
      </c>
      <c r="M1236" t="s">
        <v>11601</v>
      </c>
      <c r="N1236" t="s">
        <v>14778</v>
      </c>
      <c r="P1236" t="s">
        <v>14797</v>
      </c>
      <c r="Q1236" t="s">
        <v>11448</v>
      </c>
      <c r="S1236" t="s">
        <v>14827</v>
      </c>
      <c r="U1236" t="s">
        <v>14839</v>
      </c>
      <c r="V1236">
        <v>125</v>
      </c>
      <c r="W1236" t="s">
        <v>14858</v>
      </c>
      <c r="X1236" t="s">
        <v>14868</v>
      </c>
      <c r="Z1236" t="s">
        <v>16063</v>
      </c>
      <c r="AB1236" t="s">
        <v>21147</v>
      </c>
      <c r="AC1236">
        <v>42</v>
      </c>
      <c r="AD1236" t="s">
        <v>24595</v>
      </c>
      <c r="AE1236" t="s">
        <v>24614</v>
      </c>
      <c r="AF1236">
        <v>25</v>
      </c>
      <c r="AG1236">
        <v>1</v>
      </c>
      <c r="AH1236">
        <v>0</v>
      </c>
      <c r="AI1236">
        <v>67.25</v>
      </c>
      <c r="AL1236" t="s">
        <v>5011</v>
      </c>
      <c r="AM1236">
        <v>8400</v>
      </c>
      <c r="AS1236">
        <v>0.6</v>
      </c>
      <c r="AT1236" t="s">
        <v>465</v>
      </c>
      <c r="AU1236" t="s">
        <v>230</v>
      </c>
      <c r="AV1236" t="s">
        <v>25335</v>
      </c>
      <c r="AW1236" t="s">
        <v>11447</v>
      </c>
    </row>
    <row r="1237" spans="1:49">
      <c r="A1237" s="1">
        <f>HYPERLINK("https://lsnyc.legalserver.org/matter/dynamic-profile/view/1908559","19-1908559")</f>
        <v>0</v>
      </c>
      <c r="B1237" t="s">
        <v>116</v>
      </c>
      <c r="C1237" t="s">
        <v>466</v>
      </c>
      <c r="E1237" t="s">
        <v>1841</v>
      </c>
      <c r="F1237" t="s">
        <v>4358</v>
      </c>
      <c r="G1237" t="s">
        <v>7338</v>
      </c>
      <c r="H1237">
        <v>25</v>
      </c>
      <c r="I1237" t="s">
        <v>11383</v>
      </c>
      <c r="J1237">
        <v>10460</v>
      </c>
      <c r="K1237" t="s">
        <v>11446</v>
      </c>
      <c r="L1237" t="s">
        <v>11867</v>
      </c>
      <c r="M1237" t="s">
        <v>14743</v>
      </c>
      <c r="N1237" t="s">
        <v>14781</v>
      </c>
      <c r="P1237" t="s">
        <v>14797</v>
      </c>
      <c r="Q1237" t="s">
        <v>11448</v>
      </c>
      <c r="S1237" t="s">
        <v>14827</v>
      </c>
      <c r="T1237" t="s">
        <v>14833</v>
      </c>
      <c r="U1237" t="s">
        <v>14839</v>
      </c>
      <c r="V1237">
        <v>1587.81</v>
      </c>
      <c r="W1237" t="s">
        <v>14858</v>
      </c>
      <c r="X1237" t="s">
        <v>14868</v>
      </c>
      <c r="Z1237" t="s">
        <v>16064</v>
      </c>
      <c r="AB1237" t="s">
        <v>21148</v>
      </c>
      <c r="AC1237">
        <v>30</v>
      </c>
      <c r="AD1237" t="s">
        <v>24595</v>
      </c>
      <c r="AE1237" t="s">
        <v>24610</v>
      </c>
      <c r="AF1237">
        <v>8</v>
      </c>
      <c r="AG1237">
        <v>2</v>
      </c>
      <c r="AH1237">
        <v>2</v>
      </c>
      <c r="AI1237">
        <v>70.68000000000001</v>
      </c>
      <c r="AL1237" t="s">
        <v>24632</v>
      </c>
      <c r="AM1237">
        <v>18200</v>
      </c>
      <c r="AS1237">
        <v>28.7</v>
      </c>
      <c r="AT1237" t="s">
        <v>478</v>
      </c>
      <c r="AU1237" t="s">
        <v>25242</v>
      </c>
      <c r="AV1237" t="s">
        <v>25335</v>
      </c>
      <c r="AW1237" t="s">
        <v>11447</v>
      </c>
    </row>
    <row r="1238" spans="1:49">
      <c r="A1238" s="1">
        <f>HYPERLINK("https://lsnyc.legalserver.org/matter/dynamic-profile/view/1907382","19-1907382")</f>
        <v>0</v>
      </c>
      <c r="B1238" t="s">
        <v>119</v>
      </c>
      <c r="C1238" t="s">
        <v>368</v>
      </c>
      <c r="E1238" t="s">
        <v>1430</v>
      </c>
      <c r="F1238" t="s">
        <v>4359</v>
      </c>
      <c r="G1238" t="s">
        <v>7085</v>
      </c>
      <c r="H1238" t="s">
        <v>10812</v>
      </c>
      <c r="I1238" t="s">
        <v>11383</v>
      </c>
      <c r="J1238">
        <v>10457</v>
      </c>
      <c r="K1238" t="s">
        <v>11446</v>
      </c>
      <c r="L1238" t="s">
        <v>11465</v>
      </c>
      <c r="M1238" t="s">
        <v>14753</v>
      </c>
      <c r="N1238" t="s">
        <v>14780</v>
      </c>
      <c r="P1238" t="s">
        <v>14797</v>
      </c>
      <c r="Q1238" t="s">
        <v>11448</v>
      </c>
      <c r="S1238" t="s">
        <v>14830</v>
      </c>
      <c r="U1238" t="s">
        <v>14839</v>
      </c>
      <c r="V1238">
        <v>816</v>
      </c>
      <c r="W1238" t="s">
        <v>14858</v>
      </c>
      <c r="X1238" t="s">
        <v>14868</v>
      </c>
      <c r="Z1238" t="s">
        <v>14919</v>
      </c>
      <c r="AB1238" t="s">
        <v>21149</v>
      </c>
      <c r="AC1238">
        <v>47</v>
      </c>
      <c r="AD1238" t="s">
        <v>24595</v>
      </c>
      <c r="AE1238" t="s">
        <v>24610</v>
      </c>
      <c r="AF1238">
        <v>10</v>
      </c>
      <c r="AG1238">
        <v>1</v>
      </c>
      <c r="AH1238">
        <v>0</v>
      </c>
      <c r="AI1238">
        <v>73.98</v>
      </c>
      <c r="AL1238" t="s">
        <v>5011</v>
      </c>
      <c r="AM1238">
        <v>9240</v>
      </c>
      <c r="AS1238">
        <v>2.6</v>
      </c>
      <c r="AT1238" t="s">
        <v>559</v>
      </c>
      <c r="AU1238" t="s">
        <v>245</v>
      </c>
      <c r="AV1238" t="s">
        <v>25335</v>
      </c>
      <c r="AW1238" t="s">
        <v>11447</v>
      </c>
    </row>
    <row r="1239" spans="1:49">
      <c r="A1239" s="1">
        <f>HYPERLINK("https://lsnyc.legalserver.org/matter/dynamic-profile/view/1905129","19-1905129")</f>
        <v>0</v>
      </c>
      <c r="B1239" t="s">
        <v>123</v>
      </c>
      <c r="C1239" t="s">
        <v>456</v>
      </c>
      <c r="E1239" t="s">
        <v>1842</v>
      </c>
      <c r="F1239" t="s">
        <v>4360</v>
      </c>
      <c r="G1239" t="s">
        <v>7339</v>
      </c>
      <c r="H1239" t="s">
        <v>10813</v>
      </c>
      <c r="I1239" t="s">
        <v>11385</v>
      </c>
      <c r="J1239">
        <v>11218</v>
      </c>
      <c r="K1239" t="s">
        <v>11446</v>
      </c>
      <c r="L1239" t="s">
        <v>11868</v>
      </c>
      <c r="M1239" t="s">
        <v>14743</v>
      </c>
      <c r="N1239" t="s">
        <v>14781</v>
      </c>
      <c r="P1239" t="s">
        <v>14797</v>
      </c>
      <c r="Q1239" t="s">
        <v>11448</v>
      </c>
      <c r="S1239" t="s">
        <v>14827</v>
      </c>
      <c r="T1239" t="s">
        <v>14832</v>
      </c>
      <c r="U1239" t="s">
        <v>14839</v>
      </c>
      <c r="V1239">
        <v>1627</v>
      </c>
      <c r="W1239" t="s">
        <v>14859</v>
      </c>
      <c r="X1239" t="s">
        <v>14868</v>
      </c>
      <c r="Z1239" t="s">
        <v>16065</v>
      </c>
      <c r="AB1239" t="s">
        <v>21150</v>
      </c>
      <c r="AC1239">
        <v>6</v>
      </c>
      <c r="AD1239" t="s">
        <v>24600</v>
      </c>
      <c r="AF1239">
        <v>13</v>
      </c>
      <c r="AG1239">
        <v>1</v>
      </c>
      <c r="AH1239">
        <v>0</v>
      </c>
      <c r="AI1239">
        <v>93</v>
      </c>
      <c r="AL1239" t="s">
        <v>5011</v>
      </c>
      <c r="AM1239">
        <v>11616</v>
      </c>
      <c r="AS1239">
        <v>79.7</v>
      </c>
      <c r="AT1239" t="s">
        <v>495</v>
      </c>
      <c r="AU1239" t="s">
        <v>25238</v>
      </c>
      <c r="AV1239" t="s">
        <v>25335</v>
      </c>
      <c r="AW1239" t="s">
        <v>11447</v>
      </c>
    </row>
    <row r="1240" spans="1:49">
      <c r="A1240" s="1">
        <f>HYPERLINK("https://lsnyc.legalserver.org/matter/dynamic-profile/view/1909092","19-1909092")</f>
        <v>0</v>
      </c>
      <c r="B1240" t="s">
        <v>211</v>
      </c>
      <c r="C1240" t="s">
        <v>641</v>
      </c>
      <c r="E1240" t="s">
        <v>1843</v>
      </c>
      <c r="F1240" t="s">
        <v>4361</v>
      </c>
      <c r="G1240" t="s">
        <v>7340</v>
      </c>
      <c r="H1240" t="s">
        <v>10814</v>
      </c>
      <c r="I1240" t="s">
        <v>11385</v>
      </c>
      <c r="J1240">
        <v>11233</v>
      </c>
      <c r="K1240" t="s">
        <v>11446</v>
      </c>
      <c r="L1240" t="s">
        <v>11865</v>
      </c>
      <c r="M1240" t="s">
        <v>14762</v>
      </c>
      <c r="N1240" t="s">
        <v>14783</v>
      </c>
      <c r="P1240" t="s">
        <v>14797</v>
      </c>
      <c r="Q1240" t="s">
        <v>11446</v>
      </c>
      <c r="S1240" t="s">
        <v>14827</v>
      </c>
      <c r="T1240" t="s">
        <v>14832</v>
      </c>
      <c r="U1240" t="s">
        <v>14839</v>
      </c>
      <c r="V1240">
        <v>1059</v>
      </c>
      <c r="W1240" t="s">
        <v>14859</v>
      </c>
      <c r="X1240" t="s">
        <v>14755</v>
      </c>
      <c r="Z1240" t="s">
        <v>16066</v>
      </c>
      <c r="AC1240">
        <v>359</v>
      </c>
      <c r="AD1240" t="s">
        <v>24595</v>
      </c>
      <c r="AE1240" t="s">
        <v>11459</v>
      </c>
      <c r="AF1240">
        <v>18</v>
      </c>
      <c r="AG1240">
        <v>2</v>
      </c>
      <c r="AH1240">
        <v>2</v>
      </c>
      <c r="AI1240">
        <v>120.39</v>
      </c>
      <c r="AL1240" t="s">
        <v>5011</v>
      </c>
      <c r="AM1240">
        <v>31000</v>
      </c>
      <c r="AN1240" t="s">
        <v>24764</v>
      </c>
      <c r="AS1240">
        <v>0</v>
      </c>
      <c r="AU1240" t="s">
        <v>120</v>
      </c>
      <c r="AV1240" t="s">
        <v>11459</v>
      </c>
      <c r="AW1240" t="s">
        <v>11447</v>
      </c>
    </row>
    <row r="1241" spans="1:49">
      <c r="A1241" s="1">
        <f>HYPERLINK("https://lsnyc.legalserver.org/matter/dynamic-profile/view/1904832","19-1904832")</f>
        <v>0</v>
      </c>
      <c r="B1241" t="s">
        <v>116</v>
      </c>
      <c r="C1241" t="s">
        <v>345</v>
      </c>
      <c r="E1241" t="s">
        <v>1430</v>
      </c>
      <c r="F1241" t="s">
        <v>3709</v>
      </c>
      <c r="G1241" t="s">
        <v>7341</v>
      </c>
      <c r="H1241" t="s">
        <v>10537</v>
      </c>
      <c r="I1241" t="s">
        <v>11383</v>
      </c>
      <c r="J1241">
        <v>10452</v>
      </c>
      <c r="K1241" t="s">
        <v>11446</v>
      </c>
      <c r="L1241" t="s">
        <v>11869</v>
      </c>
      <c r="M1241" t="s">
        <v>14744</v>
      </c>
      <c r="N1241" t="s">
        <v>14781</v>
      </c>
      <c r="P1241" t="s">
        <v>14797</v>
      </c>
      <c r="Q1241" t="s">
        <v>11448</v>
      </c>
      <c r="S1241" t="s">
        <v>14827</v>
      </c>
      <c r="T1241" t="s">
        <v>14834</v>
      </c>
      <c r="U1241" t="s">
        <v>14839</v>
      </c>
      <c r="V1241">
        <v>952</v>
      </c>
      <c r="W1241" t="s">
        <v>14858</v>
      </c>
      <c r="X1241" t="s">
        <v>14868</v>
      </c>
      <c r="Z1241" t="s">
        <v>16067</v>
      </c>
      <c r="AA1241" t="s">
        <v>19426</v>
      </c>
      <c r="AB1241" t="s">
        <v>21151</v>
      </c>
      <c r="AC1241">
        <v>15000</v>
      </c>
      <c r="AD1241" t="s">
        <v>24595</v>
      </c>
      <c r="AE1241" t="s">
        <v>24611</v>
      </c>
      <c r="AF1241">
        <v>31</v>
      </c>
      <c r="AG1241">
        <v>1</v>
      </c>
      <c r="AH1241">
        <v>0</v>
      </c>
      <c r="AI1241">
        <v>137.29</v>
      </c>
      <c r="AL1241" t="s">
        <v>5011</v>
      </c>
      <c r="AM1241">
        <v>17148</v>
      </c>
      <c r="AS1241">
        <v>27.6</v>
      </c>
      <c r="AT1241" t="s">
        <v>467</v>
      </c>
      <c r="AU1241" t="s">
        <v>25226</v>
      </c>
      <c r="AV1241" t="s">
        <v>25334</v>
      </c>
      <c r="AW1241" t="s">
        <v>11447</v>
      </c>
    </row>
    <row r="1242" spans="1:49">
      <c r="A1242" s="1">
        <f>HYPERLINK("https://lsnyc.legalserver.org/matter/dynamic-profile/view/1909089","19-1909089")</f>
        <v>0</v>
      </c>
      <c r="B1242" t="s">
        <v>211</v>
      </c>
      <c r="C1242" t="s">
        <v>641</v>
      </c>
      <c r="E1242" t="s">
        <v>1844</v>
      </c>
      <c r="F1242" t="s">
        <v>4362</v>
      </c>
      <c r="G1242" t="s">
        <v>7152</v>
      </c>
      <c r="H1242" t="s">
        <v>10815</v>
      </c>
      <c r="I1242" t="s">
        <v>11385</v>
      </c>
      <c r="J1242">
        <v>11233</v>
      </c>
      <c r="K1242" t="s">
        <v>11446</v>
      </c>
      <c r="L1242" t="s">
        <v>11865</v>
      </c>
      <c r="M1242" t="s">
        <v>14762</v>
      </c>
      <c r="N1242" t="s">
        <v>14783</v>
      </c>
      <c r="P1242" t="s">
        <v>14797</v>
      </c>
      <c r="Q1242" t="s">
        <v>11446</v>
      </c>
      <c r="S1242" t="s">
        <v>14827</v>
      </c>
      <c r="T1242" t="s">
        <v>14832</v>
      </c>
      <c r="U1242" t="s">
        <v>14839</v>
      </c>
      <c r="V1242">
        <v>879</v>
      </c>
      <c r="W1242" t="s">
        <v>14859</v>
      </c>
      <c r="X1242" t="s">
        <v>14755</v>
      </c>
      <c r="Z1242" t="s">
        <v>16068</v>
      </c>
      <c r="AC1242">
        <v>359</v>
      </c>
      <c r="AD1242" t="s">
        <v>24595</v>
      </c>
      <c r="AE1242" t="s">
        <v>11459</v>
      </c>
      <c r="AF1242">
        <v>28</v>
      </c>
      <c r="AG1242">
        <v>1</v>
      </c>
      <c r="AH1242">
        <v>0</v>
      </c>
      <c r="AI1242">
        <v>160.13</v>
      </c>
      <c r="AL1242" t="s">
        <v>5011</v>
      </c>
      <c r="AM1242">
        <v>20000</v>
      </c>
      <c r="AN1242" t="s">
        <v>24765</v>
      </c>
      <c r="AS1242">
        <v>0</v>
      </c>
      <c r="AU1242" t="s">
        <v>120</v>
      </c>
      <c r="AV1242" t="s">
        <v>11459</v>
      </c>
      <c r="AW1242" t="s">
        <v>11447</v>
      </c>
    </row>
    <row r="1243" spans="1:49">
      <c r="A1243" s="1">
        <f>HYPERLINK("https://lsnyc.legalserver.org/matter/dynamic-profile/view/1900422","19-1900422")</f>
        <v>0</v>
      </c>
      <c r="B1243" t="s">
        <v>188</v>
      </c>
      <c r="C1243" t="s">
        <v>348</v>
      </c>
      <c r="E1243" t="s">
        <v>1843</v>
      </c>
      <c r="F1243" t="s">
        <v>4363</v>
      </c>
      <c r="G1243" t="s">
        <v>7342</v>
      </c>
      <c r="I1243" t="s">
        <v>11386</v>
      </c>
      <c r="J1243">
        <v>10031</v>
      </c>
      <c r="K1243" t="s">
        <v>11446</v>
      </c>
      <c r="L1243" t="s">
        <v>11870</v>
      </c>
      <c r="M1243" t="s">
        <v>14744</v>
      </c>
      <c r="N1243" t="s">
        <v>14781</v>
      </c>
      <c r="P1243" t="s">
        <v>14797</v>
      </c>
      <c r="Q1243" t="s">
        <v>11448</v>
      </c>
      <c r="S1243" t="s">
        <v>14827</v>
      </c>
      <c r="U1243" t="s">
        <v>14839</v>
      </c>
      <c r="V1243">
        <v>818.59</v>
      </c>
      <c r="W1243" t="s">
        <v>14860</v>
      </c>
      <c r="X1243" t="s">
        <v>14863</v>
      </c>
      <c r="Z1243" t="s">
        <v>16069</v>
      </c>
      <c r="AB1243" t="s">
        <v>21152</v>
      </c>
      <c r="AC1243">
        <v>46</v>
      </c>
      <c r="AD1243" t="s">
        <v>24595</v>
      </c>
      <c r="AF1243">
        <v>40</v>
      </c>
      <c r="AG1243">
        <v>1</v>
      </c>
      <c r="AH1243">
        <v>0</v>
      </c>
      <c r="AI1243">
        <v>181.68</v>
      </c>
      <c r="AL1243" t="s">
        <v>5011</v>
      </c>
      <c r="AM1243">
        <v>22692</v>
      </c>
      <c r="AS1243">
        <v>8.050000000000001</v>
      </c>
      <c r="AT1243" t="s">
        <v>338</v>
      </c>
      <c r="AU1243" t="s">
        <v>25282</v>
      </c>
      <c r="AV1243" t="s">
        <v>25335</v>
      </c>
      <c r="AW1243" t="s">
        <v>11447</v>
      </c>
    </row>
    <row r="1244" spans="1:49">
      <c r="A1244" s="1">
        <f>HYPERLINK("https://lsnyc.legalserver.org/matter/dynamic-profile/view/1909087","19-1909087")</f>
        <v>0</v>
      </c>
      <c r="B1244" t="s">
        <v>211</v>
      </c>
      <c r="C1244" t="s">
        <v>641</v>
      </c>
      <c r="E1244" t="s">
        <v>1845</v>
      </c>
      <c r="F1244" t="s">
        <v>4364</v>
      </c>
      <c r="G1244" t="s">
        <v>7340</v>
      </c>
      <c r="H1244" t="s">
        <v>10450</v>
      </c>
      <c r="I1244" t="s">
        <v>11385</v>
      </c>
      <c r="J1244">
        <v>11233</v>
      </c>
      <c r="K1244" t="s">
        <v>11446</v>
      </c>
      <c r="L1244" t="s">
        <v>11865</v>
      </c>
      <c r="M1244" t="s">
        <v>14762</v>
      </c>
      <c r="N1244" t="s">
        <v>14783</v>
      </c>
      <c r="P1244" t="s">
        <v>14797</v>
      </c>
      <c r="Q1244" t="s">
        <v>11446</v>
      </c>
      <c r="S1244" t="s">
        <v>14827</v>
      </c>
      <c r="T1244" t="s">
        <v>14832</v>
      </c>
      <c r="U1244" t="s">
        <v>14839</v>
      </c>
      <c r="V1244">
        <v>840.39</v>
      </c>
      <c r="W1244" t="s">
        <v>14859</v>
      </c>
      <c r="X1244" t="s">
        <v>14755</v>
      </c>
      <c r="Z1244" t="s">
        <v>16070</v>
      </c>
      <c r="AC1244">
        <v>359</v>
      </c>
      <c r="AD1244" t="s">
        <v>24595</v>
      </c>
      <c r="AE1244" t="s">
        <v>11459</v>
      </c>
      <c r="AF1244">
        <v>8</v>
      </c>
      <c r="AG1244">
        <v>2</v>
      </c>
      <c r="AH1244">
        <v>1</v>
      </c>
      <c r="AI1244">
        <v>201.59</v>
      </c>
      <c r="AL1244" t="s">
        <v>5011</v>
      </c>
      <c r="AM1244">
        <v>43000</v>
      </c>
      <c r="AN1244" t="s">
        <v>24766</v>
      </c>
      <c r="AS1244">
        <v>0</v>
      </c>
      <c r="AU1244" t="s">
        <v>120</v>
      </c>
      <c r="AV1244" t="s">
        <v>11459</v>
      </c>
      <c r="AW1244" t="s">
        <v>11447</v>
      </c>
    </row>
    <row r="1245" spans="1:49">
      <c r="A1245" s="1">
        <f>HYPERLINK("https://lsnyc.legalserver.org/matter/dynamic-profile/view/1907227","19-1907227")</f>
        <v>0</v>
      </c>
      <c r="B1245" t="s">
        <v>76</v>
      </c>
      <c r="C1245" t="s">
        <v>379</v>
      </c>
      <c r="E1245" t="s">
        <v>1846</v>
      </c>
      <c r="F1245" t="s">
        <v>4357</v>
      </c>
      <c r="G1245" t="s">
        <v>7343</v>
      </c>
      <c r="H1245" t="s">
        <v>10579</v>
      </c>
      <c r="I1245" t="s">
        <v>11385</v>
      </c>
      <c r="J1245">
        <v>11233</v>
      </c>
      <c r="K1245" t="s">
        <v>11446</v>
      </c>
      <c r="L1245" t="s">
        <v>11871</v>
      </c>
      <c r="M1245" t="s">
        <v>14744</v>
      </c>
      <c r="N1245" t="s">
        <v>14781</v>
      </c>
      <c r="P1245" t="s">
        <v>14797</v>
      </c>
      <c r="Q1245" t="s">
        <v>11448</v>
      </c>
      <c r="S1245" t="s">
        <v>14827</v>
      </c>
      <c r="U1245" t="s">
        <v>14839</v>
      </c>
      <c r="V1245">
        <v>868.12</v>
      </c>
      <c r="W1245" t="s">
        <v>14859</v>
      </c>
      <c r="X1245" t="s">
        <v>14755</v>
      </c>
      <c r="Z1245" t="s">
        <v>16071</v>
      </c>
      <c r="AB1245" t="s">
        <v>21153</v>
      </c>
      <c r="AC1245">
        <v>32</v>
      </c>
      <c r="AD1245" t="s">
        <v>24595</v>
      </c>
      <c r="AE1245" t="s">
        <v>11459</v>
      </c>
      <c r="AF1245">
        <v>7</v>
      </c>
      <c r="AG1245">
        <v>1</v>
      </c>
      <c r="AH1245">
        <v>1</v>
      </c>
      <c r="AI1245">
        <v>211.71</v>
      </c>
      <c r="AL1245" t="s">
        <v>5011</v>
      </c>
      <c r="AM1245">
        <v>35800</v>
      </c>
      <c r="AS1245">
        <v>15.8</v>
      </c>
      <c r="AT1245" t="s">
        <v>509</v>
      </c>
      <c r="AU1245" t="s">
        <v>120</v>
      </c>
      <c r="AV1245" t="s">
        <v>25335</v>
      </c>
      <c r="AW1245" t="s">
        <v>11447</v>
      </c>
    </row>
    <row r="1246" spans="1:49">
      <c r="A1246" s="1">
        <f>HYPERLINK("https://lsnyc.legalserver.org/matter/dynamic-profile/view/1906359","19-1906359")</f>
        <v>0</v>
      </c>
      <c r="B1246" t="s">
        <v>213</v>
      </c>
      <c r="C1246" t="s">
        <v>485</v>
      </c>
      <c r="E1246" t="s">
        <v>1769</v>
      </c>
      <c r="F1246" t="s">
        <v>3965</v>
      </c>
      <c r="G1246" t="s">
        <v>7229</v>
      </c>
      <c r="H1246" t="s">
        <v>10595</v>
      </c>
      <c r="I1246" t="s">
        <v>11385</v>
      </c>
      <c r="J1246">
        <v>11216</v>
      </c>
      <c r="K1246" t="s">
        <v>11446</v>
      </c>
      <c r="L1246" t="s">
        <v>11785</v>
      </c>
      <c r="M1246" t="s">
        <v>14763</v>
      </c>
      <c r="N1246" t="s">
        <v>14781</v>
      </c>
      <c r="P1246" t="s">
        <v>14797</v>
      </c>
      <c r="Q1246" t="s">
        <v>11446</v>
      </c>
      <c r="S1246" t="s">
        <v>14827</v>
      </c>
      <c r="T1246" t="s">
        <v>14832</v>
      </c>
      <c r="U1246" t="s">
        <v>14839</v>
      </c>
      <c r="V1246">
        <v>1550</v>
      </c>
      <c r="W1246" t="s">
        <v>14859</v>
      </c>
      <c r="X1246" t="s">
        <v>14876</v>
      </c>
      <c r="Z1246" t="s">
        <v>15921</v>
      </c>
      <c r="AA1246" t="s">
        <v>11465</v>
      </c>
      <c r="AB1246" t="s">
        <v>21010</v>
      </c>
      <c r="AC1246">
        <v>82</v>
      </c>
      <c r="AD1246" t="s">
        <v>24595</v>
      </c>
      <c r="AE1246" t="s">
        <v>11459</v>
      </c>
      <c r="AF1246">
        <v>8</v>
      </c>
      <c r="AG1246">
        <v>1</v>
      </c>
      <c r="AH1246">
        <v>0</v>
      </c>
      <c r="AI1246">
        <v>792.63</v>
      </c>
      <c r="AK1246" t="s">
        <v>24629</v>
      </c>
      <c r="AL1246" t="s">
        <v>5011</v>
      </c>
      <c r="AM1246">
        <v>99000</v>
      </c>
      <c r="AN1246" t="s">
        <v>24767</v>
      </c>
      <c r="AS1246">
        <v>0</v>
      </c>
      <c r="AU1246" t="s">
        <v>66</v>
      </c>
      <c r="AV1246" t="s">
        <v>25335</v>
      </c>
      <c r="AW1246" t="s">
        <v>11447</v>
      </c>
    </row>
    <row r="1247" spans="1:49">
      <c r="A1247" s="1">
        <f>HYPERLINK("https://lsnyc.legalserver.org/matter/dynamic-profile/view/1908656","19-1908656")</f>
        <v>0</v>
      </c>
      <c r="B1247" t="s">
        <v>205</v>
      </c>
      <c r="C1247" t="s">
        <v>410</v>
      </c>
      <c r="E1247" t="s">
        <v>1847</v>
      </c>
      <c r="F1247" t="s">
        <v>4365</v>
      </c>
      <c r="G1247" t="s">
        <v>7264</v>
      </c>
      <c r="H1247" t="s">
        <v>10489</v>
      </c>
      <c r="I1247" t="s">
        <v>11386</v>
      </c>
      <c r="J1247">
        <v>10035</v>
      </c>
      <c r="K1247" t="s">
        <v>11446</v>
      </c>
      <c r="M1247" t="s">
        <v>11601</v>
      </c>
      <c r="N1247" t="s">
        <v>14779</v>
      </c>
      <c r="P1247" t="s">
        <v>14797</v>
      </c>
      <c r="Q1247" t="s">
        <v>11446</v>
      </c>
      <c r="S1247" t="s">
        <v>14827</v>
      </c>
      <c r="T1247" t="s">
        <v>14832</v>
      </c>
      <c r="U1247" t="s">
        <v>410</v>
      </c>
      <c r="V1247">
        <v>1883.38</v>
      </c>
      <c r="W1247" t="s">
        <v>14860</v>
      </c>
      <c r="X1247" t="s">
        <v>14876</v>
      </c>
      <c r="Z1247" t="s">
        <v>16072</v>
      </c>
      <c r="AB1247" t="s">
        <v>21154</v>
      </c>
      <c r="AC1247">
        <v>72</v>
      </c>
      <c r="AD1247" t="s">
        <v>24595</v>
      </c>
      <c r="AE1247" t="s">
        <v>24610</v>
      </c>
      <c r="AF1247">
        <v>36</v>
      </c>
      <c r="AG1247">
        <v>1</v>
      </c>
      <c r="AH1247">
        <v>0</v>
      </c>
      <c r="AI1247">
        <v>92.52</v>
      </c>
      <c r="AL1247" t="s">
        <v>5011</v>
      </c>
      <c r="AM1247">
        <v>11556</v>
      </c>
      <c r="AS1247">
        <v>6.5</v>
      </c>
      <c r="AT1247" t="s">
        <v>524</v>
      </c>
      <c r="AU1247" t="s">
        <v>25266</v>
      </c>
      <c r="AV1247" t="s">
        <v>25335</v>
      </c>
      <c r="AW1247" t="s">
        <v>11447</v>
      </c>
    </row>
    <row r="1248" spans="1:49">
      <c r="A1248" s="1">
        <f>HYPERLINK("https://lsnyc.legalserver.org/matter/dynamic-profile/view/1908658","19-1908658")</f>
        <v>0</v>
      </c>
      <c r="B1248" t="s">
        <v>229</v>
      </c>
      <c r="C1248" t="s">
        <v>410</v>
      </c>
      <c r="E1248" t="s">
        <v>1848</v>
      </c>
      <c r="F1248" t="s">
        <v>4366</v>
      </c>
      <c r="G1248" t="s">
        <v>7344</v>
      </c>
      <c r="H1248">
        <v>314</v>
      </c>
      <c r="I1248" t="s">
        <v>11389</v>
      </c>
      <c r="J1248">
        <v>11354</v>
      </c>
      <c r="K1248" t="s">
        <v>11446</v>
      </c>
      <c r="L1248" t="s">
        <v>11872</v>
      </c>
      <c r="M1248" t="s">
        <v>14744</v>
      </c>
      <c r="N1248" t="s">
        <v>14781</v>
      </c>
      <c r="P1248" t="s">
        <v>14797</v>
      </c>
      <c r="Q1248" t="s">
        <v>11448</v>
      </c>
      <c r="S1248" t="s">
        <v>14827</v>
      </c>
      <c r="T1248" t="s">
        <v>14832</v>
      </c>
      <c r="U1248" t="s">
        <v>410</v>
      </c>
      <c r="V1248">
        <v>1150.87</v>
      </c>
      <c r="W1248" t="s">
        <v>14861</v>
      </c>
      <c r="X1248" t="s">
        <v>14872</v>
      </c>
      <c r="Z1248" t="s">
        <v>16073</v>
      </c>
      <c r="AB1248" t="s">
        <v>21155</v>
      </c>
      <c r="AC1248">
        <v>79</v>
      </c>
      <c r="AD1248" t="s">
        <v>24595</v>
      </c>
      <c r="AE1248" t="s">
        <v>24613</v>
      </c>
      <c r="AF1248">
        <v>30</v>
      </c>
      <c r="AG1248">
        <v>1</v>
      </c>
      <c r="AH1248">
        <v>0</v>
      </c>
      <c r="AI1248">
        <v>94.83</v>
      </c>
      <c r="AL1248" t="s">
        <v>24638</v>
      </c>
      <c r="AM1248">
        <v>11844</v>
      </c>
      <c r="AP1248" t="s">
        <v>24943</v>
      </c>
      <c r="AS1248">
        <v>4.65</v>
      </c>
      <c r="AT1248" t="s">
        <v>539</v>
      </c>
      <c r="AU1248" t="s">
        <v>25255</v>
      </c>
      <c r="AW1248" t="s">
        <v>11447</v>
      </c>
    </row>
    <row r="1249" spans="1:49">
      <c r="A1249" s="1">
        <f>HYPERLINK("https://lsnyc.legalserver.org/matter/dynamic-profile/view/1908666","19-1908666")</f>
        <v>0</v>
      </c>
      <c r="B1249" t="s">
        <v>144</v>
      </c>
      <c r="C1249" t="s">
        <v>410</v>
      </c>
      <c r="E1249" t="s">
        <v>1849</v>
      </c>
      <c r="F1249" t="s">
        <v>4367</v>
      </c>
      <c r="G1249" t="s">
        <v>7306</v>
      </c>
      <c r="H1249" t="s">
        <v>10529</v>
      </c>
      <c r="I1249" t="s">
        <v>11409</v>
      </c>
      <c r="J1249">
        <v>11377</v>
      </c>
      <c r="K1249" t="s">
        <v>11446</v>
      </c>
      <c r="L1249" t="s">
        <v>11839</v>
      </c>
      <c r="M1249" t="s">
        <v>14762</v>
      </c>
      <c r="N1249" t="s">
        <v>14783</v>
      </c>
      <c r="P1249" t="s">
        <v>14797</v>
      </c>
      <c r="Q1249" t="s">
        <v>11446</v>
      </c>
      <c r="S1249" t="s">
        <v>14827</v>
      </c>
      <c r="T1249" t="s">
        <v>14832</v>
      </c>
      <c r="U1249" t="s">
        <v>410</v>
      </c>
      <c r="V1249">
        <v>1541.52</v>
      </c>
      <c r="W1249" t="s">
        <v>14861</v>
      </c>
      <c r="X1249" t="s">
        <v>14864</v>
      </c>
      <c r="Z1249" t="s">
        <v>16074</v>
      </c>
      <c r="AA1249" t="s">
        <v>19344</v>
      </c>
      <c r="AB1249" t="s">
        <v>19344</v>
      </c>
      <c r="AC1249">
        <v>67</v>
      </c>
      <c r="AD1249" t="s">
        <v>24595</v>
      </c>
      <c r="AE1249" t="s">
        <v>11459</v>
      </c>
      <c r="AF1249">
        <v>14</v>
      </c>
      <c r="AG1249">
        <v>3</v>
      </c>
      <c r="AH1249">
        <v>1</v>
      </c>
      <c r="AI1249">
        <v>100.97</v>
      </c>
      <c r="AL1249" t="s">
        <v>24632</v>
      </c>
      <c r="AM1249">
        <v>26000</v>
      </c>
      <c r="AP1249" t="s">
        <v>14755</v>
      </c>
      <c r="AS1249">
        <v>0.3</v>
      </c>
      <c r="AT1249" t="s">
        <v>410</v>
      </c>
      <c r="AU1249" t="s">
        <v>292</v>
      </c>
      <c r="AV1249" t="s">
        <v>25335</v>
      </c>
      <c r="AW1249" t="s">
        <v>11447</v>
      </c>
    </row>
    <row r="1250" spans="1:49">
      <c r="A1250" s="1">
        <f>HYPERLINK("https://lsnyc.legalserver.org/matter/dynamic-profile/view/1908662","19-1908662")</f>
        <v>0</v>
      </c>
      <c r="B1250" t="s">
        <v>205</v>
      </c>
      <c r="C1250" t="s">
        <v>410</v>
      </c>
      <c r="E1250" t="s">
        <v>1409</v>
      </c>
      <c r="F1250" t="s">
        <v>4368</v>
      </c>
      <c r="G1250" t="s">
        <v>7264</v>
      </c>
      <c r="H1250" t="s">
        <v>10497</v>
      </c>
      <c r="I1250" t="s">
        <v>11386</v>
      </c>
      <c r="J1250">
        <v>10035</v>
      </c>
      <c r="K1250" t="s">
        <v>11446</v>
      </c>
      <c r="L1250" t="s">
        <v>11873</v>
      </c>
      <c r="M1250" t="s">
        <v>14746</v>
      </c>
      <c r="N1250" t="s">
        <v>14781</v>
      </c>
      <c r="P1250" t="s">
        <v>14797</v>
      </c>
      <c r="Q1250" t="s">
        <v>11446</v>
      </c>
      <c r="S1250" t="s">
        <v>14827</v>
      </c>
      <c r="T1250" t="s">
        <v>14832</v>
      </c>
      <c r="U1250" t="s">
        <v>410</v>
      </c>
      <c r="V1250">
        <v>1133.6</v>
      </c>
      <c r="W1250" t="s">
        <v>14860</v>
      </c>
      <c r="X1250" t="s">
        <v>14876</v>
      </c>
      <c r="Z1250" t="s">
        <v>16075</v>
      </c>
      <c r="AB1250" t="s">
        <v>21156</v>
      </c>
      <c r="AC1250">
        <v>72</v>
      </c>
      <c r="AD1250" t="s">
        <v>24595</v>
      </c>
      <c r="AE1250" t="s">
        <v>11459</v>
      </c>
      <c r="AF1250">
        <v>9</v>
      </c>
      <c r="AG1250">
        <v>2</v>
      </c>
      <c r="AH1250">
        <v>0</v>
      </c>
      <c r="AI1250">
        <v>141.93</v>
      </c>
      <c r="AL1250" t="s">
        <v>5011</v>
      </c>
      <c r="AM1250">
        <v>24000</v>
      </c>
      <c r="AS1250">
        <v>0</v>
      </c>
      <c r="AU1250" t="s">
        <v>25266</v>
      </c>
      <c r="AV1250" t="s">
        <v>25335</v>
      </c>
      <c r="AW1250" t="s">
        <v>11447</v>
      </c>
    </row>
    <row r="1251" spans="1:49">
      <c r="A1251" s="1">
        <f>HYPERLINK("https://lsnyc.legalserver.org/matter/dynamic-profile/view/1908841","19-1908841")</f>
        <v>0</v>
      </c>
      <c r="B1251" t="s">
        <v>103</v>
      </c>
      <c r="C1251" t="s">
        <v>585</v>
      </c>
      <c r="E1251" t="s">
        <v>1850</v>
      </c>
      <c r="F1251" t="s">
        <v>4357</v>
      </c>
      <c r="G1251" t="s">
        <v>7345</v>
      </c>
      <c r="H1251" t="s">
        <v>10492</v>
      </c>
      <c r="I1251" t="s">
        <v>11385</v>
      </c>
      <c r="J1251">
        <v>11239</v>
      </c>
      <c r="K1251" t="s">
        <v>11446</v>
      </c>
      <c r="L1251" t="s">
        <v>11874</v>
      </c>
      <c r="M1251" t="s">
        <v>14744</v>
      </c>
      <c r="N1251" t="s">
        <v>14781</v>
      </c>
      <c r="P1251" t="s">
        <v>14797</v>
      </c>
      <c r="Q1251" t="s">
        <v>11448</v>
      </c>
      <c r="S1251" t="s">
        <v>14827</v>
      </c>
      <c r="T1251" t="s">
        <v>14832</v>
      </c>
      <c r="U1251" t="s">
        <v>585</v>
      </c>
      <c r="V1251">
        <v>1896</v>
      </c>
      <c r="W1251" t="s">
        <v>14859</v>
      </c>
      <c r="X1251" t="s">
        <v>14865</v>
      </c>
      <c r="Z1251" t="s">
        <v>16076</v>
      </c>
      <c r="AA1251" t="s">
        <v>19427</v>
      </c>
      <c r="AB1251" t="s">
        <v>21157</v>
      </c>
      <c r="AC1251">
        <v>1463</v>
      </c>
      <c r="AD1251" t="s">
        <v>24605</v>
      </c>
      <c r="AE1251" t="s">
        <v>24614</v>
      </c>
      <c r="AF1251">
        <v>0</v>
      </c>
      <c r="AG1251">
        <v>1</v>
      </c>
      <c r="AH1251">
        <v>1</v>
      </c>
      <c r="AI1251">
        <v>13.7</v>
      </c>
      <c r="AL1251" t="s">
        <v>5011</v>
      </c>
      <c r="AM1251">
        <v>2316</v>
      </c>
      <c r="AS1251">
        <v>8</v>
      </c>
      <c r="AT1251" t="s">
        <v>484</v>
      </c>
      <c r="AU1251" t="s">
        <v>25277</v>
      </c>
      <c r="AV1251" t="s">
        <v>25334</v>
      </c>
      <c r="AW1251" t="s">
        <v>11447</v>
      </c>
    </row>
    <row r="1252" spans="1:49">
      <c r="A1252" s="1">
        <f>HYPERLINK("https://lsnyc.legalserver.org/matter/dynamic-profile/view/1908100","19-1908100")</f>
        <v>0</v>
      </c>
      <c r="B1252" t="s">
        <v>183</v>
      </c>
      <c r="C1252" t="s">
        <v>455</v>
      </c>
      <c r="E1252" t="s">
        <v>1224</v>
      </c>
      <c r="F1252" t="s">
        <v>3809</v>
      </c>
      <c r="G1252" t="s">
        <v>7346</v>
      </c>
      <c r="H1252" t="s">
        <v>10816</v>
      </c>
      <c r="I1252" t="s">
        <v>11385</v>
      </c>
      <c r="J1252">
        <v>11212</v>
      </c>
      <c r="K1252" t="s">
        <v>11446</v>
      </c>
      <c r="L1252" t="s">
        <v>11875</v>
      </c>
      <c r="M1252" t="s">
        <v>14744</v>
      </c>
      <c r="N1252" t="s">
        <v>14781</v>
      </c>
      <c r="P1252" t="s">
        <v>14797</v>
      </c>
      <c r="Q1252" t="s">
        <v>11448</v>
      </c>
      <c r="S1252" t="s">
        <v>14827</v>
      </c>
      <c r="T1252" t="s">
        <v>14832</v>
      </c>
      <c r="U1252" t="s">
        <v>585</v>
      </c>
      <c r="V1252">
        <v>1027</v>
      </c>
      <c r="W1252" t="s">
        <v>14859</v>
      </c>
      <c r="X1252" t="s">
        <v>14863</v>
      </c>
      <c r="Z1252" t="s">
        <v>16077</v>
      </c>
      <c r="AA1252" t="s">
        <v>19354</v>
      </c>
      <c r="AB1252" t="s">
        <v>21158</v>
      </c>
      <c r="AC1252">
        <v>260</v>
      </c>
      <c r="AD1252" t="s">
        <v>24596</v>
      </c>
      <c r="AE1252" t="s">
        <v>24614</v>
      </c>
      <c r="AF1252">
        <v>17</v>
      </c>
      <c r="AG1252">
        <v>1</v>
      </c>
      <c r="AH1252">
        <v>0</v>
      </c>
      <c r="AI1252">
        <v>74.08</v>
      </c>
      <c r="AL1252" t="s">
        <v>5011</v>
      </c>
      <c r="AM1252">
        <v>9252</v>
      </c>
      <c r="AS1252">
        <v>7</v>
      </c>
      <c r="AT1252" t="s">
        <v>476</v>
      </c>
      <c r="AU1252" t="s">
        <v>25227</v>
      </c>
      <c r="AV1252" t="s">
        <v>25335</v>
      </c>
      <c r="AW1252" t="s">
        <v>11447</v>
      </c>
    </row>
    <row r="1253" spans="1:49">
      <c r="A1253" s="1">
        <f>HYPERLINK("https://lsnyc.legalserver.org/matter/dynamic-profile/view/1912767","19-1912767")</f>
        <v>0</v>
      </c>
      <c r="B1253" t="s">
        <v>205</v>
      </c>
      <c r="C1253" t="s">
        <v>470</v>
      </c>
      <c r="E1253" t="s">
        <v>1158</v>
      </c>
      <c r="F1253" t="s">
        <v>3547</v>
      </c>
      <c r="G1253" t="s">
        <v>6424</v>
      </c>
      <c r="H1253" t="s">
        <v>10541</v>
      </c>
      <c r="I1253" t="s">
        <v>11386</v>
      </c>
      <c r="J1253">
        <v>10035</v>
      </c>
      <c r="K1253" t="s">
        <v>11446</v>
      </c>
      <c r="M1253" t="s">
        <v>11601</v>
      </c>
      <c r="N1253" t="s">
        <v>14778</v>
      </c>
      <c r="P1253" t="s">
        <v>14797</v>
      </c>
      <c r="Q1253" t="s">
        <v>11448</v>
      </c>
      <c r="S1253" t="s">
        <v>14827</v>
      </c>
      <c r="T1253" t="s">
        <v>14832</v>
      </c>
      <c r="U1253" t="s">
        <v>640</v>
      </c>
      <c r="V1253">
        <v>310</v>
      </c>
      <c r="W1253" t="s">
        <v>14860</v>
      </c>
      <c r="X1253" t="s">
        <v>14876</v>
      </c>
      <c r="Z1253" t="s">
        <v>15050</v>
      </c>
      <c r="AB1253" t="s">
        <v>20220</v>
      </c>
      <c r="AC1253">
        <v>0</v>
      </c>
      <c r="AD1253" t="s">
        <v>11479</v>
      </c>
      <c r="AE1253" t="s">
        <v>11459</v>
      </c>
      <c r="AF1253">
        <v>1</v>
      </c>
      <c r="AG1253">
        <v>1</v>
      </c>
      <c r="AH1253">
        <v>3</v>
      </c>
      <c r="AI1253">
        <v>23.3</v>
      </c>
      <c r="AL1253" t="s">
        <v>5011</v>
      </c>
      <c r="AM1253">
        <v>6000</v>
      </c>
      <c r="AS1253">
        <v>0</v>
      </c>
      <c r="AU1253" t="s">
        <v>25266</v>
      </c>
      <c r="AV1253" t="s">
        <v>25335</v>
      </c>
      <c r="AW1253" t="s">
        <v>11447</v>
      </c>
    </row>
    <row r="1254" spans="1:49">
      <c r="A1254" s="1">
        <f>HYPERLINK("https://lsnyc.legalserver.org/matter/dynamic-profile/view/1908938","19-1908938")</f>
        <v>0</v>
      </c>
      <c r="B1254" t="s">
        <v>210</v>
      </c>
      <c r="C1254" t="s">
        <v>640</v>
      </c>
      <c r="E1254" t="s">
        <v>1056</v>
      </c>
      <c r="F1254" t="s">
        <v>4369</v>
      </c>
      <c r="G1254" t="s">
        <v>7282</v>
      </c>
      <c r="H1254" t="s">
        <v>10460</v>
      </c>
      <c r="I1254" t="s">
        <v>11385</v>
      </c>
      <c r="J1254">
        <v>11225</v>
      </c>
      <c r="K1254" t="s">
        <v>11446</v>
      </c>
      <c r="M1254" t="s">
        <v>14745</v>
      </c>
      <c r="N1254" t="s">
        <v>14783</v>
      </c>
      <c r="P1254" t="s">
        <v>14797</v>
      </c>
      <c r="Q1254" t="s">
        <v>11448</v>
      </c>
      <c r="S1254" t="s">
        <v>14827</v>
      </c>
      <c r="U1254" t="s">
        <v>640</v>
      </c>
      <c r="V1254">
        <v>600</v>
      </c>
      <c r="W1254" t="s">
        <v>14859</v>
      </c>
      <c r="Z1254" t="s">
        <v>16078</v>
      </c>
      <c r="AB1254" t="s">
        <v>21159</v>
      </c>
      <c r="AC1254">
        <v>46</v>
      </c>
      <c r="AF1254">
        <v>20</v>
      </c>
      <c r="AG1254">
        <v>2</v>
      </c>
      <c r="AH1254">
        <v>0</v>
      </c>
      <c r="AI1254">
        <v>61.81</v>
      </c>
      <c r="AL1254" t="s">
        <v>5011</v>
      </c>
      <c r="AM1254">
        <v>10452</v>
      </c>
      <c r="AS1254">
        <v>0</v>
      </c>
      <c r="AU1254" t="s">
        <v>75</v>
      </c>
      <c r="AW1254" t="s">
        <v>11447</v>
      </c>
    </row>
    <row r="1255" spans="1:49">
      <c r="A1255" s="1">
        <f>HYPERLINK("https://lsnyc.legalserver.org/matter/dynamic-profile/view/1908970","19-1908970")</f>
        <v>0</v>
      </c>
      <c r="B1255" t="s">
        <v>74</v>
      </c>
      <c r="C1255" t="s">
        <v>640</v>
      </c>
      <c r="E1255" t="s">
        <v>1339</v>
      </c>
      <c r="F1255" t="s">
        <v>3799</v>
      </c>
      <c r="G1255" t="s">
        <v>7347</v>
      </c>
      <c r="I1255" t="s">
        <v>11391</v>
      </c>
      <c r="J1255">
        <v>11691</v>
      </c>
      <c r="K1255" t="s">
        <v>11446</v>
      </c>
      <c r="L1255" t="s">
        <v>11876</v>
      </c>
      <c r="M1255" t="s">
        <v>14744</v>
      </c>
      <c r="N1255" t="s">
        <v>14782</v>
      </c>
      <c r="P1255" t="s">
        <v>14797</v>
      </c>
      <c r="Q1255" t="s">
        <v>11448</v>
      </c>
      <c r="S1255" t="s">
        <v>14827</v>
      </c>
      <c r="U1255" t="s">
        <v>640</v>
      </c>
      <c r="V1255">
        <v>2100</v>
      </c>
      <c r="W1255" t="s">
        <v>14861</v>
      </c>
      <c r="X1255" t="s">
        <v>14865</v>
      </c>
      <c r="Z1255" t="s">
        <v>16079</v>
      </c>
      <c r="AB1255" t="s">
        <v>21160</v>
      </c>
      <c r="AC1255">
        <v>2</v>
      </c>
      <c r="AD1255" t="s">
        <v>11479</v>
      </c>
      <c r="AE1255" t="s">
        <v>24610</v>
      </c>
      <c r="AF1255">
        <v>4</v>
      </c>
      <c r="AG1255">
        <v>2</v>
      </c>
      <c r="AH1255">
        <v>1</v>
      </c>
      <c r="AI1255">
        <v>65.04000000000001</v>
      </c>
      <c r="AL1255" t="s">
        <v>5011</v>
      </c>
      <c r="AM1255">
        <v>13872</v>
      </c>
      <c r="AS1255">
        <v>1.15</v>
      </c>
      <c r="AT1255" t="s">
        <v>521</v>
      </c>
      <c r="AU1255" t="s">
        <v>292</v>
      </c>
      <c r="AV1255" t="s">
        <v>25335</v>
      </c>
      <c r="AW1255" t="s">
        <v>11447</v>
      </c>
    </row>
    <row r="1256" spans="1:49">
      <c r="A1256" s="1">
        <f>HYPERLINK("https://lsnyc.legalserver.org/matter/dynamic-profile/view/1908890","19-1908890")</f>
        <v>0</v>
      </c>
      <c r="B1256" t="s">
        <v>104</v>
      </c>
      <c r="C1256" t="s">
        <v>640</v>
      </c>
      <c r="E1256" t="s">
        <v>1330</v>
      </c>
      <c r="F1256" t="s">
        <v>3561</v>
      </c>
      <c r="G1256" t="s">
        <v>7348</v>
      </c>
      <c r="H1256" t="s">
        <v>10522</v>
      </c>
      <c r="I1256" t="s">
        <v>11386</v>
      </c>
      <c r="J1256">
        <v>10035</v>
      </c>
      <c r="K1256" t="s">
        <v>11446</v>
      </c>
      <c r="M1256" t="s">
        <v>11601</v>
      </c>
      <c r="N1256" t="s">
        <v>14779</v>
      </c>
      <c r="P1256" t="s">
        <v>14797</v>
      </c>
      <c r="Q1256" t="s">
        <v>11446</v>
      </c>
      <c r="S1256" t="s">
        <v>14827</v>
      </c>
      <c r="T1256" t="s">
        <v>14832</v>
      </c>
      <c r="U1256" t="s">
        <v>640</v>
      </c>
      <c r="V1256">
        <v>1025.77</v>
      </c>
      <c r="W1256" t="s">
        <v>14860</v>
      </c>
      <c r="X1256" t="s">
        <v>14876</v>
      </c>
      <c r="Z1256" t="s">
        <v>16080</v>
      </c>
      <c r="AB1256" t="s">
        <v>21161</v>
      </c>
      <c r="AC1256">
        <v>60</v>
      </c>
      <c r="AD1256" t="s">
        <v>24595</v>
      </c>
      <c r="AE1256" t="s">
        <v>24610</v>
      </c>
      <c r="AF1256">
        <v>10</v>
      </c>
      <c r="AG1256">
        <v>2</v>
      </c>
      <c r="AH1256">
        <v>0</v>
      </c>
      <c r="AI1256">
        <v>118.23</v>
      </c>
      <c r="AL1256" t="s">
        <v>5011</v>
      </c>
      <c r="AM1256">
        <v>19992</v>
      </c>
      <c r="AS1256">
        <v>0</v>
      </c>
      <c r="AU1256" t="s">
        <v>25266</v>
      </c>
      <c r="AV1256" t="s">
        <v>25335</v>
      </c>
      <c r="AW1256" t="s">
        <v>11447</v>
      </c>
    </row>
    <row r="1257" spans="1:49">
      <c r="A1257" s="1">
        <f>HYPERLINK("https://lsnyc.legalserver.org/matter/dynamic-profile/view/1908937","19-1908937")</f>
        <v>0</v>
      </c>
      <c r="B1257" t="s">
        <v>175</v>
      </c>
      <c r="C1257" t="s">
        <v>640</v>
      </c>
      <c r="E1257" t="s">
        <v>1114</v>
      </c>
      <c r="F1257" t="s">
        <v>4370</v>
      </c>
      <c r="G1257" t="s">
        <v>7349</v>
      </c>
      <c r="H1257" t="s">
        <v>10468</v>
      </c>
      <c r="I1257" t="s">
        <v>11386</v>
      </c>
      <c r="J1257">
        <v>10040</v>
      </c>
      <c r="K1257" t="s">
        <v>11446</v>
      </c>
      <c r="M1257" t="s">
        <v>14746</v>
      </c>
      <c r="N1257" t="s">
        <v>14781</v>
      </c>
      <c r="P1257" t="s">
        <v>14797</v>
      </c>
      <c r="Q1257" t="s">
        <v>11446</v>
      </c>
      <c r="S1257" t="s">
        <v>14827</v>
      </c>
      <c r="U1257" t="s">
        <v>640</v>
      </c>
      <c r="V1257">
        <v>854</v>
      </c>
      <c r="W1257" t="s">
        <v>14860</v>
      </c>
      <c r="X1257" t="s">
        <v>14867</v>
      </c>
      <c r="Z1257" t="s">
        <v>16081</v>
      </c>
      <c r="AB1257" t="s">
        <v>21162</v>
      </c>
      <c r="AC1257">
        <v>77</v>
      </c>
      <c r="AD1257" t="s">
        <v>24595</v>
      </c>
      <c r="AE1257" t="s">
        <v>11459</v>
      </c>
      <c r="AF1257">
        <v>41</v>
      </c>
      <c r="AG1257">
        <v>1</v>
      </c>
      <c r="AH1257">
        <v>0</v>
      </c>
      <c r="AI1257">
        <v>153.72</v>
      </c>
      <c r="AL1257" t="s">
        <v>24632</v>
      </c>
      <c r="AM1257">
        <v>19200</v>
      </c>
      <c r="AS1257">
        <v>0.5</v>
      </c>
      <c r="AT1257" t="s">
        <v>641</v>
      </c>
      <c r="AU1257" t="s">
        <v>137</v>
      </c>
      <c r="AV1257" t="s">
        <v>25335</v>
      </c>
      <c r="AW1257" t="s">
        <v>11447</v>
      </c>
    </row>
    <row r="1258" spans="1:49">
      <c r="A1258" s="1">
        <f>HYPERLINK("https://lsnyc.legalserver.org/matter/dynamic-profile/view/1907496","19-1907496")</f>
        <v>0</v>
      </c>
      <c r="B1258" t="s">
        <v>56</v>
      </c>
      <c r="C1258" t="s">
        <v>465</v>
      </c>
      <c r="E1258" t="s">
        <v>1247</v>
      </c>
      <c r="F1258" t="s">
        <v>4371</v>
      </c>
      <c r="G1258" t="s">
        <v>7350</v>
      </c>
      <c r="H1258" t="s">
        <v>10787</v>
      </c>
      <c r="I1258" t="s">
        <v>11385</v>
      </c>
      <c r="J1258">
        <v>11212</v>
      </c>
      <c r="K1258" t="s">
        <v>11446</v>
      </c>
      <c r="L1258" t="s">
        <v>11877</v>
      </c>
      <c r="M1258" t="s">
        <v>14744</v>
      </c>
      <c r="N1258" t="s">
        <v>14781</v>
      </c>
      <c r="P1258" t="s">
        <v>14797</v>
      </c>
      <c r="Q1258" t="s">
        <v>11448</v>
      </c>
      <c r="S1258" t="s">
        <v>14827</v>
      </c>
      <c r="T1258" t="s">
        <v>14832</v>
      </c>
      <c r="U1258" t="s">
        <v>640</v>
      </c>
      <c r="V1258">
        <v>800.29</v>
      </c>
      <c r="W1258" t="s">
        <v>14859</v>
      </c>
      <c r="X1258" t="s">
        <v>14868</v>
      </c>
      <c r="Z1258" t="s">
        <v>16082</v>
      </c>
      <c r="AB1258" t="s">
        <v>21163</v>
      </c>
      <c r="AC1258">
        <v>48</v>
      </c>
      <c r="AD1258" t="s">
        <v>24595</v>
      </c>
      <c r="AE1258" t="s">
        <v>11459</v>
      </c>
      <c r="AF1258">
        <v>47</v>
      </c>
      <c r="AG1258">
        <v>1</v>
      </c>
      <c r="AH1258">
        <v>0</v>
      </c>
      <c r="AI1258">
        <v>184.15</v>
      </c>
      <c r="AL1258" t="s">
        <v>5011</v>
      </c>
      <c r="AM1258">
        <v>23000</v>
      </c>
      <c r="AS1258">
        <v>25</v>
      </c>
      <c r="AT1258" t="s">
        <v>537</v>
      </c>
      <c r="AU1258" t="s">
        <v>120</v>
      </c>
      <c r="AV1258" t="s">
        <v>25335</v>
      </c>
      <c r="AW1258" t="s">
        <v>11447</v>
      </c>
    </row>
    <row r="1259" spans="1:49">
      <c r="A1259" s="1">
        <f>HYPERLINK("https://lsnyc.legalserver.org/matter/dynamic-profile/view/1909049","19-1909049")</f>
        <v>0</v>
      </c>
      <c r="B1259" t="s">
        <v>172</v>
      </c>
      <c r="C1259" t="s">
        <v>641</v>
      </c>
      <c r="E1259" t="s">
        <v>1851</v>
      </c>
      <c r="F1259" t="s">
        <v>4372</v>
      </c>
      <c r="G1259" t="s">
        <v>7198</v>
      </c>
      <c r="H1259">
        <v>34</v>
      </c>
      <c r="I1259" t="s">
        <v>11386</v>
      </c>
      <c r="J1259">
        <v>10033</v>
      </c>
      <c r="K1259" t="s">
        <v>11446</v>
      </c>
      <c r="M1259" t="s">
        <v>14746</v>
      </c>
      <c r="N1259" t="s">
        <v>14781</v>
      </c>
      <c r="P1259" t="s">
        <v>14797</v>
      </c>
      <c r="Q1259" t="s">
        <v>11446</v>
      </c>
      <c r="S1259" t="s">
        <v>14827</v>
      </c>
      <c r="U1259" t="s">
        <v>641</v>
      </c>
      <c r="V1259">
        <v>1633.95</v>
      </c>
      <c r="W1259" t="s">
        <v>14860</v>
      </c>
      <c r="X1259" t="s">
        <v>14867</v>
      </c>
      <c r="Z1259" t="s">
        <v>16083</v>
      </c>
      <c r="AB1259" t="s">
        <v>21164</v>
      </c>
      <c r="AC1259">
        <v>20</v>
      </c>
      <c r="AD1259" t="s">
        <v>24595</v>
      </c>
      <c r="AE1259" t="s">
        <v>24613</v>
      </c>
      <c r="AF1259">
        <v>17</v>
      </c>
      <c r="AG1259">
        <v>4</v>
      </c>
      <c r="AH1259">
        <v>1</v>
      </c>
      <c r="AI1259">
        <v>53.85</v>
      </c>
      <c r="AL1259" t="s">
        <v>24632</v>
      </c>
      <c r="AM1259">
        <v>16248</v>
      </c>
      <c r="AS1259">
        <v>0</v>
      </c>
      <c r="AU1259" t="s">
        <v>137</v>
      </c>
      <c r="AV1259" t="s">
        <v>25335</v>
      </c>
      <c r="AW1259" t="s">
        <v>11447</v>
      </c>
    </row>
    <row r="1260" spans="1:49">
      <c r="A1260" s="1">
        <f>HYPERLINK("https://lsnyc.legalserver.org/matter/dynamic-profile/view/1909040","19-1909040")</f>
        <v>0</v>
      </c>
      <c r="B1260" t="s">
        <v>172</v>
      </c>
      <c r="C1260" t="s">
        <v>641</v>
      </c>
      <c r="E1260" t="s">
        <v>1025</v>
      </c>
      <c r="F1260" t="s">
        <v>4373</v>
      </c>
      <c r="G1260" t="s">
        <v>7198</v>
      </c>
      <c r="H1260">
        <v>24</v>
      </c>
      <c r="I1260" t="s">
        <v>11386</v>
      </c>
      <c r="J1260">
        <v>10033</v>
      </c>
      <c r="K1260" t="s">
        <v>11446</v>
      </c>
      <c r="M1260" t="s">
        <v>14746</v>
      </c>
      <c r="N1260" t="s">
        <v>14781</v>
      </c>
      <c r="P1260" t="s">
        <v>14797</v>
      </c>
      <c r="Q1260" t="s">
        <v>11446</v>
      </c>
      <c r="S1260" t="s">
        <v>14827</v>
      </c>
      <c r="U1260" t="s">
        <v>641</v>
      </c>
      <c r="V1260">
        <v>838.08</v>
      </c>
      <c r="W1260" t="s">
        <v>14860</v>
      </c>
      <c r="X1260" t="s">
        <v>14867</v>
      </c>
      <c r="Z1260" t="s">
        <v>16084</v>
      </c>
      <c r="AB1260" t="s">
        <v>21165</v>
      </c>
      <c r="AC1260">
        <v>20</v>
      </c>
      <c r="AD1260" t="s">
        <v>24595</v>
      </c>
      <c r="AE1260" t="s">
        <v>24613</v>
      </c>
      <c r="AF1260">
        <v>28</v>
      </c>
      <c r="AG1260">
        <v>1</v>
      </c>
      <c r="AH1260">
        <v>0</v>
      </c>
      <c r="AI1260">
        <v>64.05</v>
      </c>
      <c r="AL1260" t="s">
        <v>24632</v>
      </c>
      <c r="AM1260">
        <v>8000</v>
      </c>
      <c r="AS1260">
        <v>0.3</v>
      </c>
      <c r="AT1260" t="s">
        <v>604</v>
      </c>
      <c r="AU1260" t="s">
        <v>137</v>
      </c>
      <c r="AV1260" t="s">
        <v>25335</v>
      </c>
      <c r="AW1260" t="s">
        <v>11447</v>
      </c>
    </row>
    <row r="1261" spans="1:49">
      <c r="A1261" s="1">
        <f>HYPERLINK("https://lsnyc.legalserver.org/matter/dynamic-profile/view/1909027","19-1909027")</f>
        <v>0</v>
      </c>
      <c r="B1261" t="s">
        <v>172</v>
      </c>
      <c r="C1261" t="s">
        <v>641</v>
      </c>
      <c r="E1261" t="s">
        <v>1852</v>
      </c>
      <c r="F1261" t="s">
        <v>4374</v>
      </c>
      <c r="G1261" t="s">
        <v>7198</v>
      </c>
      <c r="H1261">
        <v>1</v>
      </c>
      <c r="I1261" t="s">
        <v>11386</v>
      </c>
      <c r="J1261">
        <v>10033</v>
      </c>
      <c r="K1261" t="s">
        <v>11446</v>
      </c>
      <c r="N1261" t="s">
        <v>14782</v>
      </c>
      <c r="P1261" t="s">
        <v>14797</v>
      </c>
      <c r="Q1261" t="s">
        <v>11446</v>
      </c>
      <c r="S1261" t="s">
        <v>14827</v>
      </c>
      <c r="U1261" t="s">
        <v>641</v>
      </c>
      <c r="V1261">
        <v>0</v>
      </c>
      <c r="W1261" t="s">
        <v>14860</v>
      </c>
      <c r="X1261" t="s">
        <v>14868</v>
      </c>
      <c r="Z1261" t="s">
        <v>16085</v>
      </c>
      <c r="AB1261" t="s">
        <v>21166</v>
      </c>
      <c r="AC1261">
        <v>20</v>
      </c>
      <c r="AD1261" t="s">
        <v>24595</v>
      </c>
      <c r="AE1261" t="s">
        <v>24613</v>
      </c>
      <c r="AF1261">
        <v>2</v>
      </c>
      <c r="AG1261">
        <v>2</v>
      </c>
      <c r="AH1261">
        <v>0</v>
      </c>
      <c r="AI1261">
        <v>92.54000000000001</v>
      </c>
      <c r="AL1261" t="s">
        <v>24632</v>
      </c>
      <c r="AM1261">
        <v>15648</v>
      </c>
      <c r="AS1261">
        <v>0</v>
      </c>
      <c r="AU1261" t="s">
        <v>137</v>
      </c>
      <c r="AV1261" t="s">
        <v>25335</v>
      </c>
      <c r="AW1261" t="s">
        <v>11447</v>
      </c>
    </row>
    <row r="1262" spans="1:49">
      <c r="A1262" s="1">
        <f>HYPERLINK("https://lsnyc.legalserver.org/matter/dynamic-profile/view/1909079","19-1909079")</f>
        <v>0</v>
      </c>
      <c r="B1262" t="s">
        <v>175</v>
      </c>
      <c r="C1262" t="s">
        <v>641</v>
      </c>
      <c r="E1262" t="s">
        <v>1853</v>
      </c>
      <c r="F1262" t="s">
        <v>4375</v>
      </c>
      <c r="G1262" t="s">
        <v>7349</v>
      </c>
      <c r="H1262" t="s">
        <v>10814</v>
      </c>
      <c r="I1262" t="s">
        <v>11386</v>
      </c>
      <c r="J1262">
        <v>10040</v>
      </c>
      <c r="K1262" t="s">
        <v>11446</v>
      </c>
      <c r="M1262" t="s">
        <v>14746</v>
      </c>
      <c r="N1262" t="s">
        <v>14781</v>
      </c>
      <c r="P1262" t="s">
        <v>14797</v>
      </c>
      <c r="Q1262" t="s">
        <v>11446</v>
      </c>
      <c r="S1262" t="s">
        <v>14827</v>
      </c>
      <c r="U1262" t="s">
        <v>641</v>
      </c>
      <c r="V1262">
        <v>2700</v>
      </c>
      <c r="W1262" t="s">
        <v>14860</v>
      </c>
      <c r="X1262" t="s">
        <v>14867</v>
      </c>
      <c r="Z1262" t="s">
        <v>16086</v>
      </c>
      <c r="AB1262" t="s">
        <v>21167</v>
      </c>
      <c r="AC1262">
        <v>77</v>
      </c>
      <c r="AD1262" t="s">
        <v>24595</v>
      </c>
      <c r="AE1262" t="s">
        <v>11459</v>
      </c>
      <c r="AF1262">
        <v>5</v>
      </c>
      <c r="AG1262">
        <v>2</v>
      </c>
      <c r="AH1262">
        <v>0</v>
      </c>
      <c r="AI1262">
        <v>147.84</v>
      </c>
      <c r="AL1262" t="s">
        <v>5011</v>
      </c>
      <c r="AM1262">
        <v>25000</v>
      </c>
      <c r="AS1262">
        <v>0</v>
      </c>
      <c r="AU1262" t="s">
        <v>137</v>
      </c>
      <c r="AV1262" t="s">
        <v>25335</v>
      </c>
      <c r="AW1262" t="s">
        <v>11447</v>
      </c>
    </row>
    <row r="1263" spans="1:49">
      <c r="A1263" s="1">
        <f>HYPERLINK("https://lsnyc.legalserver.org/matter/dynamic-profile/view/1909013","19-1909013")</f>
        <v>0</v>
      </c>
      <c r="B1263" t="s">
        <v>175</v>
      </c>
      <c r="C1263" t="s">
        <v>641</v>
      </c>
      <c r="E1263" t="s">
        <v>1854</v>
      </c>
      <c r="F1263" t="s">
        <v>4376</v>
      </c>
      <c r="G1263" t="s">
        <v>7349</v>
      </c>
      <c r="H1263" t="s">
        <v>10478</v>
      </c>
      <c r="I1263" t="s">
        <v>11386</v>
      </c>
      <c r="J1263">
        <v>10040</v>
      </c>
      <c r="K1263" t="s">
        <v>11446</v>
      </c>
      <c r="M1263" t="s">
        <v>14746</v>
      </c>
      <c r="N1263" t="s">
        <v>14781</v>
      </c>
      <c r="P1263" t="s">
        <v>14797</v>
      </c>
      <c r="Q1263" t="s">
        <v>11446</v>
      </c>
      <c r="S1263" t="s">
        <v>14827</v>
      </c>
      <c r="U1263" t="s">
        <v>641</v>
      </c>
      <c r="V1263">
        <v>1611</v>
      </c>
      <c r="W1263" t="s">
        <v>14860</v>
      </c>
      <c r="X1263" t="s">
        <v>14867</v>
      </c>
      <c r="Z1263" t="s">
        <v>16087</v>
      </c>
      <c r="AB1263" t="s">
        <v>21168</v>
      </c>
      <c r="AC1263">
        <v>77</v>
      </c>
      <c r="AD1263" t="s">
        <v>24595</v>
      </c>
      <c r="AE1263" t="s">
        <v>11459</v>
      </c>
      <c r="AF1263">
        <v>6</v>
      </c>
      <c r="AG1263">
        <v>2</v>
      </c>
      <c r="AH1263">
        <v>0</v>
      </c>
      <c r="AI1263">
        <v>366.65</v>
      </c>
      <c r="AJ1263" t="s">
        <v>551</v>
      </c>
      <c r="AK1263" t="s">
        <v>24629</v>
      </c>
      <c r="AL1263" t="s">
        <v>5011</v>
      </c>
      <c r="AM1263">
        <v>62000</v>
      </c>
      <c r="AS1263">
        <v>0</v>
      </c>
      <c r="AU1263" t="s">
        <v>137</v>
      </c>
      <c r="AV1263" t="s">
        <v>25335</v>
      </c>
      <c r="AW1263" t="s">
        <v>11447</v>
      </c>
    </row>
    <row r="1264" spans="1:49">
      <c r="A1264" s="1">
        <f>HYPERLINK("https://lsnyc.legalserver.org/matter/dynamic-profile/view/1909245","19-1909245")</f>
        <v>0</v>
      </c>
      <c r="B1264" t="s">
        <v>108</v>
      </c>
      <c r="C1264" t="s">
        <v>462</v>
      </c>
      <c r="E1264" t="s">
        <v>1855</v>
      </c>
      <c r="F1264" t="s">
        <v>4377</v>
      </c>
      <c r="G1264" t="s">
        <v>7274</v>
      </c>
      <c r="H1264" t="s">
        <v>10730</v>
      </c>
      <c r="I1264" t="s">
        <v>11385</v>
      </c>
      <c r="J1264">
        <v>11219</v>
      </c>
      <c r="K1264" t="s">
        <v>11446</v>
      </c>
      <c r="N1264" t="s">
        <v>14781</v>
      </c>
      <c r="P1264" t="s">
        <v>14797</v>
      </c>
      <c r="Q1264" t="s">
        <v>11448</v>
      </c>
      <c r="S1264" t="s">
        <v>14827</v>
      </c>
      <c r="U1264" t="s">
        <v>462</v>
      </c>
      <c r="V1264">
        <v>1737.44</v>
      </c>
      <c r="W1264" t="s">
        <v>14859</v>
      </c>
      <c r="Z1264" t="s">
        <v>16088</v>
      </c>
      <c r="AB1264" t="s">
        <v>21169</v>
      </c>
      <c r="AC1264">
        <v>20</v>
      </c>
      <c r="AF1264">
        <v>8</v>
      </c>
      <c r="AG1264">
        <v>2</v>
      </c>
      <c r="AH1264">
        <v>1</v>
      </c>
      <c r="AI1264">
        <v>191.84</v>
      </c>
      <c r="AL1264" t="s">
        <v>5011</v>
      </c>
      <c r="AM1264">
        <v>40920</v>
      </c>
      <c r="AS1264">
        <v>0</v>
      </c>
      <c r="AU1264" t="s">
        <v>75</v>
      </c>
      <c r="AV1264" t="s">
        <v>25335</v>
      </c>
      <c r="AW1264" t="s">
        <v>11447</v>
      </c>
    </row>
    <row r="1265" spans="1:49">
      <c r="A1265" s="1">
        <f>HYPERLINK("https://lsnyc.legalserver.org/matter/dynamic-profile/view/1909283","19-1909283")</f>
        <v>0</v>
      </c>
      <c r="B1265" t="s">
        <v>190</v>
      </c>
      <c r="C1265" t="s">
        <v>589</v>
      </c>
      <c r="E1265" t="s">
        <v>1294</v>
      </c>
      <c r="F1265" t="s">
        <v>4378</v>
      </c>
      <c r="G1265" t="s">
        <v>7193</v>
      </c>
      <c r="H1265" t="s">
        <v>10465</v>
      </c>
      <c r="I1265" t="s">
        <v>11386</v>
      </c>
      <c r="J1265">
        <v>10040</v>
      </c>
      <c r="K1265" t="s">
        <v>11446</v>
      </c>
      <c r="L1265" t="s">
        <v>11878</v>
      </c>
      <c r="M1265" t="s">
        <v>14744</v>
      </c>
      <c r="N1265" t="s">
        <v>14781</v>
      </c>
      <c r="P1265" t="s">
        <v>14797</v>
      </c>
      <c r="Q1265" t="s">
        <v>11448</v>
      </c>
      <c r="S1265" t="s">
        <v>14827</v>
      </c>
      <c r="U1265" t="s">
        <v>589</v>
      </c>
      <c r="V1265">
        <v>843.6</v>
      </c>
      <c r="W1265" t="s">
        <v>14860</v>
      </c>
      <c r="X1265" t="s">
        <v>14868</v>
      </c>
      <c r="Z1265" t="s">
        <v>16089</v>
      </c>
      <c r="AB1265" t="s">
        <v>21170</v>
      </c>
      <c r="AC1265">
        <v>42</v>
      </c>
      <c r="AD1265" t="s">
        <v>24595</v>
      </c>
      <c r="AE1265" t="s">
        <v>24613</v>
      </c>
      <c r="AF1265">
        <v>24</v>
      </c>
      <c r="AG1265">
        <v>1</v>
      </c>
      <c r="AH1265">
        <v>0</v>
      </c>
      <c r="AI1265">
        <v>0</v>
      </c>
      <c r="AL1265" t="s">
        <v>24632</v>
      </c>
      <c r="AM1265">
        <v>0</v>
      </c>
      <c r="AS1265">
        <v>30.3</v>
      </c>
      <c r="AT1265" t="s">
        <v>654</v>
      </c>
      <c r="AU1265" t="s">
        <v>137</v>
      </c>
      <c r="AV1265" t="s">
        <v>25335</v>
      </c>
      <c r="AW1265" t="s">
        <v>11447</v>
      </c>
    </row>
    <row r="1266" spans="1:49">
      <c r="A1266" s="1">
        <f>HYPERLINK("https://lsnyc.legalserver.org/matter/dynamic-profile/view/1907955","19-1907955")</f>
        <v>0</v>
      </c>
      <c r="B1266" t="s">
        <v>105</v>
      </c>
      <c r="C1266" t="s">
        <v>589</v>
      </c>
      <c r="E1266" t="s">
        <v>1689</v>
      </c>
      <c r="F1266" t="s">
        <v>2002</v>
      </c>
      <c r="G1266" t="s">
        <v>7351</v>
      </c>
      <c r="H1266" t="s">
        <v>10749</v>
      </c>
      <c r="I1266" t="s">
        <v>11386</v>
      </c>
      <c r="J1266">
        <v>10040</v>
      </c>
      <c r="K1266" t="s">
        <v>11446</v>
      </c>
      <c r="L1266" t="s">
        <v>11879</v>
      </c>
      <c r="M1266" t="s">
        <v>14744</v>
      </c>
      <c r="N1266" t="s">
        <v>14781</v>
      </c>
      <c r="P1266" t="s">
        <v>14797</v>
      </c>
      <c r="Q1266" t="s">
        <v>11448</v>
      </c>
      <c r="S1266" t="s">
        <v>14827</v>
      </c>
      <c r="T1266" t="s">
        <v>14832</v>
      </c>
      <c r="U1266" t="s">
        <v>589</v>
      </c>
      <c r="V1266">
        <v>995.92</v>
      </c>
      <c r="W1266" t="s">
        <v>14860</v>
      </c>
      <c r="X1266" t="s">
        <v>14871</v>
      </c>
      <c r="Z1266" t="s">
        <v>15788</v>
      </c>
      <c r="AA1266" t="s">
        <v>19386</v>
      </c>
      <c r="AB1266" t="s">
        <v>20885</v>
      </c>
      <c r="AC1266">
        <v>44</v>
      </c>
      <c r="AD1266" t="s">
        <v>24595</v>
      </c>
      <c r="AE1266" t="s">
        <v>11459</v>
      </c>
      <c r="AF1266">
        <v>15</v>
      </c>
      <c r="AG1266">
        <v>2</v>
      </c>
      <c r="AH1266">
        <v>2</v>
      </c>
      <c r="AI1266">
        <v>50.49</v>
      </c>
      <c r="AL1266" t="s">
        <v>24632</v>
      </c>
      <c r="AM1266">
        <v>13000</v>
      </c>
      <c r="AS1266">
        <v>11.5</v>
      </c>
      <c r="AT1266" t="s">
        <v>504</v>
      </c>
      <c r="AU1266" t="s">
        <v>25281</v>
      </c>
      <c r="AV1266" t="s">
        <v>25335</v>
      </c>
      <c r="AW1266" t="s">
        <v>11447</v>
      </c>
    </row>
    <row r="1267" spans="1:49">
      <c r="A1267" s="1">
        <f>HYPERLINK("https://lsnyc.legalserver.org/matter/dynamic-profile/view/1909324","19-1909324")</f>
        <v>0</v>
      </c>
      <c r="B1267" t="s">
        <v>55</v>
      </c>
      <c r="C1267" t="s">
        <v>589</v>
      </c>
      <c r="E1267" t="s">
        <v>1856</v>
      </c>
      <c r="F1267" t="s">
        <v>4379</v>
      </c>
      <c r="G1267" t="s">
        <v>7352</v>
      </c>
      <c r="H1267">
        <v>31</v>
      </c>
      <c r="I1267" t="s">
        <v>11386</v>
      </c>
      <c r="J1267">
        <v>10033</v>
      </c>
      <c r="K1267" t="s">
        <v>11446</v>
      </c>
      <c r="M1267" t="s">
        <v>14743</v>
      </c>
      <c r="N1267" t="s">
        <v>14782</v>
      </c>
      <c r="P1267" t="s">
        <v>14797</v>
      </c>
      <c r="Q1267" t="s">
        <v>11448</v>
      </c>
      <c r="S1267" t="s">
        <v>14827</v>
      </c>
      <c r="U1267" t="s">
        <v>589</v>
      </c>
      <c r="V1267">
        <v>792.47</v>
      </c>
      <c r="W1267" t="s">
        <v>14860</v>
      </c>
      <c r="X1267" t="s">
        <v>14870</v>
      </c>
      <c r="Z1267" t="s">
        <v>16090</v>
      </c>
      <c r="AB1267" t="s">
        <v>21171</v>
      </c>
      <c r="AC1267">
        <v>38</v>
      </c>
      <c r="AD1267" t="s">
        <v>24595</v>
      </c>
      <c r="AE1267" t="s">
        <v>24613</v>
      </c>
      <c r="AF1267">
        <v>16</v>
      </c>
      <c r="AG1267">
        <v>1</v>
      </c>
      <c r="AH1267">
        <v>0</v>
      </c>
      <c r="AI1267">
        <v>72.06</v>
      </c>
      <c r="AL1267" t="s">
        <v>24632</v>
      </c>
      <c r="AM1267">
        <v>9000</v>
      </c>
      <c r="AS1267">
        <v>13.3</v>
      </c>
      <c r="AT1267" t="s">
        <v>491</v>
      </c>
      <c r="AU1267" t="s">
        <v>137</v>
      </c>
      <c r="AV1267" t="s">
        <v>25335</v>
      </c>
      <c r="AW1267" t="s">
        <v>11447</v>
      </c>
    </row>
    <row r="1268" spans="1:49">
      <c r="A1268" s="1">
        <f>HYPERLINK("https://lsnyc.legalserver.org/matter/dynamic-profile/view/1908436","19-1908436")</f>
        <v>0</v>
      </c>
      <c r="B1268" t="s">
        <v>164</v>
      </c>
      <c r="C1268" t="s">
        <v>412</v>
      </c>
      <c r="E1268" t="s">
        <v>1307</v>
      </c>
      <c r="F1268" t="s">
        <v>3561</v>
      </c>
      <c r="G1268" t="s">
        <v>6790</v>
      </c>
      <c r="H1268" t="s">
        <v>10593</v>
      </c>
      <c r="I1268" t="s">
        <v>11384</v>
      </c>
      <c r="J1268">
        <v>10304</v>
      </c>
      <c r="K1268" t="s">
        <v>11446</v>
      </c>
      <c r="L1268" t="s">
        <v>11880</v>
      </c>
      <c r="M1268" t="s">
        <v>14744</v>
      </c>
      <c r="N1268" t="s">
        <v>14781</v>
      </c>
      <c r="P1268" t="s">
        <v>14797</v>
      </c>
      <c r="Q1268" t="s">
        <v>11448</v>
      </c>
      <c r="S1268" t="s">
        <v>14827</v>
      </c>
      <c r="T1268" t="s">
        <v>14832</v>
      </c>
      <c r="U1268" t="s">
        <v>589</v>
      </c>
      <c r="V1268">
        <v>169</v>
      </c>
      <c r="W1268" t="s">
        <v>14862</v>
      </c>
      <c r="X1268" t="s">
        <v>14863</v>
      </c>
      <c r="Z1268" t="s">
        <v>15184</v>
      </c>
      <c r="AB1268" t="s">
        <v>21172</v>
      </c>
      <c r="AC1268">
        <v>305</v>
      </c>
      <c r="AD1268" t="s">
        <v>24596</v>
      </c>
      <c r="AE1268" t="s">
        <v>24610</v>
      </c>
      <c r="AF1268">
        <v>18</v>
      </c>
      <c r="AG1268">
        <v>1</v>
      </c>
      <c r="AH1268">
        <v>0</v>
      </c>
      <c r="AI1268">
        <v>74.27</v>
      </c>
      <c r="AL1268" t="s">
        <v>5011</v>
      </c>
      <c r="AM1268">
        <v>9276</v>
      </c>
      <c r="AO1268" t="s">
        <v>24937</v>
      </c>
      <c r="AP1268" t="s">
        <v>24953</v>
      </c>
      <c r="AQ1268" t="s">
        <v>24986</v>
      </c>
      <c r="AR1268" t="s">
        <v>25027</v>
      </c>
      <c r="AS1268">
        <v>20.75</v>
      </c>
      <c r="AT1268" t="s">
        <v>484</v>
      </c>
      <c r="AU1268" t="s">
        <v>25270</v>
      </c>
      <c r="AV1268" t="s">
        <v>25335</v>
      </c>
      <c r="AW1268" t="s">
        <v>11447</v>
      </c>
    </row>
    <row r="1269" spans="1:49">
      <c r="A1269" s="1">
        <f>HYPERLINK("https://lsnyc.legalserver.org/matter/dynamic-profile/view/1909340","19-1909340")</f>
        <v>0</v>
      </c>
      <c r="B1269" t="s">
        <v>55</v>
      </c>
      <c r="C1269" t="s">
        <v>589</v>
      </c>
      <c r="E1269" t="s">
        <v>1857</v>
      </c>
      <c r="F1269" t="s">
        <v>4380</v>
      </c>
      <c r="G1269" t="s">
        <v>7353</v>
      </c>
      <c r="H1269" t="s">
        <v>10485</v>
      </c>
      <c r="I1269" t="s">
        <v>11386</v>
      </c>
      <c r="J1269">
        <v>10033</v>
      </c>
      <c r="K1269" t="s">
        <v>11446</v>
      </c>
      <c r="N1269" t="s">
        <v>14782</v>
      </c>
      <c r="P1269" t="s">
        <v>14797</v>
      </c>
      <c r="Q1269" t="s">
        <v>11448</v>
      </c>
      <c r="S1269" t="s">
        <v>14827</v>
      </c>
      <c r="U1269" t="s">
        <v>589</v>
      </c>
      <c r="V1269">
        <v>1235</v>
      </c>
      <c r="W1269" t="s">
        <v>14860</v>
      </c>
      <c r="X1269" t="s">
        <v>14867</v>
      </c>
      <c r="Z1269" t="s">
        <v>16091</v>
      </c>
      <c r="AB1269" t="s">
        <v>21173</v>
      </c>
      <c r="AC1269">
        <v>0</v>
      </c>
      <c r="AD1269" t="s">
        <v>24595</v>
      </c>
      <c r="AE1269" t="s">
        <v>11459</v>
      </c>
      <c r="AF1269">
        <v>18</v>
      </c>
      <c r="AG1269">
        <v>1</v>
      </c>
      <c r="AH1269">
        <v>0</v>
      </c>
      <c r="AI1269">
        <v>83.27</v>
      </c>
      <c r="AL1269" t="s">
        <v>24632</v>
      </c>
      <c r="AM1269">
        <v>10400</v>
      </c>
      <c r="AS1269">
        <v>25</v>
      </c>
      <c r="AT1269" t="s">
        <v>491</v>
      </c>
      <c r="AU1269" t="s">
        <v>137</v>
      </c>
      <c r="AV1269" t="s">
        <v>25335</v>
      </c>
      <c r="AW1269" t="s">
        <v>11447</v>
      </c>
    </row>
    <row r="1270" spans="1:49">
      <c r="A1270" s="1">
        <f>HYPERLINK("https://lsnyc.legalserver.org/matter/dynamic-profile/view/1909273","19-1909273")</f>
        <v>0</v>
      </c>
      <c r="B1270" t="s">
        <v>108</v>
      </c>
      <c r="C1270" t="s">
        <v>589</v>
      </c>
      <c r="E1270" t="s">
        <v>1487</v>
      </c>
      <c r="F1270" t="s">
        <v>4329</v>
      </c>
      <c r="G1270" t="s">
        <v>7310</v>
      </c>
      <c r="I1270" t="s">
        <v>11385</v>
      </c>
      <c r="J1270">
        <v>11217</v>
      </c>
      <c r="K1270" t="s">
        <v>11446</v>
      </c>
      <c r="M1270" t="s">
        <v>14745</v>
      </c>
      <c r="N1270" t="s">
        <v>14780</v>
      </c>
      <c r="P1270" t="s">
        <v>14797</v>
      </c>
      <c r="S1270" t="s">
        <v>14827</v>
      </c>
      <c r="U1270" t="s">
        <v>589</v>
      </c>
      <c r="V1270">
        <v>0</v>
      </c>
      <c r="W1270" t="s">
        <v>14859</v>
      </c>
      <c r="Z1270" t="s">
        <v>16018</v>
      </c>
      <c r="AB1270" t="s">
        <v>21107</v>
      </c>
      <c r="AC1270">
        <v>20</v>
      </c>
      <c r="AF1270">
        <v>0</v>
      </c>
      <c r="AG1270">
        <v>2</v>
      </c>
      <c r="AH1270">
        <v>1</v>
      </c>
      <c r="AI1270">
        <v>93.76000000000001</v>
      </c>
      <c r="AL1270" t="s">
        <v>24648</v>
      </c>
      <c r="AM1270">
        <v>20000</v>
      </c>
      <c r="AS1270">
        <v>2.1</v>
      </c>
      <c r="AT1270" t="s">
        <v>574</v>
      </c>
      <c r="AU1270" t="s">
        <v>75</v>
      </c>
      <c r="AV1270" t="s">
        <v>25335</v>
      </c>
      <c r="AW1270" t="s">
        <v>11447</v>
      </c>
    </row>
    <row r="1271" spans="1:49">
      <c r="A1271" s="1">
        <f>HYPERLINK("https://lsnyc.legalserver.org/matter/dynamic-profile/view/1909353","19-1909353")</f>
        <v>0</v>
      </c>
      <c r="B1271" t="s">
        <v>178</v>
      </c>
      <c r="C1271" t="s">
        <v>589</v>
      </c>
      <c r="E1271" t="s">
        <v>1071</v>
      </c>
      <c r="F1271" t="s">
        <v>4381</v>
      </c>
      <c r="G1271" t="s">
        <v>7291</v>
      </c>
      <c r="H1271" t="s">
        <v>10542</v>
      </c>
      <c r="I1271" t="s">
        <v>11386</v>
      </c>
      <c r="J1271">
        <v>10034</v>
      </c>
      <c r="K1271" t="s">
        <v>11446</v>
      </c>
      <c r="N1271" t="s">
        <v>14782</v>
      </c>
      <c r="P1271" t="s">
        <v>14797</v>
      </c>
      <c r="Q1271" t="s">
        <v>11448</v>
      </c>
      <c r="S1271" t="s">
        <v>14827</v>
      </c>
      <c r="U1271" t="s">
        <v>589</v>
      </c>
      <c r="V1271">
        <v>0</v>
      </c>
      <c r="W1271" t="s">
        <v>14860</v>
      </c>
      <c r="X1271" t="s">
        <v>14867</v>
      </c>
      <c r="Z1271" t="s">
        <v>16092</v>
      </c>
      <c r="AB1271" t="s">
        <v>21174</v>
      </c>
      <c r="AC1271">
        <v>22</v>
      </c>
      <c r="AD1271" t="s">
        <v>24595</v>
      </c>
      <c r="AE1271" t="s">
        <v>11459</v>
      </c>
      <c r="AF1271">
        <v>15</v>
      </c>
      <c r="AG1271">
        <v>1</v>
      </c>
      <c r="AH1271">
        <v>0</v>
      </c>
      <c r="AI1271">
        <v>119.23</v>
      </c>
      <c r="AL1271" t="s">
        <v>24632</v>
      </c>
      <c r="AM1271">
        <v>14892</v>
      </c>
      <c r="AS1271">
        <v>2.4</v>
      </c>
      <c r="AT1271" t="s">
        <v>521</v>
      </c>
      <c r="AU1271" t="s">
        <v>137</v>
      </c>
      <c r="AV1271" t="s">
        <v>25335</v>
      </c>
      <c r="AW1271" t="s">
        <v>11447</v>
      </c>
    </row>
    <row r="1272" spans="1:49">
      <c r="A1272" s="1">
        <f>HYPERLINK("https://lsnyc.legalserver.org/matter/dynamic-profile/view/1909493","19-1909493")</f>
        <v>0</v>
      </c>
      <c r="B1272" t="s">
        <v>76</v>
      </c>
      <c r="C1272" t="s">
        <v>488</v>
      </c>
      <c r="E1272" t="s">
        <v>1858</v>
      </c>
      <c r="F1272" t="s">
        <v>3986</v>
      </c>
      <c r="G1272" t="s">
        <v>7354</v>
      </c>
      <c r="H1272" t="s">
        <v>10450</v>
      </c>
      <c r="I1272" t="s">
        <v>11385</v>
      </c>
      <c r="J1272">
        <v>11207</v>
      </c>
      <c r="K1272" t="s">
        <v>11446</v>
      </c>
      <c r="L1272" t="s">
        <v>11601</v>
      </c>
      <c r="M1272" t="s">
        <v>11601</v>
      </c>
      <c r="N1272" t="s">
        <v>14779</v>
      </c>
      <c r="P1272" t="s">
        <v>14797</v>
      </c>
      <c r="Q1272" t="s">
        <v>11448</v>
      </c>
      <c r="S1272" t="s">
        <v>14827</v>
      </c>
      <c r="U1272" t="s">
        <v>589</v>
      </c>
      <c r="V1272">
        <v>0</v>
      </c>
      <c r="W1272" t="s">
        <v>14859</v>
      </c>
      <c r="X1272" t="s">
        <v>14876</v>
      </c>
      <c r="Z1272" t="s">
        <v>16093</v>
      </c>
      <c r="AB1272" t="s">
        <v>21175</v>
      </c>
      <c r="AC1272">
        <v>102</v>
      </c>
      <c r="AD1272" t="s">
        <v>24595</v>
      </c>
      <c r="AE1272" t="s">
        <v>11459</v>
      </c>
      <c r="AF1272">
        <v>0</v>
      </c>
      <c r="AG1272">
        <v>2</v>
      </c>
      <c r="AH1272">
        <v>0</v>
      </c>
      <c r="AI1272">
        <v>210.55</v>
      </c>
      <c r="AL1272" t="s">
        <v>5011</v>
      </c>
      <c r="AM1272">
        <v>35604</v>
      </c>
      <c r="AS1272">
        <v>3.1</v>
      </c>
      <c r="AT1272" t="s">
        <v>539</v>
      </c>
      <c r="AU1272" t="s">
        <v>120</v>
      </c>
      <c r="AV1272" t="s">
        <v>25335</v>
      </c>
      <c r="AW1272" t="s">
        <v>11447</v>
      </c>
    </row>
    <row r="1273" spans="1:49">
      <c r="A1273" s="1">
        <f>HYPERLINK("https://lsnyc.legalserver.org/matter/dynamic-profile/view/1909404","19-1909404")</f>
        <v>0</v>
      </c>
      <c r="B1273" t="s">
        <v>183</v>
      </c>
      <c r="C1273" t="s">
        <v>412</v>
      </c>
      <c r="E1273" t="s">
        <v>1859</v>
      </c>
      <c r="F1273" t="s">
        <v>4382</v>
      </c>
      <c r="G1273" t="s">
        <v>7355</v>
      </c>
      <c r="H1273">
        <v>1</v>
      </c>
      <c r="I1273" t="s">
        <v>11385</v>
      </c>
      <c r="J1273">
        <v>11207</v>
      </c>
      <c r="K1273" t="s">
        <v>11446</v>
      </c>
      <c r="L1273" t="s">
        <v>11881</v>
      </c>
      <c r="M1273" t="s">
        <v>14744</v>
      </c>
      <c r="N1273" t="s">
        <v>14781</v>
      </c>
      <c r="P1273" t="s">
        <v>14797</v>
      </c>
      <c r="Q1273" t="s">
        <v>11448</v>
      </c>
      <c r="S1273" t="s">
        <v>14827</v>
      </c>
      <c r="T1273" t="s">
        <v>14832</v>
      </c>
      <c r="U1273" t="s">
        <v>412</v>
      </c>
      <c r="V1273">
        <v>2000</v>
      </c>
      <c r="W1273" t="s">
        <v>14859</v>
      </c>
      <c r="X1273" t="s">
        <v>14881</v>
      </c>
      <c r="Z1273" t="s">
        <v>16094</v>
      </c>
      <c r="AA1273" t="s">
        <v>19428</v>
      </c>
      <c r="AB1273" t="s">
        <v>21176</v>
      </c>
      <c r="AC1273">
        <v>3</v>
      </c>
      <c r="AF1273">
        <v>0</v>
      </c>
      <c r="AG1273">
        <v>3</v>
      </c>
      <c r="AH1273">
        <v>2</v>
      </c>
      <c r="AI1273">
        <v>30.16</v>
      </c>
      <c r="AL1273" t="s">
        <v>5011</v>
      </c>
      <c r="AM1273">
        <v>9100</v>
      </c>
      <c r="AS1273">
        <v>4.4</v>
      </c>
      <c r="AT1273" t="s">
        <v>533</v>
      </c>
      <c r="AU1273" t="s">
        <v>25277</v>
      </c>
      <c r="AV1273" t="s">
        <v>25334</v>
      </c>
      <c r="AW1273" t="s">
        <v>11447</v>
      </c>
    </row>
    <row r="1274" spans="1:49">
      <c r="A1274" s="1">
        <f>HYPERLINK("https://lsnyc.legalserver.org/matter/dynamic-profile/view/1909410","19-1909410")</f>
        <v>0</v>
      </c>
      <c r="B1274" t="s">
        <v>190</v>
      </c>
      <c r="C1274" t="s">
        <v>412</v>
      </c>
      <c r="E1274" t="s">
        <v>1860</v>
      </c>
      <c r="F1274" t="s">
        <v>3685</v>
      </c>
      <c r="G1274" t="s">
        <v>7349</v>
      </c>
      <c r="H1274" t="s">
        <v>10574</v>
      </c>
      <c r="I1274" t="s">
        <v>11386</v>
      </c>
      <c r="J1274">
        <v>10040</v>
      </c>
      <c r="K1274" t="s">
        <v>11446</v>
      </c>
      <c r="M1274" t="s">
        <v>14746</v>
      </c>
      <c r="N1274" t="s">
        <v>14781</v>
      </c>
      <c r="P1274" t="s">
        <v>14797</v>
      </c>
      <c r="Q1274" t="s">
        <v>11446</v>
      </c>
      <c r="S1274" t="s">
        <v>14827</v>
      </c>
      <c r="U1274" t="s">
        <v>412</v>
      </c>
      <c r="V1274">
        <v>1860.63</v>
      </c>
      <c r="W1274" t="s">
        <v>14860</v>
      </c>
      <c r="X1274" t="s">
        <v>14867</v>
      </c>
      <c r="Z1274" t="s">
        <v>16095</v>
      </c>
      <c r="AB1274" t="s">
        <v>21177</v>
      </c>
      <c r="AC1274">
        <v>77</v>
      </c>
      <c r="AD1274" t="s">
        <v>24595</v>
      </c>
      <c r="AE1274" t="s">
        <v>11459</v>
      </c>
      <c r="AF1274">
        <v>4</v>
      </c>
      <c r="AG1274">
        <v>2</v>
      </c>
      <c r="AH1274">
        <v>2</v>
      </c>
      <c r="AI1274">
        <v>69.90000000000001</v>
      </c>
      <c r="AL1274" t="s">
        <v>24632</v>
      </c>
      <c r="AM1274">
        <v>18000</v>
      </c>
      <c r="AS1274">
        <v>0.1</v>
      </c>
      <c r="AT1274" t="s">
        <v>519</v>
      </c>
      <c r="AU1274" t="s">
        <v>137</v>
      </c>
      <c r="AV1274" t="s">
        <v>25335</v>
      </c>
      <c r="AW1274" t="s">
        <v>11447</v>
      </c>
    </row>
    <row r="1275" spans="1:49">
      <c r="A1275" s="1">
        <f>HYPERLINK("https://lsnyc.legalserver.org/matter/dynamic-profile/view/1909431","19-1909431")</f>
        <v>0</v>
      </c>
      <c r="B1275" t="s">
        <v>167</v>
      </c>
      <c r="C1275" t="s">
        <v>412</v>
      </c>
      <c r="E1275" t="s">
        <v>1861</v>
      </c>
      <c r="F1275" t="s">
        <v>3696</v>
      </c>
      <c r="G1275" t="s">
        <v>7356</v>
      </c>
      <c r="H1275" t="s">
        <v>10481</v>
      </c>
      <c r="I1275" t="s">
        <v>11412</v>
      </c>
      <c r="J1275">
        <v>11101</v>
      </c>
      <c r="K1275" t="s">
        <v>11446</v>
      </c>
      <c r="L1275" t="s">
        <v>11882</v>
      </c>
      <c r="M1275" t="s">
        <v>14762</v>
      </c>
      <c r="N1275" t="s">
        <v>14779</v>
      </c>
      <c r="P1275" t="s">
        <v>14797</v>
      </c>
      <c r="Q1275" t="s">
        <v>11448</v>
      </c>
      <c r="S1275" t="s">
        <v>14827</v>
      </c>
      <c r="T1275" t="s">
        <v>14832</v>
      </c>
      <c r="U1275" t="s">
        <v>412</v>
      </c>
      <c r="V1275">
        <v>0</v>
      </c>
      <c r="W1275" t="s">
        <v>14861</v>
      </c>
      <c r="X1275" t="s">
        <v>14868</v>
      </c>
      <c r="Z1275" t="s">
        <v>15402</v>
      </c>
      <c r="AB1275" t="s">
        <v>21178</v>
      </c>
      <c r="AC1275">
        <v>45</v>
      </c>
      <c r="AF1275">
        <v>0</v>
      </c>
      <c r="AG1275">
        <v>2</v>
      </c>
      <c r="AH1275">
        <v>0</v>
      </c>
      <c r="AI1275">
        <v>88.7</v>
      </c>
      <c r="AL1275" t="s">
        <v>5011</v>
      </c>
      <c r="AM1275">
        <v>15000</v>
      </c>
      <c r="AS1275">
        <v>1.2</v>
      </c>
      <c r="AT1275" t="s">
        <v>509</v>
      </c>
      <c r="AU1275" t="s">
        <v>292</v>
      </c>
      <c r="AV1275" t="s">
        <v>25335</v>
      </c>
      <c r="AW1275" t="s">
        <v>11447</v>
      </c>
    </row>
    <row r="1276" spans="1:49">
      <c r="A1276" s="1">
        <f>HYPERLINK("https://lsnyc.legalserver.org/matter/dynamic-profile/view/1908712","19-1908712")</f>
        <v>0</v>
      </c>
      <c r="B1276" t="s">
        <v>169</v>
      </c>
      <c r="C1276" t="s">
        <v>412</v>
      </c>
      <c r="E1276" t="s">
        <v>1691</v>
      </c>
      <c r="F1276" t="s">
        <v>3682</v>
      </c>
      <c r="G1276" t="s">
        <v>7357</v>
      </c>
      <c r="H1276">
        <v>2</v>
      </c>
      <c r="I1276" t="s">
        <v>11384</v>
      </c>
      <c r="J1276">
        <v>10304</v>
      </c>
      <c r="K1276" t="s">
        <v>11446</v>
      </c>
      <c r="L1276" t="s">
        <v>11456</v>
      </c>
      <c r="M1276" t="s">
        <v>11601</v>
      </c>
      <c r="N1276" t="s">
        <v>14780</v>
      </c>
      <c r="P1276" t="s">
        <v>14797</v>
      </c>
      <c r="S1276" t="s">
        <v>14827</v>
      </c>
      <c r="U1276" t="s">
        <v>412</v>
      </c>
      <c r="V1276">
        <v>1200</v>
      </c>
      <c r="W1276" t="s">
        <v>14862</v>
      </c>
      <c r="X1276" t="s">
        <v>14867</v>
      </c>
      <c r="Z1276" t="s">
        <v>16096</v>
      </c>
      <c r="AB1276" t="s">
        <v>19344</v>
      </c>
      <c r="AC1276">
        <v>2</v>
      </c>
      <c r="AD1276" t="s">
        <v>24600</v>
      </c>
      <c r="AE1276" t="s">
        <v>11459</v>
      </c>
      <c r="AF1276">
        <v>14</v>
      </c>
      <c r="AG1276">
        <v>1</v>
      </c>
      <c r="AH1276">
        <v>1</v>
      </c>
      <c r="AI1276">
        <v>175.28</v>
      </c>
      <c r="AL1276" t="s">
        <v>24632</v>
      </c>
      <c r="AM1276">
        <v>29640</v>
      </c>
      <c r="AS1276">
        <v>2</v>
      </c>
      <c r="AT1276" t="s">
        <v>412</v>
      </c>
      <c r="AU1276" t="s">
        <v>25270</v>
      </c>
      <c r="AV1276" t="s">
        <v>25335</v>
      </c>
      <c r="AW1276" t="s">
        <v>11447</v>
      </c>
    </row>
    <row r="1277" spans="1:49">
      <c r="A1277" s="1">
        <f>HYPERLINK("https://lsnyc.legalserver.org/matter/dynamic-profile/view/1909425","19-1909425")</f>
        <v>0</v>
      </c>
      <c r="B1277" t="s">
        <v>108</v>
      </c>
      <c r="C1277" t="s">
        <v>412</v>
      </c>
      <c r="E1277" t="s">
        <v>1862</v>
      </c>
      <c r="F1277" t="s">
        <v>4383</v>
      </c>
      <c r="G1277" t="s">
        <v>7274</v>
      </c>
      <c r="H1277" t="s">
        <v>10817</v>
      </c>
      <c r="I1277" t="s">
        <v>11385</v>
      </c>
      <c r="J1277">
        <v>11219</v>
      </c>
      <c r="K1277" t="s">
        <v>11446</v>
      </c>
      <c r="N1277" t="s">
        <v>14780</v>
      </c>
      <c r="P1277" t="s">
        <v>14797</v>
      </c>
      <c r="Q1277" t="s">
        <v>11446</v>
      </c>
      <c r="S1277" t="s">
        <v>14827</v>
      </c>
      <c r="U1277" t="s">
        <v>412</v>
      </c>
      <c r="V1277">
        <v>0</v>
      </c>
      <c r="W1277" t="s">
        <v>14859</v>
      </c>
      <c r="Z1277" t="s">
        <v>16097</v>
      </c>
      <c r="AB1277" t="s">
        <v>21179</v>
      </c>
      <c r="AC1277">
        <v>20</v>
      </c>
      <c r="AF1277">
        <v>0</v>
      </c>
      <c r="AG1277">
        <v>2</v>
      </c>
      <c r="AH1277">
        <v>0</v>
      </c>
      <c r="AI1277">
        <v>626.85</v>
      </c>
      <c r="AL1277" t="s">
        <v>24635</v>
      </c>
      <c r="AM1277">
        <v>106000</v>
      </c>
      <c r="AS1277">
        <v>0.2</v>
      </c>
      <c r="AT1277" t="s">
        <v>412</v>
      </c>
      <c r="AU1277" t="s">
        <v>177</v>
      </c>
      <c r="AV1277" t="s">
        <v>25335</v>
      </c>
      <c r="AW1277" t="s">
        <v>11447</v>
      </c>
    </row>
    <row r="1278" spans="1:49">
      <c r="A1278" s="1">
        <f>HYPERLINK("https://lsnyc.legalserver.org/matter/dynamic-profile/view/1909542","19-1909542")</f>
        <v>0</v>
      </c>
      <c r="B1278" t="s">
        <v>110</v>
      </c>
      <c r="C1278" t="s">
        <v>488</v>
      </c>
      <c r="E1278" t="s">
        <v>1228</v>
      </c>
      <c r="F1278" t="s">
        <v>1056</v>
      </c>
      <c r="G1278" t="s">
        <v>7358</v>
      </c>
      <c r="H1278">
        <v>2</v>
      </c>
      <c r="I1278" t="s">
        <v>11387</v>
      </c>
      <c r="J1278">
        <v>11435</v>
      </c>
      <c r="K1278" t="s">
        <v>11446</v>
      </c>
      <c r="L1278" t="s">
        <v>11883</v>
      </c>
      <c r="M1278" t="s">
        <v>14746</v>
      </c>
      <c r="N1278" t="s">
        <v>14781</v>
      </c>
      <c r="P1278" t="s">
        <v>14797</v>
      </c>
      <c r="Q1278" t="s">
        <v>11448</v>
      </c>
      <c r="S1278" t="s">
        <v>14827</v>
      </c>
      <c r="T1278" t="s">
        <v>14833</v>
      </c>
      <c r="U1278" t="s">
        <v>488</v>
      </c>
      <c r="V1278">
        <v>1650</v>
      </c>
      <c r="W1278" t="s">
        <v>14861</v>
      </c>
      <c r="X1278" t="s">
        <v>14865</v>
      </c>
      <c r="Z1278" t="s">
        <v>15973</v>
      </c>
      <c r="AB1278" t="s">
        <v>21063</v>
      </c>
      <c r="AC1278">
        <v>2</v>
      </c>
      <c r="AD1278" t="s">
        <v>24600</v>
      </c>
      <c r="AE1278" t="s">
        <v>11459</v>
      </c>
      <c r="AF1278">
        <v>2</v>
      </c>
      <c r="AG1278">
        <v>1</v>
      </c>
      <c r="AH1278">
        <v>3</v>
      </c>
      <c r="AI1278">
        <v>0</v>
      </c>
      <c r="AL1278" t="s">
        <v>5011</v>
      </c>
      <c r="AM1278">
        <v>0</v>
      </c>
      <c r="AP1278" t="s">
        <v>14755</v>
      </c>
      <c r="AS1278">
        <v>2.3</v>
      </c>
      <c r="AT1278" t="s">
        <v>537</v>
      </c>
      <c r="AU1278" t="s">
        <v>292</v>
      </c>
      <c r="AV1278" t="s">
        <v>25335</v>
      </c>
      <c r="AW1278" t="s">
        <v>11447</v>
      </c>
    </row>
    <row r="1279" spans="1:49">
      <c r="A1279" s="1">
        <f>HYPERLINK("https://lsnyc.legalserver.org/matter/dynamic-profile/view/1909580","19-1909580")</f>
        <v>0</v>
      </c>
      <c r="B1279" t="s">
        <v>231</v>
      </c>
      <c r="C1279" t="s">
        <v>488</v>
      </c>
      <c r="E1279" t="s">
        <v>1294</v>
      </c>
      <c r="F1279" t="s">
        <v>4378</v>
      </c>
      <c r="G1279" t="s">
        <v>7193</v>
      </c>
      <c r="H1279" t="s">
        <v>10465</v>
      </c>
      <c r="I1279" t="s">
        <v>11386</v>
      </c>
      <c r="J1279">
        <v>10040</v>
      </c>
      <c r="K1279" t="s">
        <v>11446</v>
      </c>
      <c r="M1279" t="s">
        <v>14748</v>
      </c>
      <c r="N1279" t="s">
        <v>14779</v>
      </c>
      <c r="P1279" t="s">
        <v>14797</v>
      </c>
      <c r="Q1279" t="s">
        <v>11448</v>
      </c>
      <c r="S1279" t="s">
        <v>14827</v>
      </c>
      <c r="U1279" t="s">
        <v>488</v>
      </c>
      <c r="V1279">
        <v>843.6</v>
      </c>
      <c r="W1279" t="s">
        <v>14860</v>
      </c>
      <c r="X1279" t="s">
        <v>14868</v>
      </c>
      <c r="Z1279" t="s">
        <v>16089</v>
      </c>
      <c r="AB1279" t="s">
        <v>21170</v>
      </c>
      <c r="AC1279">
        <v>42</v>
      </c>
      <c r="AD1279" t="s">
        <v>24595</v>
      </c>
      <c r="AE1279" t="s">
        <v>24613</v>
      </c>
      <c r="AF1279">
        <v>24</v>
      </c>
      <c r="AG1279">
        <v>1</v>
      </c>
      <c r="AH1279">
        <v>0</v>
      </c>
      <c r="AI1279">
        <v>0</v>
      </c>
      <c r="AL1279" t="s">
        <v>24632</v>
      </c>
      <c r="AM1279">
        <v>0</v>
      </c>
      <c r="AS1279">
        <v>1.4</v>
      </c>
      <c r="AT1279" t="s">
        <v>483</v>
      </c>
      <c r="AU1279" t="s">
        <v>137</v>
      </c>
      <c r="AV1279" t="s">
        <v>25335</v>
      </c>
      <c r="AW1279" t="s">
        <v>11447</v>
      </c>
    </row>
    <row r="1280" spans="1:49">
      <c r="A1280" s="1">
        <f>HYPERLINK("https://lsnyc.legalserver.org/matter/dynamic-profile/view/1909543","19-1909543")</f>
        <v>0</v>
      </c>
      <c r="B1280" t="s">
        <v>171</v>
      </c>
      <c r="C1280" t="s">
        <v>488</v>
      </c>
      <c r="E1280" t="s">
        <v>1863</v>
      </c>
      <c r="F1280" t="s">
        <v>4384</v>
      </c>
      <c r="G1280" t="s">
        <v>7359</v>
      </c>
      <c r="H1280" t="s">
        <v>10818</v>
      </c>
      <c r="I1280" t="s">
        <v>11389</v>
      </c>
      <c r="J1280">
        <v>11355</v>
      </c>
      <c r="K1280" t="s">
        <v>11446</v>
      </c>
      <c r="L1280" t="s">
        <v>11884</v>
      </c>
      <c r="M1280" t="s">
        <v>14744</v>
      </c>
      <c r="N1280" t="s">
        <v>14781</v>
      </c>
      <c r="P1280" t="s">
        <v>14797</v>
      </c>
      <c r="Q1280" t="s">
        <v>11448</v>
      </c>
      <c r="S1280" t="s">
        <v>14827</v>
      </c>
      <c r="T1280" t="s">
        <v>14832</v>
      </c>
      <c r="U1280" t="s">
        <v>488</v>
      </c>
      <c r="V1280">
        <v>1257.22</v>
      </c>
      <c r="W1280" t="s">
        <v>14861</v>
      </c>
      <c r="X1280" t="s">
        <v>14864</v>
      </c>
      <c r="Z1280" t="s">
        <v>16098</v>
      </c>
      <c r="AB1280" t="s">
        <v>21180</v>
      </c>
      <c r="AC1280">
        <v>289</v>
      </c>
      <c r="AD1280" t="s">
        <v>24595</v>
      </c>
      <c r="AE1280" t="s">
        <v>11459</v>
      </c>
      <c r="AF1280">
        <v>11</v>
      </c>
      <c r="AG1280">
        <v>1</v>
      </c>
      <c r="AH1280">
        <v>0</v>
      </c>
      <c r="AI1280">
        <v>17.58</v>
      </c>
      <c r="AL1280" t="s">
        <v>24650</v>
      </c>
      <c r="AM1280">
        <v>2196</v>
      </c>
      <c r="AP1280" t="s">
        <v>24943</v>
      </c>
      <c r="AS1280">
        <v>32.6</v>
      </c>
      <c r="AT1280" t="s">
        <v>476</v>
      </c>
      <c r="AU1280" t="s">
        <v>292</v>
      </c>
      <c r="AV1280" t="s">
        <v>25335</v>
      </c>
      <c r="AW1280" t="s">
        <v>11447</v>
      </c>
    </row>
    <row r="1281" spans="1:49">
      <c r="A1281" s="1">
        <f>HYPERLINK("https://lsnyc.legalserver.org/matter/dynamic-profile/view/1909512","19-1909512")</f>
        <v>0</v>
      </c>
      <c r="B1281" t="s">
        <v>229</v>
      </c>
      <c r="C1281" t="s">
        <v>488</v>
      </c>
      <c r="E1281" t="s">
        <v>1864</v>
      </c>
      <c r="F1281" t="s">
        <v>3695</v>
      </c>
      <c r="G1281" t="s">
        <v>7360</v>
      </c>
      <c r="H1281" t="s">
        <v>10705</v>
      </c>
      <c r="I1281" t="s">
        <v>11387</v>
      </c>
      <c r="J1281">
        <v>11435</v>
      </c>
      <c r="K1281" t="s">
        <v>11446</v>
      </c>
      <c r="L1281" t="s">
        <v>11885</v>
      </c>
      <c r="M1281" t="s">
        <v>14743</v>
      </c>
      <c r="N1281" t="s">
        <v>14781</v>
      </c>
      <c r="P1281" t="s">
        <v>14797</v>
      </c>
      <c r="Q1281" t="s">
        <v>11448</v>
      </c>
      <c r="S1281" t="s">
        <v>14827</v>
      </c>
      <c r="T1281" t="s">
        <v>14832</v>
      </c>
      <c r="U1281" t="s">
        <v>488</v>
      </c>
      <c r="V1281">
        <v>1533</v>
      </c>
      <c r="W1281" t="s">
        <v>14861</v>
      </c>
      <c r="X1281" t="s">
        <v>14865</v>
      </c>
      <c r="Z1281" t="s">
        <v>15409</v>
      </c>
      <c r="AA1281" t="s">
        <v>19429</v>
      </c>
      <c r="AB1281" t="s">
        <v>21181</v>
      </c>
      <c r="AC1281">
        <v>2</v>
      </c>
      <c r="AD1281" t="s">
        <v>11479</v>
      </c>
      <c r="AE1281" t="s">
        <v>24610</v>
      </c>
      <c r="AF1281">
        <v>6</v>
      </c>
      <c r="AG1281">
        <v>2</v>
      </c>
      <c r="AH1281">
        <v>0</v>
      </c>
      <c r="AI1281">
        <v>49.2</v>
      </c>
      <c r="AL1281" t="s">
        <v>5011</v>
      </c>
      <c r="AM1281">
        <v>8320</v>
      </c>
      <c r="AS1281">
        <v>21.25</v>
      </c>
      <c r="AT1281" t="s">
        <v>537</v>
      </c>
      <c r="AU1281" t="s">
        <v>292</v>
      </c>
      <c r="AV1281" t="s">
        <v>25335</v>
      </c>
      <c r="AW1281" t="s">
        <v>11447</v>
      </c>
    </row>
    <row r="1282" spans="1:49">
      <c r="A1282" s="1">
        <f>HYPERLINK("https://lsnyc.legalserver.org/matter/dynamic-profile/view/1909597","19-1909597")</f>
        <v>0</v>
      </c>
      <c r="B1282" t="s">
        <v>205</v>
      </c>
      <c r="C1282" t="s">
        <v>463</v>
      </c>
      <c r="E1282" t="s">
        <v>1242</v>
      </c>
      <c r="F1282" t="s">
        <v>1035</v>
      </c>
      <c r="G1282" t="s">
        <v>7348</v>
      </c>
      <c r="H1282" t="s">
        <v>10451</v>
      </c>
      <c r="I1282" t="s">
        <v>11386</v>
      </c>
      <c r="J1282">
        <v>10035</v>
      </c>
      <c r="K1282" t="s">
        <v>11446</v>
      </c>
      <c r="L1282" t="s">
        <v>11886</v>
      </c>
      <c r="M1282" t="s">
        <v>14746</v>
      </c>
      <c r="N1282" t="s">
        <v>14781</v>
      </c>
      <c r="P1282" t="s">
        <v>14797</v>
      </c>
      <c r="Q1282" t="s">
        <v>11446</v>
      </c>
      <c r="S1282" t="s">
        <v>14827</v>
      </c>
      <c r="T1282" t="s">
        <v>14832</v>
      </c>
      <c r="U1282" t="s">
        <v>488</v>
      </c>
      <c r="V1282">
        <v>793</v>
      </c>
      <c r="W1282" t="s">
        <v>14860</v>
      </c>
      <c r="X1282" t="s">
        <v>14755</v>
      </c>
      <c r="Z1282" t="s">
        <v>16099</v>
      </c>
      <c r="AB1282" t="s">
        <v>21182</v>
      </c>
      <c r="AC1282">
        <v>60</v>
      </c>
      <c r="AD1282" t="s">
        <v>24595</v>
      </c>
      <c r="AE1282" t="s">
        <v>24610</v>
      </c>
      <c r="AF1282">
        <v>14</v>
      </c>
      <c r="AG1282">
        <v>2</v>
      </c>
      <c r="AH1282">
        <v>1</v>
      </c>
      <c r="AI1282">
        <v>164.09</v>
      </c>
      <c r="AL1282" t="s">
        <v>5011</v>
      </c>
      <c r="AM1282">
        <v>35000</v>
      </c>
      <c r="AS1282">
        <v>0</v>
      </c>
      <c r="AU1282" t="s">
        <v>25266</v>
      </c>
      <c r="AV1282" t="s">
        <v>25335</v>
      </c>
      <c r="AW1282" t="s">
        <v>11447</v>
      </c>
    </row>
    <row r="1283" spans="1:49">
      <c r="A1283" s="1">
        <f>HYPERLINK("https://lsnyc.legalserver.org/matter/dynamic-profile/view/1909513","19-1909513")</f>
        <v>0</v>
      </c>
      <c r="B1283" t="s">
        <v>105</v>
      </c>
      <c r="C1283" t="s">
        <v>488</v>
      </c>
      <c r="E1283" t="s">
        <v>1718</v>
      </c>
      <c r="F1283" t="s">
        <v>3675</v>
      </c>
      <c r="G1283" t="s">
        <v>7361</v>
      </c>
      <c r="H1283" t="s">
        <v>10620</v>
      </c>
      <c r="I1283" t="s">
        <v>11386</v>
      </c>
      <c r="J1283">
        <v>10034</v>
      </c>
      <c r="K1283" t="s">
        <v>11446</v>
      </c>
      <c r="M1283" t="s">
        <v>14747</v>
      </c>
      <c r="N1283" t="s">
        <v>14780</v>
      </c>
      <c r="P1283" t="s">
        <v>14797</v>
      </c>
      <c r="Q1283" t="s">
        <v>11448</v>
      </c>
      <c r="S1283" t="s">
        <v>14827</v>
      </c>
      <c r="U1283" t="s">
        <v>488</v>
      </c>
      <c r="V1283">
        <v>1525</v>
      </c>
      <c r="W1283" t="s">
        <v>14860</v>
      </c>
      <c r="X1283" t="s">
        <v>14868</v>
      </c>
      <c r="Z1283" t="s">
        <v>16100</v>
      </c>
      <c r="AB1283" t="s">
        <v>21183</v>
      </c>
      <c r="AC1283">
        <v>25</v>
      </c>
      <c r="AD1283" t="s">
        <v>24595</v>
      </c>
      <c r="AE1283" t="s">
        <v>11459</v>
      </c>
      <c r="AF1283">
        <v>8</v>
      </c>
      <c r="AG1283">
        <v>4</v>
      </c>
      <c r="AH1283">
        <v>0</v>
      </c>
      <c r="AI1283">
        <v>171.25</v>
      </c>
      <c r="AL1283" t="s">
        <v>24632</v>
      </c>
      <c r="AM1283">
        <v>44096</v>
      </c>
      <c r="AS1283">
        <v>1.9</v>
      </c>
      <c r="AT1283" t="s">
        <v>473</v>
      </c>
      <c r="AU1283" t="s">
        <v>137</v>
      </c>
      <c r="AV1283" t="s">
        <v>25335</v>
      </c>
      <c r="AW1283" t="s">
        <v>11447</v>
      </c>
    </row>
    <row r="1284" spans="1:49">
      <c r="A1284" s="1">
        <f>HYPERLINK("https://lsnyc.legalserver.org/matter/dynamic-profile/view/1909504","19-1909504")</f>
        <v>0</v>
      </c>
      <c r="B1284" t="s">
        <v>175</v>
      </c>
      <c r="C1284" t="s">
        <v>488</v>
      </c>
      <c r="E1284" t="s">
        <v>1639</v>
      </c>
      <c r="F1284" t="s">
        <v>4385</v>
      </c>
      <c r="G1284" t="s">
        <v>7349</v>
      </c>
      <c r="H1284" t="s">
        <v>10476</v>
      </c>
      <c r="I1284" t="s">
        <v>11386</v>
      </c>
      <c r="J1284">
        <v>10040</v>
      </c>
      <c r="K1284" t="s">
        <v>11446</v>
      </c>
      <c r="M1284" t="s">
        <v>14746</v>
      </c>
      <c r="N1284" t="s">
        <v>14782</v>
      </c>
      <c r="P1284" t="s">
        <v>14797</v>
      </c>
      <c r="Q1284" t="s">
        <v>11446</v>
      </c>
      <c r="S1284" t="s">
        <v>14827</v>
      </c>
      <c r="U1284" t="s">
        <v>488</v>
      </c>
      <c r="V1284">
        <v>0</v>
      </c>
      <c r="W1284" t="s">
        <v>14860</v>
      </c>
      <c r="X1284" t="s">
        <v>14867</v>
      </c>
      <c r="Z1284" t="s">
        <v>16101</v>
      </c>
      <c r="AB1284" t="s">
        <v>21184</v>
      </c>
      <c r="AC1284">
        <v>77</v>
      </c>
      <c r="AD1284" t="s">
        <v>24595</v>
      </c>
      <c r="AE1284" t="s">
        <v>24611</v>
      </c>
      <c r="AF1284">
        <v>4</v>
      </c>
      <c r="AG1284">
        <v>1</v>
      </c>
      <c r="AH1284">
        <v>0</v>
      </c>
      <c r="AI1284">
        <v>192.15</v>
      </c>
      <c r="AL1284" t="s">
        <v>5011</v>
      </c>
      <c r="AM1284">
        <v>24000</v>
      </c>
      <c r="AS1284">
        <v>20.9</v>
      </c>
      <c r="AT1284" t="s">
        <v>521</v>
      </c>
      <c r="AU1284" t="s">
        <v>137</v>
      </c>
      <c r="AV1284" t="s">
        <v>25335</v>
      </c>
      <c r="AW1284" t="s">
        <v>11447</v>
      </c>
    </row>
    <row r="1285" spans="1:49">
      <c r="A1285" s="1">
        <f>HYPERLINK("https://lsnyc.legalserver.org/matter/dynamic-profile/view/1909497","19-1909497")</f>
        <v>0</v>
      </c>
      <c r="B1285" t="s">
        <v>175</v>
      </c>
      <c r="C1285" t="s">
        <v>488</v>
      </c>
      <c r="E1285" t="s">
        <v>1865</v>
      </c>
      <c r="F1285" t="s">
        <v>4386</v>
      </c>
      <c r="G1285" t="s">
        <v>7349</v>
      </c>
      <c r="H1285" t="s">
        <v>10484</v>
      </c>
      <c r="I1285" t="s">
        <v>11386</v>
      </c>
      <c r="J1285">
        <v>10040</v>
      </c>
      <c r="K1285" t="s">
        <v>11446</v>
      </c>
      <c r="M1285" t="s">
        <v>14746</v>
      </c>
      <c r="N1285" t="s">
        <v>14782</v>
      </c>
      <c r="P1285" t="s">
        <v>14797</v>
      </c>
      <c r="Q1285" t="s">
        <v>11446</v>
      </c>
      <c r="S1285" t="s">
        <v>14827</v>
      </c>
      <c r="U1285" t="s">
        <v>488</v>
      </c>
      <c r="V1285">
        <v>1234.7</v>
      </c>
      <c r="W1285" t="s">
        <v>14860</v>
      </c>
      <c r="X1285" t="s">
        <v>14867</v>
      </c>
      <c r="Z1285" t="s">
        <v>16102</v>
      </c>
      <c r="AC1285">
        <v>77</v>
      </c>
      <c r="AD1285" t="s">
        <v>24595</v>
      </c>
      <c r="AE1285" t="s">
        <v>11459</v>
      </c>
      <c r="AF1285">
        <v>4</v>
      </c>
      <c r="AG1285">
        <v>1</v>
      </c>
      <c r="AH1285">
        <v>0</v>
      </c>
      <c r="AI1285">
        <v>464.37</v>
      </c>
      <c r="AL1285" t="s">
        <v>5011</v>
      </c>
      <c r="AM1285">
        <v>58000</v>
      </c>
      <c r="AS1285">
        <v>0.1</v>
      </c>
      <c r="AT1285" t="s">
        <v>519</v>
      </c>
      <c r="AU1285" t="s">
        <v>137</v>
      </c>
      <c r="AV1285" t="s">
        <v>25335</v>
      </c>
      <c r="AW1285" t="s">
        <v>11447</v>
      </c>
    </row>
    <row r="1286" spans="1:49">
      <c r="A1286" s="1">
        <f>HYPERLINK("https://lsnyc.legalserver.org/matter/dynamic-profile/view/1909501","19-1909501")</f>
        <v>0</v>
      </c>
      <c r="B1286" t="s">
        <v>175</v>
      </c>
      <c r="C1286" t="s">
        <v>488</v>
      </c>
      <c r="E1286" t="s">
        <v>1063</v>
      </c>
      <c r="F1286" t="s">
        <v>4387</v>
      </c>
      <c r="G1286" t="s">
        <v>7349</v>
      </c>
      <c r="H1286" t="s">
        <v>10555</v>
      </c>
      <c r="I1286" t="s">
        <v>11386</v>
      </c>
      <c r="J1286">
        <v>10040</v>
      </c>
      <c r="K1286" t="s">
        <v>11446</v>
      </c>
      <c r="M1286" t="s">
        <v>14746</v>
      </c>
      <c r="N1286" t="s">
        <v>14782</v>
      </c>
      <c r="P1286" t="s">
        <v>14797</v>
      </c>
      <c r="Q1286" t="s">
        <v>11446</v>
      </c>
      <c r="S1286" t="s">
        <v>14827</v>
      </c>
      <c r="U1286" t="s">
        <v>488</v>
      </c>
      <c r="V1286">
        <v>1738.34</v>
      </c>
      <c r="W1286" t="s">
        <v>14860</v>
      </c>
      <c r="X1286" t="s">
        <v>14867</v>
      </c>
      <c r="Z1286" t="s">
        <v>15863</v>
      </c>
      <c r="AB1286" t="s">
        <v>21185</v>
      </c>
      <c r="AC1286">
        <v>77</v>
      </c>
      <c r="AD1286" t="s">
        <v>24595</v>
      </c>
      <c r="AE1286" t="s">
        <v>11459</v>
      </c>
      <c r="AF1286">
        <v>5</v>
      </c>
      <c r="AG1286">
        <v>2</v>
      </c>
      <c r="AH1286">
        <v>0</v>
      </c>
      <c r="AI1286">
        <v>626.85</v>
      </c>
      <c r="AL1286" t="s">
        <v>5011</v>
      </c>
      <c r="AM1286">
        <v>106000</v>
      </c>
      <c r="AS1286">
        <v>0.1</v>
      </c>
      <c r="AT1286" t="s">
        <v>519</v>
      </c>
      <c r="AU1286" t="s">
        <v>137</v>
      </c>
      <c r="AV1286" t="s">
        <v>25335</v>
      </c>
      <c r="AW1286" t="s">
        <v>11447</v>
      </c>
    </row>
    <row r="1287" spans="1:49">
      <c r="A1287" s="1">
        <f>HYPERLINK("https://lsnyc.legalserver.org/matter/dynamic-profile/view/1909614","19-1909614")</f>
        <v>0</v>
      </c>
      <c r="B1287" t="s">
        <v>216</v>
      </c>
      <c r="C1287" t="s">
        <v>463</v>
      </c>
      <c r="E1287" t="s">
        <v>1210</v>
      </c>
      <c r="F1287" t="s">
        <v>4388</v>
      </c>
      <c r="G1287" t="s">
        <v>7362</v>
      </c>
      <c r="I1287" t="s">
        <v>11386</v>
      </c>
      <c r="J1287">
        <v>10033</v>
      </c>
      <c r="K1287" t="s">
        <v>11446</v>
      </c>
      <c r="N1287" t="s">
        <v>14782</v>
      </c>
      <c r="P1287" t="s">
        <v>14797</v>
      </c>
      <c r="Q1287" t="s">
        <v>11448</v>
      </c>
      <c r="S1287" t="s">
        <v>14827</v>
      </c>
      <c r="U1287" t="s">
        <v>463</v>
      </c>
      <c r="V1287">
        <v>370</v>
      </c>
      <c r="W1287" t="s">
        <v>14860</v>
      </c>
      <c r="X1287" t="s">
        <v>14867</v>
      </c>
      <c r="Z1287" t="s">
        <v>16103</v>
      </c>
      <c r="AB1287" t="s">
        <v>21186</v>
      </c>
      <c r="AC1287">
        <v>43</v>
      </c>
      <c r="AD1287" t="s">
        <v>24599</v>
      </c>
      <c r="AE1287" t="s">
        <v>11459</v>
      </c>
      <c r="AF1287">
        <v>30</v>
      </c>
      <c r="AG1287">
        <v>4</v>
      </c>
      <c r="AH1287">
        <v>0</v>
      </c>
      <c r="AI1287">
        <v>93.2</v>
      </c>
      <c r="AL1287" t="s">
        <v>24632</v>
      </c>
      <c r="AM1287">
        <v>23998</v>
      </c>
      <c r="AS1287">
        <v>0</v>
      </c>
      <c r="AU1287" t="s">
        <v>137</v>
      </c>
      <c r="AV1287" t="s">
        <v>25335</v>
      </c>
      <c r="AW1287" t="s">
        <v>11447</v>
      </c>
    </row>
    <row r="1288" spans="1:49">
      <c r="A1288" s="1">
        <f>HYPERLINK("https://lsnyc.legalserver.org/matter/dynamic-profile/view/1909640","19-1909640")</f>
        <v>0</v>
      </c>
      <c r="B1288" t="s">
        <v>109</v>
      </c>
      <c r="C1288" t="s">
        <v>463</v>
      </c>
      <c r="E1288" t="s">
        <v>1584</v>
      </c>
      <c r="F1288" t="s">
        <v>1276</v>
      </c>
      <c r="G1288" t="s">
        <v>7363</v>
      </c>
      <c r="H1288" t="s">
        <v>10496</v>
      </c>
      <c r="I1288" t="s">
        <v>11385</v>
      </c>
      <c r="J1288">
        <v>11210</v>
      </c>
      <c r="K1288" t="s">
        <v>11446</v>
      </c>
      <c r="L1288" t="s">
        <v>11887</v>
      </c>
      <c r="M1288" t="s">
        <v>14743</v>
      </c>
      <c r="N1288" t="s">
        <v>14779</v>
      </c>
      <c r="P1288" t="s">
        <v>14797</v>
      </c>
      <c r="Q1288" t="s">
        <v>11448</v>
      </c>
      <c r="S1288" t="s">
        <v>14827</v>
      </c>
      <c r="T1288" t="s">
        <v>14832</v>
      </c>
      <c r="U1288" t="s">
        <v>463</v>
      </c>
      <c r="V1288">
        <v>1004.5</v>
      </c>
      <c r="W1288" t="s">
        <v>14859</v>
      </c>
      <c r="X1288" t="s">
        <v>14873</v>
      </c>
      <c r="Z1288" t="s">
        <v>16104</v>
      </c>
      <c r="AC1288">
        <v>4</v>
      </c>
      <c r="AD1288" t="s">
        <v>24600</v>
      </c>
      <c r="AE1288" t="s">
        <v>11459</v>
      </c>
      <c r="AF1288">
        <v>5</v>
      </c>
      <c r="AG1288">
        <v>2</v>
      </c>
      <c r="AH1288">
        <v>3</v>
      </c>
      <c r="AI1288">
        <v>106.07</v>
      </c>
      <c r="AL1288" t="s">
        <v>24641</v>
      </c>
      <c r="AM1288">
        <v>32000</v>
      </c>
      <c r="AO1288" t="s">
        <v>24930</v>
      </c>
      <c r="AS1288">
        <v>5</v>
      </c>
      <c r="AT1288" t="s">
        <v>463</v>
      </c>
      <c r="AU1288" t="s">
        <v>109</v>
      </c>
      <c r="AV1288" t="s">
        <v>25335</v>
      </c>
      <c r="AW1288" t="s">
        <v>11447</v>
      </c>
    </row>
    <row r="1289" spans="1:49">
      <c r="A1289" s="1">
        <f>HYPERLINK("https://lsnyc.legalserver.org/matter/dynamic-profile/view/1909626","19-1909626")</f>
        <v>0</v>
      </c>
      <c r="B1289" t="s">
        <v>144</v>
      </c>
      <c r="C1289" t="s">
        <v>463</v>
      </c>
      <c r="E1289" t="s">
        <v>1866</v>
      </c>
      <c r="F1289" t="s">
        <v>4389</v>
      </c>
      <c r="G1289" t="s">
        <v>7364</v>
      </c>
      <c r="I1289" t="s">
        <v>11411</v>
      </c>
      <c r="J1289">
        <v>11418</v>
      </c>
      <c r="K1289" t="s">
        <v>11446</v>
      </c>
      <c r="L1289" t="s">
        <v>11888</v>
      </c>
      <c r="M1289" t="s">
        <v>14743</v>
      </c>
      <c r="N1289" t="s">
        <v>14778</v>
      </c>
      <c r="P1289" t="s">
        <v>14797</v>
      </c>
      <c r="Q1289" t="s">
        <v>11448</v>
      </c>
      <c r="S1289" t="s">
        <v>14827</v>
      </c>
      <c r="U1289" t="s">
        <v>463</v>
      </c>
      <c r="V1289">
        <v>400</v>
      </c>
      <c r="W1289" t="s">
        <v>14861</v>
      </c>
      <c r="X1289" t="s">
        <v>14865</v>
      </c>
      <c r="Z1289" t="s">
        <v>15152</v>
      </c>
      <c r="AA1289" t="s">
        <v>19430</v>
      </c>
      <c r="AB1289" t="s">
        <v>21187</v>
      </c>
      <c r="AC1289">
        <v>2</v>
      </c>
      <c r="AD1289" t="s">
        <v>11479</v>
      </c>
      <c r="AE1289" t="s">
        <v>11459</v>
      </c>
      <c r="AF1289">
        <v>-1</v>
      </c>
      <c r="AG1289">
        <v>1</v>
      </c>
      <c r="AH1289">
        <v>0</v>
      </c>
      <c r="AI1289">
        <v>120.1</v>
      </c>
      <c r="AL1289" t="s">
        <v>5011</v>
      </c>
      <c r="AM1289">
        <v>15000</v>
      </c>
      <c r="AS1289">
        <v>0.3</v>
      </c>
      <c r="AT1289" t="s">
        <v>463</v>
      </c>
      <c r="AU1289" t="s">
        <v>292</v>
      </c>
      <c r="AV1289" t="s">
        <v>25335</v>
      </c>
      <c r="AW1289" t="s">
        <v>11447</v>
      </c>
    </row>
    <row r="1290" spans="1:49">
      <c r="A1290" s="1">
        <f>HYPERLINK("https://lsnyc.legalserver.org/matter/dynamic-profile/view/1909731","19-1909731")</f>
        <v>0</v>
      </c>
      <c r="B1290" t="s">
        <v>211</v>
      </c>
      <c r="C1290" t="s">
        <v>519</v>
      </c>
      <c r="E1290" t="s">
        <v>1867</v>
      </c>
      <c r="F1290" t="s">
        <v>4390</v>
      </c>
      <c r="G1290" t="s">
        <v>7365</v>
      </c>
      <c r="H1290">
        <v>37</v>
      </c>
      <c r="I1290" t="s">
        <v>11385</v>
      </c>
      <c r="J1290">
        <v>11213</v>
      </c>
      <c r="K1290" t="s">
        <v>11446</v>
      </c>
      <c r="L1290" t="s">
        <v>11601</v>
      </c>
      <c r="M1290" t="s">
        <v>14768</v>
      </c>
      <c r="N1290" t="s">
        <v>14779</v>
      </c>
      <c r="P1290" t="s">
        <v>14797</v>
      </c>
      <c r="Q1290" t="s">
        <v>11448</v>
      </c>
      <c r="S1290" t="s">
        <v>14827</v>
      </c>
      <c r="T1290" t="s">
        <v>14832</v>
      </c>
      <c r="U1290" t="s">
        <v>463</v>
      </c>
      <c r="V1290">
        <v>798.41</v>
      </c>
      <c r="W1290" t="s">
        <v>14859</v>
      </c>
      <c r="X1290" t="s">
        <v>14755</v>
      </c>
      <c r="Z1290" t="s">
        <v>16105</v>
      </c>
      <c r="AA1290" t="s">
        <v>11459</v>
      </c>
      <c r="AB1290" t="s">
        <v>21188</v>
      </c>
      <c r="AC1290">
        <v>31</v>
      </c>
      <c r="AD1290" t="s">
        <v>24595</v>
      </c>
      <c r="AE1290" t="s">
        <v>24613</v>
      </c>
      <c r="AF1290">
        <v>41</v>
      </c>
      <c r="AG1290">
        <v>2</v>
      </c>
      <c r="AH1290">
        <v>0</v>
      </c>
      <c r="AI1290">
        <v>146.08</v>
      </c>
      <c r="AL1290" t="s">
        <v>5011</v>
      </c>
      <c r="AM1290">
        <v>24702</v>
      </c>
      <c r="AS1290">
        <v>18.9</v>
      </c>
      <c r="AT1290" t="s">
        <v>654</v>
      </c>
      <c r="AU1290" t="s">
        <v>120</v>
      </c>
      <c r="AV1290" t="s">
        <v>25335</v>
      </c>
      <c r="AW1290" t="s">
        <v>11447</v>
      </c>
    </row>
    <row r="1291" spans="1:49">
      <c r="A1291" s="1">
        <f>HYPERLINK("https://lsnyc.legalserver.org/matter/dynamic-profile/view/1909630","19-1909630")</f>
        <v>0</v>
      </c>
      <c r="B1291" t="s">
        <v>216</v>
      </c>
      <c r="C1291" t="s">
        <v>463</v>
      </c>
      <c r="E1291" t="s">
        <v>1868</v>
      </c>
      <c r="F1291" t="s">
        <v>3797</v>
      </c>
      <c r="G1291" t="s">
        <v>7366</v>
      </c>
      <c r="H1291">
        <v>48</v>
      </c>
      <c r="I1291" t="s">
        <v>11386</v>
      </c>
      <c r="J1291">
        <v>10032</v>
      </c>
      <c r="K1291" t="s">
        <v>11446</v>
      </c>
      <c r="N1291" t="s">
        <v>14782</v>
      </c>
      <c r="P1291" t="s">
        <v>14797</v>
      </c>
      <c r="Q1291" t="s">
        <v>11448</v>
      </c>
      <c r="S1291" t="s">
        <v>14827</v>
      </c>
      <c r="U1291" t="s">
        <v>463</v>
      </c>
      <c r="V1291">
        <v>419.62</v>
      </c>
      <c r="W1291" t="s">
        <v>14860</v>
      </c>
      <c r="X1291" t="s">
        <v>14868</v>
      </c>
      <c r="Z1291" t="s">
        <v>16106</v>
      </c>
      <c r="AB1291" t="s">
        <v>21189</v>
      </c>
      <c r="AC1291">
        <v>70</v>
      </c>
      <c r="AD1291" t="s">
        <v>24595</v>
      </c>
      <c r="AE1291" t="s">
        <v>11459</v>
      </c>
      <c r="AF1291">
        <v>57</v>
      </c>
      <c r="AG1291">
        <v>1</v>
      </c>
      <c r="AH1291">
        <v>0</v>
      </c>
      <c r="AI1291">
        <v>166.79</v>
      </c>
      <c r="AL1291" t="s">
        <v>5011</v>
      </c>
      <c r="AM1291">
        <v>20832</v>
      </c>
      <c r="AS1291">
        <v>0.5</v>
      </c>
      <c r="AT1291" t="s">
        <v>601</v>
      </c>
      <c r="AU1291" t="s">
        <v>137</v>
      </c>
      <c r="AV1291" t="s">
        <v>25335</v>
      </c>
      <c r="AW1291" t="s">
        <v>11447</v>
      </c>
    </row>
    <row r="1292" spans="1:49">
      <c r="A1292" s="1">
        <f>HYPERLINK("https://lsnyc.legalserver.org/matter/dynamic-profile/view/1909594","19-1909594")</f>
        <v>0</v>
      </c>
      <c r="B1292" t="s">
        <v>216</v>
      </c>
      <c r="C1292" t="s">
        <v>463</v>
      </c>
      <c r="E1292" t="s">
        <v>1869</v>
      </c>
      <c r="F1292" t="s">
        <v>4391</v>
      </c>
      <c r="G1292" t="s">
        <v>7367</v>
      </c>
      <c r="I1292" t="s">
        <v>11386</v>
      </c>
      <c r="J1292">
        <v>10032</v>
      </c>
      <c r="K1292" t="s">
        <v>11446</v>
      </c>
      <c r="M1292" t="s">
        <v>14747</v>
      </c>
      <c r="N1292" t="s">
        <v>14782</v>
      </c>
      <c r="P1292" t="s">
        <v>14797</v>
      </c>
      <c r="Q1292" t="s">
        <v>11448</v>
      </c>
      <c r="S1292" t="s">
        <v>14827</v>
      </c>
      <c r="U1292" t="s">
        <v>463</v>
      </c>
      <c r="V1292">
        <v>1285</v>
      </c>
      <c r="W1292" t="s">
        <v>14860</v>
      </c>
      <c r="X1292" t="s">
        <v>14871</v>
      </c>
      <c r="Z1292" t="s">
        <v>16107</v>
      </c>
      <c r="AB1292" t="s">
        <v>21190</v>
      </c>
      <c r="AC1292">
        <v>4</v>
      </c>
      <c r="AD1292" t="s">
        <v>24595</v>
      </c>
      <c r="AE1292" t="s">
        <v>24610</v>
      </c>
      <c r="AF1292">
        <v>3</v>
      </c>
      <c r="AG1292">
        <v>2</v>
      </c>
      <c r="AH1292">
        <v>0</v>
      </c>
      <c r="AI1292">
        <v>199.27</v>
      </c>
      <c r="AL1292" t="s">
        <v>24632</v>
      </c>
      <c r="AM1292">
        <v>33696</v>
      </c>
      <c r="AS1292">
        <v>0.3</v>
      </c>
      <c r="AT1292" t="s">
        <v>601</v>
      </c>
      <c r="AU1292" t="s">
        <v>137</v>
      </c>
      <c r="AV1292" t="s">
        <v>25335</v>
      </c>
      <c r="AW1292" t="s">
        <v>11447</v>
      </c>
    </row>
    <row r="1293" spans="1:49">
      <c r="A1293" s="1">
        <f>HYPERLINK("https://lsnyc.legalserver.org/matter/dynamic-profile/view/1910459","19-1910459")</f>
        <v>0</v>
      </c>
      <c r="B1293" t="s">
        <v>205</v>
      </c>
      <c r="C1293" t="s">
        <v>508</v>
      </c>
      <c r="E1293" t="s">
        <v>1170</v>
      </c>
      <c r="F1293" t="s">
        <v>4392</v>
      </c>
      <c r="G1293" t="s">
        <v>7368</v>
      </c>
      <c r="H1293" t="s">
        <v>10579</v>
      </c>
      <c r="I1293" t="s">
        <v>11386</v>
      </c>
      <c r="J1293">
        <v>10035</v>
      </c>
      <c r="K1293" t="s">
        <v>11446</v>
      </c>
      <c r="L1293" t="s">
        <v>11889</v>
      </c>
      <c r="M1293" t="s">
        <v>14743</v>
      </c>
      <c r="N1293" t="s">
        <v>14781</v>
      </c>
      <c r="P1293" t="s">
        <v>14797</v>
      </c>
      <c r="Q1293" t="s">
        <v>11448</v>
      </c>
      <c r="S1293" t="s">
        <v>14827</v>
      </c>
      <c r="T1293" t="s">
        <v>14832</v>
      </c>
      <c r="U1293" t="s">
        <v>519</v>
      </c>
      <c r="V1293">
        <v>650</v>
      </c>
      <c r="W1293" t="s">
        <v>14860</v>
      </c>
      <c r="X1293" t="s">
        <v>14868</v>
      </c>
      <c r="Z1293" t="s">
        <v>16108</v>
      </c>
      <c r="AB1293" t="s">
        <v>21191</v>
      </c>
      <c r="AC1293">
        <v>30</v>
      </c>
      <c r="AD1293" t="s">
        <v>11479</v>
      </c>
      <c r="AE1293" t="s">
        <v>11459</v>
      </c>
      <c r="AF1293">
        <v>22</v>
      </c>
      <c r="AG1293">
        <v>2</v>
      </c>
      <c r="AH1293">
        <v>2</v>
      </c>
      <c r="AI1293">
        <v>100.58</v>
      </c>
      <c r="AL1293" t="s">
        <v>5011</v>
      </c>
      <c r="AM1293">
        <v>25900</v>
      </c>
      <c r="AS1293">
        <v>0.75</v>
      </c>
      <c r="AT1293" t="s">
        <v>468</v>
      </c>
      <c r="AU1293" t="s">
        <v>25266</v>
      </c>
      <c r="AV1293" t="s">
        <v>25335</v>
      </c>
      <c r="AW1293" t="s">
        <v>11447</v>
      </c>
    </row>
    <row r="1294" spans="1:49">
      <c r="A1294" s="1">
        <f>HYPERLINK("https://lsnyc.legalserver.org/matter/dynamic-profile/view/1909811","19-1909811")</f>
        <v>0</v>
      </c>
      <c r="B1294" t="s">
        <v>183</v>
      </c>
      <c r="C1294" t="s">
        <v>504</v>
      </c>
      <c r="E1294" t="s">
        <v>1870</v>
      </c>
      <c r="F1294" t="s">
        <v>2719</v>
      </c>
      <c r="G1294" t="s">
        <v>7369</v>
      </c>
      <c r="H1294" t="s">
        <v>10513</v>
      </c>
      <c r="I1294" t="s">
        <v>11385</v>
      </c>
      <c r="J1294">
        <v>11233</v>
      </c>
      <c r="K1294" t="s">
        <v>11446</v>
      </c>
      <c r="L1294" t="s">
        <v>11890</v>
      </c>
      <c r="M1294" t="s">
        <v>14744</v>
      </c>
      <c r="N1294" t="s">
        <v>14781</v>
      </c>
      <c r="P1294" t="s">
        <v>14797</v>
      </c>
      <c r="Q1294" t="s">
        <v>11448</v>
      </c>
      <c r="S1294" t="s">
        <v>14827</v>
      </c>
      <c r="T1294" t="s">
        <v>14832</v>
      </c>
      <c r="U1294" t="s">
        <v>504</v>
      </c>
      <c r="V1294">
        <v>1515</v>
      </c>
      <c r="W1294" t="s">
        <v>14859</v>
      </c>
      <c r="X1294" t="s">
        <v>14872</v>
      </c>
      <c r="Z1294" t="s">
        <v>16109</v>
      </c>
      <c r="AA1294" t="s">
        <v>19431</v>
      </c>
      <c r="AB1294" t="s">
        <v>21192</v>
      </c>
      <c r="AC1294">
        <v>6</v>
      </c>
      <c r="AD1294" t="s">
        <v>24595</v>
      </c>
      <c r="AE1294" t="s">
        <v>11459</v>
      </c>
      <c r="AF1294">
        <v>3</v>
      </c>
      <c r="AG1294">
        <v>1</v>
      </c>
      <c r="AH1294">
        <v>0</v>
      </c>
      <c r="AI1294">
        <v>13.63</v>
      </c>
      <c r="AL1294" t="s">
        <v>5011</v>
      </c>
      <c r="AM1294">
        <v>1703</v>
      </c>
      <c r="AS1294">
        <v>0.1</v>
      </c>
      <c r="AT1294" t="s">
        <v>484</v>
      </c>
      <c r="AU1294" t="s">
        <v>66</v>
      </c>
      <c r="AV1294" t="s">
        <v>25335</v>
      </c>
      <c r="AW1294" t="s">
        <v>11447</v>
      </c>
    </row>
    <row r="1295" spans="1:49">
      <c r="A1295" s="1">
        <f>HYPERLINK("https://lsnyc.legalserver.org/matter/dynamic-profile/view/1909296","19-1909296")</f>
        <v>0</v>
      </c>
      <c r="B1295" t="s">
        <v>98</v>
      </c>
      <c r="C1295" t="s">
        <v>589</v>
      </c>
      <c r="E1295" t="s">
        <v>1871</v>
      </c>
      <c r="F1295" t="s">
        <v>3686</v>
      </c>
      <c r="G1295" t="s">
        <v>7370</v>
      </c>
      <c r="H1295">
        <v>143</v>
      </c>
      <c r="I1295" t="s">
        <v>11385</v>
      </c>
      <c r="J1295">
        <v>11208</v>
      </c>
      <c r="K1295" t="s">
        <v>11446</v>
      </c>
      <c r="L1295" t="s">
        <v>11601</v>
      </c>
      <c r="M1295" t="s">
        <v>14753</v>
      </c>
      <c r="N1295" t="s">
        <v>14779</v>
      </c>
      <c r="P1295" t="s">
        <v>14797</v>
      </c>
      <c r="Q1295" t="s">
        <v>11448</v>
      </c>
      <c r="S1295" t="s">
        <v>14827</v>
      </c>
      <c r="T1295" t="s">
        <v>14832</v>
      </c>
      <c r="U1295" t="s">
        <v>504</v>
      </c>
      <c r="V1295">
        <v>1000</v>
      </c>
      <c r="W1295" t="s">
        <v>14859</v>
      </c>
      <c r="X1295" t="s">
        <v>14876</v>
      </c>
      <c r="Z1295" t="s">
        <v>16110</v>
      </c>
      <c r="AA1295" t="s">
        <v>19336</v>
      </c>
      <c r="AB1295" t="s">
        <v>21193</v>
      </c>
      <c r="AC1295">
        <v>266</v>
      </c>
      <c r="AD1295" t="s">
        <v>24596</v>
      </c>
      <c r="AE1295" t="s">
        <v>24610</v>
      </c>
      <c r="AF1295">
        <v>28</v>
      </c>
      <c r="AG1295">
        <v>1</v>
      </c>
      <c r="AH1295">
        <v>0</v>
      </c>
      <c r="AI1295">
        <v>14.58</v>
      </c>
      <c r="AL1295" t="s">
        <v>5011</v>
      </c>
      <c r="AM1295">
        <v>1821.6</v>
      </c>
      <c r="AS1295">
        <v>30.75</v>
      </c>
      <c r="AT1295" t="s">
        <v>521</v>
      </c>
      <c r="AU1295" t="s">
        <v>25231</v>
      </c>
      <c r="AV1295" t="s">
        <v>25335</v>
      </c>
      <c r="AW1295" t="s">
        <v>11447</v>
      </c>
    </row>
    <row r="1296" spans="1:49">
      <c r="A1296" s="1">
        <f>HYPERLINK("https://lsnyc.legalserver.org/matter/dynamic-profile/view/1909838","19-1909838")</f>
        <v>0</v>
      </c>
      <c r="B1296" t="s">
        <v>190</v>
      </c>
      <c r="C1296" t="s">
        <v>504</v>
      </c>
      <c r="E1296" t="s">
        <v>1249</v>
      </c>
      <c r="F1296" t="s">
        <v>4393</v>
      </c>
      <c r="G1296" t="s">
        <v>7371</v>
      </c>
      <c r="I1296" t="s">
        <v>11386</v>
      </c>
      <c r="J1296">
        <v>10034</v>
      </c>
      <c r="K1296" t="s">
        <v>11446</v>
      </c>
      <c r="N1296" t="s">
        <v>14783</v>
      </c>
      <c r="P1296" t="s">
        <v>14797</v>
      </c>
      <c r="Q1296" t="s">
        <v>11448</v>
      </c>
      <c r="R1296" t="s">
        <v>14821</v>
      </c>
      <c r="S1296" t="s">
        <v>14827</v>
      </c>
      <c r="U1296" t="s">
        <v>504</v>
      </c>
      <c r="V1296">
        <v>1700</v>
      </c>
      <c r="W1296" t="s">
        <v>14860</v>
      </c>
      <c r="X1296" t="s">
        <v>14871</v>
      </c>
      <c r="Z1296" t="s">
        <v>16111</v>
      </c>
      <c r="AB1296" t="s">
        <v>21194</v>
      </c>
      <c r="AC1296">
        <v>24</v>
      </c>
      <c r="AD1296" t="s">
        <v>24595</v>
      </c>
      <c r="AE1296" t="s">
        <v>24611</v>
      </c>
      <c r="AF1296">
        <v>1</v>
      </c>
      <c r="AG1296">
        <v>1</v>
      </c>
      <c r="AH1296">
        <v>0</v>
      </c>
      <c r="AI1296">
        <v>84.64</v>
      </c>
      <c r="AL1296" t="s">
        <v>5011</v>
      </c>
      <c r="AM1296">
        <v>10572</v>
      </c>
      <c r="AS1296">
        <v>35.2</v>
      </c>
      <c r="AT1296" t="s">
        <v>495</v>
      </c>
      <c r="AU1296" t="s">
        <v>137</v>
      </c>
      <c r="AV1296" t="s">
        <v>25335</v>
      </c>
      <c r="AW1296" t="s">
        <v>11447</v>
      </c>
    </row>
    <row r="1297" spans="1:49">
      <c r="A1297" s="1">
        <f>HYPERLINK("https://lsnyc.legalserver.org/matter/dynamic-profile/view/1909659","19-1909659")</f>
        <v>0</v>
      </c>
      <c r="B1297" t="s">
        <v>164</v>
      </c>
      <c r="C1297" t="s">
        <v>504</v>
      </c>
      <c r="E1297" t="s">
        <v>1065</v>
      </c>
      <c r="F1297" t="s">
        <v>4394</v>
      </c>
      <c r="G1297" t="s">
        <v>7372</v>
      </c>
      <c r="I1297" t="s">
        <v>11384</v>
      </c>
      <c r="J1297">
        <v>10301</v>
      </c>
      <c r="K1297" t="s">
        <v>11446</v>
      </c>
      <c r="L1297" t="s">
        <v>11891</v>
      </c>
      <c r="N1297" t="s">
        <v>14781</v>
      </c>
      <c r="P1297" t="s">
        <v>14797</v>
      </c>
      <c r="Q1297" t="s">
        <v>11448</v>
      </c>
      <c r="S1297" t="s">
        <v>14827</v>
      </c>
      <c r="T1297" t="s">
        <v>14832</v>
      </c>
      <c r="U1297" t="s">
        <v>504</v>
      </c>
      <c r="V1297">
        <v>1200</v>
      </c>
      <c r="W1297" t="s">
        <v>14862</v>
      </c>
      <c r="X1297" t="s">
        <v>14880</v>
      </c>
      <c r="Z1297" t="s">
        <v>16112</v>
      </c>
      <c r="AB1297" t="s">
        <v>21195</v>
      </c>
      <c r="AC1297">
        <v>2</v>
      </c>
      <c r="AD1297" t="s">
        <v>24600</v>
      </c>
      <c r="AE1297" t="s">
        <v>11459</v>
      </c>
      <c r="AF1297">
        <v>23</v>
      </c>
      <c r="AG1297">
        <v>1</v>
      </c>
      <c r="AH1297">
        <v>1</v>
      </c>
      <c r="AI1297">
        <v>85.16</v>
      </c>
      <c r="AL1297" t="s">
        <v>5011</v>
      </c>
      <c r="AM1297">
        <v>14400</v>
      </c>
      <c r="AS1297">
        <v>3.55</v>
      </c>
      <c r="AT1297" t="s">
        <v>645</v>
      </c>
      <c r="AU1297" t="s">
        <v>25270</v>
      </c>
      <c r="AV1297" t="s">
        <v>25335</v>
      </c>
      <c r="AW1297" t="s">
        <v>11447</v>
      </c>
    </row>
    <row r="1298" spans="1:49">
      <c r="A1298" s="1">
        <f>HYPERLINK("https://lsnyc.legalserver.org/matter/dynamic-profile/view/1910583","19-1910583")</f>
        <v>0</v>
      </c>
      <c r="B1298" t="s">
        <v>205</v>
      </c>
      <c r="C1298" t="s">
        <v>644</v>
      </c>
      <c r="E1298" t="s">
        <v>1872</v>
      </c>
      <c r="F1298" t="s">
        <v>4395</v>
      </c>
      <c r="G1298" t="s">
        <v>7373</v>
      </c>
      <c r="H1298" t="s">
        <v>10725</v>
      </c>
      <c r="I1298" t="s">
        <v>11386</v>
      </c>
      <c r="J1298">
        <v>10029</v>
      </c>
      <c r="K1298" t="s">
        <v>11446</v>
      </c>
      <c r="M1298" t="s">
        <v>11601</v>
      </c>
      <c r="N1298" t="s">
        <v>14779</v>
      </c>
      <c r="P1298" t="s">
        <v>14797</v>
      </c>
      <c r="Q1298" t="s">
        <v>11448</v>
      </c>
      <c r="S1298" t="s">
        <v>14827</v>
      </c>
      <c r="T1298" t="s">
        <v>14832</v>
      </c>
      <c r="U1298" t="s">
        <v>468</v>
      </c>
      <c r="V1298">
        <v>1414.03</v>
      </c>
      <c r="W1298" t="s">
        <v>14860</v>
      </c>
      <c r="X1298" t="s">
        <v>14876</v>
      </c>
      <c r="Z1298" t="s">
        <v>16113</v>
      </c>
      <c r="AB1298" t="s">
        <v>21196</v>
      </c>
      <c r="AC1298">
        <v>14</v>
      </c>
      <c r="AD1298" t="s">
        <v>24595</v>
      </c>
      <c r="AE1298" t="s">
        <v>24613</v>
      </c>
      <c r="AF1298">
        <v>4</v>
      </c>
      <c r="AG1298">
        <v>1</v>
      </c>
      <c r="AH1298">
        <v>0</v>
      </c>
      <c r="AI1298">
        <v>82.34</v>
      </c>
      <c r="AL1298" t="s">
        <v>5011</v>
      </c>
      <c r="AM1298">
        <v>10284</v>
      </c>
      <c r="AS1298">
        <v>0.75</v>
      </c>
      <c r="AT1298" t="s">
        <v>476</v>
      </c>
      <c r="AU1298" t="s">
        <v>25266</v>
      </c>
      <c r="AV1298" t="s">
        <v>25335</v>
      </c>
      <c r="AW1298" t="s">
        <v>11447</v>
      </c>
    </row>
    <row r="1299" spans="1:49">
      <c r="A1299" s="1">
        <f>HYPERLINK("https://lsnyc.legalserver.org/matter/dynamic-profile/view/1909921","19-1909921")</f>
        <v>0</v>
      </c>
      <c r="B1299" t="s">
        <v>168</v>
      </c>
      <c r="C1299" t="s">
        <v>471</v>
      </c>
      <c r="E1299" t="s">
        <v>1526</v>
      </c>
      <c r="F1299" t="s">
        <v>4396</v>
      </c>
      <c r="G1299" t="s">
        <v>7374</v>
      </c>
      <c r="I1299" t="s">
        <v>11384</v>
      </c>
      <c r="J1299">
        <v>10301</v>
      </c>
      <c r="K1299" t="s">
        <v>11446</v>
      </c>
      <c r="L1299" t="s">
        <v>11892</v>
      </c>
      <c r="M1299" t="s">
        <v>14744</v>
      </c>
      <c r="N1299" t="s">
        <v>14781</v>
      </c>
      <c r="P1299" t="s">
        <v>14797</v>
      </c>
      <c r="Q1299" t="s">
        <v>11448</v>
      </c>
      <c r="S1299" t="s">
        <v>14827</v>
      </c>
      <c r="T1299" t="s">
        <v>14832</v>
      </c>
      <c r="U1299" t="s">
        <v>468</v>
      </c>
      <c r="V1299">
        <v>2500</v>
      </c>
      <c r="W1299" t="s">
        <v>14862</v>
      </c>
      <c r="X1299" t="s">
        <v>14867</v>
      </c>
      <c r="Z1299" t="s">
        <v>16114</v>
      </c>
      <c r="AB1299" t="s">
        <v>21197</v>
      </c>
      <c r="AC1299">
        <v>1</v>
      </c>
      <c r="AD1299" t="s">
        <v>24600</v>
      </c>
      <c r="AF1299">
        <v>1</v>
      </c>
      <c r="AG1299">
        <v>1</v>
      </c>
      <c r="AH1299">
        <v>0</v>
      </c>
      <c r="AI1299">
        <v>162.37</v>
      </c>
      <c r="AL1299" t="s">
        <v>5011</v>
      </c>
      <c r="AM1299">
        <v>20280</v>
      </c>
      <c r="AS1299">
        <v>13.65</v>
      </c>
      <c r="AT1299" t="s">
        <v>495</v>
      </c>
      <c r="AU1299" t="s">
        <v>25265</v>
      </c>
      <c r="AV1299" t="s">
        <v>25335</v>
      </c>
      <c r="AW1299" t="s">
        <v>11447</v>
      </c>
    </row>
    <row r="1300" spans="1:49">
      <c r="A1300" s="1">
        <f>HYPERLINK("https://lsnyc.legalserver.org/matter/dynamic-profile/view/1909766","19-1909766")</f>
        <v>0</v>
      </c>
      <c r="B1300" t="s">
        <v>164</v>
      </c>
      <c r="C1300" t="s">
        <v>468</v>
      </c>
      <c r="E1300" t="s">
        <v>1628</v>
      </c>
      <c r="F1300" t="s">
        <v>3655</v>
      </c>
      <c r="G1300" t="s">
        <v>6807</v>
      </c>
      <c r="H1300" t="s">
        <v>10819</v>
      </c>
      <c r="I1300" t="s">
        <v>11384</v>
      </c>
      <c r="J1300">
        <v>10304</v>
      </c>
      <c r="K1300" t="s">
        <v>11446</v>
      </c>
      <c r="L1300" t="s">
        <v>11456</v>
      </c>
      <c r="M1300" t="s">
        <v>11601</v>
      </c>
      <c r="N1300" t="s">
        <v>14778</v>
      </c>
      <c r="P1300" t="s">
        <v>14797</v>
      </c>
      <c r="Q1300" t="s">
        <v>11448</v>
      </c>
      <c r="S1300" t="s">
        <v>14827</v>
      </c>
      <c r="T1300" t="s">
        <v>14832</v>
      </c>
      <c r="U1300" t="s">
        <v>468</v>
      </c>
      <c r="V1300">
        <v>694</v>
      </c>
      <c r="W1300" t="s">
        <v>14862</v>
      </c>
      <c r="X1300" t="s">
        <v>14873</v>
      </c>
      <c r="Z1300" t="s">
        <v>16115</v>
      </c>
      <c r="AB1300" t="s">
        <v>21198</v>
      </c>
      <c r="AC1300">
        <v>150</v>
      </c>
      <c r="AD1300" t="s">
        <v>24596</v>
      </c>
      <c r="AE1300" t="s">
        <v>24610</v>
      </c>
      <c r="AF1300">
        <v>4</v>
      </c>
      <c r="AG1300">
        <v>1</v>
      </c>
      <c r="AH1300">
        <v>0</v>
      </c>
      <c r="AI1300">
        <v>172.55</v>
      </c>
      <c r="AL1300" t="s">
        <v>5011</v>
      </c>
      <c r="AM1300">
        <v>21552</v>
      </c>
      <c r="AS1300">
        <v>1.8</v>
      </c>
      <c r="AT1300" t="s">
        <v>537</v>
      </c>
      <c r="AU1300" t="s">
        <v>25270</v>
      </c>
      <c r="AV1300" t="s">
        <v>25335</v>
      </c>
      <c r="AW1300" t="s">
        <v>11447</v>
      </c>
    </row>
    <row r="1301" spans="1:49">
      <c r="A1301" s="1">
        <f>HYPERLINK("https://lsnyc.legalserver.org/matter/dynamic-profile/view/1910645","19-1910645")</f>
        <v>0</v>
      </c>
      <c r="B1301" t="s">
        <v>104</v>
      </c>
      <c r="C1301" t="s">
        <v>644</v>
      </c>
      <c r="E1301" t="s">
        <v>1873</v>
      </c>
      <c r="F1301" t="s">
        <v>2719</v>
      </c>
      <c r="G1301" t="s">
        <v>7348</v>
      </c>
      <c r="H1301" t="s">
        <v>10485</v>
      </c>
      <c r="I1301" t="s">
        <v>11386</v>
      </c>
      <c r="J1301">
        <v>10035</v>
      </c>
      <c r="K1301" t="s">
        <v>11446</v>
      </c>
      <c r="M1301" t="s">
        <v>14762</v>
      </c>
      <c r="N1301" t="s">
        <v>14780</v>
      </c>
      <c r="P1301" t="s">
        <v>14797</v>
      </c>
      <c r="Q1301" t="s">
        <v>11446</v>
      </c>
      <c r="S1301" t="s">
        <v>14827</v>
      </c>
      <c r="T1301" t="s">
        <v>14833</v>
      </c>
      <c r="U1301" t="s">
        <v>468</v>
      </c>
      <c r="V1301">
        <v>1461</v>
      </c>
      <c r="W1301" t="s">
        <v>14860</v>
      </c>
      <c r="X1301" t="s">
        <v>14876</v>
      </c>
      <c r="Z1301" t="s">
        <v>16116</v>
      </c>
      <c r="AB1301" t="s">
        <v>21199</v>
      </c>
      <c r="AC1301">
        <v>60</v>
      </c>
      <c r="AD1301" t="s">
        <v>24595</v>
      </c>
      <c r="AE1301" t="s">
        <v>24610</v>
      </c>
      <c r="AF1301">
        <v>15</v>
      </c>
      <c r="AG1301">
        <v>2</v>
      </c>
      <c r="AH1301">
        <v>1</v>
      </c>
      <c r="AI1301">
        <v>187.53</v>
      </c>
      <c r="AL1301" t="s">
        <v>5011</v>
      </c>
      <c r="AM1301">
        <v>40000</v>
      </c>
      <c r="AS1301">
        <v>0.2</v>
      </c>
      <c r="AT1301" t="s">
        <v>644</v>
      </c>
      <c r="AU1301" t="s">
        <v>25266</v>
      </c>
      <c r="AV1301" t="s">
        <v>25335</v>
      </c>
      <c r="AW1301" t="s">
        <v>11447</v>
      </c>
    </row>
    <row r="1302" spans="1:49">
      <c r="A1302" s="1">
        <f>HYPERLINK("https://lsnyc.legalserver.org/matter/dynamic-profile/view/1910642","19-1910642")</f>
        <v>0</v>
      </c>
      <c r="B1302" t="s">
        <v>104</v>
      </c>
      <c r="C1302" t="s">
        <v>644</v>
      </c>
      <c r="E1302" t="s">
        <v>1873</v>
      </c>
      <c r="F1302" t="s">
        <v>2719</v>
      </c>
      <c r="G1302" t="s">
        <v>7348</v>
      </c>
      <c r="H1302" t="s">
        <v>10485</v>
      </c>
      <c r="I1302" t="s">
        <v>11386</v>
      </c>
      <c r="J1302">
        <v>10035</v>
      </c>
      <c r="K1302" t="s">
        <v>11446</v>
      </c>
      <c r="M1302" t="s">
        <v>11601</v>
      </c>
      <c r="N1302" t="s">
        <v>14780</v>
      </c>
      <c r="P1302" t="s">
        <v>14797</v>
      </c>
      <c r="Q1302" t="s">
        <v>11446</v>
      </c>
      <c r="S1302" t="s">
        <v>14827</v>
      </c>
      <c r="T1302" t="s">
        <v>14832</v>
      </c>
      <c r="U1302" t="s">
        <v>468</v>
      </c>
      <c r="V1302">
        <v>1461</v>
      </c>
      <c r="W1302" t="s">
        <v>14860</v>
      </c>
      <c r="X1302" t="s">
        <v>14876</v>
      </c>
      <c r="Z1302" t="s">
        <v>16116</v>
      </c>
      <c r="AB1302" t="s">
        <v>21199</v>
      </c>
      <c r="AC1302">
        <v>60</v>
      </c>
      <c r="AD1302" t="s">
        <v>24595</v>
      </c>
      <c r="AE1302" t="s">
        <v>24610</v>
      </c>
      <c r="AF1302">
        <v>15</v>
      </c>
      <c r="AG1302">
        <v>2</v>
      </c>
      <c r="AH1302">
        <v>1</v>
      </c>
      <c r="AI1302">
        <v>187.53</v>
      </c>
      <c r="AL1302" t="s">
        <v>5011</v>
      </c>
      <c r="AM1302">
        <v>40000</v>
      </c>
      <c r="AS1302">
        <v>0.2</v>
      </c>
      <c r="AT1302" t="s">
        <v>644</v>
      </c>
      <c r="AU1302" t="s">
        <v>25266</v>
      </c>
      <c r="AV1302" t="s">
        <v>25335</v>
      </c>
      <c r="AW1302" t="s">
        <v>11447</v>
      </c>
    </row>
    <row r="1303" spans="1:49">
      <c r="A1303" s="1">
        <f>HYPERLINK("https://lsnyc.legalserver.org/matter/dynamic-profile/view/1909471","19-1909471")</f>
        <v>0</v>
      </c>
      <c r="B1303" t="s">
        <v>183</v>
      </c>
      <c r="C1303" t="s">
        <v>488</v>
      </c>
      <c r="E1303" t="s">
        <v>1554</v>
      </c>
      <c r="F1303" t="s">
        <v>3752</v>
      </c>
      <c r="G1303" t="s">
        <v>7375</v>
      </c>
      <c r="H1303" t="s">
        <v>10638</v>
      </c>
      <c r="I1303" t="s">
        <v>11385</v>
      </c>
      <c r="J1303">
        <v>11233</v>
      </c>
      <c r="K1303" t="s">
        <v>11446</v>
      </c>
      <c r="L1303" t="s">
        <v>11893</v>
      </c>
      <c r="M1303" t="s">
        <v>14744</v>
      </c>
      <c r="N1303" t="s">
        <v>14781</v>
      </c>
      <c r="P1303" t="s">
        <v>14797</v>
      </c>
      <c r="Q1303" t="s">
        <v>11448</v>
      </c>
      <c r="S1303" t="s">
        <v>14827</v>
      </c>
      <c r="T1303" t="s">
        <v>14835</v>
      </c>
      <c r="U1303" t="s">
        <v>468</v>
      </c>
      <c r="V1303">
        <v>1300</v>
      </c>
      <c r="W1303" t="s">
        <v>14859</v>
      </c>
      <c r="X1303" t="s">
        <v>14872</v>
      </c>
      <c r="Z1303" t="s">
        <v>16117</v>
      </c>
      <c r="AA1303" t="s">
        <v>19413</v>
      </c>
      <c r="AB1303" t="s">
        <v>21200</v>
      </c>
      <c r="AC1303">
        <v>9</v>
      </c>
      <c r="AD1303" t="s">
        <v>24595</v>
      </c>
      <c r="AE1303" t="s">
        <v>11459</v>
      </c>
      <c r="AF1303">
        <v>7</v>
      </c>
      <c r="AG1303">
        <v>1</v>
      </c>
      <c r="AH1303">
        <v>1</v>
      </c>
      <c r="AI1303">
        <v>222.02</v>
      </c>
      <c r="AJ1303" t="s">
        <v>491</v>
      </c>
      <c r="AK1303" t="s">
        <v>24629</v>
      </c>
      <c r="AL1303" t="s">
        <v>5011</v>
      </c>
      <c r="AM1303">
        <v>37544</v>
      </c>
      <c r="AN1303" t="s">
        <v>24768</v>
      </c>
      <c r="AS1303">
        <v>40.4</v>
      </c>
      <c r="AT1303" t="s">
        <v>592</v>
      </c>
      <c r="AU1303" t="s">
        <v>66</v>
      </c>
      <c r="AV1303" t="s">
        <v>25335</v>
      </c>
      <c r="AW1303" t="s">
        <v>11447</v>
      </c>
    </row>
    <row r="1304" spans="1:49">
      <c r="A1304" s="1">
        <f>HYPERLINK("https://lsnyc.legalserver.org/matter/dynamic-profile/view/1910440","19-1910440")</f>
        <v>0</v>
      </c>
      <c r="B1304" t="s">
        <v>222</v>
      </c>
      <c r="C1304" t="s">
        <v>508</v>
      </c>
      <c r="E1304" t="s">
        <v>1874</v>
      </c>
      <c r="F1304" t="s">
        <v>1983</v>
      </c>
      <c r="G1304" t="s">
        <v>7376</v>
      </c>
      <c r="H1304" t="s">
        <v>10653</v>
      </c>
      <c r="I1304" t="s">
        <v>11385</v>
      </c>
      <c r="J1304">
        <v>11231</v>
      </c>
      <c r="K1304" t="s">
        <v>11446</v>
      </c>
      <c r="M1304" t="s">
        <v>14745</v>
      </c>
      <c r="N1304" t="s">
        <v>14780</v>
      </c>
      <c r="P1304" t="s">
        <v>14797</v>
      </c>
      <c r="S1304" t="s">
        <v>14827</v>
      </c>
      <c r="U1304" t="s">
        <v>471</v>
      </c>
      <c r="V1304">
        <v>0</v>
      </c>
      <c r="W1304" t="s">
        <v>14859</v>
      </c>
      <c r="Z1304" t="s">
        <v>16118</v>
      </c>
      <c r="AA1304" t="s">
        <v>19432</v>
      </c>
      <c r="AB1304" t="s">
        <v>21201</v>
      </c>
      <c r="AC1304">
        <v>10</v>
      </c>
      <c r="AF1304">
        <v>0</v>
      </c>
      <c r="AG1304">
        <v>4</v>
      </c>
      <c r="AH1304">
        <v>1</v>
      </c>
      <c r="AI1304">
        <v>0</v>
      </c>
      <c r="AL1304" t="s">
        <v>5011</v>
      </c>
      <c r="AM1304">
        <v>0</v>
      </c>
      <c r="AS1304">
        <v>1.6</v>
      </c>
      <c r="AT1304" t="s">
        <v>604</v>
      </c>
      <c r="AU1304" t="s">
        <v>75</v>
      </c>
      <c r="AW1304" t="s">
        <v>11447</v>
      </c>
    </row>
    <row r="1305" spans="1:49">
      <c r="A1305" s="1">
        <f>HYPERLINK("https://lsnyc.legalserver.org/matter/dynamic-profile/view/1910849","19-1910849")</f>
        <v>0</v>
      </c>
      <c r="B1305" t="s">
        <v>222</v>
      </c>
      <c r="C1305" t="s">
        <v>601</v>
      </c>
      <c r="E1305" t="s">
        <v>1372</v>
      </c>
      <c r="F1305" t="s">
        <v>4397</v>
      </c>
      <c r="G1305" t="s">
        <v>7223</v>
      </c>
      <c r="H1305" t="s">
        <v>10509</v>
      </c>
      <c r="I1305" t="s">
        <v>11385</v>
      </c>
      <c r="J1305">
        <v>11225</v>
      </c>
      <c r="K1305" t="s">
        <v>11446</v>
      </c>
      <c r="N1305" t="s">
        <v>14783</v>
      </c>
      <c r="P1305" t="s">
        <v>14797</v>
      </c>
      <c r="Q1305" t="s">
        <v>11446</v>
      </c>
      <c r="S1305" t="s">
        <v>14827</v>
      </c>
      <c r="U1305" t="s">
        <v>471</v>
      </c>
      <c r="V1305">
        <v>0</v>
      </c>
      <c r="W1305" t="s">
        <v>14859</v>
      </c>
      <c r="Z1305" t="s">
        <v>16119</v>
      </c>
      <c r="AB1305" t="s">
        <v>21202</v>
      </c>
      <c r="AC1305">
        <v>11</v>
      </c>
      <c r="AF1305">
        <v>0</v>
      </c>
      <c r="AG1305">
        <v>4</v>
      </c>
      <c r="AH1305">
        <v>0</v>
      </c>
      <c r="AI1305">
        <v>36.25</v>
      </c>
      <c r="AL1305" t="s">
        <v>5011</v>
      </c>
      <c r="AM1305">
        <v>9335.16</v>
      </c>
      <c r="AS1305">
        <v>0</v>
      </c>
      <c r="AU1305" t="s">
        <v>75</v>
      </c>
      <c r="AV1305" t="s">
        <v>25335</v>
      </c>
      <c r="AW1305" t="s">
        <v>11447</v>
      </c>
    </row>
    <row r="1306" spans="1:49">
      <c r="A1306" s="1">
        <f>HYPERLINK("https://lsnyc.legalserver.org/matter/dynamic-profile/view/1910104","19-1910104")</f>
        <v>0</v>
      </c>
      <c r="B1306" t="s">
        <v>123</v>
      </c>
      <c r="C1306" t="s">
        <v>471</v>
      </c>
      <c r="E1306" t="s">
        <v>1487</v>
      </c>
      <c r="F1306" t="s">
        <v>4064</v>
      </c>
      <c r="G1306" t="s">
        <v>7377</v>
      </c>
      <c r="H1306">
        <v>10</v>
      </c>
      <c r="I1306" t="s">
        <v>11385</v>
      </c>
      <c r="J1306">
        <v>11225</v>
      </c>
      <c r="K1306" t="s">
        <v>11446</v>
      </c>
      <c r="L1306" t="s">
        <v>11459</v>
      </c>
      <c r="M1306" t="s">
        <v>14758</v>
      </c>
      <c r="N1306" t="s">
        <v>14780</v>
      </c>
      <c r="P1306" t="s">
        <v>14797</v>
      </c>
      <c r="Q1306" t="s">
        <v>11448</v>
      </c>
      <c r="S1306" t="s">
        <v>14827</v>
      </c>
      <c r="T1306" t="s">
        <v>14832</v>
      </c>
      <c r="U1306" t="s">
        <v>471</v>
      </c>
      <c r="V1306">
        <v>1519.6</v>
      </c>
      <c r="W1306" t="s">
        <v>14859</v>
      </c>
      <c r="Z1306" t="s">
        <v>16120</v>
      </c>
      <c r="AC1306">
        <v>12</v>
      </c>
      <c r="AD1306" t="s">
        <v>24595</v>
      </c>
      <c r="AF1306">
        <v>17</v>
      </c>
      <c r="AG1306">
        <v>2</v>
      </c>
      <c r="AH1306">
        <v>0</v>
      </c>
      <c r="AI1306">
        <v>57.69</v>
      </c>
      <c r="AL1306" t="s">
        <v>24632</v>
      </c>
      <c r="AM1306">
        <v>9756</v>
      </c>
      <c r="AS1306">
        <v>12.2</v>
      </c>
      <c r="AT1306" t="s">
        <v>490</v>
      </c>
      <c r="AU1306" t="s">
        <v>123</v>
      </c>
      <c r="AW1306" t="s">
        <v>11447</v>
      </c>
    </row>
    <row r="1307" spans="1:49">
      <c r="A1307" s="1">
        <f>HYPERLINK("https://lsnyc.legalserver.org/matter/dynamic-profile/view/1894553","19-1894553")</f>
        <v>0</v>
      </c>
      <c r="B1307" t="s">
        <v>222</v>
      </c>
      <c r="C1307" t="s">
        <v>601</v>
      </c>
      <c r="E1307" t="s">
        <v>1261</v>
      </c>
      <c r="F1307" t="s">
        <v>1706</v>
      </c>
      <c r="G1307" t="s">
        <v>7223</v>
      </c>
      <c r="H1307" t="s">
        <v>10522</v>
      </c>
      <c r="I1307" t="s">
        <v>11385</v>
      </c>
      <c r="J1307">
        <v>11225</v>
      </c>
      <c r="K1307" t="s">
        <v>11446</v>
      </c>
      <c r="N1307" t="s">
        <v>14783</v>
      </c>
      <c r="P1307" t="s">
        <v>14797</v>
      </c>
      <c r="Q1307" t="s">
        <v>11446</v>
      </c>
      <c r="S1307" t="s">
        <v>14827</v>
      </c>
      <c r="U1307" t="s">
        <v>471</v>
      </c>
      <c r="V1307">
        <v>0</v>
      </c>
      <c r="W1307" t="s">
        <v>14859</v>
      </c>
      <c r="Z1307" t="s">
        <v>16121</v>
      </c>
      <c r="AB1307" t="s">
        <v>21203</v>
      </c>
      <c r="AC1307">
        <v>11</v>
      </c>
      <c r="AF1307">
        <v>0</v>
      </c>
      <c r="AG1307">
        <v>1</v>
      </c>
      <c r="AH1307">
        <v>0</v>
      </c>
      <c r="AI1307">
        <v>96.08</v>
      </c>
      <c r="AL1307" t="s">
        <v>5011</v>
      </c>
      <c r="AM1307">
        <v>12000</v>
      </c>
      <c r="AS1307">
        <v>0.3</v>
      </c>
      <c r="AT1307" t="s">
        <v>559</v>
      </c>
      <c r="AU1307" t="s">
        <v>75</v>
      </c>
      <c r="AV1307" t="s">
        <v>25335</v>
      </c>
      <c r="AW1307" t="s">
        <v>11447</v>
      </c>
    </row>
    <row r="1308" spans="1:49">
      <c r="A1308" s="1">
        <f>HYPERLINK("https://lsnyc.legalserver.org/matter/dynamic-profile/view/1910830","19-1910830")</f>
        <v>0</v>
      </c>
      <c r="B1308" t="s">
        <v>222</v>
      </c>
      <c r="C1308" t="s">
        <v>601</v>
      </c>
      <c r="E1308" t="s">
        <v>1875</v>
      </c>
      <c r="F1308" t="s">
        <v>4398</v>
      </c>
      <c r="G1308" t="s">
        <v>7223</v>
      </c>
      <c r="H1308" t="s">
        <v>10534</v>
      </c>
      <c r="I1308" t="s">
        <v>11385</v>
      </c>
      <c r="J1308">
        <v>11225</v>
      </c>
      <c r="K1308" t="s">
        <v>11446</v>
      </c>
      <c r="N1308" t="s">
        <v>14783</v>
      </c>
      <c r="P1308" t="s">
        <v>14797</v>
      </c>
      <c r="Q1308" t="s">
        <v>11446</v>
      </c>
      <c r="S1308" t="s">
        <v>14827</v>
      </c>
      <c r="U1308" t="s">
        <v>471</v>
      </c>
      <c r="V1308">
        <v>0</v>
      </c>
      <c r="W1308" t="s">
        <v>14859</v>
      </c>
      <c r="Z1308" t="s">
        <v>16122</v>
      </c>
      <c r="AB1308" t="s">
        <v>21204</v>
      </c>
      <c r="AC1308">
        <v>11</v>
      </c>
      <c r="AF1308">
        <v>0</v>
      </c>
      <c r="AG1308">
        <v>1</v>
      </c>
      <c r="AH1308">
        <v>1</v>
      </c>
      <c r="AI1308">
        <v>131.99</v>
      </c>
      <c r="AL1308" t="s">
        <v>5011</v>
      </c>
      <c r="AM1308">
        <v>22320</v>
      </c>
      <c r="AS1308">
        <v>2.5</v>
      </c>
      <c r="AT1308" t="s">
        <v>578</v>
      </c>
      <c r="AU1308" t="s">
        <v>75</v>
      </c>
      <c r="AV1308" t="s">
        <v>25335</v>
      </c>
      <c r="AW1308" t="s">
        <v>11447</v>
      </c>
    </row>
    <row r="1309" spans="1:49">
      <c r="A1309" s="1">
        <f>HYPERLINK("https://lsnyc.legalserver.org/matter/dynamic-profile/view/1910113","19-1910113")</f>
        <v>0</v>
      </c>
      <c r="B1309" t="s">
        <v>178</v>
      </c>
      <c r="C1309" t="s">
        <v>471</v>
      </c>
      <c r="E1309" t="s">
        <v>1854</v>
      </c>
      <c r="F1309" t="s">
        <v>4399</v>
      </c>
      <c r="G1309" t="s">
        <v>7151</v>
      </c>
      <c r="I1309" t="s">
        <v>11386</v>
      </c>
      <c r="J1309">
        <v>10033</v>
      </c>
      <c r="K1309" t="s">
        <v>11446</v>
      </c>
      <c r="M1309" t="s">
        <v>14746</v>
      </c>
      <c r="N1309" t="s">
        <v>14779</v>
      </c>
      <c r="P1309" t="s">
        <v>14797</v>
      </c>
      <c r="Q1309" t="s">
        <v>11446</v>
      </c>
      <c r="S1309" t="s">
        <v>14827</v>
      </c>
      <c r="U1309" t="s">
        <v>471</v>
      </c>
      <c r="V1309">
        <v>650</v>
      </c>
      <c r="W1309" t="s">
        <v>14860</v>
      </c>
      <c r="X1309" t="s">
        <v>14867</v>
      </c>
      <c r="Z1309" t="s">
        <v>16123</v>
      </c>
      <c r="AB1309" t="s">
        <v>21205</v>
      </c>
      <c r="AC1309">
        <v>24</v>
      </c>
      <c r="AD1309" t="s">
        <v>24595</v>
      </c>
      <c r="AE1309" t="s">
        <v>11459</v>
      </c>
      <c r="AF1309">
        <v>1</v>
      </c>
      <c r="AG1309">
        <v>1</v>
      </c>
      <c r="AH1309">
        <v>0</v>
      </c>
      <c r="AI1309">
        <v>135.31</v>
      </c>
      <c r="AL1309" t="s">
        <v>5011</v>
      </c>
      <c r="AM1309">
        <v>16900</v>
      </c>
      <c r="AS1309">
        <v>0</v>
      </c>
      <c r="AU1309" t="s">
        <v>137</v>
      </c>
      <c r="AV1309" t="s">
        <v>25335</v>
      </c>
      <c r="AW1309" t="s">
        <v>11447</v>
      </c>
    </row>
    <row r="1310" spans="1:49">
      <c r="A1310" s="1">
        <f>HYPERLINK("https://lsnyc.legalserver.org/matter/dynamic-profile/view/1910056","19-1910056")</f>
        <v>0</v>
      </c>
      <c r="B1310" t="s">
        <v>172</v>
      </c>
      <c r="C1310" t="s">
        <v>471</v>
      </c>
      <c r="E1310" t="s">
        <v>1861</v>
      </c>
      <c r="F1310" t="s">
        <v>1879</v>
      </c>
      <c r="G1310" t="s">
        <v>7198</v>
      </c>
      <c r="I1310" t="s">
        <v>11386</v>
      </c>
      <c r="J1310">
        <v>10033</v>
      </c>
      <c r="K1310" t="s">
        <v>11446</v>
      </c>
      <c r="M1310" t="s">
        <v>14746</v>
      </c>
      <c r="N1310" t="s">
        <v>14781</v>
      </c>
      <c r="P1310" t="s">
        <v>14797</v>
      </c>
      <c r="Q1310" t="s">
        <v>11446</v>
      </c>
      <c r="S1310" t="s">
        <v>14827</v>
      </c>
      <c r="U1310" t="s">
        <v>471</v>
      </c>
      <c r="V1310">
        <v>0</v>
      </c>
      <c r="W1310" t="s">
        <v>14860</v>
      </c>
      <c r="X1310" t="s">
        <v>14867</v>
      </c>
      <c r="Z1310" t="s">
        <v>16124</v>
      </c>
      <c r="AB1310" t="s">
        <v>21206</v>
      </c>
      <c r="AC1310">
        <v>20</v>
      </c>
      <c r="AD1310" t="s">
        <v>24595</v>
      </c>
      <c r="AE1310" t="s">
        <v>11459</v>
      </c>
      <c r="AF1310">
        <v>0</v>
      </c>
      <c r="AG1310">
        <v>2</v>
      </c>
      <c r="AH1310">
        <v>0</v>
      </c>
      <c r="AI1310">
        <v>147.89</v>
      </c>
      <c r="AL1310" t="s">
        <v>5011</v>
      </c>
      <c r="AM1310">
        <v>25008</v>
      </c>
      <c r="AS1310">
        <v>14.8</v>
      </c>
      <c r="AT1310" t="s">
        <v>574</v>
      </c>
      <c r="AU1310" t="s">
        <v>137</v>
      </c>
      <c r="AV1310" t="s">
        <v>25335</v>
      </c>
      <c r="AW1310" t="s">
        <v>11447</v>
      </c>
    </row>
    <row r="1311" spans="1:49">
      <c r="A1311" s="1">
        <f>HYPERLINK("https://lsnyc.legalserver.org/matter/dynamic-profile/view/1910195","19-1910195")</f>
        <v>0</v>
      </c>
      <c r="B1311" t="s">
        <v>177</v>
      </c>
      <c r="C1311" t="s">
        <v>528</v>
      </c>
      <c r="E1311" t="s">
        <v>1876</v>
      </c>
      <c r="F1311" t="s">
        <v>4400</v>
      </c>
      <c r="G1311" t="s">
        <v>7378</v>
      </c>
      <c r="H1311" t="s">
        <v>10802</v>
      </c>
      <c r="I1311" t="s">
        <v>11385</v>
      </c>
      <c r="J1311">
        <v>11223</v>
      </c>
      <c r="K1311" t="s">
        <v>11446</v>
      </c>
      <c r="M1311" t="s">
        <v>14745</v>
      </c>
      <c r="N1311" t="s">
        <v>14780</v>
      </c>
      <c r="P1311" t="s">
        <v>14797</v>
      </c>
      <c r="S1311" t="s">
        <v>14827</v>
      </c>
      <c r="U1311" t="s">
        <v>471</v>
      </c>
      <c r="V1311">
        <v>0</v>
      </c>
      <c r="W1311" t="s">
        <v>14859</v>
      </c>
      <c r="Z1311" t="s">
        <v>16125</v>
      </c>
      <c r="AC1311">
        <v>0</v>
      </c>
      <c r="AF1311">
        <v>0</v>
      </c>
      <c r="AG1311">
        <v>1</v>
      </c>
      <c r="AH1311">
        <v>0</v>
      </c>
      <c r="AI1311">
        <v>184.15</v>
      </c>
      <c r="AL1311" t="s">
        <v>24641</v>
      </c>
      <c r="AM1311">
        <v>23000</v>
      </c>
      <c r="AS1311">
        <v>9.800000000000001</v>
      </c>
      <c r="AT1311" t="s">
        <v>509</v>
      </c>
      <c r="AU1311" t="s">
        <v>177</v>
      </c>
      <c r="AW1311" t="s">
        <v>11447</v>
      </c>
    </row>
    <row r="1312" spans="1:49">
      <c r="A1312" s="1">
        <f>HYPERLINK("https://lsnyc.legalserver.org/matter/dynamic-profile/view/1909505","19-1909505")</f>
        <v>0</v>
      </c>
      <c r="B1312" t="s">
        <v>56</v>
      </c>
      <c r="C1312" t="s">
        <v>488</v>
      </c>
      <c r="E1312" t="s">
        <v>1877</v>
      </c>
      <c r="F1312" t="s">
        <v>4401</v>
      </c>
      <c r="G1312" t="s">
        <v>7379</v>
      </c>
      <c r="H1312" t="s">
        <v>10569</v>
      </c>
      <c r="I1312" t="s">
        <v>11385</v>
      </c>
      <c r="J1312">
        <v>11207</v>
      </c>
      <c r="K1312" t="s">
        <v>11446</v>
      </c>
      <c r="L1312" t="s">
        <v>11894</v>
      </c>
      <c r="M1312" t="s">
        <v>14744</v>
      </c>
      <c r="N1312" t="s">
        <v>14781</v>
      </c>
      <c r="P1312" t="s">
        <v>14797</v>
      </c>
      <c r="Q1312" t="s">
        <v>11448</v>
      </c>
      <c r="S1312" t="s">
        <v>14827</v>
      </c>
      <c r="T1312" t="s">
        <v>14832</v>
      </c>
      <c r="U1312" t="s">
        <v>471</v>
      </c>
      <c r="V1312">
        <v>538</v>
      </c>
      <c r="W1312" t="s">
        <v>14859</v>
      </c>
      <c r="X1312" t="s">
        <v>14755</v>
      </c>
      <c r="Z1312" t="s">
        <v>16126</v>
      </c>
      <c r="AB1312" t="s">
        <v>21207</v>
      </c>
      <c r="AC1312">
        <v>60</v>
      </c>
      <c r="AD1312" t="s">
        <v>24606</v>
      </c>
      <c r="AE1312" t="s">
        <v>14755</v>
      </c>
      <c r="AF1312">
        <v>20</v>
      </c>
      <c r="AG1312">
        <v>2</v>
      </c>
      <c r="AH1312">
        <v>1</v>
      </c>
      <c r="AI1312">
        <v>215.66</v>
      </c>
      <c r="AJ1312" t="s">
        <v>491</v>
      </c>
      <c r="AK1312" t="s">
        <v>24629</v>
      </c>
      <c r="AL1312" t="s">
        <v>5011</v>
      </c>
      <c r="AM1312">
        <v>46000</v>
      </c>
      <c r="AS1312">
        <v>2.2</v>
      </c>
      <c r="AT1312" t="s">
        <v>571</v>
      </c>
      <c r="AU1312" t="s">
        <v>120</v>
      </c>
      <c r="AV1312" t="s">
        <v>25335</v>
      </c>
      <c r="AW1312" t="s">
        <v>11447</v>
      </c>
    </row>
    <row r="1313" spans="1:49">
      <c r="A1313" s="1">
        <f>HYPERLINK("https://lsnyc.legalserver.org/matter/dynamic-profile/view/1910981","19-1910981")</f>
        <v>0</v>
      </c>
      <c r="B1313" t="s">
        <v>222</v>
      </c>
      <c r="C1313" t="s">
        <v>460</v>
      </c>
      <c r="E1313" t="s">
        <v>1878</v>
      </c>
      <c r="F1313" t="s">
        <v>4402</v>
      </c>
      <c r="G1313" t="s">
        <v>7223</v>
      </c>
      <c r="H1313" t="s">
        <v>10448</v>
      </c>
      <c r="I1313" t="s">
        <v>11385</v>
      </c>
      <c r="J1313">
        <v>11225</v>
      </c>
      <c r="K1313" t="s">
        <v>11446</v>
      </c>
      <c r="N1313" t="s">
        <v>14783</v>
      </c>
      <c r="P1313" t="s">
        <v>14797</v>
      </c>
      <c r="Q1313" t="s">
        <v>11446</v>
      </c>
      <c r="S1313" t="s">
        <v>14827</v>
      </c>
      <c r="U1313" t="s">
        <v>471</v>
      </c>
      <c r="V1313">
        <v>0</v>
      </c>
      <c r="W1313" t="s">
        <v>14859</v>
      </c>
      <c r="Z1313" t="s">
        <v>16127</v>
      </c>
      <c r="AC1313">
        <v>11</v>
      </c>
      <c r="AF1313">
        <v>0</v>
      </c>
      <c r="AG1313">
        <v>2</v>
      </c>
      <c r="AH1313">
        <v>0</v>
      </c>
      <c r="AI1313">
        <v>225.59</v>
      </c>
      <c r="AJ1313" t="s">
        <v>379</v>
      </c>
      <c r="AK1313" t="s">
        <v>24629</v>
      </c>
      <c r="AL1313" t="s">
        <v>5011</v>
      </c>
      <c r="AM1313">
        <v>38148</v>
      </c>
      <c r="AS1313">
        <v>0</v>
      </c>
      <c r="AU1313" t="s">
        <v>75</v>
      </c>
      <c r="AV1313" t="s">
        <v>25335</v>
      </c>
      <c r="AW1313" t="s">
        <v>11447</v>
      </c>
    </row>
    <row r="1314" spans="1:49">
      <c r="A1314" s="1">
        <f>HYPERLINK("https://lsnyc.legalserver.org/matter/dynamic-profile/view/1910421","19-1910421")</f>
        <v>0</v>
      </c>
      <c r="B1314" t="s">
        <v>222</v>
      </c>
      <c r="C1314" t="s">
        <v>508</v>
      </c>
      <c r="E1314" t="s">
        <v>1879</v>
      </c>
      <c r="F1314" t="s">
        <v>4195</v>
      </c>
      <c r="G1314" t="s">
        <v>7380</v>
      </c>
      <c r="H1314" t="s">
        <v>10460</v>
      </c>
      <c r="I1314" t="s">
        <v>11385</v>
      </c>
      <c r="J1314">
        <v>11225</v>
      </c>
      <c r="K1314" t="s">
        <v>11446</v>
      </c>
      <c r="N1314" t="s">
        <v>14783</v>
      </c>
      <c r="P1314" t="s">
        <v>14797</v>
      </c>
      <c r="Q1314" t="s">
        <v>11446</v>
      </c>
      <c r="S1314" t="s">
        <v>14827</v>
      </c>
      <c r="U1314" t="s">
        <v>471</v>
      </c>
      <c r="V1314">
        <v>0</v>
      </c>
      <c r="W1314" t="s">
        <v>14859</v>
      </c>
      <c r="Z1314" t="s">
        <v>16128</v>
      </c>
      <c r="AB1314" t="s">
        <v>21208</v>
      </c>
      <c r="AC1314">
        <v>14</v>
      </c>
      <c r="AF1314">
        <v>0</v>
      </c>
      <c r="AG1314">
        <v>2</v>
      </c>
      <c r="AH1314">
        <v>0</v>
      </c>
      <c r="AI1314">
        <v>656.42</v>
      </c>
      <c r="AL1314" t="s">
        <v>5011</v>
      </c>
      <c r="AM1314">
        <v>111000</v>
      </c>
      <c r="AS1314">
        <v>0</v>
      </c>
      <c r="AU1314" t="s">
        <v>75</v>
      </c>
      <c r="AV1314" t="s">
        <v>25335</v>
      </c>
      <c r="AW1314" t="s">
        <v>11447</v>
      </c>
    </row>
    <row r="1315" spans="1:49">
      <c r="A1315" s="1">
        <f>HYPERLINK("https://lsnyc.legalserver.org/matter/dynamic-profile/view/1904334","19-1904334")</f>
        <v>0</v>
      </c>
      <c r="B1315" t="s">
        <v>84</v>
      </c>
      <c r="C1315" t="s">
        <v>332</v>
      </c>
      <c r="E1315" t="s">
        <v>1282</v>
      </c>
      <c r="F1315" t="s">
        <v>4403</v>
      </c>
      <c r="G1315" t="s">
        <v>7381</v>
      </c>
      <c r="H1315" t="s">
        <v>10463</v>
      </c>
      <c r="I1315" t="s">
        <v>11383</v>
      </c>
      <c r="J1315">
        <v>10455</v>
      </c>
      <c r="K1315" t="s">
        <v>11446</v>
      </c>
      <c r="L1315" t="s">
        <v>11895</v>
      </c>
      <c r="M1315" t="s">
        <v>14762</v>
      </c>
      <c r="N1315" t="s">
        <v>14783</v>
      </c>
      <c r="P1315" t="s">
        <v>14797</v>
      </c>
      <c r="Q1315" t="s">
        <v>11448</v>
      </c>
      <c r="S1315" t="s">
        <v>14827</v>
      </c>
      <c r="U1315" t="s">
        <v>528</v>
      </c>
      <c r="V1315">
        <v>600</v>
      </c>
      <c r="W1315" t="s">
        <v>14858</v>
      </c>
      <c r="X1315" t="s">
        <v>14868</v>
      </c>
      <c r="Z1315" t="s">
        <v>16129</v>
      </c>
      <c r="AB1315" t="s">
        <v>21209</v>
      </c>
      <c r="AC1315">
        <v>49</v>
      </c>
      <c r="AD1315" t="s">
        <v>24595</v>
      </c>
      <c r="AE1315" t="s">
        <v>24615</v>
      </c>
      <c r="AF1315">
        <v>4</v>
      </c>
      <c r="AG1315">
        <v>2</v>
      </c>
      <c r="AH1315">
        <v>1</v>
      </c>
      <c r="AI1315">
        <v>11.7</v>
      </c>
      <c r="AL1315" t="s">
        <v>5011</v>
      </c>
      <c r="AM1315">
        <v>2496</v>
      </c>
      <c r="AS1315">
        <v>7</v>
      </c>
      <c r="AT1315" t="s">
        <v>480</v>
      </c>
      <c r="AU1315" t="s">
        <v>57</v>
      </c>
      <c r="AV1315" t="s">
        <v>25335</v>
      </c>
      <c r="AW1315" t="s">
        <v>11447</v>
      </c>
    </row>
    <row r="1316" spans="1:49">
      <c r="A1316" s="1">
        <f>HYPERLINK("https://lsnyc.legalserver.org/matter/dynamic-profile/view/1910248","19-1910248")</f>
        <v>0</v>
      </c>
      <c r="B1316" t="s">
        <v>109</v>
      </c>
      <c r="C1316" t="s">
        <v>528</v>
      </c>
      <c r="E1316" t="s">
        <v>1194</v>
      </c>
      <c r="F1316" t="s">
        <v>4316</v>
      </c>
      <c r="G1316" t="s">
        <v>7295</v>
      </c>
      <c r="H1316" t="s">
        <v>10797</v>
      </c>
      <c r="I1316" t="s">
        <v>11385</v>
      </c>
      <c r="J1316">
        <v>11238</v>
      </c>
      <c r="K1316" t="s">
        <v>11446</v>
      </c>
      <c r="L1316" t="s">
        <v>11896</v>
      </c>
      <c r="M1316" t="s">
        <v>14744</v>
      </c>
      <c r="N1316" t="s">
        <v>14781</v>
      </c>
      <c r="P1316" t="s">
        <v>14797</v>
      </c>
      <c r="Q1316" t="s">
        <v>11446</v>
      </c>
      <c r="S1316" t="s">
        <v>14827</v>
      </c>
      <c r="T1316" t="s">
        <v>14832</v>
      </c>
      <c r="U1316" t="s">
        <v>528</v>
      </c>
      <c r="V1316">
        <v>0</v>
      </c>
      <c r="W1316" t="s">
        <v>14859</v>
      </c>
      <c r="X1316" t="s">
        <v>14868</v>
      </c>
      <c r="Z1316" t="s">
        <v>15993</v>
      </c>
      <c r="AB1316" t="s">
        <v>21079</v>
      </c>
      <c r="AC1316">
        <v>29</v>
      </c>
      <c r="AD1316" t="s">
        <v>24595</v>
      </c>
      <c r="AF1316">
        <v>0</v>
      </c>
      <c r="AG1316">
        <v>1</v>
      </c>
      <c r="AH1316">
        <v>0</v>
      </c>
      <c r="AI1316">
        <v>72.06</v>
      </c>
      <c r="AL1316" t="s">
        <v>5011</v>
      </c>
      <c r="AM1316">
        <v>9000</v>
      </c>
      <c r="AO1316" t="s">
        <v>24930</v>
      </c>
      <c r="AS1316">
        <v>14</v>
      </c>
      <c r="AT1316" t="s">
        <v>521</v>
      </c>
      <c r="AU1316" t="s">
        <v>75</v>
      </c>
      <c r="AV1316" t="s">
        <v>25335</v>
      </c>
      <c r="AW1316" t="s">
        <v>11447</v>
      </c>
    </row>
    <row r="1317" spans="1:49">
      <c r="A1317" s="1">
        <f>HYPERLINK("https://lsnyc.legalserver.org/matter/dynamic-profile/view/1910172","19-1910172")</f>
        <v>0</v>
      </c>
      <c r="B1317" t="s">
        <v>103</v>
      </c>
      <c r="C1317" t="s">
        <v>528</v>
      </c>
      <c r="E1317" t="s">
        <v>1880</v>
      </c>
      <c r="F1317" t="s">
        <v>1636</v>
      </c>
      <c r="G1317" t="s">
        <v>7382</v>
      </c>
      <c r="H1317" t="s">
        <v>10541</v>
      </c>
      <c r="I1317" t="s">
        <v>11385</v>
      </c>
      <c r="J1317">
        <v>11212</v>
      </c>
      <c r="K1317" t="s">
        <v>11446</v>
      </c>
      <c r="L1317" t="s">
        <v>11897</v>
      </c>
      <c r="M1317" t="s">
        <v>14744</v>
      </c>
      <c r="N1317" t="s">
        <v>14778</v>
      </c>
      <c r="P1317" t="s">
        <v>14797</v>
      </c>
      <c r="Q1317" t="s">
        <v>11448</v>
      </c>
      <c r="S1317" t="s">
        <v>14827</v>
      </c>
      <c r="T1317" t="s">
        <v>14832</v>
      </c>
      <c r="U1317" t="s">
        <v>528</v>
      </c>
      <c r="V1317">
        <v>1643.13</v>
      </c>
      <c r="W1317" t="s">
        <v>14859</v>
      </c>
      <c r="X1317" t="s">
        <v>14868</v>
      </c>
      <c r="Z1317" t="s">
        <v>16130</v>
      </c>
      <c r="AA1317" t="s">
        <v>11459</v>
      </c>
      <c r="AB1317" t="s">
        <v>21210</v>
      </c>
      <c r="AC1317">
        <v>38</v>
      </c>
      <c r="AD1317" t="s">
        <v>24595</v>
      </c>
      <c r="AE1317" t="s">
        <v>11459</v>
      </c>
      <c r="AF1317">
        <v>9</v>
      </c>
      <c r="AG1317">
        <v>4</v>
      </c>
      <c r="AH1317">
        <v>0</v>
      </c>
      <c r="AI1317">
        <v>132.04</v>
      </c>
      <c r="AL1317" t="s">
        <v>5011</v>
      </c>
      <c r="AM1317">
        <v>34000</v>
      </c>
      <c r="AS1317">
        <v>1.25</v>
      </c>
      <c r="AT1317" t="s">
        <v>460</v>
      </c>
      <c r="AU1317" t="s">
        <v>66</v>
      </c>
      <c r="AV1317" t="s">
        <v>25335</v>
      </c>
      <c r="AW1317" t="s">
        <v>11447</v>
      </c>
    </row>
    <row r="1318" spans="1:49">
      <c r="A1318" s="1">
        <f>HYPERLINK("https://lsnyc.legalserver.org/matter/dynamic-profile/view/1910161","19-1910161")</f>
        <v>0</v>
      </c>
      <c r="B1318" t="s">
        <v>172</v>
      </c>
      <c r="C1318" t="s">
        <v>528</v>
      </c>
      <c r="E1318" t="s">
        <v>1633</v>
      </c>
      <c r="F1318" t="s">
        <v>2850</v>
      </c>
      <c r="G1318" t="s">
        <v>6962</v>
      </c>
      <c r="H1318" t="s">
        <v>1829</v>
      </c>
      <c r="I1318" t="s">
        <v>11386</v>
      </c>
      <c r="J1318">
        <v>10033</v>
      </c>
      <c r="K1318" t="s">
        <v>11446</v>
      </c>
      <c r="N1318" t="s">
        <v>14782</v>
      </c>
      <c r="P1318" t="s">
        <v>14797</v>
      </c>
      <c r="Q1318" t="s">
        <v>11446</v>
      </c>
      <c r="S1318" t="s">
        <v>14827</v>
      </c>
      <c r="U1318" t="s">
        <v>528</v>
      </c>
      <c r="V1318">
        <v>3250</v>
      </c>
      <c r="W1318" t="s">
        <v>14860</v>
      </c>
      <c r="X1318" t="s">
        <v>14867</v>
      </c>
      <c r="Z1318" t="s">
        <v>16131</v>
      </c>
      <c r="AB1318" t="s">
        <v>21211</v>
      </c>
      <c r="AC1318">
        <v>24</v>
      </c>
      <c r="AD1318" t="s">
        <v>24595</v>
      </c>
      <c r="AE1318" t="s">
        <v>11459</v>
      </c>
      <c r="AF1318">
        <v>1</v>
      </c>
      <c r="AG1318">
        <v>1</v>
      </c>
      <c r="AH1318">
        <v>0</v>
      </c>
      <c r="AI1318">
        <v>144.12</v>
      </c>
      <c r="AL1318" t="s">
        <v>5011</v>
      </c>
      <c r="AM1318">
        <v>18000</v>
      </c>
      <c r="AS1318">
        <v>0.2</v>
      </c>
      <c r="AT1318" t="s">
        <v>471</v>
      </c>
      <c r="AU1318" t="s">
        <v>137</v>
      </c>
      <c r="AV1318" t="s">
        <v>25335</v>
      </c>
      <c r="AW1318" t="s">
        <v>11447</v>
      </c>
    </row>
    <row r="1319" spans="1:49">
      <c r="A1319" s="1">
        <f>HYPERLINK("https://lsnyc.legalserver.org/matter/dynamic-profile/view/1910169","19-1910169")</f>
        <v>0</v>
      </c>
      <c r="B1319" t="s">
        <v>175</v>
      </c>
      <c r="C1319" t="s">
        <v>528</v>
      </c>
      <c r="E1319" t="s">
        <v>1313</v>
      </c>
      <c r="F1319" t="s">
        <v>4404</v>
      </c>
      <c r="G1319" t="s">
        <v>7383</v>
      </c>
      <c r="I1319" t="s">
        <v>11386</v>
      </c>
      <c r="J1319">
        <v>10032</v>
      </c>
      <c r="K1319" t="s">
        <v>11446</v>
      </c>
      <c r="N1319" t="s">
        <v>14781</v>
      </c>
      <c r="P1319" t="s">
        <v>14797</v>
      </c>
      <c r="Q1319" t="s">
        <v>11446</v>
      </c>
      <c r="S1319" t="s">
        <v>14827</v>
      </c>
      <c r="U1319" t="s">
        <v>528</v>
      </c>
      <c r="V1319">
        <v>1036</v>
      </c>
      <c r="W1319" t="s">
        <v>14860</v>
      </c>
      <c r="X1319" t="s">
        <v>14867</v>
      </c>
      <c r="Z1319" t="s">
        <v>16132</v>
      </c>
      <c r="AC1319">
        <v>41</v>
      </c>
      <c r="AD1319" t="s">
        <v>24595</v>
      </c>
      <c r="AE1319" t="s">
        <v>11459</v>
      </c>
      <c r="AF1319">
        <v>21</v>
      </c>
      <c r="AG1319">
        <v>5</v>
      </c>
      <c r="AH1319">
        <v>0</v>
      </c>
      <c r="AI1319">
        <v>178.56</v>
      </c>
      <c r="AL1319" t="s">
        <v>24632</v>
      </c>
      <c r="AM1319">
        <v>53872</v>
      </c>
      <c r="AS1319">
        <v>6</v>
      </c>
      <c r="AT1319" t="s">
        <v>476</v>
      </c>
      <c r="AU1319" t="s">
        <v>137</v>
      </c>
      <c r="AV1319" t="s">
        <v>25335</v>
      </c>
      <c r="AW1319" t="s">
        <v>11447</v>
      </c>
    </row>
    <row r="1320" spans="1:49">
      <c r="A1320" s="1">
        <f>HYPERLINK("https://lsnyc.legalserver.org/matter/dynamic-profile/view/1910272","19-1910272")</f>
        <v>0</v>
      </c>
      <c r="B1320" t="s">
        <v>63</v>
      </c>
      <c r="C1320" t="s">
        <v>662</v>
      </c>
      <c r="E1320" t="s">
        <v>1759</v>
      </c>
      <c r="F1320" t="s">
        <v>4259</v>
      </c>
      <c r="G1320" t="s">
        <v>7228</v>
      </c>
      <c r="I1320" t="s">
        <v>11387</v>
      </c>
      <c r="J1320">
        <v>11435</v>
      </c>
      <c r="K1320" t="s">
        <v>11446</v>
      </c>
      <c r="L1320" t="s">
        <v>11898</v>
      </c>
      <c r="M1320" t="s">
        <v>14744</v>
      </c>
      <c r="N1320" t="s">
        <v>14781</v>
      </c>
      <c r="P1320" t="s">
        <v>14797</v>
      </c>
      <c r="Q1320" t="s">
        <v>11448</v>
      </c>
      <c r="S1320" t="s">
        <v>14827</v>
      </c>
      <c r="T1320" t="s">
        <v>14832</v>
      </c>
      <c r="U1320" t="s">
        <v>662</v>
      </c>
      <c r="V1320">
        <v>2010</v>
      </c>
      <c r="W1320" t="s">
        <v>14861</v>
      </c>
      <c r="X1320" t="s">
        <v>14872</v>
      </c>
      <c r="Z1320" t="s">
        <v>15904</v>
      </c>
      <c r="AB1320" t="s">
        <v>20994</v>
      </c>
      <c r="AC1320">
        <v>2</v>
      </c>
      <c r="AD1320" t="s">
        <v>24600</v>
      </c>
      <c r="AE1320" t="s">
        <v>11459</v>
      </c>
      <c r="AF1320">
        <v>-1</v>
      </c>
      <c r="AG1320">
        <v>2</v>
      </c>
      <c r="AH1320">
        <v>3</v>
      </c>
      <c r="AI1320">
        <v>178.99</v>
      </c>
      <c r="AL1320" t="s">
        <v>5011</v>
      </c>
      <c r="AM1320">
        <v>54000</v>
      </c>
      <c r="AP1320" t="s">
        <v>14755</v>
      </c>
      <c r="AS1320">
        <v>4.85</v>
      </c>
      <c r="AT1320" t="s">
        <v>516</v>
      </c>
      <c r="AU1320" t="s">
        <v>63</v>
      </c>
      <c r="AV1320" t="s">
        <v>25335</v>
      </c>
      <c r="AW1320" t="s">
        <v>11447</v>
      </c>
    </row>
    <row r="1321" spans="1:49">
      <c r="A1321" s="1">
        <f>HYPERLINK("https://lsnyc.legalserver.org/matter/dynamic-profile/view/1910273","19-1910273")</f>
        <v>0</v>
      </c>
      <c r="B1321" t="s">
        <v>63</v>
      </c>
      <c r="C1321" t="s">
        <v>662</v>
      </c>
      <c r="E1321" t="s">
        <v>1759</v>
      </c>
      <c r="F1321" t="s">
        <v>4259</v>
      </c>
      <c r="G1321" t="s">
        <v>7228</v>
      </c>
      <c r="I1321" t="s">
        <v>11387</v>
      </c>
      <c r="J1321">
        <v>11435</v>
      </c>
      <c r="K1321" t="s">
        <v>11446</v>
      </c>
      <c r="M1321" t="s">
        <v>14747</v>
      </c>
      <c r="N1321" t="s">
        <v>14779</v>
      </c>
      <c r="P1321" t="s">
        <v>14797</v>
      </c>
      <c r="Q1321" t="s">
        <v>11448</v>
      </c>
      <c r="S1321" t="s">
        <v>14827</v>
      </c>
      <c r="T1321" t="s">
        <v>14832</v>
      </c>
      <c r="U1321" t="s">
        <v>662</v>
      </c>
      <c r="V1321">
        <v>2010</v>
      </c>
      <c r="W1321" t="s">
        <v>14861</v>
      </c>
      <c r="X1321" t="s">
        <v>14872</v>
      </c>
      <c r="Z1321" t="s">
        <v>15904</v>
      </c>
      <c r="AB1321" t="s">
        <v>20994</v>
      </c>
      <c r="AC1321">
        <v>2</v>
      </c>
      <c r="AD1321" t="s">
        <v>24600</v>
      </c>
      <c r="AE1321" t="s">
        <v>11459</v>
      </c>
      <c r="AF1321">
        <v>-1</v>
      </c>
      <c r="AG1321">
        <v>2</v>
      </c>
      <c r="AH1321">
        <v>3</v>
      </c>
      <c r="AI1321">
        <v>178.99</v>
      </c>
      <c r="AL1321" t="s">
        <v>5011</v>
      </c>
      <c r="AM1321">
        <v>54000</v>
      </c>
      <c r="AS1321">
        <v>0.3</v>
      </c>
      <c r="AT1321" t="s">
        <v>662</v>
      </c>
      <c r="AU1321" t="s">
        <v>63</v>
      </c>
      <c r="AV1321" t="s">
        <v>25335</v>
      </c>
      <c r="AW1321" t="s">
        <v>11447</v>
      </c>
    </row>
    <row r="1322" spans="1:49">
      <c r="A1322" s="1">
        <f>HYPERLINK("https://lsnyc.legalserver.org/matter/dynamic-profile/view/1908549","19-1908549")</f>
        <v>0</v>
      </c>
      <c r="B1322" t="s">
        <v>171</v>
      </c>
      <c r="C1322" t="s">
        <v>466</v>
      </c>
      <c r="E1322" t="s">
        <v>1524</v>
      </c>
      <c r="F1322" t="s">
        <v>4405</v>
      </c>
      <c r="G1322" t="s">
        <v>7384</v>
      </c>
      <c r="H1322">
        <v>4</v>
      </c>
      <c r="I1322" t="s">
        <v>11404</v>
      </c>
      <c r="J1322">
        <v>11103</v>
      </c>
      <c r="K1322" t="s">
        <v>11446</v>
      </c>
      <c r="M1322" t="s">
        <v>14747</v>
      </c>
      <c r="N1322" t="s">
        <v>14779</v>
      </c>
      <c r="P1322" t="s">
        <v>14797</v>
      </c>
      <c r="Q1322" t="s">
        <v>11448</v>
      </c>
      <c r="S1322" t="s">
        <v>14827</v>
      </c>
      <c r="T1322" t="s">
        <v>14832</v>
      </c>
      <c r="U1322" t="s">
        <v>662</v>
      </c>
      <c r="V1322">
        <v>630</v>
      </c>
      <c r="W1322" t="s">
        <v>14861</v>
      </c>
      <c r="X1322" t="s">
        <v>14869</v>
      </c>
      <c r="Z1322" t="s">
        <v>16133</v>
      </c>
      <c r="AB1322" t="s">
        <v>21212</v>
      </c>
      <c r="AC1322">
        <v>25</v>
      </c>
      <c r="AD1322" t="s">
        <v>24595</v>
      </c>
      <c r="AE1322" t="s">
        <v>14755</v>
      </c>
      <c r="AF1322">
        <v>50</v>
      </c>
      <c r="AG1322">
        <v>1</v>
      </c>
      <c r="AH1322">
        <v>0</v>
      </c>
      <c r="AI1322">
        <v>192.15</v>
      </c>
      <c r="AL1322" t="s">
        <v>5011</v>
      </c>
      <c r="AM1322">
        <v>24000</v>
      </c>
      <c r="AS1322">
        <v>2.85</v>
      </c>
      <c r="AT1322" t="s">
        <v>509</v>
      </c>
      <c r="AU1322" t="s">
        <v>25227</v>
      </c>
      <c r="AV1322" t="s">
        <v>25335</v>
      </c>
      <c r="AW1322" t="s">
        <v>11447</v>
      </c>
    </row>
    <row r="1323" spans="1:49">
      <c r="A1323" s="1">
        <f>HYPERLINK("https://lsnyc.legalserver.org/matter/dynamic-profile/view/1909432","19-1909432")</f>
        <v>0</v>
      </c>
      <c r="B1323" t="s">
        <v>175</v>
      </c>
      <c r="C1323" t="s">
        <v>412</v>
      </c>
      <c r="E1323" t="s">
        <v>1881</v>
      </c>
      <c r="F1323" t="s">
        <v>4406</v>
      </c>
      <c r="G1323" t="s">
        <v>7349</v>
      </c>
      <c r="H1323" t="s">
        <v>10568</v>
      </c>
      <c r="I1323" t="s">
        <v>11386</v>
      </c>
      <c r="J1323">
        <v>10040</v>
      </c>
      <c r="K1323" t="s">
        <v>11446</v>
      </c>
      <c r="M1323" t="s">
        <v>14746</v>
      </c>
      <c r="N1323" t="s">
        <v>14781</v>
      </c>
      <c r="P1323" t="s">
        <v>14797</v>
      </c>
      <c r="Q1323" t="s">
        <v>11446</v>
      </c>
      <c r="S1323" t="s">
        <v>14827</v>
      </c>
      <c r="U1323" t="s">
        <v>14844</v>
      </c>
      <c r="V1323">
        <v>1200</v>
      </c>
      <c r="W1323" t="s">
        <v>14860</v>
      </c>
      <c r="X1323" t="s">
        <v>14867</v>
      </c>
      <c r="Z1323" t="s">
        <v>16134</v>
      </c>
      <c r="AB1323" t="s">
        <v>21213</v>
      </c>
      <c r="AC1323">
        <v>77</v>
      </c>
      <c r="AD1323" t="s">
        <v>24600</v>
      </c>
      <c r="AE1323" t="s">
        <v>11459</v>
      </c>
      <c r="AF1323">
        <v>8</v>
      </c>
      <c r="AG1323">
        <v>1</v>
      </c>
      <c r="AH1323">
        <v>0</v>
      </c>
      <c r="AI1323">
        <v>205.6</v>
      </c>
      <c r="AJ1323" t="s">
        <v>551</v>
      </c>
      <c r="AK1323" t="s">
        <v>24629</v>
      </c>
      <c r="AL1323" t="s">
        <v>5011</v>
      </c>
      <c r="AM1323">
        <v>25680</v>
      </c>
      <c r="AS1323">
        <v>0.1</v>
      </c>
      <c r="AT1323" t="s">
        <v>519</v>
      </c>
      <c r="AU1323" t="s">
        <v>137</v>
      </c>
      <c r="AV1323" t="s">
        <v>25335</v>
      </c>
      <c r="AW1323" t="s">
        <v>11447</v>
      </c>
    </row>
    <row r="1324" spans="1:49">
      <c r="A1324" s="1">
        <f>HYPERLINK("https://lsnyc.legalserver.org/matter/dynamic-profile/view/1907798","19-1907798")</f>
        <v>0</v>
      </c>
      <c r="B1324" t="s">
        <v>108</v>
      </c>
      <c r="C1324" t="s">
        <v>377</v>
      </c>
      <c r="E1324" t="s">
        <v>1882</v>
      </c>
      <c r="F1324" t="s">
        <v>4407</v>
      </c>
      <c r="G1324" t="s">
        <v>7385</v>
      </c>
      <c r="H1324" t="s">
        <v>10820</v>
      </c>
      <c r="I1324" t="s">
        <v>11385</v>
      </c>
      <c r="J1324">
        <v>11217</v>
      </c>
      <c r="K1324" t="s">
        <v>11446</v>
      </c>
      <c r="M1324" t="s">
        <v>14763</v>
      </c>
      <c r="N1324" t="s">
        <v>14781</v>
      </c>
      <c r="P1324" t="s">
        <v>14797</v>
      </c>
      <c r="S1324" t="s">
        <v>14827</v>
      </c>
      <c r="U1324" t="s">
        <v>540</v>
      </c>
      <c r="V1324">
        <v>1900</v>
      </c>
      <c r="W1324" t="s">
        <v>14859</v>
      </c>
      <c r="X1324" t="s">
        <v>14755</v>
      </c>
      <c r="Z1324" t="s">
        <v>16135</v>
      </c>
      <c r="AB1324" t="s">
        <v>21214</v>
      </c>
      <c r="AC1324">
        <v>8</v>
      </c>
      <c r="AF1324">
        <v>18</v>
      </c>
      <c r="AG1324">
        <v>1</v>
      </c>
      <c r="AH1324">
        <v>2</v>
      </c>
      <c r="AI1324">
        <v>59.24</v>
      </c>
      <c r="AL1324" t="s">
        <v>24632</v>
      </c>
      <c r="AM1324">
        <v>12636</v>
      </c>
      <c r="AS1324">
        <v>9.949999999999999</v>
      </c>
      <c r="AT1324" t="s">
        <v>509</v>
      </c>
      <c r="AU1324" t="s">
        <v>25238</v>
      </c>
      <c r="AV1324" t="s">
        <v>25335</v>
      </c>
      <c r="AW1324" t="s">
        <v>11447</v>
      </c>
    </row>
    <row r="1325" spans="1:49">
      <c r="A1325" s="1">
        <f>HYPERLINK("https://lsnyc.legalserver.org/matter/dynamic-profile/view/1910703","19-1910703")</f>
        <v>0</v>
      </c>
      <c r="B1325" t="s">
        <v>109</v>
      </c>
      <c r="C1325" t="s">
        <v>663</v>
      </c>
      <c r="E1325" t="s">
        <v>1141</v>
      </c>
      <c r="F1325" t="s">
        <v>4408</v>
      </c>
      <c r="G1325" t="s">
        <v>7386</v>
      </c>
      <c r="H1325" t="s">
        <v>10821</v>
      </c>
      <c r="I1325" t="s">
        <v>11427</v>
      </c>
      <c r="J1325">
        <v>11238</v>
      </c>
      <c r="K1325" t="s">
        <v>11446</v>
      </c>
      <c r="L1325" t="s">
        <v>11899</v>
      </c>
      <c r="M1325" t="s">
        <v>14744</v>
      </c>
      <c r="N1325" t="s">
        <v>14781</v>
      </c>
      <c r="P1325" t="s">
        <v>14797</v>
      </c>
      <c r="Q1325" t="s">
        <v>11446</v>
      </c>
      <c r="S1325" t="s">
        <v>14827</v>
      </c>
      <c r="T1325" t="s">
        <v>14832</v>
      </c>
      <c r="U1325" t="s">
        <v>540</v>
      </c>
      <c r="V1325">
        <v>654.33</v>
      </c>
      <c r="W1325" t="s">
        <v>14859</v>
      </c>
      <c r="X1325" t="s">
        <v>14868</v>
      </c>
      <c r="Z1325" t="s">
        <v>16136</v>
      </c>
      <c r="AB1325" t="s">
        <v>21215</v>
      </c>
      <c r="AC1325">
        <v>29</v>
      </c>
      <c r="AD1325" t="s">
        <v>24595</v>
      </c>
      <c r="AF1325">
        <v>44</v>
      </c>
      <c r="AG1325">
        <v>1</v>
      </c>
      <c r="AH1325">
        <v>0</v>
      </c>
      <c r="AI1325">
        <v>74.08</v>
      </c>
      <c r="AL1325" t="s">
        <v>5011</v>
      </c>
      <c r="AM1325">
        <v>9252</v>
      </c>
      <c r="AO1325" t="s">
        <v>24930</v>
      </c>
      <c r="AS1325">
        <v>15</v>
      </c>
      <c r="AT1325" t="s">
        <v>490</v>
      </c>
      <c r="AU1325" t="s">
        <v>177</v>
      </c>
      <c r="AV1325" t="s">
        <v>25335</v>
      </c>
      <c r="AW1325" t="s">
        <v>11447</v>
      </c>
    </row>
    <row r="1326" spans="1:49">
      <c r="A1326" s="1">
        <f>HYPERLINK("https://lsnyc.legalserver.org/matter/dynamic-profile/view/1910267","19-1910267")</f>
        <v>0</v>
      </c>
      <c r="B1326" t="s">
        <v>222</v>
      </c>
      <c r="C1326" t="s">
        <v>540</v>
      </c>
      <c r="E1326" t="s">
        <v>1144</v>
      </c>
      <c r="F1326" t="s">
        <v>4409</v>
      </c>
      <c r="G1326" t="s">
        <v>7387</v>
      </c>
      <c r="H1326" t="s">
        <v>10448</v>
      </c>
      <c r="I1326" t="s">
        <v>11385</v>
      </c>
      <c r="J1326">
        <v>11225</v>
      </c>
      <c r="K1326" t="s">
        <v>11446</v>
      </c>
      <c r="N1326" t="s">
        <v>14783</v>
      </c>
      <c r="P1326" t="s">
        <v>14797</v>
      </c>
      <c r="Q1326" t="s">
        <v>11446</v>
      </c>
      <c r="S1326" t="s">
        <v>14827</v>
      </c>
      <c r="U1326" t="s">
        <v>540</v>
      </c>
      <c r="V1326">
        <v>813.54</v>
      </c>
      <c r="W1326" t="s">
        <v>14859</v>
      </c>
      <c r="Z1326" t="s">
        <v>16137</v>
      </c>
      <c r="AB1326" t="s">
        <v>21216</v>
      </c>
      <c r="AC1326">
        <v>8</v>
      </c>
      <c r="AF1326">
        <v>26</v>
      </c>
      <c r="AG1326">
        <v>3</v>
      </c>
      <c r="AH1326">
        <v>0</v>
      </c>
      <c r="AI1326">
        <v>150.02</v>
      </c>
      <c r="AL1326" t="s">
        <v>5011</v>
      </c>
      <c r="AM1326">
        <v>32000</v>
      </c>
      <c r="AS1326">
        <v>0</v>
      </c>
      <c r="AU1326" t="s">
        <v>75</v>
      </c>
      <c r="AV1326" t="s">
        <v>25335</v>
      </c>
      <c r="AW1326" t="s">
        <v>11447</v>
      </c>
    </row>
    <row r="1327" spans="1:49">
      <c r="A1327" s="1">
        <f>HYPERLINK("https://lsnyc.legalserver.org/matter/dynamic-profile/view/1915063","19-1915063")</f>
        <v>0</v>
      </c>
      <c r="B1327" t="s">
        <v>222</v>
      </c>
      <c r="C1327" t="s">
        <v>521</v>
      </c>
      <c r="E1327" t="s">
        <v>1144</v>
      </c>
      <c r="F1327" t="s">
        <v>4409</v>
      </c>
      <c r="G1327" t="s">
        <v>7387</v>
      </c>
      <c r="H1327" t="s">
        <v>10448</v>
      </c>
      <c r="I1327" t="s">
        <v>11385</v>
      </c>
      <c r="J1327">
        <v>11225</v>
      </c>
      <c r="K1327" t="s">
        <v>11446</v>
      </c>
      <c r="N1327" t="s">
        <v>14781</v>
      </c>
      <c r="P1327" t="s">
        <v>14797</v>
      </c>
      <c r="Q1327" t="s">
        <v>11446</v>
      </c>
      <c r="S1327" t="s">
        <v>14827</v>
      </c>
      <c r="U1327" t="s">
        <v>540</v>
      </c>
      <c r="V1327">
        <v>0</v>
      </c>
      <c r="W1327" t="s">
        <v>14859</v>
      </c>
      <c r="Z1327" t="s">
        <v>16137</v>
      </c>
      <c r="AB1327" t="s">
        <v>21216</v>
      </c>
      <c r="AC1327">
        <v>0</v>
      </c>
      <c r="AF1327">
        <v>0</v>
      </c>
      <c r="AG1327">
        <v>3</v>
      </c>
      <c r="AH1327">
        <v>0</v>
      </c>
      <c r="AI1327">
        <v>150.02</v>
      </c>
      <c r="AL1327" t="s">
        <v>5011</v>
      </c>
      <c r="AM1327">
        <v>32000</v>
      </c>
      <c r="AS1327">
        <v>0</v>
      </c>
      <c r="AU1327" t="s">
        <v>75</v>
      </c>
      <c r="AV1327" t="s">
        <v>25335</v>
      </c>
      <c r="AW1327" t="s">
        <v>11447</v>
      </c>
    </row>
    <row r="1328" spans="1:49">
      <c r="A1328" s="1">
        <f>HYPERLINK("https://lsnyc.legalserver.org/matter/dynamic-profile/view/1908630","19-1908630")</f>
        <v>0</v>
      </c>
      <c r="B1328" t="s">
        <v>214</v>
      </c>
      <c r="C1328" t="s">
        <v>497</v>
      </c>
      <c r="E1328" t="s">
        <v>1883</v>
      </c>
      <c r="F1328" t="s">
        <v>4410</v>
      </c>
      <c r="G1328" t="s">
        <v>7054</v>
      </c>
      <c r="H1328">
        <v>219</v>
      </c>
      <c r="I1328" t="s">
        <v>11385</v>
      </c>
      <c r="J1328">
        <v>11212</v>
      </c>
      <c r="K1328" t="s">
        <v>11446</v>
      </c>
      <c r="L1328" t="s">
        <v>11900</v>
      </c>
      <c r="M1328" t="s">
        <v>14744</v>
      </c>
      <c r="N1328" t="s">
        <v>14782</v>
      </c>
      <c r="P1328" t="s">
        <v>14797</v>
      </c>
      <c r="Q1328" t="s">
        <v>11448</v>
      </c>
      <c r="S1328" t="s">
        <v>14827</v>
      </c>
      <c r="T1328" t="s">
        <v>14832</v>
      </c>
      <c r="U1328" t="s">
        <v>508</v>
      </c>
      <c r="V1328">
        <v>895.23</v>
      </c>
      <c r="W1328" t="s">
        <v>14859</v>
      </c>
      <c r="X1328" t="s">
        <v>14873</v>
      </c>
      <c r="Z1328" t="s">
        <v>16138</v>
      </c>
      <c r="AA1328" t="s">
        <v>19354</v>
      </c>
      <c r="AB1328" t="s">
        <v>21217</v>
      </c>
      <c r="AC1328">
        <v>132</v>
      </c>
      <c r="AD1328" t="s">
        <v>24595</v>
      </c>
      <c r="AF1328">
        <v>1</v>
      </c>
      <c r="AG1328">
        <v>1</v>
      </c>
      <c r="AH1328">
        <v>0</v>
      </c>
      <c r="AI1328">
        <v>38.24</v>
      </c>
      <c r="AL1328" t="s">
        <v>5011</v>
      </c>
      <c r="AM1328">
        <v>4776</v>
      </c>
      <c r="AS1328">
        <v>9.1</v>
      </c>
      <c r="AT1328" t="s">
        <v>521</v>
      </c>
      <c r="AU1328" t="s">
        <v>25225</v>
      </c>
      <c r="AV1328" t="s">
        <v>25335</v>
      </c>
      <c r="AW1328" t="s">
        <v>11447</v>
      </c>
    </row>
    <row r="1329" spans="1:49">
      <c r="A1329" s="1">
        <f>HYPERLINK("https://lsnyc.legalserver.org/matter/dynamic-profile/view/1910458","19-1910458")</f>
        <v>0</v>
      </c>
      <c r="B1329" t="s">
        <v>231</v>
      </c>
      <c r="C1329" t="s">
        <v>508</v>
      </c>
      <c r="E1329" t="s">
        <v>1144</v>
      </c>
      <c r="F1329" t="s">
        <v>3696</v>
      </c>
      <c r="G1329" t="s">
        <v>7388</v>
      </c>
      <c r="H1329" t="s">
        <v>10787</v>
      </c>
      <c r="I1329" t="s">
        <v>11386</v>
      </c>
      <c r="J1329">
        <v>10032</v>
      </c>
      <c r="K1329" t="s">
        <v>11446</v>
      </c>
      <c r="M1329" t="s">
        <v>14748</v>
      </c>
      <c r="N1329" t="s">
        <v>14779</v>
      </c>
      <c r="P1329" t="s">
        <v>14797</v>
      </c>
      <c r="Q1329" t="s">
        <v>11448</v>
      </c>
      <c r="S1329" t="s">
        <v>14827</v>
      </c>
      <c r="U1329" t="s">
        <v>508</v>
      </c>
      <c r="V1329">
        <v>1243</v>
      </c>
      <c r="W1329" t="s">
        <v>14860</v>
      </c>
      <c r="X1329" t="s">
        <v>14867</v>
      </c>
      <c r="Z1329" t="s">
        <v>16139</v>
      </c>
      <c r="AB1329" t="s">
        <v>21218</v>
      </c>
      <c r="AC1329">
        <v>41</v>
      </c>
      <c r="AD1329" t="s">
        <v>24595</v>
      </c>
      <c r="AE1329" t="s">
        <v>11459</v>
      </c>
      <c r="AF1329">
        <v>23</v>
      </c>
      <c r="AG1329">
        <v>2</v>
      </c>
      <c r="AH1329">
        <v>0</v>
      </c>
      <c r="AI1329">
        <v>62.95</v>
      </c>
      <c r="AL1329" t="s">
        <v>5011</v>
      </c>
      <c r="AM1329">
        <v>10644</v>
      </c>
      <c r="AS1329">
        <v>2.3</v>
      </c>
      <c r="AT1329" t="s">
        <v>478</v>
      </c>
      <c r="AU1329" t="s">
        <v>137</v>
      </c>
      <c r="AV1329" t="s">
        <v>25335</v>
      </c>
      <c r="AW1329" t="s">
        <v>11447</v>
      </c>
    </row>
    <row r="1330" spans="1:49">
      <c r="A1330" s="1">
        <f>HYPERLINK("https://lsnyc.legalserver.org/matter/dynamic-profile/view/1910361","19-1910361")</f>
        <v>0</v>
      </c>
      <c r="B1330" t="s">
        <v>208</v>
      </c>
      <c r="C1330" t="s">
        <v>508</v>
      </c>
      <c r="E1330" t="s">
        <v>1024</v>
      </c>
      <c r="F1330" t="s">
        <v>1983</v>
      </c>
      <c r="G1330" t="s">
        <v>7389</v>
      </c>
      <c r="H1330" t="s">
        <v>10574</v>
      </c>
      <c r="I1330" t="s">
        <v>11428</v>
      </c>
      <c r="J1330">
        <v>10002</v>
      </c>
      <c r="K1330" t="s">
        <v>11446</v>
      </c>
      <c r="M1330" t="s">
        <v>11601</v>
      </c>
      <c r="N1330" t="s">
        <v>14782</v>
      </c>
      <c r="P1330" t="s">
        <v>14797</v>
      </c>
      <c r="Q1330" t="s">
        <v>11448</v>
      </c>
      <c r="S1330" t="s">
        <v>14827</v>
      </c>
      <c r="U1330" t="s">
        <v>508</v>
      </c>
      <c r="V1330">
        <v>250</v>
      </c>
      <c r="W1330" t="s">
        <v>14860</v>
      </c>
      <c r="X1330" t="s">
        <v>14876</v>
      </c>
      <c r="Z1330" t="s">
        <v>16140</v>
      </c>
      <c r="AB1330" t="s">
        <v>21219</v>
      </c>
      <c r="AC1330">
        <v>200</v>
      </c>
      <c r="AD1330" t="s">
        <v>11479</v>
      </c>
      <c r="AE1330" t="s">
        <v>24610</v>
      </c>
      <c r="AF1330">
        <v>41</v>
      </c>
      <c r="AG1330">
        <v>1</v>
      </c>
      <c r="AH1330">
        <v>0</v>
      </c>
      <c r="AI1330">
        <v>74.08</v>
      </c>
      <c r="AL1330" t="s">
        <v>5011</v>
      </c>
      <c r="AM1330">
        <v>9252</v>
      </c>
      <c r="AS1330">
        <v>0</v>
      </c>
      <c r="AU1330" t="s">
        <v>25276</v>
      </c>
      <c r="AV1330" t="s">
        <v>25335</v>
      </c>
      <c r="AW1330" t="s">
        <v>11447</v>
      </c>
    </row>
    <row r="1331" spans="1:49">
      <c r="A1331" s="1">
        <f>HYPERLINK("https://lsnyc.legalserver.org/matter/dynamic-profile/view/1908794","19-1908794")</f>
        <v>0</v>
      </c>
      <c r="B1331" t="s">
        <v>168</v>
      </c>
      <c r="C1331" t="s">
        <v>585</v>
      </c>
      <c r="E1331" t="s">
        <v>1861</v>
      </c>
      <c r="F1331" t="s">
        <v>4411</v>
      </c>
      <c r="G1331" t="s">
        <v>7390</v>
      </c>
      <c r="H1331" t="s">
        <v>10575</v>
      </c>
      <c r="I1331" t="s">
        <v>11384</v>
      </c>
      <c r="J1331">
        <v>10301</v>
      </c>
      <c r="K1331" t="s">
        <v>11446</v>
      </c>
      <c r="L1331" t="s">
        <v>11474</v>
      </c>
      <c r="M1331" t="s">
        <v>14743</v>
      </c>
      <c r="N1331" t="s">
        <v>14778</v>
      </c>
      <c r="P1331" t="s">
        <v>14797</v>
      </c>
      <c r="Q1331" t="s">
        <v>11448</v>
      </c>
      <c r="R1331" t="s">
        <v>14797</v>
      </c>
      <c r="S1331" t="s">
        <v>14827</v>
      </c>
      <c r="T1331" t="s">
        <v>14832</v>
      </c>
      <c r="U1331" t="s">
        <v>508</v>
      </c>
      <c r="V1331">
        <v>642</v>
      </c>
      <c r="W1331" t="s">
        <v>14862</v>
      </c>
      <c r="X1331" t="s">
        <v>14866</v>
      </c>
      <c r="Z1331" t="s">
        <v>16141</v>
      </c>
      <c r="AB1331" t="s">
        <v>21220</v>
      </c>
      <c r="AC1331">
        <v>16</v>
      </c>
      <c r="AD1331" t="s">
        <v>24595</v>
      </c>
      <c r="AE1331" t="s">
        <v>11459</v>
      </c>
      <c r="AF1331">
        <v>7</v>
      </c>
      <c r="AG1331">
        <v>1</v>
      </c>
      <c r="AH1331">
        <v>0</v>
      </c>
      <c r="AI1331">
        <v>153.72</v>
      </c>
      <c r="AL1331" t="s">
        <v>5011</v>
      </c>
      <c r="AM1331">
        <v>19200</v>
      </c>
      <c r="AS1331">
        <v>2.95</v>
      </c>
      <c r="AT1331" t="s">
        <v>515</v>
      </c>
      <c r="AU1331" t="s">
        <v>25241</v>
      </c>
      <c r="AV1331" t="s">
        <v>25335</v>
      </c>
      <c r="AW1331" t="s">
        <v>11447</v>
      </c>
    </row>
    <row r="1332" spans="1:49">
      <c r="A1332" s="1">
        <f>HYPERLINK("https://lsnyc.legalserver.org/matter/dynamic-profile/view/1910406","19-1910406")</f>
        <v>0</v>
      </c>
      <c r="B1332" t="s">
        <v>231</v>
      </c>
      <c r="C1332" t="s">
        <v>508</v>
      </c>
      <c r="E1332" t="s">
        <v>1695</v>
      </c>
      <c r="F1332" t="s">
        <v>4196</v>
      </c>
      <c r="G1332" t="s">
        <v>7151</v>
      </c>
      <c r="I1332" t="s">
        <v>11386</v>
      </c>
      <c r="J1332">
        <v>10033</v>
      </c>
      <c r="K1332" t="s">
        <v>11446</v>
      </c>
      <c r="M1332" t="s">
        <v>14748</v>
      </c>
      <c r="N1332" t="s">
        <v>14779</v>
      </c>
      <c r="P1332" t="s">
        <v>14797</v>
      </c>
      <c r="Q1332" t="s">
        <v>11448</v>
      </c>
      <c r="S1332" t="s">
        <v>14827</v>
      </c>
      <c r="U1332" t="s">
        <v>508</v>
      </c>
      <c r="V1332">
        <v>811.77</v>
      </c>
      <c r="W1332" t="s">
        <v>14860</v>
      </c>
      <c r="X1332" t="s">
        <v>14868</v>
      </c>
      <c r="Z1332" t="s">
        <v>15796</v>
      </c>
      <c r="AB1332" t="s">
        <v>20892</v>
      </c>
      <c r="AC1332">
        <v>24</v>
      </c>
      <c r="AD1332" t="s">
        <v>24595</v>
      </c>
      <c r="AE1332" t="s">
        <v>24613</v>
      </c>
      <c r="AF1332">
        <v>45</v>
      </c>
      <c r="AG1332">
        <v>2</v>
      </c>
      <c r="AH1332">
        <v>0</v>
      </c>
      <c r="AI1332">
        <v>179.82</v>
      </c>
      <c r="AL1332" t="s">
        <v>24632</v>
      </c>
      <c r="AM1332">
        <v>30408</v>
      </c>
      <c r="AS1332">
        <v>1.9</v>
      </c>
      <c r="AT1332" t="s">
        <v>483</v>
      </c>
      <c r="AU1332" t="s">
        <v>137</v>
      </c>
      <c r="AV1332" t="s">
        <v>25335</v>
      </c>
      <c r="AW1332" t="s">
        <v>11447</v>
      </c>
    </row>
    <row r="1333" spans="1:49">
      <c r="A1333" s="1">
        <f>HYPERLINK("https://lsnyc.legalserver.org/matter/dynamic-profile/view/1910509","19-1910509")</f>
        <v>0</v>
      </c>
      <c r="B1333" t="s">
        <v>123</v>
      </c>
      <c r="C1333" t="s">
        <v>508</v>
      </c>
      <c r="E1333" t="s">
        <v>1884</v>
      </c>
      <c r="F1333" t="s">
        <v>4412</v>
      </c>
      <c r="G1333" t="s">
        <v>7391</v>
      </c>
      <c r="H1333">
        <v>26</v>
      </c>
      <c r="I1333" t="s">
        <v>11385</v>
      </c>
      <c r="J1333">
        <v>11215</v>
      </c>
      <c r="K1333" t="s">
        <v>11446</v>
      </c>
      <c r="N1333" t="s">
        <v>14779</v>
      </c>
      <c r="P1333" t="s">
        <v>14797</v>
      </c>
      <c r="Q1333" t="s">
        <v>11448</v>
      </c>
      <c r="S1333" t="s">
        <v>14827</v>
      </c>
      <c r="T1333" t="s">
        <v>14832</v>
      </c>
      <c r="U1333" t="s">
        <v>508</v>
      </c>
      <c r="V1333">
        <v>1380.54</v>
      </c>
      <c r="W1333" t="s">
        <v>14859</v>
      </c>
      <c r="X1333" t="s">
        <v>14865</v>
      </c>
      <c r="Z1333" t="s">
        <v>16142</v>
      </c>
      <c r="AB1333" t="s">
        <v>21221</v>
      </c>
      <c r="AC1333">
        <v>26</v>
      </c>
      <c r="AD1333" t="s">
        <v>24595</v>
      </c>
      <c r="AE1333" t="s">
        <v>11459</v>
      </c>
      <c r="AF1333">
        <v>7</v>
      </c>
      <c r="AG1333">
        <v>1</v>
      </c>
      <c r="AH1333">
        <v>2</v>
      </c>
      <c r="AI1333">
        <v>182.84</v>
      </c>
      <c r="AL1333" t="s">
        <v>5011</v>
      </c>
      <c r="AM1333">
        <v>39000</v>
      </c>
      <c r="AS1333">
        <v>4.6</v>
      </c>
      <c r="AT1333" t="s">
        <v>484</v>
      </c>
      <c r="AU1333" t="s">
        <v>123</v>
      </c>
      <c r="AW1333" t="s">
        <v>11447</v>
      </c>
    </row>
    <row r="1334" spans="1:49">
      <c r="A1334" s="1">
        <f>HYPERLINK("https://lsnyc.legalserver.org/matter/dynamic-profile/view/1910219","19-1910219")</f>
        <v>0</v>
      </c>
      <c r="B1334" t="s">
        <v>166</v>
      </c>
      <c r="C1334" t="s">
        <v>508</v>
      </c>
      <c r="E1334" t="s">
        <v>1249</v>
      </c>
      <c r="F1334" t="s">
        <v>3696</v>
      </c>
      <c r="G1334" t="s">
        <v>7392</v>
      </c>
      <c r="I1334" t="s">
        <v>11384</v>
      </c>
      <c r="J1334">
        <v>10304</v>
      </c>
      <c r="K1334" t="s">
        <v>11446</v>
      </c>
      <c r="L1334" t="s">
        <v>11901</v>
      </c>
      <c r="M1334" t="s">
        <v>14744</v>
      </c>
      <c r="N1334" t="s">
        <v>14781</v>
      </c>
      <c r="P1334" t="s">
        <v>14797</v>
      </c>
      <c r="Q1334" t="s">
        <v>11448</v>
      </c>
      <c r="S1334" t="s">
        <v>14827</v>
      </c>
      <c r="U1334" t="s">
        <v>508</v>
      </c>
      <c r="V1334">
        <v>1700</v>
      </c>
      <c r="W1334" t="s">
        <v>14862</v>
      </c>
      <c r="X1334" t="s">
        <v>14880</v>
      </c>
      <c r="Z1334" t="s">
        <v>16143</v>
      </c>
      <c r="AB1334" t="s">
        <v>21222</v>
      </c>
      <c r="AC1334">
        <v>2</v>
      </c>
      <c r="AD1334" t="s">
        <v>24600</v>
      </c>
      <c r="AE1334" t="s">
        <v>11459</v>
      </c>
      <c r="AF1334">
        <v>3</v>
      </c>
      <c r="AG1334">
        <v>2</v>
      </c>
      <c r="AH1334">
        <v>0</v>
      </c>
      <c r="AI1334">
        <v>183.44</v>
      </c>
      <c r="AL1334" t="s">
        <v>5011</v>
      </c>
      <c r="AM1334">
        <v>31020</v>
      </c>
      <c r="AS1334">
        <v>12.05</v>
      </c>
      <c r="AT1334" t="s">
        <v>495</v>
      </c>
      <c r="AU1334" t="s">
        <v>25270</v>
      </c>
      <c r="AV1334" t="s">
        <v>25335</v>
      </c>
      <c r="AW1334" t="s">
        <v>11447</v>
      </c>
    </row>
    <row r="1335" spans="1:49">
      <c r="A1335" s="1">
        <f>HYPERLINK("https://lsnyc.legalserver.org/matter/dynamic-profile/view/1910916","19-1910916")</f>
        <v>0</v>
      </c>
      <c r="B1335" t="s">
        <v>109</v>
      </c>
      <c r="C1335" t="s">
        <v>604</v>
      </c>
      <c r="E1335" t="s">
        <v>1114</v>
      </c>
      <c r="F1335" t="s">
        <v>3630</v>
      </c>
      <c r="G1335" t="s">
        <v>6371</v>
      </c>
      <c r="H1335" t="s">
        <v>10822</v>
      </c>
      <c r="I1335" t="s">
        <v>11385</v>
      </c>
      <c r="J1335">
        <v>11220</v>
      </c>
      <c r="K1335" t="s">
        <v>11446</v>
      </c>
      <c r="M1335" t="s">
        <v>14746</v>
      </c>
      <c r="N1335" t="s">
        <v>14781</v>
      </c>
      <c r="P1335" t="s">
        <v>14797</v>
      </c>
      <c r="Q1335" t="s">
        <v>11448</v>
      </c>
      <c r="S1335" t="s">
        <v>14827</v>
      </c>
      <c r="T1335" t="s">
        <v>14833</v>
      </c>
      <c r="U1335" t="s">
        <v>602</v>
      </c>
      <c r="V1335">
        <v>0</v>
      </c>
      <c r="W1335" t="s">
        <v>14859</v>
      </c>
      <c r="X1335" t="s">
        <v>14863</v>
      </c>
      <c r="Z1335" t="s">
        <v>14997</v>
      </c>
      <c r="AB1335" t="s">
        <v>21223</v>
      </c>
      <c r="AC1335">
        <v>6</v>
      </c>
      <c r="AD1335" t="s">
        <v>24595</v>
      </c>
      <c r="AF1335">
        <v>66</v>
      </c>
      <c r="AG1335">
        <v>1</v>
      </c>
      <c r="AH1335">
        <v>0</v>
      </c>
      <c r="AI1335">
        <v>81.18000000000001</v>
      </c>
      <c r="AL1335" t="s">
        <v>5011</v>
      </c>
      <c r="AM1335">
        <v>10140</v>
      </c>
      <c r="AS1335">
        <v>49.9</v>
      </c>
      <c r="AT1335" t="s">
        <v>533</v>
      </c>
      <c r="AU1335" t="s">
        <v>109</v>
      </c>
      <c r="AV1335" t="s">
        <v>25335</v>
      </c>
      <c r="AW1335" t="s">
        <v>11447</v>
      </c>
    </row>
    <row r="1336" spans="1:49">
      <c r="A1336" s="1">
        <f>HYPERLINK("https://lsnyc.legalserver.org/matter/dynamic-profile/view/1910547","19-1910547")</f>
        <v>0</v>
      </c>
      <c r="B1336" t="s">
        <v>123</v>
      </c>
      <c r="C1336" t="s">
        <v>602</v>
      </c>
      <c r="E1336" t="s">
        <v>1321</v>
      </c>
      <c r="F1336" t="s">
        <v>3623</v>
      </c>
      <c r="G1336" t="s">
        <v>7393</v>
      </c>
      <c r="H1336" t="s">
        <v>10484</v>
      </c>
      <c r="I1336" t="s">
        <v>11385</v>
      </c>
      <c r="J1336">
        <v>11231</v>
      </c>
      <c r="K1336" t="s">
        <v>11446</v>
      </c>
      <c r="L1336" t="s">
        <v>11902</v>
      </c>
      <c r="M1336" t="s">
        <v>14744</v>
      </c>
      <c r="N1336" t="s">
        <v>14781</v>
      </c>
      <c r="P1336" t="s">
        <v>14797</v>
      </c>
      <c r="Q1336" t="s">
        <v>11448</v>
      </c>
      <c r="S1336" t="s">
        <v>14827</v>
      </c>
      <c r="T1336" t="s">
        <v>14832</v>
      </c>
      <c r="U1336" t="s">
        <v>602</v>
      </c>
      <c r="V1336">
        <v>787.48</v>
      </c>
      <c r="W1336" t="s">
        <v>14859</v>
      </c>
      <c r="X1336" t="s">
        <v>14868</v>
      </c>
      <c r="Z1336" t="s">
        <v>16144</v>
      </c>
      <c r="AB1336" t="s">
        <v>21224</v>
      </c>
      <c r="AC1336">
        <v>9</v>
      </c>
      <c r="AD1336" t="s">
        <v>24595</v>
      </c>
      <c r="AE1336" t="s">
        <v>14755</v>
      </c>
      <c r="AF1336">
        <v>21</v>
      </c>
      <c r="AG1336">
        <v>2</v>
      </c>
      <c r="AH1336">
        <v>0</v>
      </c>
      <c r="AI1336">
        <v>97.76000000000001</v>
      </c>
      <c r="AL1336" t="s">
        <v>5011</v>
      </c>
      <c r="AM1336">
        <v>16532</v>
      </c>
      <c r="AS1336">
        <v>21.6</v>
      </c>
      <c r="AT1336" t="s">
        <v>495</v>
      </c>
      <c r="AU1336" t="s">
        <v>123</v>
      </c>
      <c r="AV1336" t="s">
        <v>25335</v>
      </c>
      <c r="AW1336" t="s">
        <v>11447</v>
      </c>
    </row>
    <row r="1337" spans="1:49">
      <c r="A1337" s="1">
        <f>HYPERLINK("https://lsnyc.legalserver.org/matter/dynamic-profile/view/1910682","19-1910682")</f>
        <v>0</v>
      </c>
      <c r="B1337" t="s">
        <v>136</v>
      </c>
      <c r="C1337" t="s">
        <v>644</v>
      </c>
      <c r="E1337" t="s">
        <v>1885</v>
      </c>
      <c r="F1337" t="s">
        <v>4413</v>
      </c>
      <c r="G1337" t="s">
        <v>7394</v>
      </c>
      <c r="H1337">
        <v>11</v>
      </c>
      <c r="I1337" t="s">
        <v>11385</v>
      </c>
      <c r="J1337">
        <v>11238</v>
      </c>
      <c r="K1337" t="s">
        <v>11446</v>
      </c>
      <c r="M1337" t="s">
        <v>14743</v>
      </c>
      <c r="N1337" t="s">
        <v>14782</v>
      </c>
      <c r="P1337" t="s">
        <v>14797</v>
      </c>
      <c r="Q1337" t="s">
        <v>11448</v>
      </c>
      <c r="S1337" t="s">
        <v>14827</v>
      </c>
      <c r="U1337" t="s">
        <v>644</v>
      </c>
      <c r="V1337">
        <v>1200</v>
      </c>
      <c r="W1337" t="s">
        <v>14859</v>
      </c>
      <c r="Z1337" t="s">
        <v>16145</v>
      </c>
      <c r="AB1337" t="s">
        <v>21225</v>
      </c>
      <c r="AC1337">
        <v>6</v>
      </c>
      <c r="AF1337">
        <v>0</v>
      </c>
      <c r="AG1337">
        <v>2</v>
      </c>
      <c r="AH1337">
        <v>0</v>
      </c>
      <c r="AI1337">
        <v>0</v>
      </c>
      <c r="AL1337" t="s">
        <v>5011</v>
      </c>
      <c r="AM1337">
        <v>0</v>
      </c>
      <c r="AS1337">
        <v>0.4</v>
      </c>
      <c r="AT1337" t="s">
        <v>509</v>
      </c>
      <c r="AU1337" t="s">
        <v>75</v>
      </c>
      <c r="AV1337" t="s">
        <v>25335</v>
      </c>
      <c r="AW1337" t="s">
        <v>11447</v>
      </c>
    </row>
    <row r="1338" spans="1:49">
      <c r="A1338" s="1">
        <f>HYPERLINK("https://lsnyc.legalserver.org/matter/dynamic-profile/view/1910612","19-1910612")</f>
        <v>0</v>
      </c>
      <c r="B1338" t="s">
        <v>123</v>
      </c>
      <c r="C1338" t="s">
        <v>644</v>
      </c>
      <c r="E1338" t="s">
        <v>1886</v>
      </c>
      <c r="F1338" t="s">
        <v>1048</v>
      </c>
      <c r="G1338" t="s">
        <v>7293</v>
      </c>
      <c r="H1338" t="s">
        <v>10476</v>
      </c>
      <c r="I1338" t="s">
        <v>11385</v>
      </c>
      <c r="J1338">
        <v>11226</v>
      </c>
      <c r="K1338" t="s">
        <v>11446</v>
      </c>
      <c r="M1338" t="s">
        <v>14746</v>
      </c>
      <c r="N1338" t="s">
        <v>14781</v>
      </c>
      <c r="P1338" t="s">
        <v>14797</v>
      </c>
      <c r="Q1338" t="s">
        <v>11446</v>
      </c>
      <c r="S1338" t="s">
        <v>14827</v>
      </c>
      <c r="T1338" t="s">
        <v>14832</v>
      </c>
      <c r="U1338" t="s">
        <v>644</v>
      </c>
      <c r="V1338">
        <v>820</v>
      </c>
      <c r="W1338" t="s">
        <v>14859</v>
      </c>
      <c r="X1338" t="s">
        <v>14864</v>
      </c>
      <c r="AC1338">
        <v>16</v>
      </c>
      <c r="AD1338" t="s">
        <v>24595</v>
      </c>
      <c r="AF1338">
        <v>15</v>
      </c>
      <c r="AG1338">
        <v>1</v>
      </c>
      <c r="AH1338">
        <v>0</v>
      </c>
      <c r="AI1338">
        <v>0</v>
      </c>
      <c r="AL1338" t="s">
        <v>5011</v>
      </c>
      <c r="AM1338">
        <v>0</v>
      </c>
      <c r="AS1338">
        <v>0.2</v>
      </c>
      <c r="AT1338" t="s">
        <v>644</v>
      </c>
      <c r="AU1338" t="s">
        <v>177</v>
      </c>
      <c r="AW1338" t="s">
        <v>11447</v>
      </c>
    </row>
    <row r="1339" spans="1:49">
      <c r="A1339" s="1">
        <f>HYPERLINK("https://lsnyc.legalserver.org/matter/dynamic-profile/view/1910619","19-1910619")</f>
        <v>0</v>
      </c>
      <c r="B1339" t="s">
        <v>123</v>
      </c>
      <c r="C1339" t="s">
        <v>644</v>
      </c>
      <c r="E1339" t="s">
        <v>1887</v>
      </c>
      <c r="F1339" t="s">
        <v>3642</v>
      </c>
      <c r="G1339" t="s">
        <v>7293</v>
      </c>
      <c r="H1339" t="s">
        <v>10450</v>
      </c>
      <c r="I1339" t="s">
        <v>11385</v>
      </c>
      <c r="J1339">
        <v>11226</v>
      </c>
      <c r="K1339" t="s">
        <v>11446</v>
      </c>
      <c r="M1339" t="s">
        <v>14746</v>
      </c>
      <c r="N1339" t="s">
        <v>14781</v>
      </c>
      <c r="P1339" t="s">
        <v>14797</v>
      </c>
      <c r="Q1339" t="s">
        <v>11446</v>
      </c>
      <c r="S1339" t="s">
        <v>14827</v>
      </c>
      <c r="T1339" t="s">
        <v>14832</v>
      </c>
      <c r="U1339" t="s">
        <v>644</v>
      </c>
      <c r="V1339">
        <v>1375</v>
      </c>
      <c r="W1339" t="s">
        <v>14859</v>
      </c>
      <c r="X1339" t="s">
        <v>14864</v>
      </c>
      <c r="Z1339" t="s">
        <v>16146</v>
      </c>
      <c r="AA1339" t="s">
        <v>19433</v>
      </c>
      <c r="AB1339" t="s">
        <v>21226</v>
      </c>
      <c r="AC1339">
        <v>16</v>
      </c>
      <c r="AD1339" t="s">
        <v>24595</v>
      </c>
      <c r="AE1339" t="s">
        <v>24611</v>
      </c>
      <c r="AF1339">
        <v>9</v>
      </c>
      <c r="AG1339">
        <v>1</v>
      </c>
      <c r="AH1339">
        <v>0</v>
      </c>
      <c r="AI1339">
        <v>0</v>
      </c>
      <c r="AL1339" t="s">
        <v>5011</v>
      </c>
      <c r="AM1339">
        <v>0</v>
      </c>
      <c r="AS1339">
        <v>0.8</v>
      </c>
      <c r="AT1339" t="s">
        <v>533</v>
      </c>
      <c r="AU1339" t="s">
        <v>177</v>
      </c>
      <c r="AW1339" t="s">
        <v>11447</v>
      </c>
    </row>
    <row r="1340" spans="1:49">
      <c r="A1340" s="1">
        <f>HYPERLINK("https://lsnyc.legalserver.org/matter/dynamic-profile/view/1910620","19-1910620")</f>
        <v>0</v>
      </c>
      <c r="B1340" t="s">
        <v>110</v>
      </c>
      <c r="C1340" t="s">
        <v>644</v>
      </c>
      <c r="E1340" t="s">
        <v>1254</v>
      </c>
      <c r="F1340" t="s">
        <v>3797</v>
      </c>
      <c r="G1340" t="s">
        <v>7395</v>
      </c>
      <c r="H1340" t="s">
        <v>10513</v>
      </c>
      <c r="I1340" t="s">
        <v>11420</v>
      </c>
      <c r="J1340">
        <v>11104</v>
      </c>
      <c r="K1340" t="s">
        <v>11446</v>
      </c>
      <c r="L1340" t="s">
        <v>11903</v>
      </c>
      <c r="M1340" t="s">
        <v>14744</v>
      </c>
      <c r="N1340" t="s">
        <v>14779</v>
      </c>
      <c r="P1340" t="s">
        <v>14797</v>
      </c>
      <c r="Q1340" t="s">
        <v>11448</v>
      </c>
      <c r="S1340" t="s">
        <v>14827</v>
      </c>
      <c r="U1340" t="s">
        <v>644</v>
      </c>
      <c r="V1340">
        <v>1298.07</v>
      </c>
      <c r="W1340" t="s">
        <v>14861</v>
      </c>
      <c r="X1340" t="s">
        <v>14865</v>
      </c>
      <c r="Z1340" t="s">
        <v>16147</v>
      </c>
      <c r="AA1340" t="s">
        <v>19434</v>
      </c>
      <c r="AB1340" t="s">
        <v>21227</v>
      </c>
      <c r="AC1340">
        <v>6</v>
      </c>
      <c r="AD1340" t="s">
        <v>11479</v>
      </c>
      <c r="AE1340" t="s">
        <v>11459</v>
      </c>
      <c r="AF1340">
        <v>19</v>
      </c>
      <c r="AG1340">
        <v>2</v>
      </c>
      <c r="AH1340">
        <v>1</v>
      </c>
      <c r="AI1340">
        <v>0</v>
      </c>
      <c r="AL1340" t="s">
        <v>5011</v>
      </c>
      <c r="AM1340">
        <v>0</v>
      </c>
      <c r="AS1340">
        <v>1.4</v>
      </c>
      <c r="AT1340" t="s">
        <v>580</v>
      </c>
      <c r="AU1340" t="s">
        <v>292</v>
      </c>
      <c r="AV1340" t="s">
        <v>25335</v>
      </c>
      <c r="AW1340" t="s">
        <v>11447</v>
      </c>
    </row>
    <row r="1341" spans="1:49">
      <c r="A1341" s="1">
        <f>HYPERLINK("https://lsnyc.legalserver.org/matter/dynamic-profile/view/1910958","19-1910958")</f>
        <v>0</v>
      </c>
      <c r="B1341" t="s">
        <v>76</v>
      </c>
      <c r="C1341" t="s">
        <v>604</v>
      </c>
      <c r="E1341" t="s">
        <v>1888</v>
      </c>
      <c r="F1341" t="s">
        <v>3571</v>
      </c>
      <c r="G1341" t="s">
        <v>7396</v>
      </c>
      <c r="I1341" t="s">
        <v>11385</v>
      </c>
      <c r="J1341">
        <v>11208</v>
      </c>
      <c r="K1341" t="s">
        <v>11446</v>
      </c>
      <c r="L1341" t="s">
        <v>11904</v>
      </c>
      <c r="M1341" t="s">
        <v>14744</v>
      </c>
      <c r="N1341" t="s">
        <v>14781</v>
      </c>
      <c r="P1341" t="s">
        <v>14797</v>
      </c>
      <c r="Q1341" t="s">
        <v>11448</v>
      </c>
      <c r="S1341" t="s">
        <v>14827</v>
      </c>
      <c r="T1341" t="s">
        <v>14832</v>
      </c>
      <c r="U1341" t="s">
        <v>644</v>
      </c>
      <c r="V1341">
        <v>1600</v>
      </c>
      <c r="W1341" t="s">
        <v>14859</v>
      </c>
      <c r="X1341" t="s">
        <v>14863</v>
      </c>
      <c r="Z1341" t="s">
        <v>16148</v>
      </c>
      <c r="AA1341" t="s">
        <v>19435</v>
      </c>
      <c r="AB1341" t="s">
        <v>21228</v>
      </c>
      <c r="AC1341">
        <v>2</v>
      </c>
      <c r="AD1341" t="s">
        <v>24600</v>
      </c>
      <c r="AE1341" t="s">
        <v>11459</v>
      </c>
      <c r="AF1341">
        <v>0</v>
      </c>
      <c r="AG1341">
        <v>2</v>
      </c>
      <c r="AH1341">
        <v>0</v>
      </c>
      <c r="AI1341">
        <v>92.25</v>
      </c>
      <c r="AL1341" t="s">
        <v>24632</v>
      </c>
      <c r="AM1341">
        <v>15600</v>
      </c>
      <c r="AS1341">
        <v>5.1</v>
      </c>
      <c r="AT1341" t="s">
        <v>580</v>
      </c>
      <c r="AU1341" t="s">
        <v>66</v>
      </c>
      <c r="AV1341" t="s">
        <v>25334</v>
      </c>
      <c r="AW1341" t="s">
        <v>11447</v>
      </c>
    </row>
    <row r="1342" spans="1:49">
      <c r="A1342" s="1">
        <f>HYPERLINK("https://lsnyc.legalserver.org/matter/dynamic-profile/view/1910604","19-1910604")</f>
        <v>0</v>
      </c>
      <c r="B1342" t="s">
        <v>123</v>
      </c>
      <c r="C1342" t="s">
        <v>644</v>
      </c>
      <c r="E1342" t="s">
        <v>1889</v>
      </c>
      <c r="F1342" t="s">
        <v>3769</v>
      </c>
      <c r="G1342" t="s">
        <v>7293</v>
      </c>
      <c r="H1342" t="s">
        <v>10524</v>
      </c>
      <c r="I1342" t="s">
        <v>11385</v>
      </c>
      <c r="J1342">
        <v>11226</v>
      </c>
      <c r="K1342" t="s">
        <v>11446</v>
      </c>
      <c r="M1342" t="s">
        <v>14746</v>
      </c>
      <c r="N1342" t="s">
        <v>14781</v>
      </c>
      <c r="P1342" t="s">
        <v>14797</v>
      </c>
      <c r="Q1342" t="s">
        <v>11446</v>
      </c>
      <c r="S1342" t="s">
        <v>14827</v>
      </c>
      <c r="T1342" t="s">
        <v>14832</v>
      </c>
      <c r="U1342" t="s">
        <v>644</v>
      </c>
      <c r="V1342">
        <v>2100</v>
      </c>
      <c r="W1342" t="s">
        <v>14859</v>
      </c>
      <c r="X1342" t="s">
        <v>14864</v>
      </c>
      <c r="Z1342" t="s">
        <v>16149</v>
      </c>
      <c r="AC1342">
        <v>16</v>
      </c>
      <c r="AD1342" t="s">
        <v>24595</v>
      </c>
      <c r="AE1342" t="s">
        <v>14755</v>
      </c>
      <c r="AF1342">
        <v>-1</v>
      </c>
      <c r="AG1342">
        <v>3</v>
      </c>
      <c r="AH1342">
        <v>3</v>
      </c>
      <c r="AI1342">
        <v>98.38</v>
      </c>
      <c r="AL1342" t="s">
        <v>5011</v>
      </c>
      <c r="AM1342">
        <v>34028</v>
      </c>
      <c r="AS1342">
        <v>0.7</v>
      </c>
      <c r="AT1342" t="s">
        <v>551</v>
      </c>
      <c r="AU1342" t="s">
        <v>123</v>
      </c>
      <c r="AV1342" t="s">
        <v>25335</v>
      </c>
      <c r="AW1342" t="s">
        <v>11447</v>
      </c>
    </row>
    <row r="1343" spans="1:49">
      <c r="A1343" s="1">
        <f>HYPERLINK("https://lsnyc.legalserver.org/matter/dynamic-profile/view/1910617","19-1910617")</f>
        <v>0</v>
      </c>
      <c r="B1343" t="s">
        <v>123</v>
      </c>
      <c r="C1343" t="s">
        <v>644</v>
      </c>
      <c r="E1343" t="s">
        <v>1889</v>
      </c>
      <c r="F1343" t="s">
        <v>3769</v>
      </c>
      <c r="G1343" t="s">
        <v>7293</v>
      </c>
      <c r="H1343" t="s">
        <v>10524</v>
      </c>
      <c r="I1343" t="s">
        <v>11385</v>
      </c>
      <c r="J1343">
        <v>11226</v>
      </c>
      <c r="K1343" t="s">
        <v>11446</v>
      </c>
      <c r="M1343" t="s">
        <v>14746</v>
      </c>
      <c r="N1343" t="s">
        <v>14781</v>
      </c>
      <c r="P1343" t="s">
        <v>14797</v>
      </c>
      <c r="Q1343" t="s">
        <v>11446</v>
      </c>
      <c r="S1343" t="s">
        <v>14827</v>
      </c>
      <c r="T1343" t="s">
        <v>14832</v>
      </c>
      <c r="U1343" t="s">
        <v>644</v>
      </c>
      <c r="V1343">
        <v>2100</v>
      </c>
      <c r="W1343" t="s">
        <v>14859</v>
      </c>
      <c r="X1343" t="s">
        <v>14864</v>
      </c>
      <c r="Z1343" t="s">
        <v>16149</v>
      </c>
      <c r="AC1343">
        <v>16</v>
      </c>
      <c r="AD1343" t="s">
        <v>24595</v>
      </c>
      <c r="AE1343" t="s">
        <v>14755</v>
      </c>
      <c r="AF1343">
        <v>-1</v>
      </c>
      <c r="AG1343">
        <v>3</v>
      </c>
      <c r="AH1343">
        <v>3</v>
      </c>
      <c r="AI1343">
        <v>98.38</v>
      </c>
      <c r="AL1343" t="s">
        <v>5011</v>
      </c>
      <c r="AM1343">
        <v>34028</v>
      </c>
      <c r="AS1343">
        <v>0</v>
      </c>
      <c r="AU1343" t="s">
        <v>123</v>
      </c>
      <c r="AV1343" t="s">
        <v>25335</v>
      </c>
      <c r="AW1343" t="s">
        <v>11447</v>
      </c>
    </row>
    <row r="1344" spans="1:49">
      <c r="A1344" s="1">
        <f>HYPERLINK("https://lsnyc.legalserver.org/matter/dynamic-profile/view/1910598","19-1910598")</f>
        <v>0</v>
      </c>
      <c r="B1344" t="s">
        <v>190</v>
      </c>
      <c r="C1344" t="s">
        <v>644</v>
      </c>
      <c r="E1344" t="s">
        <v>1106</v>
      </c>
      <c r="F1344" t="s">
        <v>4414</v>
      </c>
      <c r="G1344" t="s">
        <v>7349</v>
      </c>
      <c r="H1344" t="s">
        <v>10635</v>
      </c>
      <c r="I1344" t="s">
        <v>11386</v>
      </c>
      <c r="J1344">
        <v>10040</v>
      </c>
      <c r="K1344" t="s">
        <v>11446</v>
      </c>
      <c r="M1344" t="s">
        <v>14746</v>
      </c>
      <c r="N1344" t="s">
        <v>14781</v>
      </c>
      <c r="P1344" t="s">
        <v>14797</v>
      </c>
      <c r="Q1344" t="s">
        <v>11446</v>
      </c>
      <c r="S1344" t="s">
        <v>14827</v>
      </c>
      <c r="U1344" t="s">
        <v>644</v>
      </c>
      <c r="V1344">
        <v>671.64</v>
      </c>
      <c r="W1344" t="s">
        <v>14860</v>
      </c>
      <c r="X1344" t="s">
        <v>14867</v>
      </c>
      <c r="Z1344" t="s">
        <v>16150</v>
      </c>
      <c r="AC1344">
        <v>77</v>
      </c>
      <c r="AD1344" t="s">
        <v>24595</v>
      </c>
      <c r="AE1344" t="s">
        <v>24613</v>
      </c>
      <c r="AF1344">
        <v>48</v>
      </c>
      <c r="AG1344">
        <v>1</v>
      </c>
      <c r="AH1344">
        <v>0</v>
      </c>
      <c r="AI1344">
        <v>156.12</v>
      </c>
      <c r="AL1344" t="s">
        <v>5011</v>
      </c>
      <c r="AM1344">
        <v>19499.52</v>
      </c>
      <c r="AS1344">
        <v>0.7</v>
      </c>
      <c r="AT1344" t="s">
        <v>603</v>
      </c>
      <c r="AU1344" t="s">
        <v>137</v>
      </c>
      <c r="AV1344" t="s">
        <v>25335</v>
      </c>
      <c r="AW1344" t="s">
        <v>11447</v>
      </c>
    </row>
    <row r="1345" spans="1:49">
      <c r="A1345" s="1">
        <f>HYPERLINK("https://lsnyc.legalserver.org/matter/dynamic-profile/view/1910038","19-1910038")</f>
        <v>0</v>
      </c>
      <c r="B1345" t="s">
        <v>213</v>
      </c>
      <c r="C1345" t="s">
        <v>471</v>
      </c>
      <c r="E1345" t="s">
        <v>1024</v>
      </c>
      <c r="F1345" t="s">
        <v>1395</v>
      </c>
      <c r="G1345" t="s">
        <v>7397</v>
      </c>
      <c r="I1345" t="s">
        <v>11385</v>
      </c>
      <c r="J1345">
        <v>11212</v>
      </c>
      <c r="K1345" t="s">
        <v>11446</v>
      </c>
      <c r="L1345" t="s">
        <v>11905</v>
      </c>
      <c r="M1345" t="s">
        <v>14743</v>
      </c>
      <c r="N1345" t="s">
        <v>14779</v>
      </c>
      <c r="P1345" t="s">
        <v>14797</v>
      </c>
      <c r="Q1345" t="s">
        <v>11448</v>
      </c>
      <c r="S1345" t="s">
        <v>14827</v>
      </c>
      <c r="T1345" t="s">
        <v>14832</v>
      </c>
      <c r="U1345" t="s">
        <v>644</v>
      </c>
      <c r="V1345">
        <v>900</v>
      </c>
      <c r="W1345" t="s">
        <v>14859</v>
      </c>
      <c r="Z1345" t="s">
        <v>16151</v>
      </c>
      <c r="AA1345" t="s">
        <v>19354</v>
      </c>
      <c r="AB1345" t="s">
        <v>21229</v>
      </c>
      <c r="AC1345">
        <v>2</v>
      </c>
      <c r="AD1345" t="s">
        <v>24600</v>
      </c>
      <c r="AE1345" t="s">
        <v>14755</v>
      </c>
      <c r="AF1345">
        <v>17</v>
      </c>
      <c r="AG1345">
        <v>3</v>
      </c>
      <c r="AH1345">
        <v>1</v>
      </c>
      <c r="AI1345">
        <v>161.48</v>
      </c>
      <c r="AL1345" t="s">
        <v>5011</v>
      </c>
      <c r="AM1345">
        <v>41580</v>
      </c>
      <c r="AS1345">
        <v>4.4</v>
      </c>
      <c r="AT1345" t="s">
        <v>601</v>
      </c>
      <c r="AU1345" t="s">
        <v>25227</v>
      </c>
      <c r="AV1345" t="s">
        <v>25335</v>
      </c>
      <c r="AW1345" t="s">
        <v>11447</v>
      </c>
    </row>
    <row r="1346" spans="1:49">
      <c r="A1346" s="1">
        <f>HYPERLINK("https://lsnyc.legalserver.org/matter/dynamic-profile/view/1910640","19-1910640")</f>
        <v>0</v>
      </c>
      <c r="B1346" t="s">
        <v>104</v>
      </c>
      <c r="C1346" t="s">
        <v>644</v>
      </c>
      <c r="E1346" t="s">
        <v>1873</v>
      </c>
      <c r="F1346" t="s">
        <v>2719</v>
      </c>
      <c r="G1346" t="s">
        <v>7348</v>
      </c>
      <c r="H1346" t="s">
        <v>10485</v>
      </c>
      <c r="I1346" t="s">
        <v>11386</v>
      </c>
      <c r="J1346">
        <v>10035</v>
      </c>
      <c r="K1346" t="s">
        <v>11446</v>
      </c>
      <c r="L1346" t="s">
        <v>11906</v>
      </c>
      <c r="M1346" t="s">
        <v>14744</v>
      </c>
      <c r="N1346" t="s">
        <v>14781</v>
      </c>
      <c r="P1346" t="s">
        <v>14797</v>
      </c>
      <c r="Q1346" t="s">
        <v>11446</v>
      </c>
      <c r="S1346" t="s">
        <v>14827</v>
      </c>
      <c r="T1346" t="s">
        <v>14832</v>
      </c>
      <c r="U1346" t="s">
        <v>644</v>
      </c>
      <c r="V1346">
        <v>1461</v>
      </c>
      <c r="W1346" t="s">
        <v>14860</v>
      </c>
      <c r="X1346" t="s">
        <v>14876</v>
      </c>
      <c r="Z1346" t="s">
        <v>16116</v>
      </c>
      <c r="AB1346" t="s">
        <v>21199</v>
      </c>
      <c r="AC1346">
        <v>60</v>
      </c>
      <c r="AD1346" t="s">
        <v>24595</v>
      </c>
      <c r="AE1346" t="s">
        <v>24610</v>
      </c>
      <c r="AF1346">
        <v>15</v>
      </c>
      <c r="AG1346">
        <v>1</v>
      </c>
      <c r="AH1346">
        <v>2</v>
      </c>
      <c r="AI1346">
        <v>187.53</v>
      </c>
      <c r="AL1346" t="s">
        <v>5011</v>
      </c>
      <c r="AM1346">
        <v>40000</v>
      </c>
      <c r="AS1346">
        <v>31.7</v>
      </c>
      <c r="AT1346" t="s">
        <v>537</v>
      </c>
      <c r="AU1346" t="s">
        <v>25266</v>
      </c>
      <c r="AV1346" t="s">
        <v>25335</v>
      </c>
      <c r="AW1346" t="s">
        <v>11447</v>
      </c>
    </row>
    <row r="1347" spans="1:49">
      <c r="A1347" s="1">
        <f>HYPERLINK("https://lsnyc.legalserver.org/matter/dynamic-profile/view/1907240","19-1907240")</f>
        <v>0</v>
      </c>
      <c r="B1347" t="s">
        <v>203</v>
      </c>
      <c r="C1347" t="s">
        <v>366</v>
      </c>
      <c r="E1347" t="s">
        <v>1890</v>
      </c>
      <c r="F1347" t="s">
        <v>4305</v>
      </c>
      <c r="G1347" t="s">
        <v>7398</v>
      </c>
      <c r="H1347" t="s">
        <v>10823</v>
      </c>
      <c r="I1347" t="s">
        <v>11385</v>
      </c>
      <c r="J1347">
        <v>11233</v>
      </c>
      <c r="K1347" t="s">
        <v>11446</v>
      </c>
      <c r="L1347" t="s">
        <v>11907</v>
      </c>
      <c r="M1347" t="s">
        <v>14743</v>
      </c>
      <c r="N1347" t="s">
        <v>14779</v>
      </c>
      <c r="P1347" t="s">
        <v>14797</v>
      </c>
      <c r="Q1347" t="s">
        <v>11448</v>
      </c>
      <c r="S1347" t="s">
        <v>14827</v>
      </c>
      <c r="T1347" t="s">
        <v>14832</v>
      </c>
      <c r="U1347" t="s">
        <v>644</v>
      </c>
      <c r="V1347">
        <v>1660</v>
      </c>
      <c r="W1347" t="s">
        <v>14859</v>
      </c>
      <c r="X1347" t="s">
        <v>14879</v>
      </c>
      <c r="Y1347" t="s">
        <v>14883</v>
      </c>
      <c r="Z1347" t="s">
        <v>16152</v>
      </c>
      <c r="AB1347" t="s">
        <v>21230</v>
      </c>
      <c r="AC1347">
        <v>3</v>
      </c>
      <c r="AD1347" t="s">
        <v>24600</v>
      </c>
      <c r="AE1347" t="s">
        <v>24610</v>
      </c>
      <c r="AF1347">
        <v>9</v>
      </c>
      <c r="AG1347">
        <v>2</v>
      </c>
      <c r="AH1347">
        <v>2</v>
      </c>
      <c r="AI1347">
        <v>228.19</v>
      </c>
      <c r="AL1347" t="s">
        <v>5011</v>
      </c>
      <c r="AM1347">
        <v>58760</v>
      </c>
      <c r="AS1347">
        <v>2</v>
      </c>
      <c r="AT1347" t="s">
        <v>644</v>
      </c>
      <c r="AU1347" t="s">
        <v>25238</v>
      </c>
      <c r="AV1347" t="s">
        <v>25335</v>
      </c>
      <c r="AW1347" t="s">
        <v>11447</v>
      </c>
    </row>
    <row r="1348" spans="1:49">
      <c r="A1348" s="1">
        <f>HYPERLINK("https://lsnyc.legalserver.org/matter/dynamic-profile/view/1910906","19-1910906")</f>
        <v>0</v>
      </c>
      <c r="B1348" t="s">
        <v>109</v>
      </c>
      <c r="C1348" t="s">
        <v>604</v>
      </c>
      <c r="E1348" t="s">
        <v>1891</v>
      </c>
      <c r="F1348" t="s">
        <v>4415</v>
      </c>
      <c r="I1348" t="s">
        <v>11385</v>
      </c>
      <c r="J1348">
        <v>11238</v>
      </c>
      <c r="K1348" t="s">
        <v>11446</v>
      </c>
      <c r="M1348" t="s">
        <v>14744</v>
      </c>
      <c r="N1348" t="s">
        <v>14781</v>
      </c>
      <c r="P1348" t="s">
        <v>14797</v>
      </c>
      <c r="Q1348" t="s">
        <v>11446</v>
      </c>
      <c r="S1348" t="s">
        <v>14827</v>
      </c>
      <c r="T1348" t="s">
        <v>14832</v>
      </c>
      <c r="U1348" t="s">
        <v>663</v>
      </c>
      <c r="V1348">
        <v>0</v>
      </c>
      <c r="W1348" t="s">
        <v>14859</v>
      </c>
      <c r="X1348" t="s">
        <v>14873</v>
      </c>
      <c r="Z1348" t="s">
        <v>16153</v>
      </c>
      <c r="AC1348">
        <v>0</v>
      </c>
      <c r="AD1348" t="s">
        <v>24595</v>
      </c>
      <c r="AF1348">
        <v>0</v>
      </c>
      <c r="AG1348">
        <v>1</v>
      </c>
      <c r="AH1348">
        <v>0</v>
      </c>
      <c r="AI1348">
        <v>0</v>
      </c>
      <c r="AL1348" t="s">
        <v>5011</v>
      </c>
      <c r="AM1348">
        <v>0</v>
      </c>
      <c r="AS1348">
        <v>3</v>
      </c>
      <c r="AT1348" t="s">
        <v>663</v>
      </c>
      <c r="AU1348" t="s">
        <v>109</v>
      </c>
      <c r="AV1348" t="s">
        <v>25335</v>
      </c>
      <c r="AW1348" t="s">
        <v>11447</v>
      </c>
    </row>
    <row r="1349" spans="1:49">
      <c r="A1349" s="1">
        <f>HYPERLINK("https://lsnyc.legalserver.org/matter/dynamic-profile/view/1910742","19-1910742")</f>
        <v>0</v>
      </c>
      <c r="B1349" t="s">
        <v>144</v>
      </c>
      <c r="C1349" t="s">
        <v>663</v>
      </c>
      <c r="E1349" t="s">
        <v>1892</v>
      </c>
      <c r="F1349" t="s">
        <v>4416</v>
      </c>
      <c r="G1349" t="s">
        <v>7399</v>
      </c>
      <c r="H1349" t="s">
        <v>10575</v>
      </c>
      <c r="I1349" t="s">
        <v>11421</v>
      </c>
      <c r="J1349">
        <v>11428</v>
      </c>
      <c r="K1349" t="s">
        <v>11446</v>
      </c>
      <c r="L1349" t="s">
        <v>11908</v>
      </c>
      <c r="M1349" t="s">
        <v>14743</v>
      </c>
      <c r="N1349" t="s">
        <v>14781</v>
      </c>
      <c r="P1349" t="s">
        <v>14797</v>
      </c>
      <c r="Q1349" t="s">
        <v>11448</v>
      </c>
      <c r="S1349" t="s">
        <v>14827</v>
      </c>
      <c r="T1349" t="s">
        <v>14832</v>
      </c>
      <c r="U1349" t="s">
        <v>663</v>
      </c>
      <c r="V1349">
        <v>600</v>
      </c>
      <c r="W1349" t="s">
        <v>14861</v>
      </c>
      <c r="X1349" t="s">
        <v>14865</v>
      </c>
      <c r="Z1349" t="s">
        <v>16154</v>
      </c>
      <c r="AB1349" t="s">
        <v>21231</v>
      </c>
      <c r="AC1349">
        <v>3</v>
      </c>
      <c r="AD1349" t="s">
        <v>11479</v>
      </c>
      <c r="AE1349" t="s">
        <v>11459</v>
      </c>
      <c r="AF1349">
        <v>6</v>
      </c>
      <c r="AG1349">
        <v>1</v>
      </c>
      <c r="AH1349">
        <v>0</v>
      </c>
      <c r="AI1349">
        <v>16.65</v>
      </c>
      <c r="AL1349" t="s">
        <v>5011</v>
      </c>
      <c r="AM1349">
        <v>2080</v>
      </c>
      <c r="AP1349" t="s">
        <v>14755</v>
      </c>
      <c r="AS1349">
        <v>5.1</v>
      </c>
      <c r="AT1349" t="s">
        <v>592</v>
      </c>
      <c r="AU1349" t="s">
        <v>292</v>
      </c>
      <c r="AV1349" t="s">
        <v>25335</v>
      </c>
      <c r="AW1349" t="s">
        <v>11447</v>
      </c>
    </row>
    <row r="1350" spans="1:49">
      <c r="A1350" s="1">
        <f>HYPERLINK("https://lsnyc.legalserver.org/matter/dynamic-profile/view/1910736","19-1910736")</f>
        <v>0</v>
      </c>
      <c r="B1350" t="s">
        <v>167</v>
      </c>
      <c r="C1350" t="s">
        <v>663</v>
      </c>
      <c r="E1350" t="s">
        <v>1893</v>
      </c>
      <c r="F1350" t="s">
        <v>4417</v>
      </c>
      <c r="G1350" t="s">
        <v>7400</v>
      </c>
      <c r="H1350" t="s">
        <v>10646</v>
      </c>
      <c r="I1350" t="s">
        <v>11418</v>
      </c>
      <c r="J1350">
        <v>11412</v>
      </c>
      <c r="K1350" t="s">
        <v>11446</v>
      </c>
      <c r="L1350" t="s">
        <v>11909</v>
      </c>
      <c r="M1350" t="s">
        <v>14743</v>
      </c>
      <c r="N1350" t="s">
        <v>14778</v>
      </c>
      <c r="P1350" t="s">
        <v>14797</v>
      </c>
      <c r="Q1350" t="s">
        <v>11448</v>
      </c>
      <c r="S1350" t="s">
        <v>14827</v>
      </c>
      <c r="T1350" t="s">
        <v>14832</v>
      </c>
      <c r="U1350" t="s">
        <v>663</v>
      </c>
      <c r="V1350">
        <v>1250</v>
      </c>
      <c r="W1350" t="s">
        <v>14861</v>
      </c>
      <c r="X1350" t="s">
        <v>14865</v>
      </c>
      <c r="Z1350" t="s">
        <v>16155</v>
      </c>
      <c r="AA1350" t="s">
        <v>19436</v>
      </c>
      <c r="AB1350" t="s">
        <v>21232</v>
      </c>
      <c r="AC1350">
        <v>2</v>
      </c>
      <c r="AD1350" t="s">
        <v>11479</v>
      </c>
      <c r="AE1350" t="s">
        <v>11459</v>
      </c>
      <c r="AF1350">
        <v>12</v>
      </c>
      <c r="AG1350">
        <v>1</v>
      </c>
      <c r="AH1350">
        <v>0</v>
      </c>
      <c r="AI1350">
        <v>39.14</v>
      </c>
      <c r="AL1350" t="s">
        <v>5011</v>
      </c>
      <c r="AM1350">
        <v>4888</v>
      </c>
      <c r="AS1350">
        <v>1.15</v>
      </c>
      <c r="AT1350" t="s">
        <v>473</v>
      </c>
      <c r="AU1350" t="s">
        <v>292</v>
      </c>
      <c r="AV1350" t="s">
        <v>25335</v>
      </c>
      <c r="AW1350" t="s">
        <v>11447</v>
      </c>
    </row>
    <row r="1351" spans="1:49">
      <c r="A1351" s="1">
        <f>HYPERLINK("https://lsnyc.legalserver.org/matter/dynamic-profile/view/1910706","19-1910706")</f>
        <v>0</v>
      </c>
      <c r="B1351" t="s">
        <v>55</v>
      </c>
      <c r="C1351" t="s">
        <v>663</v>
      </c>
      <c r="E1351" t="s">
        <v>1145</v>
      </c>
      <c r="F1351" t="s">
        <v>3867</v>
      </c>
      <c r="G1351" t="s">
        <v>6687</v>
      </c>
      <c r="H1351" t="s">
        <v>10589</v>
      </c>
      <c r="I1351" t="s">
        <v>11386</v>
      </c>
      <c r="J1351">
        <v>10040</v>
      </c>
      <c r="K1351" t="s">
        <v>11446</v>
      </c>
      <c r="M1351" t="s">
        <v>14746</v>
      </c>
      <c r="N1351" t="s">
        <v>14782</v>
      </c>
      <c r="P1351" t="s">
        <v>14797</v>
      </c>
      <c r="Q1351" t="s">
        <v>11448</v>
      </c>
      <c r="S1351" t="s">
        <v>14827</v>
      </c>
      <c r="U1351" t="s">
        <v>663</v>
      </c>
      <c r="V1351">
        <v>2050</v>
      </c>
      <c r="W1351" t="s">
        <v>14860</v>
      </c>
      <c r="X1351" t="s">
        <v>14868</v>
      </c>
      <c r="Z1351" t="s">
        <v>15315</v>
      </c>
      <c r="AB1351" t="s">
        <v>20463</v>
      </c>
      <c r="AC1351">
        <v>54</v>
      </c>
      <c r="AD1351" t="s">
        <v>24595</v>
      </c>
      <c r="AE1351" t="s">
        <v>11459</v>
      </c>
      <c r="AF1351">
        <v>4</v>
      </c>
      <c r="AG1351">
        <v>2</v>
      </c>
      <c r="AH1351">
        <v>0</v>
      </c>
      <c r="AI1351">
        <v>70.95999999999999</v>
      </c>
      <c r="AL1351" t="s">
        <v>5011</v>
      </c>
      <c r="AM1351">
        <v>12000</v>
      </c>
      <c r="AS1351">
        <v>1.25</v>
      </c>
      <c r="AT1351" t="s">
        <v>663</v>
      </c>
      <c r="AU1351" t="s">
        <v>137</v>
      </c>
      <c r="AV1351" t="s">
        <v>25335</v>
      </c>
      <c r="AW1351" t="s">
        <v>11447</v>
      </c>
    </row>
    <row r="1352" spans="1:49">
      <c r="A1352" s="1">
        <f>HYPERLINK("https://lsnyc.legalserver.org/matter/dynamic-profile/view/1910748","19-1910748")</f>
        <v>0</v>
      </c>
      <c r="B1352" t="s">
        <v>103</v>
      </c>
      <c r="C1352" t="s">
        <v>663</v>
      </c>
      <c r="E1352" t="s">
        <v>1894</v>
      </c>
      <c r="F1352" t="s">
        <v>4310</v>
      </c>
      <c r="G1352" t="s">
        <v>7401</v>
      </c>
      <c r="I1352" t="s">
        <v>11385</v>
      </c>
      <c r="J1352">
        <v>11208</v>
      </c>
      <c r="K1352" t="s">
        <v>11446</v>
      </c>
      <c r="L1352" t="s">
        <v>11910</v>
      </c>
      <c r="M1352" t="s">
        <v>14744</v>
      </c>
      <c r="N1352" t="s">
        <v>14782</v>
      </c>
      <c r="P1352" t="s">
        <v>14797</v>
      </c>
      <c r="Q1352" t="s">
        <v>11448</v>
      </c>
      <c r="S1352" t="s">
        <v>14827</v>
      </c>
      <c r="T1352" t="s">
        <v>14832</v>
      </c>
      <c r="U1352" t="s">
        <v>663</v>
      </c>
      <c r="V1352">
        <v>1057</v>
      </c>
      <c r="W1352" t="s">
        <v>14859</v>
      </c>
      <c r="Z1352" t="s">
        <v>16156</v>
      </c>
      <c r="AA1352" t="s">
        <v>19437</v>
      </c>
      <c r="AB1352" t="s">
        <v>21233</v>
      </c>
      <c r="AC1352">
        <v>300</v>
      </c>
      <c r="AD1352" t="s">
        <v>24604</v>
      </c>
      <c r="AE1352" t="s">
        <v>24612</v>
      </c>
      <c r="AF1352">
        <v>2</v>
      </c>
      <c r="AG1352">
        <v>1</v>
      </c>
      <c r="AH1352">
        <v>0</v>
      </c>
      <c r="AI1352">
        <v>76</v>
      </c>
      <c r="AL1352" t="s">
        <v>5011</v>
      </c>
      <c r="AM1352">
        <v>9492</v>
      </c>
      <c r="AS1352">
        <v>4.5</v>
      </c>
      <c r="AT1352" t="s">
        <v>592</v>
      </c>
      <c r="AU1352" t="s">
        <v>25227</v>
      </c>
      <c r="AV1352" t="s">
        <v>25335</v>
      </c>
      <c r="AW1352" t="s">
        <v>11447</v>
      </c>
    </row>
    <row r="1353" spans="1:49">
      <c r="A1353" s="1">
        <f>HYPERLINK("https://lsnyc.legalserver.org/matter/dynamic-profile/view/1910702","19-1910702")</f>
        <v>0</v>
      </c>
      <c r="B1353" t="s">
        <v>144</v>
      </c>
      <c r="C1353" t="s">
        <v>663</v>
      </c>
      <c r="E1353" t="s">
        <v>1895</v>
      </c>
      <c r="F1353" t="s">
        <v>1494</v>
      </c>
      <c r="G1353" t="s">
        <v>7402</v>
      </c>
      <c r="H1353" t="s">
        <v>10646</v>
      </c>
      <c r="I1353" t="s">
        <v>11389</v>
      </c>
      <c r="J1353">
        <v>11355</v>
      </c>
      <c r="K1353" t="s">
        <v>11446</v>
      </c>
      <c r="L1353" t="s">
        <v>11911</v>
      </c>
      <c r="M1353" t="s">
        <v>14743</v>
      </c>
      <c r="N1353" t="s">
        <v>14778</v>
      </c>
      <c r="P1353" t="s">
        <v>14797</v>
      </c>
      <c r="Q1353" t="s">
        <v>11448</v>
      </c>
      <c r="S1353" t="s">
        <v>14827</v>
      </c>
      <c r="U1353" t="s">
        <v>663</v>
      </c>
      <c r="V1353">
        <v>1500</v>
      </c>
      <c r="W1353" t="s">
        <v>14861</v>
      </c>
      <c r="X1353" t="s">
        <v>14865</v>
      </c>
      <c r="Z1353" t="s">
        <v>16157</v>
      </c>
      <c r="AB1353" t="s">
        <v>21234</v>
      </c>
      <c r="AC1353">
        <v>2</v>
      </c>
      <c r="AD1353" t="s">
        <v>11479</v>
      </c>
      <c r="AE1353" t="s">
        <v>11459</v>
      </c>
      <c r="AF1353">
        <v>19</v>
      </c>
      <c r="AG1353">
        <v>3</v>
      </c>
      <c r="AH1353">
        <v>0</v>
      </c>
      <c r="AI1353">
        <v>92.17</v>
      </c>
      <c r="AL1353" t="s">
        <v>5011</v>
      </c>
      <c r="AM1353">
        <v>19660</v>
      </c>
      <c r="AS1353">
        <v>1.4</v>
      </c>
      <c r="AT1353" t="s">
        <v>663</v>
      </c>
      <c r="AU1353" t="s">
        <v>292</v>
      </c>
      <c r="AV1353" t="s">
        <v>25335</v>
      </c>
      <c r="AW1353" t="s">
        <v>11447</v>
      </c>
    </row>
    <row r="1354" spans="1:49">
      <c r="A1354" s="1">
        <f>HYPERLINK("https://lsnyc.legalserver.org/matter/dynamic-profile/view/1910829","19-1910829")</f>
        <v>0</v>
      </c>
      <c r="B1354" t="s">
        <v>196</v>
      </c>
      <c r="C1354" t="s">
        <v>601</v>
      </c>
      <c r="E1354" t="s">
        <v>1896</v>
      </c>
      <c r="F1354" t="s">
        <v>4418</v>
      </c>
      <c r="G1354" t="s">
        <v>7403</v>
      </c>
      <c r="I1354" t="s">
        <v>11385</v>
      </c>
      <c r="J1354">
        <v>11207</v>
      </c>
      <c r="K1354" t="s">
        <v>11446</v>
      </c>
      <c r="L1354" t="s">
        <v>11912</v>
      </c>
      <c r="M1354" t="s">
        <v>14743</v>
      </c>
      <c r="N1354" t="s">
        <v>14779</v>
      </c>
      <c r="P1354" t="s">
        <v>14797</v>
      </c>
      <c r="Q1354" t="s">
        <v>11448</v>
      </c>
      <c r="S1354" t="s">
        <v>14827</v>
      </c>
      <c r="T1354" t="s">
        <v>14832</v>
      </c>
      <c r="U1354" t="s">
        <v>663</v>
      </c>
      <c r="V1354">
        <v>2400</v>
      </c>
      <c r="W1354" t="s">
        <v>14859</v>
      </c>
      <c r="X1354" t="s">
        <v>14863</v>
      </c>
      <c r="Z1354" t="s">
        <v>16158</v>
      </c>
      <c r="AA1354" t="s">
        <v>19438</v>
      </c>
      <c r="AB1354" t="s">
        <v>21235</v>
      </c>
      <c r="AC1354">
        <v>3</v>
      </c>
      <c r="AD1354" t="s">
        <v>24600</v>
      </c>
      <c r="AE1354" t="s">
        <v>11459</v>
      </c>
      <c r="AF1354">
        <v>8</v>
      </c>
      <c r="AG1354">
        <v>1</v>
      </c>
      <c r="AH1354">
        <v>2</v>
      </c>
      <c r="AI1354">
        <v>168.78</v>
      </c>
      <c r="AL1354" t="s">
        <v>5011</v>
      </c>
      <c r="AM1354">
        <v>36000</v>
      </c>
      <c r="AS1354">
        <v>2.5</v>
      </c>
      <c r="AT1354" t="s">
        <v>470</v>
      </c>
      <c r="AU1354" t="s">
        <v>66</v>
      </c>
      <c r="AV1354" t="s">
        <v>25334</v>
      </c>
      <c r="AW1354" t="s">
        <v>11447</v>
      </c>
    </row>
    <row r="1355" spans="1:49">
      <c r="A1355" s="1">
        <f>HYPERLINK("https://lsnyc.legalserver.org/matter/dynamic-profile/view/1910921","19-1910921")</f>
        <v>0</v>
      </c>
      <c r="B1355" t="s">
        <v>109</v>
      </c>
      <c r="C1355" t="s">
        <v>604</v>
      </c>
      <c r="E1355" t="s">
        <v>1897</v>
      </c>
      <c r="F1355" t="s">
        <v>1178</v>
      </c>
      <c r="G1355" t="s">
        <v>7295</v>
      </c>
      <c r="H1355" t="s">
        <v>10450</v>
      </c>
      <c r="I1355" t="s">
        <v>11385</v>
      </c>
      <c r="J1355">
        <v>11238</v>
      </c>
      <c r="K1355" t="s">
        <v>11446</v>
      </c>
      <c r="L1355" t="s">
        <v>11913</v>
      </c>
      <c r="M1355" t="s">
        <v>14744</v>
      </c>
      <c r="N1355" t="s">
        <v>14781</v>
      </c>
      <c r="P1355" t="s">
        <v>14797</v>
      </c>
      <c r="Q1355" t="s">
        <v>11446</v>
      </c>
      <c r="S1355" t="s">
        <v>14827</v>
      </c>
      <c r="T1355" t="s">
        <v>14833</v>
      </c>
      <c r="U1355" t="s">
        <v>1019</v>
      </c>
      <c r="V1355">
        <v>0</v>
      </c>
      <c r="W1355" t="s">
        <v>14859</v>
      </c>
      <c r="X1355" t="s">
        <v>14873</v>
      </c>
      <c r="Z1355" t="s">
        <v>16159</v>
      </c>
      <c r="AC1355">
        <v>29</v>
      </c>
      <c r="AD1355" t="s">
        <v>24595</v>
      </c>
      <c r="AE1355" t="s">
        <v>11459</v>
      </c>
      <c r="AF1355">
        <v>0</v>
      </c>
      <c r="AG1355">
        <v>2</v>
      </c>
      <c r="AH1355">
        <v>0</v>
      </c>
      <c r="AI1355">
        <v>317.94</v>
      </c>
      <c r="AJ1355" t="s">
        <v>24622</v>
      </c>
      <c r="AK1355" t="s">
        <v>24629</v>
      </c>
      <c r="AL1355" t="s">
        <v>24632</v>
      </c>
      <c r="AM1355">
        <v>53762.88</v>
      </c>
      <c r="AS1355">
        <v>13</v>
      </c>
      <c r="AT1355" t="s">
        <v>484</v>
      </c>
      <c r="AU1355" t="s">
        <v>109</v>
      </c>
      <c r="AV1355" t="s">
        <v>25335</v>
      </c>
      <c r="AW1355" t="s">
        <v>11447</v>
      </c>
    </row>
    <row r="1356" spans="1:49">
      <c r="A1356" s="1">
        <f>HYPERLINK("https://lsnyc.legalserver.org/matter/dynamic-profile/view/1905267","19-1905267")</f>
        <v>0</v>
      </c>
      <c r="B1356" t="s">
        <v>230</v>
      </c>
      <c r="C1356" t="s">
        <v>480</v>
      </c>
      <c r="E1356" t="s">
        <v>1898</v>
      </c>
      <c r="F1356" t="s">
        <v>1338</v>
      </c>
      <c r="G1356" t="s">
        <v>7404</v>
      </c>
      <c r="H1356" t="s">
        <v>10824</v>
      </c>
      <c r="I1356" t="s">
        <v>11383</v>
      </c>
      <c r="J1356">
        <v>10451</v>
      </c>
      <c r="K1356" t="s">
        <v>11446</v>
      </c>
      <c r="L1356" t="s">
        <v>11465</v>
      </c>
      <c r="M1356" t="s">
        <v>11601</v>
      </c>
      <c r="N1356" t="s">
        <v>14778</v>
      </c>
      <c r="P1356" t="s">
        <v>14797</v>
      </c>
      <c r="Q1356" t="s">
        <v>11448</v>
      </c>
      <c r="S1356" t="s">
        <v>14827</v>
      </c>
      <c r="U1356" t="s">
        <v>601</v>
      </c>
      <c r="V1356">
        <v>1630</v>
      </c>
      <c r="W1356" t="s">
        <v>14858</v>
      </c>
      <c r="X1356" t="s">
        <v>14864</v>
      </c>
      <c r="Z1356" t="s">
        <v>16160</v>
      </c>
      <c r="AC1356">
        <v>260</v>
      </c>
      <c r="AD1356" t="s">
        <v>24598</v>
      </c>
      <c r="AE1356" t="s">
        <v>11459</v>
      </c>
      <c r="AF1356">
        <v>16</v>
      </c>
      <c r="AG1356">
        <v>1</v>
      </c>
      <c r="AH1356">
        <v>0</v>
      </c>
      <c r="AI1356">
        <v>156.61</v>
      </c>
      <c r="AL1356" t="s">
        <v>5011</v>
      </c>
      <c r="AM1356">
        <v>19560</v>
      </c>
      <c r="AS1356">
        <v>1.1</v>
      </c>
      <c r="AT1356" t="s">
        <v>511</v>
      </c>
      <c r="AU1356" t="s">
        <v>230</v>
      </c>
      <c r="AV1356" t="s">
        <v>25335</v>
      </c>
      <c r="AW1356" t="s">
        <v>11447</v>
      </c>
    </row>
    <row r="1357" spans="1:49">
      <c r="A1357" s="1">
        <f>HYPERLINK("https://lsnyc.legalserver.org/matter/dynamic-profile/view/1910889","19-1910889")</f>
        <v>0</v>
      </c>
      <c r="B1357" t="s">
        <v>196</v>
      </c>
      <c r="C1357" t="s">
        <v>604</v>
      </c>
      <c r="E1357" t="s">
        <v>1899</v>
      </c>
      <c r="F1357" t="s">
        <v>1048</v>
      </c>
      <c r="G1357" t="s">
        <v>7405</v>
      </c>
      <c r="I1357" t="s">
        <v>11385</v>
      </c>
      <c r="J1357">
        <v>11212</v>
      </c>
      <c r="K1357" t="s">
        <v>11446</v>
      </c>
      <c r="L1357" t="s">
        <v>11456</v>
      </c>
      <c r="M1357" t="s">
        <v>14748</v>
      </c>
      <c r="N1357" t="s">
        <v>14779</v>
      </c>
      <c r="P1357" t="s">
        <v>14797</v>
      </c>
      <c r="Q1357" t="s">
        <v>11448</v>
      </c>
      <c r="S1357" t="s">
        <v>14827</v>
      </c>
      <c r="T1357" t="s">
        <v>14832</v>
      </c>
      <c r="U1357" t="s">
        <v>601</v>
      </c>
      <c r="V1357">
        <v>911.8</v>
      </c>
      <c r="W1357" t="s">
        <v>14859</v>
      </c>
      <c r="X1357" t="s">
        <v>14755</v>
      </c>
      <c r="Z1357" t="s">
        <v>16161</v>
      </c>
      <c r="AA1357" t="s">
        <v>11465</v>
      </c>
      <c r="AB1357" t="s">
        <v>21236</v>
      </c>
      <c r="AC1357">
        <v>71</v>
      </c>
      <c r="AD1357" t="s">
        <v>24595</v>
      </c>
      <c r="AE1357" t="s">
        <v>11459</v>
      </c>
      <c r="AF1357">
        <v>30</v>
      </c>
      <c r="AG1357">
        <v>2</v>
      </c>
      <c r="AH1357">
        <v>0</v>
      </c>
      <c r="AI1357">
        <v>157.89</v>
      </c>
      <c r="AL1357" t="s">
        <v>5011</v>
      </c>
      <c r="AM1357">
        <v>26700</v>
      </c>
      <c r="AS1357">
        <v>8</v>
      </c>
      <c r="AT1357" t="s">
        <v>478</v>
      </c>
      <c r="AU1357" t="s">
        <v>66</v>
      </c>
      <c r="AV1357" t="s">
        <v>25335</v>
      </c>
      <c r="AW1357" t="s">
        <v>11447</v>
      </c>
    </row>
    <row r="1358" spans="1:49">
      <c r="A1358" s="1">
        <f>HYPERLINK("https://lsnyc.legalserver.org/matter/dynamic-profile/view/1907847","19-1907847")</f>
        <v>0</v>
      </c>
      <c r="B1358" t="s">
        <v>230</v>
      </c>
      <c r="C1358" t="s">
        <v>524</v>
      </c>
      <c r="E1358" t="s">
        <v>1276</v>
      </c>
      <c r="F1358" t="s">
        <v>4174</v>
      </c>
      <c r="G1358" t="s">
        <v>7122</v>
      </c>
      <c r="H1358" t="s">
        <v>10742</v>
      </c>
      <c r="I1358" t="s">
        <v>11383</v>
      </c>
      <c r="J1358">
        <v>10472</v>
      </c>
      <c r="K1358" t="s">
        <v>11446</v>
      </c>
      <c r="M1358" t="s">
        <v>11601</v>
      </c>
      <c r="N1358" t="s">
        <v>14778</v>
      </c>
      <c r="P1358" t="s">
        <v>14797</v>
      </c>
      <c r="Q1358" t="s">
        <v>11448</v>
      </c>
      <c r="S1358" t="s">
        <v>14827</v>
      </c>
      <c r="U1358" t="s">
        <v>601</v>
      </c>
      <c r="V1358">
        <v>1908</v>
      </c>
      <c r="W1358" t="s">
        <v>14858</v>
      </c>
      <c r="X1358" t="s">
        <v>14864</v>
      </c>
      <c r="Z1358" t="s">
        <v>16162</v>
      </c>
      <c r="AB1358" t="s">
        <v>20864</v>
      </c>
      <c r="AC1358">
        <v>60</v>
      </c>
      <c r="AD1358" t="s">
        <v>24595</v>
      </c>
      <c r="AE1358" t="s">
        <v>11459</v>
      </c>
      <c r="AF1358">
        <v>7</v>
      </c>
      <c r="AG1358">
        <v>2</v>
      </c>
      <c r="AH1358">
        <v>3</v>
      </c>
      <c r="AI1358">
        <v>198.87</v>
      </c>
      <c r="AL1358" t="s">
        <v>5011</v>
      </c>
      <c r="AM1358">
        <v>60000</v>
      </c>
      <c r="AS1358">
        <v>2.1</v>
      </c>
      <c r="AT1358" t="s">
        <v>511</v>
      </c>
      <c r="AU1358" t="s">
        <v>230</v>
      </c>
      <c r="AV1358" t="s">
        <v>25335</v>
      </c>
      <c r="AW1358" t="s">
        <v>11447</v>
      </c>
    </row>
    <row r="1359" spans="1:49">
      <c r="A1359" s="1">
        <f>HYPERLINK("https://lsnyc.legalserver.org/matter/dynamic-profile/view/1910842","19-1910842")</f>
        <v>0</v>
      </c>
      <c r="B1359" t="s">
        <v>172</v>
      </c>
      <c r="C1359" t="s">
        <v>601</v>
      </c>
      <c r="E1359" t="s">
        <v>1181</v>
      </c>
      <c r="F1359" t="s">
        <v>4419</v>
      </c>
      <c r="G1359" t="s">
        <v>7406</v>
      </c>
      <c r="I1359" t="s">
        <v>11386</v>
      </c>
      <c r="J1359">
        <v>10032</v>
      </c>
      <c r="K1359" t="s">
        <v>11446</v>
      </c>
      <c r="N1359" t="s">
        <v>14782</v>
      </c>
      <c r="P1359" t="s">
        <v>14797</v>
      </c>
      <c r="Q1359" t="s">
        <v>11448</v>
      </c>
      <c r="S1359" t="s">
        <v>14827</v>
      </c>
      <c r="U1359" t="s">
        <v>601</v>
      </c>
      <c r="V1359">
        <v>1650</v>
      </c>
      <c r="W1359" t="s">
        <v>14860</v>
      </c>
      <c r="X1359" t="s">
        <v>14867</v>
      </c>
      <c r="Z1359" t="s">
        <v>16163</v>
      </c>
      <c r="AB1359" t="s">
        <v>21237</v>
      </c>
      <c r="AC1359">
        <v>36</v>
      </c>
      <c r="AD1359" t="s">
        <v>24595</v>
      </c>
      <c r="AE1359" t="s">
        <v>11459</v>
      </c>
      <c r="AF1359">
        <v>15</v>
      </c>
      <c r="AG1359">
        <v>2</v>
      </c>
      <c r="AH1359">
        <v>0</v>
      </c>
      <c r="AI1359">
        <v>431.7</v>
      </c>
      <c r="AL1359" t="s">
        <v>5011</v>
      </c>
      <c r="AM1359">
        <v>73000</v>
      </c>
      <c r="AS1359">
        <v>0.5</v>
      </c>
      <c r="AT1359" t="s">
        <v>601</v>
      </c>
      <c r="AU1359" t="s">
        <v>137</v>
      </c>
      <c r="AV1359" t="s">
        <v>25335</v>
      </c>
      <c r="AW1359" t="s">
        <v>11447</v>
      </c>
    </row>
    <row r="1360" spans="1:49">
      <c r="A1360" s="1">
        <f>HYPERLINK("https://lsnyc.legalserver.org/matter/dynamic-profile/view/1908229","19-1908229")</f>
        <v>0</v>
      </c>
      <c r="B1360" t="s">
        <v>213</v>
      </c>
      <c r="C1360" t="s">
        <v>372</v>
      </c>
      <c r="E1360" t="s">
        <v>1084</v>
      </c>
      <c r="F1360" t="s">
        <v>4350</v>
      </c>
      <c r="G1360" t="s">
        <v>7229</v>
      </c>
      <c r="H1360" t="s">
        <v>10808</v>
      </c>
      <c r="I1360" t="s">
        <v>11385</v>
      </c>
      <c r="J1360">
        <v>11216</v>
      </c>
      <c r="K1360" t="s">
        <v>11446</v>
      </c>
      <c r="L1360" t="s">
        <v>11785</v>
      </c>
      <c r="M1360" t="s">
        <v>14763</v>
      </c>
      <c r="N1360" t="s">
        <v>14781</v>
      </c>
      <c r="P1360" t="s">
        <v>14797</v>
      </c>
      <c r="Q1360" t="s">
        <v>11446</v>
      </c>
      <c r="S1360" t="s">
        <v>14827</v>
      </c>
      <c r="T1360" t="s">
        <v>14832</v>
      </c>
      <c r="U1360" t="s">
        <v>601</v>
      </c>
      <c r="V1360">
        <v>1624.29</v>
      </c>
      <c r="W1360" t="s">
        <v>14859</v>
      </c>
      <c r="X1360" t="s">
        <v>14876</v>
      </c>
      <c r="Z1360" t="s">
        <v>16054</v>
      </c>
      <c r="AA1360" t="s">
        <v>11465</v>
      </c>
      <c r="AB1360" t="s">
        <v>21140</v>
      </c>
      <c r="AC1360">
        <v>82</v>
      </c>
      <c r="AD1360" t="s">
        <v>24595</v>
      </c>
      <c r="AF1360">
        <v>-1</v>
      </c>
      <c r="AG1360">
        <v>1</v>
      </c>
      <c r="AH1360">
        <v>0</v>
      </c>
      <c r="AI1360">
        <v>780.62</v>
      </c>
      <c r="AL1360" t="s">
        <v>5011</v>
      </c>
      <c r="AM1360">
        <v>97500</v>
      </c>
      <c r="AS1360">
        <v>0</v>
      </c>
      <c r="AU1360" t="s">
        <v>66</v>
      </c>
      <c r="AV1360" t="s">
        <v>25335</v>
      </c>
      <c r="AW1360" t="s">
        <v>11447</v>
      </c>
    </row>
    <row r="1361" spans="1:49">
      <c r="A1361" s="1">
        <f>HYPERLINK("https://lsnyc.legalserver.org/matter/dynamic-profile/view/1905654","19-1905654")</f>
        <v>0</v>
      </c>
      <c r="B1361" t="s">
        <v>168</v>
      </c>
      <c r="C1361" t="s">
        <v>604</v>
      </c>
      <c r="E1361" t="s">
        <v>1900</v>
      </c>
      <c r="F1361" t="s">
        <v>4420</v>
      </c>
      <c r="G1361" t="s">
        <v>7407</v>
      </c>
      <c r="H1361" t="s">
        <v>10638</v>
      </c>
      <c r="I1361" t="s">
        <v>11384</v>
      </c>
      <c r="J1361">
        <v>10301</v>
      </c>
      <c r="K1361" t="s">
        <v>11446</v>
      </c>
      <c r="L1361" t="s">
        <v>11914</v>
      </c>
      <c r="M1361" t="s">
        <v>14743</v>
      </c>
      <c r="N1361" t="s">
        <v>14781</v>
      </c>
      <c r="P1361" t="s">
        <v>14797</v>
      </c>
      <c r="Q1361" t="s">
        <v>11448</v>
      </c>
      <c r="S1361" t="s">
        <v>14827</v>
      </c>
      <c r="T1361" t="s">
        <v>14834</v>
      </c>
      <c r="U1361" t="s">
        <v>604</v>
      </c>
      <c r="V1361">
        <v>1258</v>
      </c>
      <c r="W1361" t="s">
        <v>14862</v>
      </c>
      <c r="X1361" t="s">
        <v>14863</v>
      </c>
      <c r="Z1361" t="s">
        <v>16164</v>
      </c>
      <c r="AB1361" t="s">
        <v>21238</v>
      </c>
      <c r="AC1361">
        <v>6</v>
      </c>
      <c r="AD1361" t="s">
        <v>24595</v>
      </c>
      <c r="AE1361" t="s">
        <v>24616</v>
      </c>
      <c r="AF1361">
        <v>2</v>
      </c>
      <c r="AG1361">
        <v>1</v>
      </c>
      <c r="AH1361">
        <v>2</v>
      </c>
      <c r="AI1361">
        <v>21.88</v>
      </c>
      <c r="AL1361" t="s">
        <v>5011</v>
      </c>
      <c r="AM1361">
        <v>4668</v>
      </c>
      <c r="AS1361">
        <v>11.4</v>
      </c>
      <c r="AT1361" t="s">
        <v>495</v>
      </c>
      <c r="AU1361" t="s">
        <v>25270</v>
      </c>
      <c r="AV1361" t="s">
        <v>25335</v>
      </c>
      <c r="AW1361" t="s">
        <v>11447</v>
      </c>
    </row>
    <row r="1362" spans="1:49">
      <c r="A1362" s="1">
        <f>HYPERLINK("https://lsnyc.legalserver.org/matter/dynamic-profile/view/1908272","19-1908272")</f>
        <v>0</v>
      </c>
      <c r="B1362" t="s">
        <v>213</v>
      </c>
      <c r="C1362" t="s">
        <v>375</v>
      </c>
      <c r="E1362" t="s">
        <v>1236</v>
      </c>
      <c r="F1362" t="s">
        <v>4333</v>
      </c>
      <c r="G1362" t="s">
        <v>7317</v>
      </c>
      <c r="H1362">
        <v>5</v>
      </c>
      <c r="I1362" t="s">
        <v>11385</v>
      </c>
      <c r="J1362">
        <v>11233</v>
      </c>
      <c r="K1362" t="s">
        <v>11446</v>
      </c>
      <c r="M1362" t="s">
        <v>14746</v>
      </c>
      <c r="N1362" t="s">
        <v>14781</v>
      </c>
      <c r="P1362" t="s">
        <v>14797</v>
      </c>
      <c r="Q1362" t="s">
        <v>11448</v>
      </c>
      <c r="S1362" t="s">
        <v>14827</v>
      </c>
      <c r="T1362" t="s">
        <v>14832</v>
      </c>
      <c r="U1362" t="s">
        <v>604</v>
      </c>
      <c r="V1362">
        <v>1550</v>
      </c>
      <c r="W1362" t="s">
        <v>14859</v>
      </c>
      <c r="Z1362" t="s">
        <v>16028</v>
      </c>
      <c r="AA1362" t="s">
        <v>19336</v>
      </c>
      <c r="AB1362" t="s">
        <v>21116</v>
      </c>
      <c r="AC1362">
        <v>12</v>
      </c>
      <c r="AD1362" t="s">
        <v>24595</v>
      </c>
      <c r="AE1362" t="s">
        <v>24611</v>
      </c>
      <c r="AF1362">
        <v>4</v>
      </c>
      <c r="AG1362">
        <v>1</v>
      </c>
      <c r="AH1362">
        <v>0</v>
      </c>
      <c r="AI1362">
        <v>31.22</v>
      </c>
      <c r="AL1362" t="s">
        <v>5011</v>
      </c>
      <c r="AM1362">
        <v>3900</v>
      </c>
      <c r="AS1362">
        <v>10.4</v>
      </c>
      <c r="AT1362" t="s">
        <v>475</v>
      </c>
      <c r="AU1362" t="s">
        <v>66</v>
      </c>
      <c r="AV1362" t="s">
        <v>25335</v>
      </c>
      <c r="AW1362" t="s">
        <v>11447</v>
      </c>
    </row>
    <row r="1363" spans="1:49">
      <c r="A1363" s="1">
        <f>HYPERLINK("https://lsnyc.legalserver.org/matter/dynamic-profile/view/1909560","19-1909560")</f>
        <v>0</v>
      </c>
      <c r="B1363" t="s">
        <v>183</v>
      </c>
      <c r="C1363" t="s">
        <v>488</v>
      </c>
      <c r="E1363" t="s">
        <v>1901</v>
      </c>
      <c r="F1363" t="s">
        <v>3411</v>
      </c>
      <c r="G1363" t="s">
        <v>7408</v>
      </c>
      <c r="H1363" t="s">
        <v>10635</v>
      </c>
      <c r="I1363" t="s">
        <v>11385</v>
      </c>
      <c r="J1363">
        <v>11212</v>
      </c>
      <c r="K1363" t="s">
        <v>11446</v>
      </c>
      <c r="L1363" t="s">
        <v>11915</v>
      </c>
      <c r="M1363" t="s">
        <v>14743</v>
      </c>
      <c r="N1363" t="s">
        <v>14781</v>
      </c>
      <c r="P1363" t="s">
        <v>14797</v>
      </c>
      <c r="Q1363" t="s">
        <v>11448</v>
      </c>
      <c r="S1363" t="s">
        <v>14827</v>
      </c>
      <c r="T1363" t="s">
        <v>14832</v>
      </c>
      <c r="U1363" t="s">
        <v>604</v>
      </c>
      <c r="V1363">
        <v>693</v>
      </c>
      <c r="W1363" t="s">
        <v>14859</v>
      </c>
      <c r="X1363" t="s">
        <v>14867</v>
      </c>
      <c r="Z1363" t="s">
        <v>15600</v>
      </c>
      <c r="AA1363" t="s">
        <v>19439</v>
      </c>
      <c r="AB1363" t="s">
        <v>21239</v>
      </c>
      <c r="AC1363">
        <v>80</v>
      </c>
      <c r="AD1363" t="s">
        <v>11479</v>
      </c>
      <c r="AE1363" t="s">
        <v>24616</v>
      </c>
      <c r="AF1363">
        <v>10</v>
      </c>
      <c r="AG1363">
        <v>1</v>
      </c>
      <c r="AH1363">
        <v>4</v>
      </c>
      <c r="AI1363">
        <v>49.11</v>
      </c>
      <c r="AL1363" t="s">
        <v>5011</v>
      </c>
      <c r="AM1363">
        <v>14816</v>
      </c>
      <c r="AS1363">
        <v>11.5</v>
      </c>
      <c r="AT1363" t="s">
        <v>477</v>
      </c>
      <c r="AU1363" t="s">
        <v>66</v>
      </c>
      <c r="AV1363" t="s">
        <v>25335</v>
      </c>
      <c r="AW1363" t="s">
        <v>11447</v>
      </c>
    </row>
    <row r="1364" spans="1:49">
      <c r="A1364" s="1">
        <f>HYPERLINK("https://lsnyc.legalserver.org/matter/dynamic-profile/view/1910959","19-1910959")</f>
        <v>0</v>
      </c>
      <c r="B1364" t="s">
        <v>178</v>
      </c>
      <c r="C1364" t="s">
        <v>604</v>
      </c>
      <c r="E1364" t="s">
        <v>1902</v>
      </c>
      <c r="F1364" t="s">
        <v>3839</v>
      </c>
      <c r="G1364" t="s">
        <v>7409</v>
      </c>
      <c r="H1364">
        <v>21</v>
      </c>
      <c r="I1364" t="s">
        <v>11386</v>
      </c>
      <c r="J1364">
        <v>10034</v>
      </c>
      <c r="K1364" t="s">
        <v>11446</v>
      </c>
      <c r="M1364" t="s">
        <v>14747</v>
      </c>
      <c r="N1364" t="s">
        <v>14782</v>
      </c>
      <c r="P1364" t="s">
        <v>14797</v>
      </c>
      <c r="Q1364" t="s">
        <v>11448</v>
      </c>
      <c r="S1364" t="s">
        <v>14827</v>
      </c>
      <c r="U1364" t="s">
        <v>604</v>
      </c>
      <c r="V1364">
        <v>0</v>
      </c>
      <c r="W1364" t="s">
        <v>14860</v>
      </c>
      <c r="X1364" t="s">
        <v>14867</v>
      </c>
      <c r="Z1364" t="s">
        <v>16165</v>
      </c>
      <c r="AA1364" t="s">
        <v>19440</v>
      </c>
      <c r="AC1364">
        <v>88</v>
      </c>
      <c r="AD1364" t="s">
        <v>24595</v>
      </c>
      <c r="AE1364" t="s">
        <v>11459</v>
      </c>
      <c r="AF1364">
        <v>6</v>
      </c>
      <c r="AG1364">
        <v>1</v>
      </c>
      <c r="AH1364">
        <v>3</v>
      </c>
      <c r="AI1364">
        <v>72.7</v>
      </c>
      <c r="AL1364" t="s">
        <v>5011</v>
      </c>
      <c r="AM1364">
        <v>18720</v>
      </c>
      <c r="AS1364">
        <v>3.5</v>
      </c>
      <c r="AT1364" t="s">
        <v>511</v>
      </c>
      <c r="AU1364" t="s">
        <v>137</v>
      </c>
      <c r="AV1364" t="s">
        <v>25335</v>
      </c>
      <c r="AW1364" t="s">
        <v>11447</v>
      </c>
    </row>
    <row r="1365" spans="1:49">
      <c r="A1365" s="1">
        <f>HYPERLINK("https://lsnyc.legalserver.org/matter/dynamic-profile/view/1910942","19-1910942")</f>
        <v>0</v>
      </c>
      <c r="B1365" t="s">
        <v>194</v>
      </c>
      <c r="C1365" t="s">
        <v>604</v>
      </c>
      <c r="E1365" t="s">
        <v>1903</v>
      </c>
      <c r="F1365" t="s">
        <v>4421</v>
      </c>
      <c r="G1365" t="s">
        <v>7410</v>
      </c>
      <c r="H1365" t="s">
        <v>10595</v>
      </c>
      <c r="I1365" t="s">
        <v>11386</v>
      </c>
      <c r="J1365">
        <v>10034</v>
      </c>
      <c r="K1365" t="s">
        <v>11446</v>
      </c>
      <c r="N1365" t="s">
        <v>14781</v>
      </c>
      <c r="P1365" t="s">
        <v>14797</v>
      </c>
      <c r="Q1365" t="s">
        <v>11448</v>
      </c>
      <c r="S1365" t="s">
        <v>14827</v>
      </c>
      <c r="U1365" t="s">
        <v>604</v>
      </c>
      <c r="V1365">
        <v>919.16</v>
      </c>
      <c r="W1365" t="s">
        <v>14860</v>
      </c>
      <c r="X1365" t="s">
        <v>14867</v>
      </c>
      <c r="Z1365" t="s">
        <v>16166</v>
      </c>
      <c r="AB1365" t="s">
        <v>21240</v>
      </c>
      <c r="AC1365">
        <v>74</v>
      </c>
      <c r="AD1365" t="s">
        <v>24595</v>
      </c>
      <c r="AE1365" t="s">
        <v>11459</v>
      </c>
      <c r="AF1365">
        <v>29</v>
      </c>
      <c r="AG1365">
        <v>2</v>
      </c>
      <c r="AH1365">
        <v>0</v>
      </c>
      <c r="AI1365">
        <v>79.95</v>
      </c>
      <c r="AL1365" t="s">
        <v>5011</v>
      </c>
      <c r="AM1365">
        <v>13520</v>
      </c>
      <c r="AS1365">
        <v>20.5</v>
      </c>
      <c r="AT1365" t="s">
        <v>521</v>
      </c>
      <c r="AU1365" t="s">
        <v>137</v>
      </c>
      <c r="AV1365" t="s">
        <v>25335</v>
      </c>
      <c r="AW1365" t="s">
        <v>11447</v>
      </c>
    </row>
    <row r="1366" spans="1:49">
      <c r="A1366" s="1">
        <f>HYPERLINK("https://lsnyc.legalserver.org/matter/dynamic-profile/view/1909970","19-1909970")</f>
        <v>0</v>
      </c>
      <c r="B1366" t="s">
        <v>154</v>
      </c>
      <c r="C1366" t="s">
        <v>468</v>
      </c>
      <c r="E1366" t="s">
        <v>1904</v>
      </c>
      <c r="F1366" t="s">
        <v>3662</v>
      </c>
      <c r="G1366" t="s">
        <v>7411</v>
      </c>
      <c r="H1366" t="s">
        <v>10717</v>
      </c>
      <c r="I1366" t="s">
        <v>11383</v>
      </c>
      <c r="J1366">
        <v>10453</v>
      </c>
      <c r="K1366" t="s">
        <v>11446</v>
      </c>
      <c r="L1366" t="s">
        <v>11916</v>
      </c>
      <c r="M1366" t="s">
        <v>14744</v>
      </c>
      <c r="N1366" t="s">
        <v>14778</v>
      </c>
      <c r="P1366" t="s">
        <v>14797</v>
      </c>
      <c r="Q1366" t="s">
        <v>11448</v>
      </c>
      <c r="S1366" t="s">
        <v>14827</v>
      </c>
      <c r="U1366" t="s">
        <v>604</v>
      </c>
      <c r="V1366">
        <v>777.34</v>
      </c>
      <c r="W1366" t="s">
        <v>14858</v>
      </c>
      <c r="Z1366" t="s">
        <v>16167</v>
      </c>
      <c r="AB1366" t="s">
        <v>21241</v>
      </c>
      <c r="AC1366">
        <v>42</v>
      </c>
      <c r="AD1366" t="s">
        <v>24599</v>
      </c>
      <c r="AE1366" t="s">
        <v>11459</v>
      </c>
      <c r="AF1366">
        <v>37</v>
      </c>
      <c r="AG1366">
        <v>2</v>
      </c>
      <c r="AH1366">
        <v>2</v>
      </c>
      <c r="AI1366">
        <v>110.06</v>
      </c>
      <c r="AL1366" t="s">
        <v>5011</v>
      </c>
      <c r="AM1366">
        <v>28340</v>
      </c>
      <c r="AS1366">
        <v>0.9</v>
      </c>
      <c r="AT1366" t="s">
        <v>644</v>
      </c>
      <c r="AU1366" t="s">
        <v>25236</v>
      </c>
      <c r="AV1366" t="s">
        <v>25335</v>
      </c>
      <c r="AW1366" t="s">
        <v>11447</v>
      </c>
    </row>
    <row r="1367" spans="1:49">
      <c r="A1367" s="1">
        <f>HYPERLINK("https://lsnyc.legalserver.org/matter/dynamic-profile/view/1910905","19-1910905")</f>
        <v>0</v>
      </c>
      <c r="B1367" t="s">
        <v>232</v>
      </c>
      <c r="C1367" t="s">
        <v>604</v>
      </c>
      <c r="E1367" t="s">
        <v>1278</v>
      </c>
      <c r="F1367" t="s">
        <v>3769</v>
      </c>
      <c r="G1367" t="s">
        <v>7412</v>
      </c>
      <c r="H1367" t="s">
        <v>10620</v>
      </c>
      <c r="I1367" t="s">
        <v>11386</v>
      </c>
      <c r="J1367">
        <v>10034</v>
      </c>
      <c r="K1367" t="s">
        <v>11446</v>
      </c>
      <c r="M1367" t="s">
        <v>14747</v>
      </c>
      <c r="N1367" t="s">
        <v>14782</v>
      </c>
      <c r="P1367" t="s">
        <v>14797</v>
      </c>
      <c r="Q1367" t="s">
        <v>11448</v>
      </c>
      <c r="S1367" t="s">
        <v>14827</v>
      </c>
      <c r="U1367" t="s">
        <v>604</v>
      </c>
      <c r="V1367">
        <v>1191.97</v>
      </c>
      <c r="W1367" t="s">
        <v>14860</v>
      </c>
      <c r="X1367" t="s">
        <v>14868</v>
      </c>
      <c r="Z1367" t="s">
        <v>16168</v>
      </c>
      <c r="AB1367" t="s">
        <v>21242</v>
      </c>
      <c r="AC1367">
        <v>48</v>
      </c>
      <c r="AD1367" t="s">
        <v>24595</v>
      </c>
      <c r="AE1367" t="s">
        <v>24613</v>
      </c>
      <c r="AF1367">
        <v>24</v>
      </c>
      <c r="AG1367">
        <v>1</v>
      </c>
      <c r="AH1367">
        <v>0</v>
      </c>
      <c r="AI1367">
        <v>168.07</v>
      </c>
      <c r="AL1367" t="s">
        <v>24632</v>
      </c>
      <c r="AM1367">
        <v>20991.6</v>
      </c>
      <c r="AS1367">
        <v>0.5</v>
      </c>
      <c r="AT1367" t="s">
        <v>604</v>
      </c>
      <c r="AU1367" t="s">
        <v>137</v>
      </c>
      <c r="AW1367" t="s">
        <v>11447</v>
      </c>
    </row>
    <row r="1368" spans="1:49">
      <c r="A1368" s="1">
        <f>HYPERLINK("https://lsnyc.legalserver.org/matter/dynamic-profile/view/1910937","19-1910937")</f>
        <v>0</v>
      </c>
      <c r="B1368" t="s">
        <v>232</v>
      </c>
      <c r="C1368" t="s">
        <v>604</v>
      </c>
      <c r="E1368" t="s">
        <v>1905</v>
      </c>
      <c r="F1368" t="s">
        <v>3885</v>
      </c>
      <c r="G1368" t="s">
        <v>7413</v>
      </c>
      <c r="H1368">
        <v>23</v>
      </c>
      <c r="I1368" t="s">
        <v>11386</v>
      </c>
      <c r="J1368">
        <v>10032</v>
      </c>
      <c r="K1368" t="s">
        <v>11446</v>
      </c>
      <c r="N1368" t="s">
        <v>14782</v>
      </c>
      <c r="P1368" t="s">
        <v>14797</v>
      </c>
      <c r="Q1368" t="s">
        <v>11448</v>
      </c>
      <c r="S1368" t="s">
        <v>14827</v>
      </c>
      <c r="U1368" t="s">
        <v>604</v>
      </c>
      <c r="V1368">
        <v>1076</v>
      </c>
      <c r="W1368" t="s">
        <v>14860</v>
      </c>
      <c r="X1368" t="s">
        <v>14868</v>
      </c>
      <c r="Z1368" t="s">
        <v>16169</v>
      </c>
      <c r="AB1368" t="s">
        <v>21243</v>
      </c>
      <c r="AC1368">
        <v>28</v>
      </c>
      <c r="AD1368" t="s">
        <v>24595</v>
      </c>
      <c r="AE1368" t="s">
        <v>11459</v>
      </c>
      <c r="AF1368">
        <v>30</v>
      </c>
      <c r="AG1368">
        <v>2</v>
      </c>
      <c r="AH1368">
        <v>0</v>
      </c>
      <c r="AI1368">
        <v>176.82</v>
      </c>
      <c r="AL1368" t="s">
        <v>5011</v>
      </c>
      <c r="AM1368">
        <v>29900</v>
      </c>
      <c r="AS1368">
        <v>64.25</v>
      </c>
      <c r="AT1368" t="s">
        <v>478</v>
      </c>
      <c r="AU1368" t="s">
        <v>137</v>
      </c>
      <c r="AV1368" t="s">
        <v>25335</v>
      </c>
      <c r="AW1368" t="s">
        <v>11447</v>
      </c>
    </row>
    <row r="1369" spans="1:49">
      <c r="A1369" s="1">
        <f>HYPERLINK("https://lsnyc.legalserver.org/matter/dynamic-profile/view/1910663","19-1910663")</f>
        <v>0</v>
      </c>
      <c r="B1369" t="s">
        <v>154</v>
      </c>
      <c r="C1369" t="s">
        <v>644</v>
      </c>
      <c r="E1369" t="s">
        <v>1906</v>
      </c>
      <c r="F1369" t="s">
        <v>3547</v>
      </c>
      <c r="G1369" t="s">
        <v>6866</v>
      </c>
      <c r="H1369" t="s">
        <v>10557</v>
      </c>
      <c r="I1369" t="s">
        <v>11383</v>
      </c>
      <c r="J1369">
        <v>10453</v>
      </c>
      <c r="K1369" t="s">
        <v>11446</v>
      </c>
      <c r="L1369" t="s">
        <v>11917</v>
      </c>
      <c r="M1369" t="s">
        <v>14744</v>
      </c>
      <c r="N1369" t="s">
        <v>14779</v>
      </c>
      <c r="P1369" t="s">
        <v>14797</v>
      </c>
      <c r="Q1369" t="s">
        <v>11448</v>
      </c>
      <c r="S1369" t="s">
        <v>14827</v>
      </c>
      <c r="T1369" t="s">
        <v>14834</v>
      </c>
      <c r="U1369" t="s">
        <v>604</v>
      </c>
      <c r="V1369">
        <v>746.51</v>
      </c>
      <c r="W1369" t="s">
        <v>14858</v>
      </c>
      <c r="X1369" t="s">
        <v>14867</v>
      </c>
      <c r="Z1369" t="s">
        <v>16170</v>
      </c>
      <c r="AB1369" t="s">
        <v>21244</v>
      </c>
      <c r="AC1369">
        <v>40</v>
      </c>
      <c r="AD1369" t="s">
        <v>24595</v>
      </c>
      <c r="AF1369">
        <v>31</v>
      </c>
      <c r="AG1369">
        <v>1</v>
      </c>
      <c r="AH1369">
        <v>0</v>
      </c>
      <c r="AI1369">
        <v>176.94</v>
      </c>
      <c r="AL1369" t="s">
        <v>5011</v>
      </c>
      <c r="AM1369">
        <v>22100</v>
      </c>
      <c r="AS1369">
        <v>0.8</v>
      </c>
      <c r="AT1369" t="s">
        <v>644</v>
      </c>
      <c r="AU1369" t="s">
        <v>154</v>
      </c>
      <c r="AV1369" t="s">
        <v>25335</v>
      </c>
      <c r="AW1369" t="s">
        <v>11447</v>
      </c>
    </row>
    <row r="1370" spans="1:49">
      <c r="A1370" s="1">
        <f>HYPERLINK("https://lsnyc.legalserver.org/matter/dynamic-profile/view/1911025","19-1911025")</f>
        <v>0</v>
      </c>
      <c r="B1370" t="s">
        <v>222</v>
      </c>
      <c r="C1370" t="s">
        <v>460</v>
      </c>
      <c r="E1370" t="s">
        <v>1720</v>
      </c>
      <c r="F1370" t="s">
        <v>4422</v>
      </c>
      <c r="G1370" t="s">
        <v>7380</v>
      </c>
      <c r="H1370" t="s">
        <v>10481</v>
      </c>
      <c r="I1370" t="s">
        <v>11385</v>
      </c>
      <c r="J1370">
        <v>11225</v>
      </c>
      <c r="K1370" t="s">
        <v>11446</v>
      </c>
      <c r="N1370" t="s">
        <v>14783</v>
      </c>
      <c r="P1370" t="s">
        <v>14797</v>
      </c>
      <c r="Q1370" t="s">
        <v>11446</v>
      </c>
      <c r="S1370" t="s">
        <v>14827</v>
      </c>
      <c r="U1370" t="s">
        <v>604</v>
      </c>
      <c r="V1370">
        <v>0</v>
      </c>
      <c r="W1370" t="s">
        <v>14859</v>
      </c>
      <c r="Z1370" t="s">
        <v>16171</v>
      </c>
      <c r="AB1370" t="s">
        <v>19344</v>
      </c>
      <c r="AC1370">
        <v>14</v>
      </c>
      <c r="AF1370">
        <v>0</v>
      </c>
      <c r="AG1370">
        <v>2</v>
      </c>
      <c r="AH1370">
        <v>0</v>
      </c>
      <c r="AI1370">
        <v>480.19</v>
      </c>
      <c r="AL1370" t="s">
        <v>5011</v>
      </c>
      <c r="AM1370">
        <v>81200</v>
      </c>
      <c r="AS1370">
        <v>0</v>
      </c>
      <c r="AU1370" t="s">
        <v>75</v>
      </c>
      <c r="AV1370" t="s">
        <v>25335</v>
      </c>
      <c r="AW1370" t="s">
        <v>11447</v>
      </c>
    </row>
    <row r="1371" spans="1:49">
      <c r="A1371" s="1">
        <f>HYPERLINK("https://lsnyc.legalserver.org/matter/dynamic-profile/view/1911067","19-1911067")</f>
        <v>0</v>
      </c>
      <c r="B1371" t="s">
        <v>222</v>
      </c>
      <c r="C1371" t="s">
        <v>460</v>
      </c>
      <c r="E1371" t="s">
        <v>1879</v>
      </c>
      <c r="F1371" t="s">
        <v>4195</v>
      </c>
      <c r="G1371" t="s">
        <v>7380</v>
      </c>
      <c r="H1371" t="s">
        <v>10460</v>
      </c>
      <c r="I1371" t="s">
        <v>11385</v>
      </c>
      <c r="J1371">
        <v>11225</v>
      </c>
      <c r="K1371" t="s">
        <v>11446</v>
      </c>
      <c r="N1371" t="s">
        <v>14783</v>
      </c>
      <c r="P1371" t="s">
        <v>14797</v>
      </c>
      <c r="Q1371" t="s">
        <v>11446</v>
      </c>
      <c r="S1371" t="s">
        <v>14827</v>
      </c>
      <c r="U1371" t="s">
        <v>604</v>
      </c>
      <c r="V1371">
        <v>0</v>
      </c>
      <c r="W1371" t="s">
        <v>14859</v>
      </c>
      <c r="Z1371" t="s">
        <v>16128</v>
      </c>
      <c r="AB1371" t="s">
        <v>21208</v>
      </c>
      <c r="AC1371">
        <v>14</v>
      </c>
      <c r="AF1371">
        <v>0</v>
      </c>
      <c r="AG1371">
        <v>2</v>
      </c>
      <c r="AH1371">
        <v>0</v>
      </c>
      <c r="AI1371">
        <v>656.42</v>
      </c>
      <c r="AL1371" t="s">
        <v>5011</v>
      </c>
      <c r="AM1371">
        <v>111000</v>
      </c>
      <c r="AS1371">
        <v>0</v>
      </c>
      <c r="AU1371" t="s">
        <v>75</v>
      </c>
      <c r="AV1371" t="s">
        <v>25335</v>
      </c>
      <c r="AW1371" t="s">
        <v>11447</v>
      </c>
    </row>
    <row r="1372" spans="1:49">
      <c r="A1372" s="1">
        <f>HYPERLINK("https://lsnyc.legalserver.org/matter/dynamic-profile/view/1911193","19-1911193")</f>
        <v>0</v>
      </c>
      <c r="B1372" t="s">
        <v>187</v>
      </c>
      <c r="C1372" t="s">
        <v>475</v>
      </c>
      <c r="E1372" t="s">
        <v>1804</v>
      </c>
      <c r="F1372" t="s">
        <v>4314</v>
      </c>
      <c r="G1372" t="s">
        <v>7294</v>
      </c>
      <c r="H1372" t="s">
        <v>10481</v>
      </c>
      <c r="I1372" t="s">
        <v>11385</v>
      </c>
      <c r="J1372">
        <v>11238</v>
      </c>
      <c r="K1372" t="s">
        <v>11446</v>
      </c>
      <c r="L1372" t="s">
        <v>11601</v>
      </c>
      <c r="M1372" t="s">
        <v>14745</v>
      </c>
      <c r="N1372" t="s">
        <v>14779</v>
      </c>
      <c r="P1372" t="s">
        <v>14797</v>
      </c>
      <c r="Q1372" t="s">
        <v>11446</v>
      </c>
      <c r="S1372" t="s">
        <v>14827</v>
      </c>
      <c r="T1372" t="s">
        <v>14832</v>
      </c>
      <c r="U1372" t="s">
        <v>460</v>
      </c>
      <c r="V1372">
        <v>0</v>
      </c>
      <c r="W1372" t="s">
        <v>14859</v>
      </c>
      <c r="X1372" t="s">
        <v>14868</v>
      </c>
      <c r="Z1372" t="s">
        <v>15991</v>
      </c>
      <c r="AA1372" t="s">
        <v>19412</v>
      </c>
      <c r="AB1372" t="s">
        <v>21078</v>
      </c>
      <c r="AC1372">
        <v>16</v>
      </c>
      <c r="AD1372" t="s">
        <v>24595</v>
      </c>
      <c r="AE1372" t="s">
        <v>24616</v>
      </c>
      <c r="AF1372">
        <v>0</v>
      </c>
      <c r="AG1372">
        <v>1</v>
      </c>
      <c r="AH1372">
        <v>1</v>
      </c>
      <c r="AI1372">
        <v>40.73</v>
      </c>
      <c r="AL1372" t="s">
        <v>5011</v>
      </c>
      <c r="AM1372">
        <v>6888</v>
      </c>
      <c r="AS1372">
        <v>28</v>
      </c>
      <c r="AT1372" t="s">
        <v>654</v>
      </c>
      <c r="AU1372" t="s">
        <v>66</v>
      </c>
      <c r="AV1372" t="s">
        <v>25335</v>
      </c>
      <c r="AW1372" t="s">
        <v>11447</v>
      </c>
    </row>
    <row r="1373" spans="1:49">
      <c r="A1373" s="1">
        <f>HYPERLINK("https://lsnyc.legalserver.org/matter/dynamic-profile/view/1911004","19-1911004")</f>
        <v>0</v>
      </c>
      <c r="B1373" t="s">
        <v>205</v>
      </c>
      <c r="C1373" t="s">
        <v>460</v>
      </c>
      <c r="E1373" t="s">
        <v>1108</v>
      </c>
      <c r="F1373" t="s">
        <v>3561</v>
      </c>
      <c r="G1373" t="s">
        <v>7414</v>
      </c>
      <c r="H1373" t="s">
        <v>10649</v>
      </c>
      <c r="I1373" t="s">
        <v>11386</v>
      </c>
      <c r="J1373">
        <v>10029</v>
      </c>
      <c r="K1373" t="s">
        <v>11446</v>
      </c>
      <c r="L1373" t="s">
        <v>11918</v>
      </c>
      <c r="M1373" t="s">
        <v>14762</v>
      </c>
      <c r="N1373" t="s">
        <v>14781</v>
      </c>
      <c r="P1373" t="s">
        <v>14797</v>
      </c>
      <c r="Q1373" t="s">
        <v>11448</v>
      </c>
      <c r="S1373" t="s">
        <v>14827</v>
      </c>
      <c r="T1373" t="s">
        <v>14832</v>
      </c>
      <c r="U1373" t="s">
        <v>460</v>
      </c>
      <c r="V1373">
        <v>404.29</v>
      </c>
      <c r="W1373" t="s">
        <v>14860</v>
      </c>
      <c r="X1373" t="s">
        <v>14868</v>
      </c>
      <c r="Z1373" t="s">
        <v>16172</v>
      </c>
      <c r="AB1373" t="s">
        <v>21245</v>
      </c>
      <c r="AC1373">
        <v>13</v>
      </c>
      <c r="AD1373" t="s">
        <v>24595</v>
      </c>
      <c r="AE1373" t="s">
        <v>11459</v>
      </c>
      <c r="AF1373">
        <v>40</v>
      </c>
      <c r="AG1373">
        <v>1</v>
      </c>
      <c r="AH1373">
        <v>1</v>
      </c>
      <c r="AI1373">
        <v>67.95999999999999</v>
      </c>
      <c r="AL1373" t="s">
        <v>5011</v>
      </c>
      <c r="AM1373">
        <v>11492</v>
      </c>
      <c r="AS1373">
        <v>0</v>
      </c>
      <c r="AU1373" t="s">
        <v>25266</v>
      </c>
      <c r="AV1373" t="s">
        <v>25335</v>
      </c>
      <c r="AW1373" t="s">
        <v>11447</v>
      </c>
    </row>
    <row r="1374" spans="1:49">
      <c r="A1374" s="1">
        <f>HYPERLINK("https://lsnyc.legalserver.org/matter/dynamic-profile/view/1911980","19-1911980")</f>
        <v>0</v>
      </c>
      <c r="B1374" t="s">
        <v>205</v>
      </c>
      <c r="C1374" t="s">
        <v>586</v>
      </c>
      <c r="E1374" t="s">
        <v>1907</v>
      </c>
      <c r="F1374" t="s">
        <v>4423</v>
      </c>
      <c r="G1374" t="s">
        <v>7415</v>
      </c>
      <c r="H1374" t="s">
        <v>10825</v>
      </c>
      <c r="I1374" t="s">
        <v>11386</v>
      </c>
      <c r="J1374">
        <v>10037</v>
      </c>
      <c r="K1374" t="s">
        <v>11446</v>
      </c>
      <c r="L1374" t="s">
        <v>11919</v>
      </c>
      <c r="M1374" t="s">
        <v>14744</v>
      </c>
      <c r="N1374" t="s">
        <v>14778</v>
      </c>
      <c r="P1374" t="s">
        <v>14797</v>
      </c>
      <c r="Q1374" t="s">
        <v>11448</v>
      </c>
      <c r="S1374" t="s">
        <v>14827</v>
      </c>
      <c r="T1374" t="s">
        <v>14832</v>
      </c>
      <c r="U1374" t="s">
        <v>460</v>
      </c>
      <c r="V1374">
        <v>2100</v>
      </c>
      <c r="W1374" t="s">
        <v>14860</v>
      </c>
      <c r="X1374" t="s">
        <v>14876</v>
      </c>
      <c r="Z1374" t="s">
        <v>16173</v>
      </c>
      <c r="AA1374" t="s">
        <v>19441</v>
      </c>
      <c r="AB1374" t="s">
        <v>21246</v>
      </c>
      <c r="AC1374">
        <v>771</v>
      </c>
      <c r="AD1374" t="s">
        <v>24595</v>
      </c>
      <c r="AE1374" t="s">
        <v>11459</v>
      </c>
      <c r="AF1374">
        <v>1</v>
      </c>
      <c r="AG1374">
        <v>1</v>
      </c>
      <c r="AH1374">
        <v>0</v>
      </c>
      <c r="AI1374">
        <v>82.63</v>
      </c>
      <c r="AL1374" t="s">
        <v>5011</v>
      </c>
      <c r="AM1374">
        <v>10320</v>
      </c>
      <c r="AS1374">
        <v>0</v>
      </c>
      <c r="AU1374" t="s">
        <v>25266</v>
      </c>
      <c r="AV1374" t="s">
        <v>25335</v>
      </c>
      <c r="AW1374" t="s">
        <v>11447</v>
      </c>
    </row>
    <row r="1375" spans="1:49">
      <c r="A1375" s="1">
        <f>HYPERLINK("https://lsnyc.legalserver.org/matter/dynamic-profile/view/1913154","19-1913154")</f>
        <v>0</v>
      </c>
      <c r="B1375" t="s">
        <v>224</v>
      </c>
      <c r="C1375" t="s">
        <v>571</v>
      </c>
      <c r="E1375" t="s">
        <v>1104</v>
      </c>
      <c r="F1375" t="s">
        <v>4368</v>
      </c>
      <c r="G1375" t="s">
        <v>6985</v>
      </c>
      <c r="H1375" t="s">
        <v>10826</v>
      </c>
      <c r="I1375" t="s">
        <v>11385</v>
      </c>
      <c r="J1375">
        <v>11233</v>
      </c>
      <c r="K1375" t="s">
        <v>11446</v>
      </c>
      <c r="M1375" t="s">
        <v>11601</v>
      </c>
      <c r="N1375" t="s">
        <v>14780</v>
      </c>
      <c r="P1375" t="s">
        <v>14797</v>
      </c>
      <c r="Q1375" t="s">
        <v>11448</v>
      </c>
      <c r="S1375" t="s">
        <v>14827</v>
      </c>
      <c r="U1375" t="s">
        <v>460</v>
      </c>
      <c r="V1375">
        <v>967.78</v>
      </c>
      <c r="W1375" t="s">
        <v>14859</v>
      </c>
      <c r="X1375" t="s">
        <v>14868</v>
      </c>
      <c r="Z1375" t="s">
        <v>16174</v>
      </c>
      <c r="AA1375" t="s">
        <v>19442</v>
      </c>
      <c r="AB1375" t="s">
        <v>21247</v>
      </c>
      <c r="AC1375">
        <v>359</v>
      </c>
      <c r="AD1375" t="s">
        <v>24595</v>
      </c>
      <c r="AF1375">
        <v>0</v>
      </c>
      <c r="AG1375">
        <v>1</v>
      </c>
      <c r="AH1375">
        <v>2</v>
      </c>
      <c r="AI1375">
        <v>108.24</v>
      </c>
      <c r="AL1375" t="s">
        <v>5011</v>
      </c>
      <c r="AM1375">
        <v>23088</v>
      </c>
      <c r="AS1375">
        <v>6.8</v>
      </c>
      <c r="AT1375" t="s">
        <v>571</v>
      </c>
      <c r="AU1375" t="s">
        <v>224</v>
      </c>
      <c r="AV1375" t="s">
        <v>25335</v>
      </c>
      <c r="AW1375" t="s">
        <v>11447</v>
      </c>
    </row>
    <row r="1376" spans="1:49">
      <c r="A1376" s="1">
        <f>HYPERLINK("https://lsnyc.legalserver.org/matter/dynamic-profile/view/1911001","19-1911001")</f>
        <v>0</v>
      </c>
      <c r="B1376" t="s">
        <v>182</v>
      </c>
      <c r="C1376" t="s">
        <v>460</v>
      </c>
      <c r="E1376" t="s">
        <v>1048</v>
      </c>
      <c r="F1376" t="s">
        <v>3614</v>
      </c>
      <c r="G1376" t="s">
        <v>7416</v>
      </c>
      <c r="H1376" t="s">
        <v>10448</v>
      </c>
      <c r="I1376" t="s">
        <v>11386</v>
      </c>
      <c r="J1376">
        <v>10029</v>
      </c>
      <c r="K1376" t="s">
        <v>11446</v>
      </c>
      <c r="L1376" t="s">
        <v>11920</v>
      </c>
      <c r="M1376" t="s">
        <v>14744</v>
      </c>
      <c r="N1376" t="s">
        <v>14781</v>
      </c>
      <c r="P1376" t="s">
        <v>14797</v>
      </c>
      <c r="Q1376" t="s">
        <v>11448</v>
      </c>
      <c r="R1376" t="s">
        <v>14822</v>
      </c>
      <c r="S1376" t="s">
        <v>14827</v>
      </c>
      <c r="U1376" t="s">
        <v>460</v>
      </c>
      <c r="V1376">
        <v>636.0700000000001</v>
      </c>
      <c r="W1376" t="s">
        <v>14860</v>
      </c>
      <c r="X1376" t="s">
        <v>14863</v>
      </c>
      <c r="Z1376" t="s">
        <v>14970</v>
      </c>
      <c r="AB1376" t="s">
        <v>21248</v>
      </c>
      <c r="AC1376">
        <v>13</v>
      </c>
      <c r="AD1376" t="s">
        <v>24595</v>
      </c>
      <c r="AE1376" t="s">
        <v>24613</v>
      </c>
      <c r="AF1376">
        <v>21</v>
      </c>
      <c r="AG1376">
        <v>1</v>
      </c>
      <c r="AH1376">
        <v>0</v>
      </c>
      <c r="AI1376">
        <v>115.29</v>
      </c>
      <c r="AL1376" t="s">
        <v>5011</v>
      </c>
      <c r="AM1376">
        <v>14400</v>
      </c>
      <c r="AS1376">
        <v>5.25</v>
      </c>
      <c r="AT1376" t="s">
        <v>521</v>
      </c>
      <c r="AU1376" t="s">
        <v>25276</v>
      </c>
      <c r="AV1376" t="s">
        <v>25335</v>
      </c>
      <c r="AW1376" t="s">
        <v>11447</v>
      </c>
    </row>
    <row r="1377" spans="1:49">
      <c r="A1377" s="1">
        <f>HYPERLINK("https://lsnyc.legalserver.org/matter/dynamic-profile/view/1911047","19-1911047")</f>
        <v>0</v>
      </c>
      <c r="B1377" t="s">
        <v>109</v>
      </c>
      <c r="C1377" t="s">
        <v>460</v>
      </c>
      <c r="E1377" t="s">
        <v>1171</v>
      </c>
      <c r="F1377" t="s">
        <v>4424</v>
      </c>
      <c r="G1377" t="s">
        <v>7417</v>
      </c>
      <c r="H1377" t="s">
        <v>10827</v>
      </c>
      <c r="I1377" t="s">
        <v>11385</v>
      </c>
      <c r="J1377">
        <v>11238</v>
      </c>
      <c r="K1377" t="s">
        <v>11446</v>
      </c>
      <c r="L1377" t="s">
        <v>11921</v>
      </c>
      <c r="M1377" t="s">
        <v>14744</v>
      </c>
      <c r="N1377" t="s">
        <v>14781</v>
      </c>
      <c r="P1377" t="s">
        <v>14797</v>
      </c>
      <c r="Q1377" t="s">
        <v>11446</v>
      </c>
      <c r="S1377" t="s">
        <v>14827</v>
      </c>
      <c r="T1377" t="s">
        <v>14832</v>
      </c>
      <c r="U1377" t="s">
        <v>460</v>
      </c>
      <c r="V1377">
        <v>283.57</v>
      </c>
      <c r="W1377" t="s">
        <v>14859</v>
      </c>
      <c r="X1377" t="s">
        <v>14873</v>
      </c>
      <c r="Z1377" t="s">
        <v>16175</v>
      </c>
      <c r="AC1377">
        <v>38</v>
      </c>
      <c r="AD1377" t="s">
        <v>24599</v>
      </c>
      <c r="AE1377" t="s">
        <v>11459</v>
      </c>
      <c r="AF1377">
        <v>49</v>
      </c>
      <c r="AG1377">
        <v>1</v>
      </c>
      <c r="AH1377">
        <v>0</v>
      </c>
      <c r="AI1377">
        <v>151.96</v>
      </c>
      <c r="AL1377" t="s">
        <v>5011</v>
      </c>
      <c r="AM1377">
        <v>18980</v>
      </c>
      <c r="AS1377">
        <v>7.2</v>
      </c>
      <c r="AT1377" t="s">
        <v>521</v>
      </c>
      <c r="AU1377" t="s">
        <v>109</v>
      </c>
      <c r="AV1377" t="s">
        <v>25335</v>
      </c>
      <c r="AW1377" t="s">
        <v>11447</v>
      </c>
    </row>
    <row r="1378" spans="1:49">
      <c r="A1378" s="1">
        <f>HYPERLINK("https://lsnyc.legalserver.org/matter/dynamic-profile/view/1911026","19-1911026")</f>
        <v>0</v>
      </c>
      <c r="B1378" t="s">
        <v>104</v>
      </c>
      <c r="C1378" t="s">
        <v>460</v>
      </c>
      <c r="E1378" t="s">
        <v>1908</v>
      </c>
      <c r="F1378" t="s">
        <v>4310</v>
      </c>
      <c r="G1378" t="s">
        <v>7272</v>
      </c>
      <c r="H1378" t="s">
        <v>10468</v>
      </c>
      <c r="I1378" t="s">
        <v>11386</v>
      </c>
      <c r="J1378">
        <v>10034</v>
      </c>
      <c r="K1378" t="s">
        <v>11446</v>
      </c>
      <c r="M1378" t="s">
        <v>11601</v>
      </c>
      <c r="N1378" t="s">
        <v>14779</v>
      </c>
      <c r="P1378" t="s">
        <v>14797</v>
      </c>
      <c r="Q1378" t="s">
        <v>11448</v>
      </c>
      <c r="S1378" t="s">
        <v>14827</v>
      </c>
      <c r="T1378" t="s">
        <v>14832</v>
      </c>
      <c r="U1378" t="s">
        <v>460</v>
      </c>
      <c r="V1378">
        <v>1607</v>
      </c>
      <c r="W1378" t="s">
        <v>14860</v>
      </c>
      <c r="X1378" t="s">
        <v>14868</v>
      </c>
      <c r="Z1378" t="s">
        <v>16176</v>
      </c>
      <c r="AB1378" t="s">
        <v>21249</v>
      </c>
      <c r="AC1378">
        <v>70</v>
      </c>
      <c r="AD1378" t="s">
        <v>24595</v>
      </c>
      <c r="AE1378" t="s">
        <v>11459</v>
      </c>
      <c r="AF1378">
        <v>12</v>
      </c>
      <c r="AG1378">
        <v>1</v>
      </c>
      <c r="AH1378">
        <v>0</v>
      </c>
      <c r="AI1378">
        <v>159.49</v>
      </c>
      <c r="AL1378" t="s">
        <v>5011</v>
      </c>
      <c r="AM1378">
        <v>19920</v>
      </c>
      <c r="AS1378">
        <v>1</v>
      </c>
      <c r="AT1378" t="s">
        <v>592</v>
      </c>
      <c r="AU1378" t="s">
        <v>25266</v>
      </c>
      <c r="AV1378" t="s">
        <v>25335</v>
      </c>
      <c r="AW1378" t="s">
        <v>11447</v>
      </c>
    </row>
    <row r="1379" spans="1:49">
      <c r="A1379" s="1">
        <f>HYPERLINK("https://lsnyc.legalserver.org/matter/dynamic-profile/view/1911212","19-1911212")</f>
        <v>0</v>
      </c>
      <c r="B1379" t="s">
        <v>196</v>
      </c>
      <c r="C1379" t="s">
        <v>511</v>
      </c>
      <c r="E1379" t="s">
        <v>1909</v>
      </c>
      <c r="F1379" t="s">
        <v>4425</v>
      </c>
      <c r="G1379" t="s">
        <v>7315</v>
      </c>
      <c r="I1379" t="s">
        <v>11385</v>
      </c>
      <c r="J1379">
        <v>11213</v>
      </c>
      <c r="K1379" t="s">
        <v>11446</v>
      </c>
      <c r="L1379" t="s">
        <v>11922</v>
      </c>
      <c r="M1379" t="s">
        <v>14744</v>
      </c>
      <c r="N1379" t="s">
        <v>14781</v>
      </c>
      <c r="P1379" t="s">
        <v>14797</v>
      </c>
      <c r="Q1379" t="s">
        <v>11448</v>
      </c>
      <c r="S1379" t="s">
        <v>14827</v>
      </c>
      <c r="T1379" t="s">
        <v>14832</v>
      </c>
      <c r="U1379" t="s">
        <v>460</v>
      </c>
      <c r="V1379">
        <v>761.09</v>
      </c>
      <c r="W1379" t="s">
        <v>14859</v>
      </c>
      <c r="X1379" t="s">
        <v>14868</v>
      </c>
      <c r="Z1379" t="s">
        <v>16177</v>
      </c>
      <c r="AA1379" t="s">
        <v>11459</v>
      </c>
      <c r="AB1379" t="s">
        <v>21250</v>
      </c>
      <c r="AC1379">
        <v>35</v>
      </c>
      <c r="AD1379" t="s">
        <v>24595</v>
      </c>
      <c r="AE1379" t="s">
        <v>11459</v>
      </c>
      <c r="AF1379">
        <v>22</v>
      </c>
      <c r="AG1379">
        <v>1</v>
      </c>
      <c r="AH1379">
        <v>0</v>
      </c>
      <c r="AI1379">
        <v>160.13</v>
      </c>
      <c r="AL1379" t="s">
        <v>5011</v>
      </c>
      <c r="AM1379">
        <v>20000</v>
      </c>
      <c r="AS1379">
        <v>26.5</v>
      </c>
      <c r="AT1379" t="s">
        <v>521</v>
      </c>
      <c r="AU1379" t="s">
        <v>66</v>
      </c>
      <c r="AV1379" t="s">
        <v>25335</v>
      </c>
      <c r="AW1379" t="s">
        <v>11447</v>
      </c>
    </row>
    <row r="1380" spans="1:49">
      <c r="A1380" s="1">
        <f>HYPERLINK("https://lsnyc.legalserver.org/matter/dynamic-profile/view/1910993","19-1910993")</f>
        <v>0</v>
      </c>
      <c r="B1380" t="s">
        <v>104</v>
      </c>
      <c r="C1380" t="s">
        <v>460</v>
      </c>
      <c r="E1380" t="s">
        <v>1789</v>
      </c>
      <c r="F1380" t="s">
        <v>3262</v>
      </c>
      <c r="G1380" t="s">
        <v>7348</v>
      </c>
      <c r="H1380" t="s">
        <v>10481</v>
      </c>
      <c r="I1380" t="s">
        <v>11386</v>
      </c>
      <c r="J1380">
        <v>10035</v>
      </c>
      <c r="K1380" t="s">
        <v>11446</v>
      </c>
      <c r="M1380" t="s">
        <v>14746</v>
      </c>
      <c r="N1380" t="s">
        <v>14782</v>
      </c>
      <c r="P1380" t="s">
        <v>14797</v>
      </c>
      <c r="Q1380" t="s">
        <v>11446</v>
      </c>
      <c r="S1380" t="s">
        <v>14827</v>
      </c>
      <c r="T1380" t="s">
        <v>14832</v>
      </c>
      <c r="U1380" t="s">
        <v>460</v>
      </c>
      <c r="V1380">
        <v>1044</v>
      </c>
      <c r="W1380" t="s">
        <v>14860</v>
      </c>
      <c r="X1380" t="s">
        <v>14870</v>
      </c>
      <c r="Z1380" t="s">
        <v>16178</v>
      </c>
      <c r="AB1380" t="s">
        <v>21251</v>
      </c>
      <c r="AC1380">
        <v>60</v>
      </c>
      <c r="AD1380" t="s">
        <v>24595</v>
      </c>
      <c r="AE1380" t="s">
        <v>11459</v>
      </c>
      <c r="AF1380">
        <v>15</v>
      </c>
      <c r="AG1380">
        <v>3</v>
      </c>
      <c r="AH1380">
        <v>1</v>
      </c>
      <c r="AI1380">
        <v>174.76</v>
      </c>
      <c r="AL1380" t="s">
        <v>5011</v>
      </c>
      <c r="AM1380">
        <v>45000</v>
      </c>
      <c r="AS1380">
        <v>1.2</v>
      </c>
      <c r="AT1380" t="s">
        <v>539</v>
      </c>
      <c r="AU1380" t="s">
        <v>25266</v>
      </c>
      <c r="AV1380" t="s">
        <v>25335</v>
      </c>
      <c r="AW1380" t="s">
        <v>11447</v>
      </c>
    </row>
    <row r="1381" spans="1:49">
      <c r="A1381" s="1">
        <f>HYPERLINK("https://lsnyc.legalserver.org/matter/dynamic-profile/view/1911659","19-1911659")</f>
        <v>0</v>
      </c>
      <c r="B1381" t="s">
        <v>107</v>
      </c>
      <c r="C1381" t="s">
        <v>526</v>
      </c>
      <c r="E1381" t="s">
        <v>1144</v>
      </c>
      <c r="F1381" t="s">
        <v>3262</v>
      </c>
      <c r="G1381" t="s">
        <v>6985</v>
      </c>
      <c r="I1381" t="s">
        <v>11385</v>
      </c>
      <c r="J1381">
        <v>11233</v>
      </c>
      <c r="K1381" t="s">
        <v>11446</v>
      </c>
      <c r="L1381" t="s">
        <v>11601</v>
      </c>
      <c r="M1381" t="s">
        <v>11601</v>
      </c>
      <c r="N1381" t="s">
        <v>14779</v>
      </c>
      <c r="P1381" t="s">
        <v>14797</v>
      </c>
      <c r="Q1381" t="s">
        <v>11446</v>
      </c>
      <c r="S1381" t="s">
        <v>14827</v>
      </c>
      <c r="T1381" t="s">
        <v>14832</v>
      </c>
      <c r="U1381" t="s">
        <v>460</v>
      </c>
      <c r="V1381">
        <v>1029.4</v>
      </c>
      <c r="W1381" t="s">
        <v>14859</v>
      </c>
      <c r="X1381" t="s">
        <v>14872</v>
      </c>
      <c r="Z1381" t="s">
        <v>16179</v>
      </c>
      <c r="AB1381" t="s">
        <v>21252</v>
      </c>
      <c r="AC1381">
        <v>359</v>
      </c>
      <c r="AD1381" t="s">
        <v>24595</v>
      </c>
      <c r="AE1381" t="s">
        <v>24613</v>
      </c>
      <c r="AF1381">
        <v>35</v>
      </c>
      <c r="AG1381">
        <v>1</v>
      </c>
      <c r="AH1381">
        <v>0</v>
      </c>
      <c r="AI1381">
        <v>194.56</v>
      </c>
      <c r="AL1381" t="s">
        <v>5011</v>
      </c>
      <c r="AM1381">
        <v>24300</v>
      </c>
      <c r="AS1381">
        <v>0</v>
      </c>
      <c r="AU1381" t="s">
        <v>66</v>
      </c>
      <c r="AV1381" t="s">
        <v>25335</v>
      </c>
      <c r="AW1381" t="s">
        <v>11447</v>
      </c>
    </row>
    <row r="1382" spans="1:49">
      <c r="A1382" s="1">
        <f>HYPERLINK("https://lsnyc.legalserver.org/matter/dynamic-profile/view/1915043","19-1915043")</f>
        <v>0</v>
      </c>
      <c r="B1382" t="s">
        <v>222</v>
      </c>
      <c r="C1382" t="s">
        <v>521</v>
      </c>
      <c r="E1382" t="s">
        <v>1720</v>
      </c>
      <c r="F1382" t="s">
        <v>4422</v>
      </c>
      <c r="G1382" t="s">
        <v>7380</v>
      </c>
      <c r="H1382" t="s">
        <v>10481</v>
      </c>
      <c r="I1382" t="s">
        <v>11385</v>
      </c>
      <c r="J1382">
        <v>11225</v>
      </c>
      <c r="K1382" t="s">
        <v>11446</v>
      </c>
      <c r="N1382" t="s">
        <v>14781</v>
      </c>
      <c r="P1382" t="s">
        <v>14797</v>
      </c>
      <c r="Q1382" t="s">
        <v>11446</v>
      </c>
      <c r="S1382" t="s">
        <v>14827</v>
      </c>
      <c r="U1382" t="s">
        <v>460</v>
      </c>
      <c r="V1382">
        <v>0</v>
      </c>
      <c r="W1382" t="s">
        <v>14859</v>
      </c>
      <c r="Z1382" t="s">
        <v>16171</v>
      </c>
      <c r="AB1382" t="s">
        <v>19344</v>
      </c>
      <c r="AC1382">
        <v>0</v>
      </c>
      <c r="AF1382">
        <v>0</v>
      </c>
      <c r="AG1382">
        <v>2</v>
      </c>
      <c r="AH1382">
        <v>0</v>
      </c>
      <c r="AI1382">
        <v>2509.76</v>
      </c>
      <c r="AL1382" t="s">
        <v>5011</v>
      </c>
      <c r="AM1382">
        <v>424400</v>
      </c>
      <c r="AS1382">
        <v>0</v>
      </c>
      <c r="AU1382" t="s">
        <v>75</v>
      </c>
      <c r="AV1382" t="s">
        <v>25335</v>
      </c>
      <c r="AW1382" t="s">
        <v>11447</v>
      </c>
    </row>
    <row r="1383" spans="1:49">
      <c r="A1383" s="1">
        <f>HYPERLINK("https://lsnyc.legalserver.org/matter/dynamic-profile/view/1913309","19-1913309")</f>
        <v>0</v>
      </c>
      <c r="B1383" t="s">
        <v>104</v>
      </c>
      <c r="C1383" t="s">
        <v>483</v>
      </c>
      <c r="E1383" t="s">
        <v>1329</v>
      </c>
      <c r="F1383" t="s">
        <v>4426</v>
      </c>
      <c r="G1383" t="s">
        <v>7172</v>
      </c>
      <c r="H1383">
        <v>612</v>
      </c>
      <c r="I1383" t="s">
        <v>11386</v>
      </c>
      <c r="J1383">
        <v>10029</v>
      </c>
      <c r="K1383" t="s">
        <v>11446</v>
      </c>
      <c r="M1383" t="s">
        <v>14746</v>
      </c>
      <c r="N1383" t="s">
        <v>14778</v>
      </c>
      <c r="P1383" t="s">
        <v>14797</v>
      </c>
      <c r="Q1383" t="s">
        <v>11446</v>
      </c>
      <c r="S1383" t="s">
        <v>14827</v>
      </c>
      <c r="T1383" t="s">
        <v>14832</v>
      </c>
      <c r="U1383" t="s">
        <v>511</v>
      </c>
      <c r="V1383">
        <v>0</v>
      </c>
      <c r="W1383" t="s">
        <v>14860</v>
      </c>
      <c r="X1383" t="s">
        <v>14876</v>
      </c>
      <c r="Z1383" t="s">
        <v>16180</v>
      </c>
      <c r="AB1383" t="s">
        <v>21253</v>
      </c>
      <c r="AC1383">
        <v>108</v>
      </c>
      <c r="AD1383" t="s">
        <v>24596</v>
      </c>
      <c r="AE1383" t="s">
        <v>24610</v>
      </c>
      <c r="AF1383">
        <v>23</v>
      </c>
      <c r="AG1383">
        <v>1</v>
      </c>
      <c r="AH1383">
        <v>0</v>
      </c>
      <c r="AI1383">
        <v>73.98</v>
      </c>
      <c r="AL1383" t="s">
        <v>24632</v>
      </c>
      <c r="AM1383">
        <v>9240</v>
      </c>
      <c r="AS1383">
        <v>0</v>
      </c>
      <c r="AU1383" t="s">
        <v>25266</v>
      </c>
      <c r="AV1383" t="s">
        <v>25335</v>
      </c>
      <c r="AW1383" t="s">
        <v>11447</v>
      </c>
    </row>
    <row r="1384" spans="1:49">
      <c r="A1384" s="1">
        <f>HYPERLINK("https://lsnyc.legalserver.org/matter/dynamic-profile/view/1911522","19-1911522")</f>
        <v>0</v>
      </c>
      <c r="B1384" t="s">
        <v>123</v>
      </c>
      <c r="C1384" t="s">
        <v>486</v>
      </c>
      <c r="E1384" t="s">
        <v>1887</v>
      </c>
      <c r="F1384" t="s">
        <v>3642</v>
      </c>
      <c r="G1384" t="s">
        <v>7293</v>
      </c>
      <c r="H1384" t="s">
        <v>10450</v>
      </c>
      <c r="I1384" t="s">
        <v>11385</v>
      </c>
      <c r="J1384">
        <v>11226</v>
      </c>
      <c r="K1384" t="s">
        <v>11446</v>
      </c>
      <c r="N1384" t="s">
        <v>14781</v>
      </c>
      <c r="P1384" t="s">
        <v>14797</v>
      </c>
      <c r="S1384" t="s">
        <v>14827</v>
      </c>
      <c r="U1384" t="s">
        <v>467</v>
      </c>
      <c r="V1384">
        <v>0</v>
      </c>
      <c r="W1384" t="s">
        <v>14859</v>
      </c>
      <c r="Z1384" t="s">
        <v>16146</v>
      </c>
      <c r="AA1384" t="s">
        <v>19433</v>
      </c>
      <c r="AB1384" t="s">
        <v>21226</v>
      </c>
      <c r="AC1384">
        <v>16</v>
      </c>
      <c r="AF1384">
        <v>0</v>
      </c>
      <c r="AG1384">
        <v>1</v>
      </c>
      <c r="AH1384">
        <v>0</v>
      </c>
      <c r="AI1384">
        <v>0</v>
      </c>
      <c r="AL1384" t="s">
        <v>5011</v>
      </c>
      <c r="AM1384">
        <v>0</v>
      </c>
      <c r="AS1384">
        <v>0</v>
      </c>
      <c r="AU1384" t="s">
        <v>75</v>
      </c>
      <c r="AV1384" t="s">
        <v>25335</v>
      </c>
      <c r="AW1384" t="s">
        <v>11447</v>
      </c>
    </row>
    <row r="1385" spans="1:49">
      <c r="A1385" s="1">
        <f>HYPERLINK("https://lsnyc.legalserver.org/matter/dynamic-profile/view/1911770","19-1911770")</f>
        <v>0</v>
      </c>
      <c r="B1385" t="s">
        <v>123</v>
      </c>
      <c r="C1385" t="s">
        <v>505</v>
      </c>
      <c r="E1385" t="s">
        <v>1886</v>
      </c>
      <c r="F1385" t="s">
        <v>1048</v>
      </c>
      <c r="G1385" t="s">
        <v>7293</v>
      </c>
      <c r="H1385">
        <v>1</v>
      </c>
      <c r="I1385" t="s">
        <v>11385</v>
      </c>
      <c r="J1385">
        <v>11226</v>
      </c>
      <c r="K1385" t="s">
        <v>11446</v>
      </c>
      <c r="N1385" t="s">
        <v>14781</v>
      </c>
      <c r="P1385" t="s">
        <v>14797</v>
      </c>
      <c r="S1385" t="s">
        <v>14827</v>
      </c>
      <c r="U1385" t="s">
        <v>467</v>
      </c>
      <c r="V1385">
        <v>0</v>
      </c>
      <c r="W1385" t="s">
        <v>14859</v>
      </c>
      <c r="AC1385">
        <v>16</v>
      </c>
      <c r="AF1385">
        <v>0</v>
      </c>
      <c r="AG1385">
        <v>1</v>
      </c>
      <c r="AH1385">
        <v>0</v>
      </c>
      <c r="AI1385">
        <v>0</v>
      </c>
      <c r="AL1385" t="s">
        <v>5011</v>
      </c>
      <c r="AM1385">
        <v>0</v>
      </c>
      <c r="AN1385" t="s">
        <v>24769</v>
      </c>
      <c r="AS1385">
        <v>0</v>
      </c>
      <c r="AU1385" t="s">
        <v>75</v>
      </c>
      <c r="AV1385" t="s">
        <v>25335</v>
      </c>
      <c r="AW1385" t="s">
        <v>11447</v>
      </c>
    </row>
    <row r="1386" spans="1:49">
      <c r="A1386" s="1">
        <f>HYPERLINK("https://lsnyc.legalserver.org/matter/dynamic-profile/view/1910677","19-1910677")</f>
        <v>0</v>
      </c>
      <c r="B1386" t="s">
        <v>229</v>
      </c>
      <c r="C1386" t="s">
        <v>644</v>
      </c>
      <c r="E1386" t="s">
        <v>1910</v>
      </c>
      <c r="F1386" t="s">
        <v>4427</v>
      </c>
      <c r="G1386" t="s">
        <v>7418</v>
      </c>
      <c r="I1386" t="s">
        <v>11387</v>
      </c>
      <c r="J1386">
        <v>11432</v>
      </c>
      <c r="K1386" t="s">
        <v>11446</v>
      </c>
      <c r="L1386" t="s">
        <v>11923</v>
      </c>
      <c r="M1386" t="s">
        <v>14743</v>
      </c>
      <c r="N1386" t="s">
        <v>14781</v>
      </c>
      <c r="P1386" t="s">
        <v>14797</v>
      </c>
      <c r="Q1386" t="s">
        <v>11448</v>
      </c>
      <c r="S1386" t="s">
        <v>14827</v>
      </c>
      <c r="T1386" t="s">
        <v>14832</v>
      </c>
      <c r="U1386" t="s">
        <v>467</v>
      </c>
      <c r="V1386">
        <v>2100</v>
      </c>
      <c r="W1386" t="s">
        <v>14861</v>
      </c>
      <c r="X1386" t="s">
        <v>14865</v>
      </c>
      <c r="Z1386" t="s">
        <v>16181</v>
      </c>
      <c r="AA1386" t="s">
        <v>19443</v>
      </c>
      <c r="AB1386" t="s">
        <v>21254</v>
      </c>
      <c r="AC1386">
        <v>2</v>
      </c>
      <c r="AD1386" t="s">
        <v>24600</v>
      </c>
      <c r="AE1386" t="s">
        <v>11459</v>
      </c>
      <c r="AF1386">
        <v>1</v>
      </c>
      <c r="AG1386">
        <v>2</v>
      </c>
      <c r="AH1386">
        <v>1</v>
      </c>
      <c r="AI1386">
        <v>34.67</v>
      </c>
      <c r="AL1386" t="s">
        <v>5011</v>
      </c>
      <c r="AM1386">
        <v>7396</v>
      </c>
      <c r="AS1386">
        <v>33.4</v>
      </c>
      <c r="AT1386" t="s">
        <v>537</v>
      </c>
      <c r="AU1386" t="s">
        <v>25233</v>
      </c>
      <c r="AV1386" t="s">
        <v>25335</v>
      </c>
      <c r="AW1386" t="s">
        <v>11447</v>
      </c>
    </row>
    <row r="1387" spans="1:49">
      <c r="A1387" s="1">
        <f>HYPERLINK("https://lsnyc.legalserver.org/matter/dynamic-profile/view/1911337","19-1911337")</f>
        <v>0</v>
      </c>
      <c r="B1387" t="s">
        <v>164</v>
      </c>
      <c r="C1387" t="s">
        <v>467</v>
      </c>
      <c r="E1387" t="s">
        <v>1194</v>
      </c>
      <c r="F1387" t="s">
        <v>4428</v>
      </c>
      <c r="G1387" t="s">
        <v>7419</v>
      </c>
      <c r="H1387" t="s">
        <v>10828</v>
      </c>
      <c r="I1387" t="s">
        <v>11384</v>
      </c>
      <c r="J1387">
        <v>10304</v>
      </c>
      <c r="K1387" t="s">
        <v>11446</v>
      </c>
      <c r="L1387" t="s">
        <v>11924</v>
      </c>
      <c r="M1387" t="s">
        <v>14744</v>
      </c>
      <c r="N1387" t="s">
        <v>14779</v>
      </c>
      <c r="P1387" t="s">
        <v>14797</v>
      </c>
      <c r="Q1387" t="s">
        <v>11448</v>
      </c>
      <c r="S1387" t="s">
        <v>14827</v>
      </c>
      <c r="U1387" t="s">
        <v>467</v>
      </c>
      <c r="V1387">
        <v>0</v>
      </c>
      <c r="W1387" t="s">
        <v>14862</v>
      </c>
      <c r="X1387" t="s">
        <v>14868</v>
      </c>
      <c r="Z1387" t="s">
        <v>16182</v>
      </c>
      <c r="AB1387" t="s">
        <v>21255</v>
      </c>
      <c r="AC1387">
        <v>2</v>
      </c>
      <c r="AD1387" t="s">
        <v>24600</v>
      </c>
      <c r="AE1387" t="s">
        <v>11459</v>
      </c>
      <c r="AF1387">
        <v>-1</v>
      </c>
      <c r="AG1387">
        <v>2</v>
      </c>
      <c r="AH1387">
        <v>1</v>
      </c>
      <c r="AI1387">
        <v>102.39</v>
      </c>
      <c r="AL1387" t="s">
        <v>5011</v>
      </c>
      <c r="AM1387">
        <v>21840</v>
      </c>
      <c r="AS1387">
        <v>1.3</v>
      </c>
      <c r="AT1387" t="s">
        <v>509</v>
      </c>
      <c r="AU1387" t="s">
        <v>164</v>
      </c>
      <c r="AV1387" t="s">
        <v>25335</v>
      </c>
      <c r="AW1387" t="s">
        <v>11447</v>
      </c>
    </row>
    <row r="1388" spans="1:49">
      <c r="A1388" s="1">
        <f>HYPERLINK("https://lsnyc.legalserver.org/matter/dynamic-profile/view/1913381","19-1913381")</f>
        <v>0</v>
      </c>
      <c r="B1388" t="s">
        <v>104</v>
      </c>
      <c r="C1388" t="s">
        <v>483</v>
      </c>
      <c r="E1388" t="s">
        <v>1329</v>
      </c>
      <c r="F1388" t="s">
        <v>4048</v>
      </c>
      <c r="G1388" t="s">
        <v>7172</v>
      </c>
      <c r="I1388" t="s">
        <v>11386</v>
      </c>
      <c r="J1388">
        <v>10029</v>
      </c>
      <c r="K1388" t="s">
        <v>11446</v>
      </c>
      <c r="M1388" t="s">
        <v>14746</v>
      </c>
      <c r="N1388" t="s">
        <v>14778</v>
      </c>
      <c r="P1388" t="s">
        <v>14797</v>
      </c>
      <c r="Q1388" t="s">
        <v>11446</v>
      </c>
      <c r="S1388" t="s">
        <v>14827</v>
      </c>
      <c r="T1388" t="s">
        <v>14832</v>
      </c>
      <c r="U1388" t="s">
        <v>467</v>
      </c>
      <c r="V1388">
        <v>511</v>
      </c>
      <c r="W1388" t="s">
        <v>14860</v>
      </c>
      <c r="X1388" t="s">
        <v>14876</v>
      </c>
      <c r="Z1388" t="s">
        <v>16183</v>
      </c>
      <c r="AB1388" t="s">
        <v>21256</v>
      </c>
      <c r="AC1388">
        <v>108</v>
      </c>
      <c r="AD1388" t="s">
        <v>24595</v>
      </c>
      <c r="AE1388" t="s">
        <v>11459</v>
      </c>
      <c r="AF1388">
        <v>34</v>
      </c>
      <c r="AG1388">
        <v>3</v>
      </c>
      <c r="AH1388">
        <v>0</v>
      </c>
      <c r="AI1388">
        <v>108.56</v>
      </c>
      <c r="AL1388" t="s">
        <v>24632</v>
      </c>
      <c r="AM1388">
        <v>23156</v>
      </c>
      <c r="AS1388">
        <v>1.5</v>
      </c>
      <c r="AT1388" t="s">
        <v>477</v>
      </c>
      <c r="AU1388" t="s">
        <v>25266</v>
      </c>
      <c r="AV1388" t="s">
        <v>25335</v>
      </c>
      <c r="AW1388" t="s">
        <v>11447</v>
      </c>
    </row>
    <row r="1389" spans="1:49">
      <c r="A1389" s="1">
        <f>HYPERLINK("https://lsnyc.legalserver.org/matter/dynamic-profile/view/1911355","19-1911355")</f>
        <v>0</v>
      </c>
      <c r="B1389" t="s">
        <v>190</v>
      </c>
      <c r="C1389" t="s">
        <v>467</v>
      </c>
      <c r="E1389" t="s">
        <v>1071</v>
      </c>
      <c r="F1389" t="s">
        <v>4381</v>
      </c>
      <c r="G1389" t="s">
        <v>7291</v>
      </c>
      <c r="H1389" t="s">
        <v>10542</v>
      </c>
      <c r="I1389" t="s">
        <v>11386</v>
      </c>
      <c r="J1389">
        <v>10034</v>
      </c>
      <c r="K1389" t="s">
        <v>11446</v>
      </c>
      <c r="N1389" t="s">
        <v>14782</v>
      </c>
      <c r="P1389" t="s">
        <v>14797</v>
      </c>
      <c r="Q1389" t="s">
        <v>11448</v>
      </c>
      <c r="S1389" t="s">
        <v>14827</v>
      </c>
      <c r="U1389" t="s">
        <v>467</v>
      </c>
      <c r="V1389">
        <v>0</v>
      </c>
      <c r="W1389" t="s">
        <v>14860</v>
      </c>
      <c r="X1389" t="s">
        <v>14867</v>
      </c>
      <c r="Z1389" t="s">
        <v>16092</v>
      </c>
      <c r="AB1389" t="s">
        <v>21174</v>
      </c>
      <c r="AC1389">
        <v>22</v>
      </c>
      <c r="AE1389" t="s">
        <v>24610</v>
      </c>
      <c r="AF1389">
        <v>0</v>
      </c>
      <c r="AG1389">
        <v>1</v>
      </c>
      <c r="AH1389">
        <v>0</v>
      </c>
      <c r="AI1389">
        <v>119.23</v>
      </c>
      <c r="AL1389" t="s">
        <v>24632</v>
      </c>
      <c r="AM1389">
        <v>14892</v>
      </c>
      <c r="AS1389">
        <v>1.8</v>
      </c>
      <c r="AT1389" t="s">
        <v>472</v>
      </c>
      <c r="AU1389" t="s">
        <v>137</v>
      </c>
      <c r="AV1389" t="s">
        <v>25335</v>
      </c>
      <c r="AW1389" t="s">
        <v>11447</v>
      </c>
    </row>
    <row r="1390" spans="1:49">
      <c r="A1390" s="1">
        <f>HYPERLINK("https://lsnyc.legalserver.org/matter/dynamic-profile/view/1911473","19-1911473")</f>
        <v>0</v>
      </c>
      <c r="B1390" t="s">
        <v>123</v>
      </c>
      <c r="C1390" t="s">
        <v>486</v>
      </c>
      <c r="E1390" t="s">
        <v>1803</v>
      </c>
      <c r="F1390" t="s">
        <v>4313</v>
      </c>
      <c r="G1390" t="s">
        <v>7293</v>
      </c>
      <c r="H1390" t="s">
        <v>10581</v>
      </c>
      <c r="I1390" t="s">
        <v>11385</v>
      </c>
      <c r="J1390">
        <v>11226</v>
      </c>
      <c r="K1390" t="s">
        <v>11446</v>
      </c>
      <c r="N1390" t="s">
        <v>14781</v>
      </c>
      <c r="P1390" t="s">
        <v>14797</v>
      </c>
      <c r="Q1390" t="s">
        <v>11448</v>
      </c>
      <c r="S1390" t="s">
        <v>14827</v>
      </c>
      <c r="U1390" t="s">
        <v>467</v>
      </c>
      <c r="V1390">
        <v>786.46</v>
      </c>
      <c r="W1390" t="s">
        <v>14859</v>
      </c>
      <c r="Z1390" t="s">
        <v>15990</v>
      </c>
      <c r="AB1390" t="s">
        <v>21077</v>
      </c>
      <c r="AC1390">
        <v>16</v>
      </c>
      <c r="AF1390">
        <v>19</v>
      </c>
      <c r="AG1390">
        <v>1</v>
      </c>
      <c r="AH1390">
        <v>0</v>
      </c>
      <c r="AI1390">
        <v>400.32</v>
      </c>
      <c r="AL1390" t="s">
        <v>5011</v>
      </c>
      <c r="AM1390">
        <v>50000</v>
      </c>
      <c r="AS1390">
        <v>1</v>
      </c>
      <c r="AT1390" t="s">
        <v>484</v>
      </c>
      <c r="AU1390" t="s">
        <v>75</v>
      </c>
      <c r="AV1390" t="s">
        <v>25335</v>
      </c>
      <c r="AW1390" t="s">
        <v>11447</v>
      </c>
    </row>
    <row r="1391" spans="1:49">
      <c r="A1391" s="1">
        <f>HYPERLINK("https://lsnyc.legalserver.org/matter/dynamic-profile/view/1911389","19-1911389")</f>
        <v>0</v>
      </c>
      <c r="B1391" t="s">
        <v>190</v>
      </c>
      <c r="C1391" t="s">
        <v>467</v>
      </c>
      <c r="E1391" t="s">
        <v>1911</v>
      </c>
      <c r="F1391" t="s">
        <v>4429</v>
      </c>
      <c r="G1391" t="s">
        <v>7349</v>
      </c>
      <c r="H1391" t="s">
        <v>10559</v>
      </c>
      <c r="I1391" t="s">
        <v>11386</v>
      </c>
      <c r="J1391">
        <v>10040</v>
      </c>
      <c r="K1391" t="s">
        <v>11446</v>
      </c>
      <c r="M1391" t="s">
        <v>14746</v>
      </c>
      <c r="N1391" t="s">
        <v>14781</v>
      </c>
      <c r="P1391" t="s">
        <v>14797</v>
      </c>
      <c r="Q1391" t="s">
        <v>11446</v>
      </c>
      <c r="S1391" t="s">
        <v>14827</v>
      </c>
      <c r="U1391" t="s">
        <v>467</v>
      </c>
      <c r="V1391">
        <v>1477.84</v>
      </c>
      <c r="W1391" t="s">
        <v>14860</v>
      </c>
      <c r="X1391" t="s">
        <v>14867</v>
      </c>
      <c r="Z1391" t="s">
        <v>16184</v>
      </c>
      <c r="AC1391">
        <v>77</v>
      </c>
      <c r="AD1391" t="s">
        <v>24595</v>
      </c>
      <c r="AE1391" t="s">
        <v>11459</v>
      </c>
      <c r="AF1391">
        <v>4</v>
      </c>
      <c r="AG1391">
        <v>2</v>
      </c>
      <c r="AH1391">
        <v>0</v>
      </c>
      <c r="AI1391">
        <v>405.61</v>
      </c>
      <c r="AL1391" t="s">
        <v>5011</v>
      </c>
      <c r="AM1391">
        <v>68588</v>
      </c>
      <c r="AS1391">
        <v>0.1</v>
      </c>
      <c r="AT1391" t="s">
        <v>472</v>
      </c>
      <c r="AU1391" t="s">
        <v>137</v>
      </c>
      <c r="AV1391" t="s">
        <v>25335</v>
      </c>
      <c r="AW1391" t="s">
        <v>11447</v>
      </c>
    </row>
    <row r="1392" spans="1:49">
      <c r="A1392" s="1">
        <f>HYPERLINK("https://lsnyc.legalserver.org/matter/dynamic-profile/view/1911513","19-1911513")</f>
        <v>0</v>
      </c>
      <c r="B1392" t="s">
        <v>105</v>
      </c>
      <c r="C1392" t="s">
        <v>486</v>
      </c>
      <c r="E1392" t="s">
        <v>1689</v>
      </c>
      <c r="F1392" t="s">
        <v>2002</v>
      </c>
      <c r="G1392" t="s">
        <v>7351</v>
      </c>
      <c r="H1392" t="s">
        <v>10749</v>
      </c>
      <c r="I1392" t="s">
        <v>11386</v>
      </c>
      <c r="J1392">
        <v>10040</v>
      </c>
      <c r="K1392" t="s">
        <v>11446</v>
      </c>
      <c r="M1392" t="s">
        <v>14763</v>
      </c>
      <c r="N1392" t="s">
        <v>14782</v>
      </c>
      <c r="P1392" t="s">
        <v>14797</v>
      </c>
      <c r="Q1392" t="s">
        <v>11446</v>
      </c>
      <c r="S1392" t="s">
        <v>14827</v>
      </c>
      <c r="U1392" t="s">
        <v>486</v>
      </c>
      <c r="V1392">
        <v>995.92</v>
      </c>
      <c r="W1392" t="s">
        <v>14860</v>
      </c>
      <c r="X1392" t="s">
        <v>14868</v>
      </c>
      <c r="Z1392" t="s">
        <v>15788</v>
      </c>
      <c r="AA1392" t="s">
        <v>19386</v>
      </c>
      <c r="AB1392" t="s">
        <v>20885</v>
      </c>
      <c r="AC1392">
        <v>44</v>
      </c>
      <c r="AD1392" t="s">
        <v>24595</v>
      </c>
      <c r="AE1392" t="s">
        <v>11459</v>
      </c>
      <c r="AF1392">
        <v>15</v>
      </c>
      <c r="AG1392">
        <v>2</v>
      </c>
      <c r="AH1392">
        <v>2</v>
      </c>
      <c r="AI1392">
        <v>50.49</v>
      </c>
      <c r="AL1392" t="s">
        <v>24632</v>
      </c>
      <c r="AM1392">
        <v>13000</v>
      </c>
      <c r="AS1392">
        <v>0.1</v>
      </c>
      <c r="AT1392" t="s">
        <v>586</v>
      </c>
      <c r="AU1392" t="s">
        <v>137</v>
      </c>
      <c r="AV1392" t="s">
        <v>25335</v>
      </c>
      <c r="AW1392" t="s">
        <v>11447</v>
      </c>
    </row>
    <row r="1393" spans="1:49">
      <c r="A1393" s="1">
        <f>HYPERLINK("https://lsnyc.legalserver.org/matter/dynamic-profile/view/1911516","19-1911516")</f>
        <v>0</v>
      </c>
      <c r="B1393" t="s">
        <v>105</v>
      </c>
      <c r="C1393" t="s">
        <v>486</v>
      </c>
      <c r="E1393" t="s">
        <v>1320</v>
      </c>
      <c r="F1393" t="s">
        <v>3696</v>
      </c>
      <c r="G1393" t="s">
        <v>7146</v>
      </c>
      <c r="H1393" t="s">
        <v>10471</v>
      </c>
      <c r="I1393" t="s">
        <v>11386</v>
      </c>
      <c r="J1393">
        <v>10040</v>
      </c>
      <c r="K1393" t="s">
        <v>11446</v>
      </c>
      <c r="M1393" t="s">
        <v>14763</v>
      </c>
      <c r="N1393" t="s">
        <v>14781</v>
      </c>
      <c r="P1393" t="s">
        <v>14797</v>
      </c>
      <c r="Q1393" t="s">
        <v>11446</v>
      </c>
      <c r="S1393" t="s">
        <v>14827</v>
      </c>
      <c r="U1393" t="s">
        <v>486</v>
      </c>
      <c r="V1393">
        <v>1134.04</v>
      </c>
      <c r="W1393" t="s">
        <v>14860</v>
      </c>
      <c r="X1393" t="s">
        <v>14868</v>
      </c>
      <c r="Z1393" t="s">
        <v>16185</v>
      </c>
      <c r="AA1393" t="s">
        <v>19444</v>
      </c>
      <c r="AB1393" t="s">
        <v>21257</v>
      </c>
      <c r="AC1393">
        <v>44</v>
      </c>
      <c r="AD1393" t="s">
        <v>24595</v>
      </c>
      <c r="AE1393" t="s">
        <v>24610</v>
      </c>
      <c r="AF1393">
        <v>36</v>
      </c>
      <c r="AG1393">
        <v>1</v>
      </c>
      <c r="AH1393">
        <v>0</v>
      </c>
      <c r="AI1393">
        <v>63.51</v>
      </c>
      <c r="AL1393" t="s">
        <v>24632</v>
      </c>
      <c r="AM1393">
        <v>7932</v>
      </c>
      <c r="AS1393">
        <v>0.1</v>
      </c>
      <c r="AT1393" t="s">
        <v>586</v>
      </c>
      <c r="AU1393" t="s">
        <v>137</v>
      </c>
      <c r="AV1393" t="s">
        <v>25335</v>
      </c>
      <c r="AW1393" t="s">
        <v>11447</v>
      </c>
    </row>
    <row r="1394" spans="1:49">
      <c r="A1394" s="1">
        <f>HYPERLINK("https://lsnyc.legalserver.org/matter/dynamic-profile/view/1911480","19-1911480")</f>
        <v>0</v>
      </c>
      <c r="B1394" t="s">
        <v>216</v>
      </c>
      <c r="C1394" t="s">
        <v>486</v>
      </c>
      <c r="E1394" t="s">
        <v>1296</v>
      </c>
      <c r="F1394" t="s">
        <v>4430</v>
      </c>
      <c r="G1394" t="s">
        <v>7420</v>
      </c>
      <c r="H1394">
        <v>611</v>
      </c>
      <c r="I1394" t="s">
        <v>11386</v>
      </c>
      <c r="J1394">
        <v>10032</v>
      </c>
      <c r="K1394" t="s">
        <v>11446</v>
      </c>
      <c r="L1394" t="s">
        <v>11925</v>
      </c>
      <c r="M1394" t="s">
        <v>14743</v>
      </c>
      <c r="N1394" t="s">
        <v>14782</v>
      </c>
      <c r="P1394" t="s">
        <v>14797</v>
      </c>
      <c r="Q1394" t="s">
        <v>11448</v>
      </c>
      <c r="S1394" t="s">
        <v>14827</v>
      </c>
      <c r="U1394" t="s">
        <v>486</v>
      </c>
      <c r="V1394">
        <v>156</v>
      </c>
      <c r="W1394" t="s">
        <v>14860</v>
      </c>
      <c r="X1394" t="s">
        <v>14867</v>
      </c>
      <c r="Z1394" t="s">
        <v>16186</v>
      </c>
      <c r="AB1394" t="s">
        <v>21258</v>
      </c>
      <c r="AC1394">
        <v>13</v>
      </c>
      <c r="AD1394" t="s">
        <v>24595</v>
      </c>
      <c r="AE1394" t="s">
        <v>24610</v>
      </c>
      <c r="AF1394">
        <v>4</v>
      </c>
      <c r="AG1394">
        <v>1</v>
      </c>
      <c r="AH1394">
        <v>0</v>
      </c>
      <c r="AI1394">
        <v>66.58</v>
      </c>
      <c r="AL1394" t="s">
        <v>5011</v>
      </c>
      <c r="AM1394">
        <v>8316</v>
      </c>
      <c r="AS1394">
        <v>4.2</v>
      </c>
      <c r="AT1394" t="s">
        <v>537</v>
      </c>
      <c r="AU1394" t="s">
        <v>137</v>
      </c>
      <c r="AV1394" t="s">
        <v>25335</v>
      </c>
      <c r="AW1394" t="s">
        <v>11447</v>
      </c>
    </row>
    <row r="1395" spans="1:49">
      <c r="A1395" s="1">
        <f>HYPERLINK("https://lsnyc.legalserver.org/matter/dynamic-profile/view/1911030","19-1911030")</f>
        <v>0</v>
      </c>
      <c r="B1395" t="s">
        <v>166</v>
      </c>
      <c r="C1395" t="s">
        <v>486</v>
      </c>
      <c r="E1395" t="s">
        <v>1912</v>
      </c>
      <c r="F1395" t="s">
        <v>4431</v>
      </c>
      <c r="G1395" t="s">
        <v>6802</v>
      </c>
      <c r="H1395" t="s">
        <v>10615</v>
      </c>
      <c r="I1395" t="s">
        <v>11384</v>
      </c>
      <c r="J1395">
        <v>10304</v>
      </c>
      <c r="K1395" t="s">
        <v>11448</v>
      </c>
      <c r="L1395" t="s">
        <v>11926</v>
      </c>
      <c r="M1395" t="s">
        <v>14744</v>
      </c>
      <c r="P1395" t="s">
        <v>14797</v>
      </c>
      <c r="Q1395" t="s">
        <v>11448</v>
      </c>
      <c r="S1395" t="s">
        <v>14827</v>
      </c>
      <c r="T1395" t="s">
        <v>14832</v>
      </c>
      <c r="U1395" t="s">
        <v>486</v>
      </c>
      <c r="V1395">
        <v>661</v>
      </c>
      <c r="W1395" t="s">
        <v>14862</v>
      </c>
      <c r="X1395" t="s">
        <v>14880</v>
      </c>
      <c r="Z1395" t="s">
        <v>16187</v>
      </c>
      <c r="AB1395" t="s">
        <v>21259</v>
      </c>
      <c r="AC1395">
        <v>403</v>
      </c>
      <c r="AD1395" t="s">
        <v>24596</v>
      </c>
      <c r="AE1395" t="s">
        <v>11459</v>
      </c>
      <c r="AF1395">
        <v>1</v>
      </c>
      <c r="AG1395">
        <v>2</v>
      </c>
      <c r="AH1395">
        <v>1</v>
      </c>
      <c r="AI1395">
        <v>74.26000000000001</v>
      </c>
      <c r="AL1395" t="s">
        <v>5011</v>
      </c>
      <c r="AM1395">
        <v>15840</v>
      </c>
      <c r="AS1395">
        <v>6.55</v>
      </c>
      <c r="AT1395" t="s">
        <v>654</v>
      </c>
      <c r="AU1395" t="s">
        <v>25270</v>
      </c>
      <c r="AV1395" t="s">
        <v>11459</v>
      </c>
      <c r="AW1395" t="s">
        <v>11447</v>
      </c>
    </row>
    <row r="1396" spans="1:49">
      <c r="A1396" s="1">
        <f>HYPERLINK("https://lsnyc.legalserver.org/matter/dynamic-profile/view/1911547","19-1911547")</f>
        <v>0</v>
      </c>
      <c r="B1396" t="s">
        <v>105</v>
      </c>
      <c r="C1396" t="s">
        <v>486</v>
      </c>
      <c r="E1396" t="s">
        <v>1190</v>
      </c>
      <c r="F1396" t="s">
        <v>4432</v>
      </c>
      <c r="G1396" t="s">
        <v>7146</v>
      </c>
      <c r="H1396" t="s">
        <v>10620</v>
      </c>
      <c r="I1396" t="s">
        <v>11386</v>
      </c>
      <c r="J1396">
        <v>10040</v>
      </c>
      <c r="K1396" t="s">
        <v>11446</v>
      </c>
      <c r="M1396" t="s">
        <v>14763</v>
      </c>
      <c r="N1396" t="s">
        <v>14782</v>
      </c>
      <c r="P1396" t="s">
        <v>14797</v>
      </c>
      <c r="Q1396" t="s">
        <v>11446</v>
      </c>
      <c r="S1396" t="s">
        <v>14827</v>
      </c>
      <c r="U1396" t="s">
        <v>486</v>
      </c>
      <c r="V1396">
        <v>952</v>
      </c>
      <c r="W1396" t="s">
        <v>14860</v>
      </c>
      <c r="X1396" t="s">
        <v>14868</v>
      </c>
      <c r="Z1396" t="s">
        <v>15820</v>
      </c>
      <c r="AB1396" t="s">
        <v>21260</v>
      </c>
      <c r="AC1396">
        <v>44</v>
      </c>
      <c r="AD1396" t="s">
        <v>24595</v>
      </c>
      <c r="AE1396" t="s">
        <v>11459</v>
      </c>
      <c r="AF1396">
        <v>24</v>
      </c>
      <c r="AG1396">
        <v>2</v>
      </c>
      <c r="AH1396">
        <v>1</v>
      </c>
      <c r="AI1396">
        <v>93.76000000000001</v>
      </c>
      <c r="AL1396" t="s">
        <v>24632</v>
      </c>
      <c r="AM1396">
        <v>20000</v>
      </c>
      <c r="AS1396">
        <v>0.1</v>
      </c>
      <c r="AT1396" t="s">
        <v>586</v>
      </c>
      <c r="AU1396" t="s">
        <v>137</v>
      </c>
      <c r="AV1396" t="s">
        <v>25335</v>
      </c>
      <c r="AW1396" t="s">
        <v>11447</v>
      </c>
    </row>
    <row r="1397" spans="1:49">
      <c r="A1397" s="1">
        <f>HYPERLINK("https://lsnyc.legalserver.org/matter/dynamic-profile/view/1911553","19-1911553")</f>
        <v>0</v>
      </c>
      <c r="B1397" t="s">
        <v>105</v>
      </c>
      <c r="C1397" t="s">
        <v>486</v>
      </c>
      <c r="E1397" t="s">
        <v>1913</v>
      </c>
      <c r="F1397" t="s">
        <v>3843</v>
      </c>
      <c r="G1397" t="s">
        <v>7146</v>
      </c>
      <c r="H1397" t="s">
        <v>10595</v>
      </c>
      <c r="I1397" t="s">
        <v>11386</v>
      </c>
      <c r="J1397">
        <v>10040</v>
      </c>
      <c r="K1397" t="s">
        <v>11446</v>
      </c>
      <c r="M1397" t="s">
        <v>14763</v>
      </c>
      <c r="N1397" t="s">
        <v>14781</v>
      </c>
      <c r="P1397" t="s">
        <v>14797</v>
      </c>
      <c r="Q1397" t="s">
        <v>11446</v>
      </c>
      <c r="S1397" t="s">
        <v>14827</v>
      </c>
      <c r="U1397" t="s">
        <v>486</v>
      </c>
      <c r="V1397">
        <v>211</v>
      </c>
      <c r="W1397" t="s">
        <v>14860</v>
      </c>
      <c r="X1397" t="s">
        <v>14868</v>
      </c>
      <c r="Z1397" t="s">
        <v>14981</v>
      </c>
      <c r="AB1397" t="s">
        <v>21261</v>
      </c>
      <c r="AC1397">
        <v>44</v>
      </c>
      <c r="AD1397" t="s">
        <v>24595</v>
      </c>
      <c r="AE1397" t="s">
        <v>24610</v>
      </c>
      <c r="AF1397">
        <v>24</v>
      </c>
      <c r="AG1397">
        <v>1</v>
      </c>
      <c r="AH1397">
        <v>0</v>
      </c>
      <c r="AI1397">
        <v>100.39</v>
      </c>
      <c r="AL1397" t="s">
        <v>24632</v>
      </c>
      <c r="AM1397">
        <v>12539</v>
      </c>
      <c r="AS1397">
        <v>0.1</v>
      </c>
      <c r="AT1397" t="s">
        <v>586</v>
      </c>
      <c r="AU1397" t="s">
        <v>137</v>
      </c>
      <c r="AV1397" t="s">
        <v>25335</v>
      </c>
      <c r="AW1397" t="s">
        <v>11447</v>
      </c>
    </row>
    <row r="1398" spans="1:49">
      <c r="A1398" s="1">
        <f>HYPERLINK("https://lsnyc.legalserver.org/matter/dynamic-profile/view/1910651","19-1910651")</f>
        <v>0</v>
      </c>
      <c r="B1398" t="s">
        <v>164</v>
      </c>
      <c r="C1398" t="s">
        <v>486</v>
      </c>
      <c r="E1398" t="s">
        <v>1914</v>
      </c>
      <c r="F1398" t="s">
        <v>4433</v>
      </c>
      <c r="G1398" t="s">
        <v>7421</v>
      </c>
      <c r="I1398" t="s">
        <v>11384</v>
      </c>
      <c r="J1398">
        <v>10304</v>
      </c>
      <c r="K1398" t="s">
        <v>11446</v>
      </c>
      <c r="L1398" t="s">
        <v>11927</v>
      </c>
      <c r="M1398" t="s">
        <v>14743</v>
      </c>
      <c r="N1398" t="s">
        <v>14778</v>
      </c>
      <c r="P1398" t="s">
        <v>14797</v>
      </c>
      <c r="Q1398" t="s">
        <v>11448</v>
      </c>
      <c r="S1398" t="s">
        <v>14827</v>
      </c>
      <c r="T1398" t="s">
        <v>14832</v>
      </c>
      <c r="U1398" t="s">
        <v>486</v>
      </c>
      <c r="V1398">
        <v>0</v>
      </c>
      <c r="W1398" t="s">
        <v>14862</v>
      </c>
      <c r="X1398" t="s">
        <v>14868</v>
      </c>
      <c r="Z1398" t="s">
        <v>16188</v>
      </c>
      <c r="AB1398" t="s">
        <v>21262</v>
      </c>
      <c r="AC1398">
        <v>1</v>
      </c>
      <c r="AD1398" t="s">
        <v>24600</v>
      </c>
      <c r="AE1398" t="s">
        <v>11459</v>
      </c>
      <c r="AF1398">
        <v>23</v>
      </c>
      <c r="AG1398">
        <v>1</v>
      </c>
      <c r="AH1398">
        <v>1</v>
      </c>
      <c r="AI1398">
        <v>113.54</v>
      </c>
      <c r="AL1398" t="s">
        <v>5011</v>
      </c>
      <c r="AM1398">
        <v>19200</v>
      </c>
      <c r="AS1398">
        <v>2.8</v>
      </c>
      <c r="AT1398" t="s">
        <v>516</v>
      </c>
      <c r="AU1398" t="s">
        <v>25283</v>
      </c>
      <c r="AV1398" t="s">
        <v>25335</v>
      </c>
      <c r="AW1398" t="s">
        <v>11447</v>
      </c>
    </row>
    <row r="1399" spans="1:49">
      <c r="A1399" s="1">
        <f>HYPERLINK("https://lsnyc.legalserver.org/matter/dynamic-profile/view/1911491","19-1911491")</f>
        <v>0</v>
      </c>
      <c r="B1399" t="s">
        <v>105</v>
      </c>
      <c r="C1399" t="s">
        <v>486</v>
      </c>
      <c r="E1399" t="s">
        <v>1096</v>
      </c>
      <c r="F1399" t="s">
        <v>4190</v>
      </c>
      <c r="G1399" t="s">
        <v>7146</v>
      </c>
      <c r="H1399" t="s">
        <v>10529</v>
      </c>
      <c r="I1399" t="s">
        <v>11386</v>
      </c>
      <c r="J1399">
        <v>10040</v>
      </c>
      <c r="K1399" t="s">
        <v>11446</v>
      </c>
      <c r="M1399" t="s">
        <v>14763</v>
      </c>
      <c r="N1399" t="s">
        <v>14781</v>
      </c>
      <c r="P1399" t="s">
        <v>14797</v>
      </c>
      <c r="Q1399" t="s">
        <v>11446</v>
      </c>
      <c r="S1399" t="s">
        <v>14827</v>
      </c>
      <c r="U1399" t="s">
        <v>486</v>
      </c>
      <c r="V1399">
        <v>1230.2</v>
      </c>
      <c r="W1399" t="s">
        <v>14860</v>
      </c>
      <c r="X1399" t="s">
        <v>14868</v>
      </c>
      <c r="Z1399" t="s">
        <v>15790</v>
      </c>
      <c r="AB1399" t="s">
        <v>20887</v>
      </c>
      <c r="AC1399">
        <v>44</v>
      </c>
      <c r="AD1399" t="s">
        <v>24595</v>
      </c>
      <c r="AE1399" t="s">
        <v>24610</v>
      </c>
      <c r="AF1399">
        <v>23</v>
      </c>
      <c r="AG1399">
        <v>1</v>
      </c>
      <c r="AH1399">
        <v>0</v>
      </c>
      <c r="AI1399">
        <v>114.43</v>
      </c>
      <c r="AL1399" t="s">
        <v>24632</v>
      </c>
      <c r="AM1399">
        <v>14292</v>
      </c>
      <c r="AS1399">
        <v>0.1</v>
      </c>
      <c r="AT1399" t="s">
        <v>586</v>
      </c>
      <c r="AU1399" t="s">
        <v>137</v>
      </c>
      <c r="AV1399" t="s">
        <v>25335</v>
      </c>
      <c r="AW1399" t="s">
        <v>11447</v>
      </c>
    </row>
    <row r="1400" spans="1:49">
      <c r="A1400" s="1">
        <f>HYPERLINK("https://lsnyc.legalserver.org/matter/dynamic-profile/view/1911002","19-1911002")</f>
        <v>0</v>
      </c>
      <c r="B1400" t="s">
        <v>164</v>
      </c>
      <c r="C1400" t="s">
        <v>486</v>
      </c>
      <c r="E1400" t="s">
        <v>1915</v>
      </c>
      <c r="F1400" t="s">
        <v>3901</v>
      </c>
      <c r="G1400" t="s">
        <v>7422</v>
      </c>
      <c r="H1400" t="s">
        <v>10829</v>
      </c>
      <c r="I1400" t="s">
        <v>11384</v>
      </c>
      <c r="J1400">
        <v>10304</v>
      </c>
      <c r="K1400" t="s">
        <v>11446</v>
      </c>
      <c r="L1400" t="s">
        <v>11928</v>
      </c>
      <c r="M1400" t="s">
        <v>14744</v>
      </c>
      <c r="N1400" t="s">
        <v>14781</v>
      </c>
      <c r="P1400" t="s">
        <v>14797</v>
      </c>
      <c r="Q1400" t="s">
        <v>11448</v>
      </c>
      <c r="S1400" t="s">
        <v>14827</v>
      </c>
      <c r="T1400" t="s">
        <v>14832</v>
      </c>
      <c r="U1400" t="s">
        <v>486</v>
      </c>
      <c r="V1400">
        <v>749</v>
      </c>
      <c r="W1400" t="s">
        <v>14862</v>
      </c>
      <c r="X1400" t="s">
        <v>14868</v>
      </c>
      <c r="Z1400" t="s">
        <v>16189</v>
      </c>
      <c r="AB1400" t="s">
        <v>21263</v>
      </c>
      <c r="AC1400">
        <v>404</v>
      </c>
      <c r="AD1400" t="s">
        <v>24596</v>
      </c>
      <c r="AE1400" t="s">
        <v>24610</v>
      </c>
      <c r="AF1400">
        <v>20</v>
      </c>
      <c r="AG1400">
        <v>3</v>
      </c>
      <c r="AH1400">
        <v>0</v>
      </c>
      <c r="AI1400">
        <v>130.55</v>
      </c>
      <c r="AL1400" t="s">
        <v>5011</v>
      </c>
      <c r="AM1400">
        <v>27846</v>
      </c>
      <c r="AS1400">
        <v>3.65</v>
      </c>
      <c r="AT1400" t="s">
        <v>495</v>
      </c>
      <c r="AU1400" t="s">
        <v>25270</v>
      </c>
      <c r="AV1400" t="s">
        <v>25335</v>
      </c>
      <c r="AW1400" t="s">
        <v>11447</v>
      </c>
    </row>
    <row r="1401" spans="1:49">
      <c r="A1401" s="1">
        <f>HYPERLINK("https://lsnyc.legalserver.org/matter/dynamic-profile/view/1911493","19-1911493")</f>
        <v>0</v>
      </c>
      <c r="B1401" t="s">
        <v>105</v>
      </c>
      <c r="C1401" t="s">
        <v>486</v>
      </c>
      <c r="E1401" t="s">
        <v>1691</v>
      </c>
      <c r="F1401" t="s">
        <v>4191</v>
      </c>
      <c r="G1401" t="s">
        <v>7146</v>
      </c>
      <c r="H1401" t="s">
        <v>10559</v>
      </c>
      <c r="I1401" t="s">
        <v>11386</v>
      </c>
      <c r="J1401">
        <v>10040</v>
      </c>
      <c r="K1401" t="s">
        <v>11446</v>
      </c>
      <c r="M1401" t="s">
        <v>14763</v>
      </c>
      <c r="N1401" t="s">
        <v>14781</v>
      </c>
      <c r="P1401" t="s">
        <v>14797</v>
      </c>
      <c r="Q1401" t="s">
        <v>11446</v>
      </c>
      <c r="S1401" t="s">
        <v>14827</v>
      </c>
      <c r="U1401" t="s">
        <v>486</v>
      </c>
      <c r="V1401">
        <v>983.6</v>
      </c>
      <c r="W1401" t="s">
        <v>14860</v>
      </c>
      <c r="X1401" t="s">
        <v>14868</v>
      </c>
      <c r="Z1401" t="s">
        <v>15791</v>
      </c>
      <c r="AB1401" t="s">
        <v>20888</v>
      </c>
      <c r="AC1401">
        <v>44</v>
      </c>
      <c r="AD1401" t="s">
        <v>24595</v>
      </c>
      <c r="AE1401" t="s">
        <v>24613</v>
      </c>
      <c r="AF1401">
        <v>25</v>
      </c>
      <c r="AG1401">
        <v>2</v>
      </c>
      <c r="AH1401">
        <v>0</v>
      </c>
      <c r="AI1401">
        <v>154.68</v>
      </c>
      <c r="AL1401" t="s">
        <v>24632</v>
      </c>
      <c r="AM1401">
        <v>26156</v>
      </c>
      <c r="AS1401">
        <v>0.1</v>
      </c>
      <c r="AT1401" t="s">
        <v>586</v>
      </c>
      <c r="AU1401" t="s">
        <v>137</v>
      </c>
      <c r="AV1401" t="s">
        <v>25335</v>
      </c>
      <c r="AW1401" t="s">
        <v>11447</v>
      </c>
    </row>
    <row r="1402" spans="1:49">
      <c r="A1402" s="1">
        <f>HYPERLINK("https://lsnyc.legalserver.org/matter/dynamic-profile/view/1911533","19-1911533")</f>
        <v>0</v>
      </c>
      <c r="B1402" t="s">
        <v>105</v>
      </c>
      <c r="C1402" t="s">
        <v>486</v>
      </c>
      <c r="E1402" t="s">
        <v>1916</v>
      </c>
      <c r="F1402" t="s">
        <v>3683</v>
      </c>
      <c r="G1402" t="s">
        <v>7146</v>
      </c>
      <c r="I1402" t="s">
        <v>11386</v>
      </c>
      <c r="J1402">
        <v>10040</v>
      </c>
      <c r="K1402" t="s">
        <v>11446</v>
      </c>
      <c r="M1402" t="s">
        <v>14763</v>
      </c>
      <c r="N1402" t="s">
        <v>14781</v>
      </c>
      <c r="P1402" t="s">
        <v>14797</v>
      </c>
      <c r="Q1402" t="s">
        <v>11446</v>
      </c>
      <c r="S1402" t="s">
        <v>14827</v>
      </c>
      <c r="U1402" t="s">
        <v>486</v>
      </c>
      <c r="V1402">
        <v>10296</v>
      </c>
      <c r="W1402" t="s">
        <v>14860</v>
      </c>
      <c r="X1402" t="s">
        <v>14868</v>
      </c>
      <c r="Z1402" t="s">
        <v>16190</v>
      </c>
      <c r="AB1402" t="s">
        <v>21264</v>
      </c>
      <c r="AC1402">
        <v>44</v>
      </c>
      <c r="AD1402" t="s">
        <v>24595</v>
      </c>
      <c r="AE1402" t="s">
        <v>11459</v>
      </c>
      <c r="AF1402">
        <v>11</v>
      </c>
      <c r="AG1402">
        <v>3</v>
      </c>
      <c r="AH1402">
        <v>0</v>
      </c>
      <c r="AI1402">
        <v>173.46</v>
      </c>
      <c r="AL1402" t="s">
        <v>24632</v>
      </c>
      <c r="AM1402">
        <v>37000</v>
      </c>
      <c r="AS1402">
        <v>0.1</v>
      </c>
      <c r="AT1402" t="s">
        <v>586</v>
      </c>
      <c r="AU1402" t="s">
        <v>137</v>
      </c>
      <c r="AV1402" t="s">
        <v>25335</v>
      </c>
      <c r="AW1402" t="s">
        <v>11447</v>
      </c>
    </row>
    <row r="1403" spans="1:49">
      <c r="A1403" s="1">
        <f>HYPERLINK("https://lsnyc.legalserver.org/matter/dynamic-profile/view/1911557","19-1911557")</f>
        <v>0</v>
      </c>
      <c r="B1403" t="s">
        <v>105</v>
      </c>
      <c r="C1403" t="s">
        <v>486</v>
      </c>
      <c r="E1403" t="s">
        <v>1126</v>
      </c>
      <c r="F1403" t="s">
        <v>4434</v>
      </c>
      <c r="G1403" t="s">
        <v>7146</v>
      </c>
      <c r="H1403" t="s">
        <v>10598</v>
      </c>
      <c r="I1403" t="s">
        <v>11386</v>
      </c>
      <c r="J1403">
        <v>10040</v>
      </c>
      <c r="K1403" t="s">
        <v>11446</v>
      </c>
      <c r="M1403" t="s">
        <v>14763</v>
      </c>
      <c r="N1403" t="s">
        <v>14781</v>
      </c>
      <c r="P1403" t="s">
        <v>14797</v>
      </c>
      <c r="Q1403" t="s">
        <v>11446</v>
      </c>
      <c r="S1403" t="s">
        <v>14827</v>
      </c>
      <c r="U1403" t="s">
        <v>486</v>
      </c>
      <c r="V1403">
        <v>700</v>
      </c>
      <c r="W1403" t="s">
        <v>14860</v>
      </c>
      <c r="X1403" t="s">
        <v>14867</v>
      </c>
      <c r="Z1403" t="s">
        <v>16191</v>
      </c>
      <c r="AB1403" t="s">
        <v>21265</v>
      </c>
      <c r="AC1403">
        <v>44</v>
      </c>
      <c r="AD1403" t="s">
        <v>24595</v>
      </c>
      <c r="AE1403" t="s">
        <v>11459</v>
      </c>
      <c r="AF1403">
        <v>47</v>
      </c>
      <c r="AG1403">
        <v>1</v>
      </c>
      <c r="AH1403">
        <v>0</v>
      </c>
      <c r="AI1403">
        <v>187.64</v>
      </c>
      <c r="AL1403" t="s">
        <v>24632</v>
      </c>
      <c r="AM1403">
        <v>23436</v>
      </c>
      <c r="AS1403">
        <v>0.1</v>
      </c>
      <c r="AT1403" t="s">
        <v>586</v>
      </c>
      <c r="AU1403" t="s">
        <v>137</v>
      </c>
      <c r="AV1403" t="s">
        <v>25335</v>
      </c>
      <c r="AW1403" t="s">
        <v>11447</v>
      </c>
    </row>
    <row r="1404" spans="1:49">
      <c r="A1404" s="1">
        <f>HYPERLINK("https://lsnyc.legalserver.org/matter/dynamic-profile/view/1911549","19-1911549")</f>
        <v>0</v>
      </c>
      <c r="B1404" t="s">
        <v>105</v>
      </c>
      <c r="C1404" t="s">
        <v>486</v>
      </c>
      <c r="E1404" t="s">
        <v>1244</v>
      </c>
      <c r="F1404" t="s">
        <v>2719</v>
      </c>
      <c r="G1404" t="s">
        <v>7146</v>
      </c>
      <c r="H1404" t="s">
        <v>10482</v>
      </c>
      <c r="I1404" t="s">
        <v>11386</v>
      </c>
      <c r="J1404">
        <v>10040</v>
      </c>
      <c r="K1404" t="s">
        <v>11446</v>
      </c>
      <c r="M1404" t="s">
        <v>14763</v>
      </c>
      <c r="N1404" t="s">
        <v>14781</v>
      </c>
      <c r="P1404" t="s">
        <v>14797</v>
      </c>
      <c r="Q1404" t="s">
        <v>11446</v>
      </c>
      <c r="S1404" t="s">
        <v>14827</v>
      </c>
      <c r="U1404" t="s">
        <v>486</v>
      </c>
      <c r="V1404">
        <v>1600</v>
      </c>
      <c r="W1404" t="s">
        <v>14860</v>
      </c>
      <c r="X1404" t="s">
        <v>14868</v>
      </c>
      <c r="Z1404" t="s">
        <v>16192</v>
      </c>
      <c r="AB1404" t="s">
        <v>21266</v>
      </c>
      <c r="AC1404">
        <v>44</v>
      </c>
      <c r="AD1404" t="s">
        <v>24595</v>
      </c>
      <c r="AE1404" t="s">
        <v>11459</v>
      </c>
      <c r="AF1404">
        <v>39</v>
      </c>
      <c r="AG1404">
        <v>4</v>
      </c>
      <c r="AH1404">
        <v>2</v>
      </c>
      <c r="AI1404">
        <v>193.7</v>
      </c>
      <c r="AL1404" t="s">
        <v>5011</v>
      </c>
      <c r="AM1404">
        <v>67000</v>
      </c>
      <c r="AS1404">
        <v>0.1</v>
      </c>
      <c r="AT1404" t="s">
        <v>586</v>
      </c>
      <c r="AU1404" t="s">
        <v>137</v>
      </c>
      <c r="AV1404" t="s">
        <v>25335</v>
      </c>
      <c r="AW1404" t="s">
        <v>11447</v>
      </c>
    </row>
    <row r="1405" spans="1:49">
      <c r="A1405" s="1">
        <f>HYPERLINK("https://lsnyc.legalserver.org/matter/dynamic-profile/view/1911559","19-1911559")</f>
        <v>0</v>
      </c>
      <c r="B1405" t="s">
        <v>105</v>
      </c>
      <c r="C1405" t="s">
        <v>486</v>
      </c>
      <c r="E1405" t="s">
        <v>1690</v>
      </c>
      <c r="F1405" t="s">
        <v>4189</v>
      </c>
      <c r="G1405" t="s">
        <v>7146</v>
      </c>
      <c r="H1405" t="s">
        <v>10529</v>
      </c>
      <c r="I1405" t="s">
        <v>11386</v>
      </c>
      <c r="J1405">
        <v>10040</v>
      </c>
      <c r="K1405" t="s">
        <v>11446</v>
      </c>
      <c r="M1405" t="s">
        <v>14763</v>
      </c>
      <c r="N1405" t="s">
        <v>14781</v>
      </c>
      <c r="P1405" t="s">
        <v>14797</v>
      </c>
      <c r="Q1405" t="s">
        <v>11446</v>
      </c>
      <c r="S1405" t="s">
        <v>14827</v>
      </c>
      <c r="U1405" t="s">
        <v>486</v>
      </c>
      <c r="V1405">
        <v>1231.45</v>
      </c>
      <c r="W1405" t="s">
        <v>14860</v>
      </c>
      <c r="X1405" t="s">
        <v>14868</v>
      </c>
      <c r="Z1405" t="s">
        <v>15789</v>
      </c>
      <c r="AB1405" t="s">
        <v>20886</v>
      </c>
      <c r="AC1405">
        <v>44</v>
      </c>
      <c r="AD1405" t="s">
        <v>24595</v>
      </c>
      <c r="AE1405" t="s">
        <v>11459</v>
      </c>
      <c r="AF1405">
        <v>13</v>
      </c>
      <c r="AG1405">
        <v>2</v>
      </c>
      <c r="AH1405">
        <v>0</v>
      </c>
      <c r="AI1405">
        <v>226.64</v>
      </c>
      <c r="AL1405" t="s">
        <v>24632</v>
      </c>
      <c r="AM1405">
        <v>38324</v>
      </c>
      <c r="AS1405">
        <v>0.1</v>
      </c>
      <c r="AT1405" t="s">
        <v>586</v>
      </c>
      <c r="AU1405" t="s">
        <v>137</v>
      </c>
      <c r="AV1405" t="s">
        <v>25335</v>
      </c>
      <c r="AW1405" t="s">
        <v>11447</v>
      </c>
    </row>
    <row r="1406" spans="1:49">
      <c r="A1406" s="1">
        <f>HYPERLINK("https://lsnyc.legalserver.org/matter/dynamic-profile/view/1911593","19-1911593")</f>
        <v>0</v>
      </c>
      <c r="B1406" t="s">
        <v>105</v>
      </c>
      <c r="C1406" t="s">
        <v>526</v>
      </c>
      <c r="E1406" t="s">
        <v>1096</v>
      </c>
      <c r="F1406" t="s">
        <v>4190</v>
      </c>
      <c r="G1406" t="s">
        <v>7146</v>
      </c>
      <c r="H1406" t="s">
        <v>10529</v>
      </c>
      <c r="I1406" t="s">
        <v>11386</v>
      </c>
      <c r="J1406">
        <v>10040</v>
      </c>
      <c r="K1406" t="s">
        <v>11446</v>
      </c>
      <c r="M1406" t="s">
        <v>14762</v>
      </c>
      <c r="N1406" t="s">
        <v>14781</v>
      </c>
      <c r="P1406" t="s">
        <v>14797</v>
      </c>
      <c r="Q1406" t="s">
        <v>11446</v>
      </c>
      <c r="S1406" t="s">
        <v>14827</v>
      </c>
      <c r="U1406" t="s">
        <v>526</v>
      </c>
      <c r="V1406">
        <v>1230.4</v>
      </c>
      <c r="W1406" t="s">
        <v>14860</v>
      </c>
      <c r="X1406" t="s">
        <v>14868</v>
      </c>
      <c r="Z1406" t="s">
        <v>15790</v>
      </c>
      <c r="AB1406" t="s">
        <v>20887</v>
      </c>
      <c r="AC1406">
        <v>44</v>
      </c>
      <c r="AD1406" t="s">
        <v>24595</v>
      </c>
      <c r="AE1406" t="s">
        <v>24610</v>
      </c>
      <c r="AF1406">
        <v>23</v>
      </c>
      <c r="AG1406">
        <v>1</v>
      </c>
      <c r="AH1406">
        <v>0</v>
      </c>
      <c r="AI1406">
        <v>114.43</v>
      </c>
      <c r="AL1406" t="s">
        <v>24632</v>
      </c>
      <c r="AM1406">
        <v>14292</v>
      </c>
      <c r="AS1406">
        <v>0</v>
      </c>
      <c r="AU1406" t="s">
        <v>137</v>
      </c>
      <c r="AV1406" t="s">
        <v>25335</v>
      </c>
      <c r="AW1406" t="s">
        <v>11447</v>
      </c>
    </row>
    <row r="1407" spans="1:49">
      <c r="A1407" s="1">
        <f>HYPERLINK("https://lsnyc.legalserver.org/matter/dynamic-profile/view/1911615","19-1911615")</f>
        <v>0</v>
      </c>
      <c r="B1407" t="s">
        <v>105</v>
      </c>
      <c r="C1407" t="s">
        <v>526</v>
      </c>
      <c r="E1407" t="s">
        <v>1691</v>
      </c>
      <c r="F1407" t="s">
        <v>4191</v>
      </c>
      <c r="G1407" t="s">
        <v>7146</v>
      </c>
      <c r="H1407" t="s">
        <v>10559</v>
      </c>
      <c r="I1407" t="s">
        <v>11386</v>
      </c>
      <c r="J1407">
        <v>10040</v>
      </c>
      <c r="K1407" t="s">
        <v>11446</v>
      </c>
      <c r="M1407" t="s">
        <v>14762</v>
      </c>
      <c r="N1407" t="s">
        <v>14781</v>
      </c>
      <c r="P1407" t="s">
        <v>14797</v>
      </c>
      <c r="Q1407" t="s">
        <v>11446</v>
      </c>
      <c r="S1407" t="s">
        <v>14827</v>
      </c>
      <c r="U1407" t="s">
        <v>526</v>
      </c>
      <c r="V1407">
        <v>983.6</v>
      </c>
      <c r="W1407" t="s">
        <v>14860</v>
      </c>
      <c r="X1407" t="s">
        <v>14868</v>
      </c>
      <c r="Z1407" t="s">
        <v>15791</v>
      </c>
      <c r="AB1407" t="s">
        <v>20888</v>
      </c>
      <c r="AC1407">
        <v>44</v>
      </c>
      <c r="AD1407" t="s">
        <v>24595</v>
      </c>
      <c r="AE1407" t="s">
        <v>11459</v>
      </c>
      <c r="AF1407">
        <v>25</v>
      </c>
      <c r="AG1407">
        <v>2</v>
      </c>
      <c r="AH1407">
        <v>0</v>
      </c>
      <c r="AI1407">
        <v>154.68</v>
      </c>
      <c r="AL1407" t="s">
        <v>24632</v>
      </c>
      <c r="AM1407">
        <v>26156</v>
      </c>
      <c r="AS1407">
        <v>0</v>
      </c>
      <c r="AU1407" t="s">
        <v>137</v>
      </c>
      <c r="AV1407" t="s">
        <v>25335</v>
      </c>
      <c r="AW1407" t="s">
        <v>11447</v>
      </c>
    </row>
    <row r="1408" spans="1:49">
      <c r="A1408" s="1">
        <f>HYPERLINK("https://lsnyc.legalserver.org/matter/dynamic-profile/view/1911458","19-1911458")</f>
        <v>0</v>
      </c>
      <c r="B1408" t="s">
        <v>87</v>
      </c>
      <c r="C1408" t="s">
        <v>486</v>
      </c>
      <c r="E1408" t="s">
        <v>1372</v>
      </c>
      <c r="F1408" t="s">
        <v>4426</v>
      </c>
      <c r="G1408" t="s">
        <v>7321</v>
      </c>
      <c r="H1408" t="s">
        <v>10830</v>
      </c>
      <c r="I1408" t="s">
        <v>11384</v>
      </c>
      <c r="J1408">
        <v>10301</v>
      </c>
      <c r="K1408" t="s">
        <v>11446</v>
      </c>
      <c r="L1408" t="s">
        <v>11474</v>
      </c>
      <c r="M1408" t="s">
        <v>11601</v>
      </c>
      <c r="N1408" t="s">
        <v>14778</v>
      </c>
      <c r="P1408" t="s">
        <v>14797</v>
      </c>
      <c r="Q1408" t="s">
        <v>11448</v>
      </c>
      <c r="S1408" t="s">
        <v>14827</v>
      </c>
      <c r="T1408" t="s">
        <v>14832</v>
      </c>
      <c r="U1408" t="s">
        <v>526</v>
      </c>
      <c r="V1408">
        <v>1595</v>
      </c>
      <c r="W1408" t="s">
        <v>14862</v>
      </c>
      <c r="X1408" t="s">
        <v>14866</v>
      </c>
      <c r="Z1408" t="s">
        <v>16193</v>
      </c>
      <c r="AB1408" t="s">
        <v>21267</v>
      </c>
      <c r="AC1408">
        <v>224</v>
      </c>
      <c r="AD1408" t="s">
        <v>24596</v>
      </c>
      <c r="AE1408" t="s">
        <v>24610</v>
      </c>
      <c r="AF1408">
        <v>3</v>
      </c>
      <c r="AG1408">
        <v>1</v>
      </c>
      <c r="AH1408">
        <v>2</v>
      </c>
      <c r="AI1408">
        <v>165.78</v>
      </c>
      <c r="AL1408" t="s">
        <v>5011</v>
      </c>
      <c r="AM1408">
        <v>35360</v>
      </c>
      <c r="AS1408">
        <v>2.8</v>
      </c>
      <c r="AT1408" t="s">
        <v>495</v>
      </c>
      <c r="AU1408" t="s">
        <v>25229</v>
      </c>
      <c r="AV1408" t="s">
        <v>25335</v>
      </c>
      <c r="AW1408" t="s">
        <v>11447</v>
      </c>
    </row>
    <row r="1409" spans="1:49">
      <c r="A1409" s="1">
        <f>HYPERLINK("https://lsnyc.legalserver.org/matter/dynamic-profile/view/1911604","19-1911604")</f>
        <v>0</v>
      </c>
      <c r="B1409" t="s">
        <v>105</v>
      </c>
      <c r="C1409" t="s">
        <v>526</v>
      </c>
      <c r="E1409" t="s">
        <v>1690</v>
      </c>
      <c r="F1409" t="s">
        <v>4189</v>
      </c>
      <c r="G1409" t="s">
        <v>7146</v>
      </c>
      <c r="H1409" t="s">
        <v>10529</v>
      </c>
      <c r="I1409" t="s">
        <v>11386</v>
      </c>
      <c r="J1409">
        <v>10040</v>
      </c>
      <c r="K1409" t="s">
        <v>11446</v>
      </c>
      <c r="M1409" t="s">
        <v>14762</v>
      </c>
      <c r="N1409" t="s">
        <v>14781</v>
      </c>
      <c r="P1409" t="s">
        <v>14797</v>
      </c>
      <c r="Q1409" t="s">
        <v>11446</v>
      </c>
      <c r="S1409" t="s">
        <v>14827</v>
      </c>
      <c r="U1409" t="s">
        <v>526</v>
      </c>
      <c r="V1409">
        <v>1231.45</v>
      </c>
      <c r="W1409" t="s">
        <v>14860</v>
      </c>
      <c r="X1409" t="s">
        <v>14868</v>
      </c>
      <c r="Z1409" t="s">
        <v>15789</v>
      </c>
      <c r="AB1409" t="s">
        <v>20886</v>
      </c>
      <c r="AC1409">
        <v>44</v>
      </c>
      <c r="AD1409" t="s">
        <v>24595</v>
      </c>
      <c r="AE1409" t="s">
        <v>11459</v>
      </c>
      <c r="AF1409">
        <v>13</v>
      </c>
      <c r="AG1409">
        <v>2</v>
      </c>
      <c r="AH1409">
        <v>0</v>
      </c>
      <c r="AI1409">
        <v>226.64</v>
      </c>
      <c r="AL1409" t="s">
        <v>24632</v>
      </c>
      <c r="AM1409">
        <v>38324</v>
      </c>
      <c r="AS1409">
        <v>0</v>
      </c>
      <c r="AU1409" t="s">
        <v>137</v>
      </c>
      <c r="AV1409" t="s">
        <v>25335</v>
      </c>
      <c r="AW1409" t="s">
        <v>11447</v>
      </c>
    </row>
    <row r="1410" spans="1:49">
      <c r="A1410" s="1">
        <f>HYPERLINK("https://lsnyc.legalserver.org/matter/dynamic-profile/view/1911652","19-1911652")</f>
        <v>0</v>
      </c>
      <c r="B1410" t="s">
        <v>232</v>
      </c>
      <c r="C1410" t="s">
        <v>526</v>
      </c>
      <c r="E1410" t="s">
        <v>1644</v>
      </c>
      <c r="F1410" t="s">
        <v>4435</v>
      </c>
      <c r="G1410" t="s">
        <v>7423</v>
      </c>
      <c r="H1410" t="s">
        <v>10831</v>
      </c>
      <c r="I1410" t="s">
        <v>11386</v>
      </c>
      <c r="J1410">
        <v>10033</v>
      </c>
      <c r="K1410" t="s">
        <v>11448</v>
      </c>
      <c r="N1410" t="s">
        <v>14782</v>
      </c>
      <c r="P1410" t="s">
        <v>14797</v>
      </c>
      <c r="Q1410" t="s">
        <v>11448</v>
      </c>
      <c r="S1410" t="s">
        <v>14827</v>
      </c>
      <c r="U1410" t="s">
        <v>526</v>
      </c>
      <c r="V1410">
        <v>1319.95</v>
      </c>
      <c r="W1410" t="s">
        <v>14860</v>
      </c>
      <c r="X1410" t="s">
        <v>14867</v>
      </c>
      <c r="Z1410" t="s">
        <v>16194</v>
      </c>
      <c r="AB1410" t="s">
        <v>21268</v>
      </c>
      <c r="AC1410">
        <v>480</v>
      </c>
      <c r="AD1410" t="s">
        <v>24595</v>
      </c>
      <c r="AE1410" t="s">
        <v>11459</v>
      </c>
      <c r="AF1410">
        <v>18</v>
      </c>
      <c r="AG1410">
        <v>2</v>
      </c>
      <c r="AH1410">
        <v>0</v>
      </c>
      <c r="AI1410">
        <v>255.47</v>
      </c>
      <c r="AL1410" t="s">
        <v>5011</v>
      </c>
      <c r="AM1410">
        <v>43200</v>
      </c>
      <c r="AS1410">
        <v>4.3</v>
      </c>
      <c r="AT1410" t="s">
        <v>537</v>
      </c>
      <c r="AU1410" t="s">
        <v>137</v>
      </c>
      <c r="AV1410" t="s">
        <v>25335</v>
      </c>
      <c r="AW1410" t="s">
        <v>11447</v>
      </c>
    </row>
    <row r="1411" spans="1:49">
      <c r="A1411" s="1">
        <f>HYPERLINK("https://lsnyc.legalserver.org/matter/dynamic-profile/view/1911581","19-1911581")</f>
        <v>0</v>
      </c>
      <c r="B1411" t="s">
        <v>172</v>
      </c>
      <c r="C1411" t="s">
        <v>526</v>
      </c>
      <c r="E1411" t="s">
        <v>1095</v>
      </c>
      <c r="F1411" t="s">
        <v>4436</v>
      </c>
      <c r="G1411" t="s">
        <v>7424</v>
      </c>
      <c r="H1411" t="s">
        <v>10620</v>
      </c>
      <c r="I1411" t="s">
        <v>11386</v>
      </c>
      <c r="J1411">
        <v>10034</v>
      </c>
      <c r="K1411" t="s">
        <v>11446</v>
      </c>
      <c r="M1411" t="s">
        <v>14746</v>
      </c>
      <c r="N1411" t="s">
        <v>14781</v>
      </c>
      <c r="P1411" t="s">
        <v>14797</v>
      </c>
      <c r="Q1411" t="s">
        <v>11446</v>
      </c>
      <c r="S1411" t="s">
        <v>14827</v>
      </c>
      <c r="U1411" t="s">
        <v>526</v>
      </c>
      <c r="V1411">
        <v>1500</v>
      </c>
      <c r="W1411" t="s">
        <v>14860</v>
      </c>
      <c r="X1411" t="s">
        <v>14867</v>
      </c>
      <c r="Z1411" t="s">
        <v>16195</v>
      </c>
      <c r="AB1411" t="s">
        <v>21269</v>
      </c>
      <c r="AC1411">
        <v>43</v>
      </c>
      <c r="AD1411" t="s">
        <v>24595</v>
      </c>
      <c r="AE1411" t="s">
        <v>11459</v>
      </c>
      <c r="AF1411">
        <v>1</v>
      </c>
      <c r="AG1411">
        <v>2</v>
      </c>
      <c r="AH1411">
        <v>0</v>
      </c>
      <c r="AI1411">
        <v>279.91</v>
      </c>
      <c r="AJ1411" t="s">
        <v>491</v>
      </c>
      <c r="AK1411" t="s">
        <v>24629</v>
      </c>
      <c r="AL1411" t="s">
        <v>5011</v>
      </c>
      <c r="AM1411">
        <v>47333</v>
      </c>
      <c r="AS1411">
        <v>0.1</v>
      </c>
      <c r="AT1411" t="s">
        <v>586</v>
      </c>
      <c r="AU1411" t="s">
        <v>137</v>
      </c>
      <c r="AV1411" t="s">
        <v>25335</v>
      </c>
      <c r="AW1411" t="s">
        <v>11447</v>
      </c>
    </row>
    <row r="1412" spans="1:49">
      <c r="A1412" s="1">
        <f>HYPERLINK("https://lsnyc.legalserver.org/matter/dynamic-profile/view/1911660","19-1911660")</f>
        <v>0</v>
      </c>
      <c r="B1412" t="s">
        <v>232</v>
      </c>
      <c r="C1412" t="s">
        <v>526</v>
      </c>
      <c r="E1412" t="s">
        <v>1917</v>
      </c>
      <c r="F1412" t="s">
        <v>4437</v>
      </c>
      <c r="G1412" t="s">
        <v>7425</v>
      </c>
      <c r="H1412" t="s">
        <v>10476</v>
      </c>
      <c r="I1412" t="s">
        <v>11386</v>
      </c>
      <c r="J1412">
        <v>10040</v>
      </c>
      <c r="K1412" t="s">
        <v>11446</v>
      </c>
      <c r="N1412" t="s">
        <v>14782</v>
      </c>
      <c r="P1412" t="s">
        <v>14797</v>
      </c>
      <c r="Q1412" t="s">
        <v>11448</v>
      </c>
      <c r="S1412" t="s">
        <v>14827</v>
      </c>
      <c r="U1412" t="s">
        <v>526</v>
      </c>
      <c r="V1412">
        <v>1850</v>
      </c>
      <c r="W1412" t="s">
        <v>14860</v>
      </c>
      <c r="X1412" t="s">
        <v>14877</v>
      </c>
      <c r="Z1412" t="s">
        <v>16196</v>
      </c>
      <c r="AB1412" t="s">
        <v>21270</v>
      </c>
      <c r="AC1412">
        <v>33</v>
      </c>
      <c r="AD1412" t="s">
        <v>24600</v>
      </c>
      <c r="AE1412" t="s">
        <v>11459</v>
      </c>
      <c r="AF1412">
        <v>4</v>
      </c>
      <c r="AG1412">
        <v>2</v>
      </c>
      <c r="AH1412">
        <v>0</v>
      </c>
      <c r="AI1412">
        <v>751.03</v>
      </c>
      <c r="AL1412" t="s">
        <v>5011</v>
      </c>
      <c r="AM1412">
        <v>127000</v>
      </c>
      <c r="AS1412">
        <v>2</v>
      </c>
      <c r="AT1412" t="s">
        <v>559</v>
      </c>
      <c r="AU1412" t="s">
        <v>137</v>
      </c>
      <c r="AV1412" t="s">
        <v>25335</v>
      </c>
      <c r="AW1412" t="s">
        <v>11447</v>
      </c>
    </row>
    <row r="1413" spans="1:49">
      <c r="A1413" s="1">
        <f>HYPERLINK("https://lsnyc.legalserver.org/matter/dynamic-profile/view/1911459","19-1911459")</f>
        <v>0</v>
      </c>
      <c r="B1413" t="s">
        <v>205</v>
      </c>
      <c r="C1413" t="s">
        <v>486</v>
      </c>
      <c r="E1413" t="s">
        <v>1918</v>
      </c>
      <c r="F1413" t="s">
        <v>4438</v>
      </c>
      <c r="G1413" t="s">
        <v>7426</v>
      </c>
      <c r="H1413" t="s">
        <v>10665</v>
      </c>
      <c r="I1413" t="s">
        <v>11386</v>
      </c>
      <c r="J1413">
        <v>10029</v>
      </c>
      <c r="K1413" t="s">
        <v>11446</v>
      </c>
      <c r="M1413" t="s">
        <v>11601</v>
      </c>
      <c r="N1413" t="s">
        <v>14782</v>
      </c>
      <c r="P1413" t="s">
        <v>14797</v>
      </c>
      <c r="Q1413" t="s">
        <v>11448</v>
      </c>
      <c r="R1413" t="s">
        <v>14797</v>
      </c>
      <c r="S1413" t="s">
        <v>14827</v>
      </c>
      <c r="T1413" t="s">
        <v>14832</v>
      </c>
      <c r="U1413" t="s">
        <v>505</v>
      </c>
      <c r="V1413">
        <v>2000</v>
      </c>
      <c r="W1413" t="s">
        <v>14860</v>
      </c>
      <c r="X1413" t="s">
        <v>14866</v>
      </c>
      <c r="Z1413" t="s">
        <v>16197</v>
      </c>
      <c r="AB1413" t="s">
        <v>21271</v>
      </c>
      <c r="AC1413">
        <v>16</v>
      </c>
      <c r="AD1413" t="s">
        <v>24595</v>
      </c>
      <c r="AF1413">
        <v>5</v>
      </c>
      <c r="AG1413">
        <v>1</v>
      </c>
      <c r="AH1413">
        <v>0</v>
      </c>
      <c r="AI1413">
        <v>0</v>
      </c>
      <c r="AL1413" t="s">
        <v>5011</v>
      </c>
      <c r="AM1413">
        <v>0</v>
      </c>
      <c r="AS1413">
        <v>4.6</v>
      </c>
      <c r="AT1413" t="s">
        <v>490</v>
      </c>
      <c r="AU1413" t="s">
        <v>25241</v>
      </c>
      <c r="AV1413" t="s">
        <v>25335</v>
      </c>
      <c r="AW1413" t="s">
        <v>11447</v>
      </c>
    </row>
    <row r="1414" spans="1:49">
      <c r="A1414" s="1">
        <f>HYPERLINK("https://lsnyc.legalserver.org/matter/dynamic-profile/view/1911742","19-1911742")</f>
        <v>0</v>
      </c>
      <c r="B1414" t="s">
        <v>222</v>
      </c>
      <c r="C1414" t="s">
        <v>505</v>
      </c>
      <c r="E1414" t="s">
        <v>1724</v>
      </c>
      <c r="F1414" t="s">
        <v>4166</v>
      </c>
      <c r="G1414" t="s">
        <v>7427</v>
      </c>
      <c r="H1414" t="s">
        <v>10493</v>
      </c>
      <c r="I1414" t="s">
        <v>11385</v>
      </c>
      <c r="J1414">
        <v>11232</v>
      </c>
      <c r="K1414" t="s">
        <v>11446</v>
      </c>
      <c r="M1414" t="s">
        <v>14745</v>
      </c>
      <c r="N1414" t="s">
        <v>14780</v>
      </c>
      <c r="P1414" t="s">
        <v>14797</v>
      </c>
      <c r="S1414" t="s">
        <v>14829</v>
      </c>
      <c r="U1414" t="s">
        <v>505</v>
      </c>
      <c r="V1414">
        <v>0</v>
      </c>
      <c r="W1414" t="s">
        <v>14859</v>
      </c>
      <c r="Z1414" t="s">
        <v>16198</v>
      </c>
      <c r="AC1414">
        <v>8</v>
      </c>
      <c r="AF1414">
        <v>0</v>
      </c>
      <c r="AG1414">
        <v>1</v>
      </c>
      <c r="AH1414">
        <v>3</v>
      </c>
      <c r="AI1414">
        <v>11.65</v>
      </c>
      <c r="AL1414" t="s">
        <v>24632</v>
      </c>
      <c r="AM1414">
        <v>3000</v>
      </c>
      <c r="AS1414">
        <v>12.4</v>
      </c>
      <c r="AT1414" t="s">
        <v>509</v>
      </c>
      <c r="AU1414" t="s">
        <v>25284</v>
      </c>
      <c r="AV1414" t="s">
        <v>25335</v>
      </c>
      <c r="AW1414" t="s">
        <v>11447</v>
      </c>
    </row>
    <row r="1415" spans="1:49">
      <c r="A1415" s="1">
        <f>HYPERLINK("https://lsnyc.legalserver.org/matter/dynamic-profile/view/1911683","19-1911683")</f>
        <v>0</v>
      </c>
      <c r="B1415" t="s">
        <v>56</v>
      </c>
      <c r="C1415" t="s">
        <v>505</v>
      </c>
      <c r="E1415" t="s">
        <v>1615</v>
      </c>
      <c r="F1415" t="s">
        <v>3719</v>
      </c>
      <c r="G1415" t="s">
        <v>7428</v>
      </c>
      <c r="H1415" t="s">
        <v>10513</v>
      </c>
      <c r="I1415" t="s">
        <v>11385</v>
      </c>
      <c r="J1415">
        <v>11236</v>
      </c>
      <c r="K1415" t="s">
        <v>11446</v>
      </c>
      <c r="L1415" t="s">
        <v>11929</v>
      </c>
      <c r="M1415" t="s">
        <v>14743</v>
      </c>
      <c r="N1415" t="s">
        <v>14781</v>
      </c>
      <c r="P1415" t="s">
        <v>14797</v>
      </c>
      <c r="Q1415" t="s">
        <v>11448</v>
      </c>
      <c r="S1415" t="s">
        <v>14827</v>
      </c>
      <c r="T1415" t="s">
        <v>14837</v>
      </c>
      <c r="U1415" t="s">
        <v>505</v>
      </c>
      <c r="V1415">
        <v>1600</v>
      </c>
      <c r="W1415" t="s">
        <v>14859</v>
      </c>
      <c r="X1415" t="s">
        <v>14870</v>
      </c>
      <c r="Z1415" t="s">
        <v>16199</v>
      </c>
      <c r="AB1415" t="s">
        <v>21272</v>
      </c>
      <c r="AC1415">
        <v>3</v>
      </c>
      <c r="AD1415" t="s">
        <v>24600</v>
      </c>
      <c r="AE1415" t="s">
        <v>24611</v>
      </c>
      <c r="AF1415">
        <v>1</v>
      </c>
      <c r="AG1415">
        <v>1</v>
      </c>
      <c r="AH1415">
        <v>0</v>
      </c>
      <c r="AI1415">
        <v>22.1</v>
      </c>
      <c r="AL1415" t="s">
        <v>5011</v>
      </c>
      <c r="AM1415">
        <v>2760</v>
      </c>
      <c r="AS1415">
        <v>5</v>
      </c>
      <c r="AT1415" t="s">
        <v>592</v>
      </c>
      <c r="AU1415" t="s">
        <v>120</v>
      </c>
      <c r="AV1415" t="s">
        <v>25335</v>
      </c>
      <c r="AW1415" t="s">
        <v>11447</v>
      </c>
    </row>
    <row r="1416" spans="1:49">
      <c r="A1416" s="1">
        <f>HYPERLINK("https://lsnyc.legalserver.org/matter/dynamic-profile/view/1911731","19-1911731")</f>
        <v>0</v>
      </c>
      <c r="B1416" t="s">
        <v>55</v>
      </c>
      <c r="C1416" t="s">
        <v>505</v>
      </c>
      <c r="E1416" t="s">
        <v>1789</v>
      </c>
      <c r="F1416" t="s">
        <v>3699</v>
      </c>
      <c r="G1416" t="s">
        <v>7271</v>
      </c>
      <c r="H1416" t="s">
        <v>10686</v>
      </c>
      <c r="I1416" t="s">
        <v>11386</v>
      </c>
      <c r="J1416">
        <v>10032</v>
      </c>
      <c r="K1416" t="s">
        <v>11446</v>
      </c>
      <c r="M1416" t="s">
        <v>14743</v>
      </c>
      <c r="N1416" t="s">
        <v>14781</v>
      </c>
      <c r="P1416" t="s">
        <v>14797</v>
      </c>
      <c r="Q1416" t="s">
        <v>11448</v>
      </c>
      <c r="S1416" t="s">
        <v>14827</v>
      </c>
      <c r="U1416" t="s">
        <v>505</v>
      </c>
      <c r="V1416">
        <v>370</v>
      </c>
      <c r="W1416" t="s">
        <v>14860</v>
      </c>
      <c r="X1416" t="s">
        <v>14868</v>
      </c>
      <c r="Z1416" t="s">
        <v>15962</v>
      </c>
      <c r="AB1416" t="s">
        <v>21052</v>
      </c>
      <c r="AC1416">
        <v>69</v>
      </c>
      <c r="AD1416" t="s">
        <v>24595</v>
      </c>
      <c r="AE1416" t="s">
        <v>11459</v>
      </c>
      <c r="AF1416">
        <v>9</v>
      </c>
      <c r="AG1416">
        <v>3</v>
      </c>
      <c r="AH1416">
        <v>0</v>
      </c>
      <c r="AI1416">
        <v>109.7</v>
      </c>
      <c r="AL1416" t="s">
        <v>24632</v>
      </c>
      <c r="AM1416">
        <v>23400</v>
      </c>
      <c r="AS1416">
        <v>9.300000000000001</v>
      </c>
      <c r="AT1416" t="s">
        <v>477</v>
      </c>
      <c r="AU1416" t="s">
        <v>137</v>
      </c>
      <c r="AV1416" t="s">
        <v>25335</v>
      </c>
      <c r="AW1416" t="s">
        <v>11447</v>
      </c>
    </row>
    <row r="1417" spans="1:49">
      <c r="A1417" s="1">
        <f>HYPERLINK("https://lsnyc.legalserver.org/matter/dynamic-profile/view/1911733","19-1911733")</f>
        <v>0</v>
      </c>
      <c r="B1417" t="s">
        <v>56</v>
      </c>
      <c r="C1417" t="s">
        <v>505</v>
      </c>
      <c r="E1417" t="s">
        <v>1524</v>
      </c>
      <c r="F1417" t="s">
        <v>4439</v>
      </c>
      <c r="G1417" t="s">
        <v>7429</v>
      </c>
      <c r="H1417" t="s">
        <v>10522</v>
      </c>
      <c r="I1417" t="s">
        <v>11385</v>
      </c>
      <c r="J1417">
        <v>11206</v>
      </c>
      <c r="K1417" t="s">
        <v>11446</v>
      </c>
      <c r="L1417" t="s">
        <v>11707</v>
      </c>
      <c r="M1417" t="s">
        <v>14743</v>
      </c>
      <c r="P1417" t="s">
        <v>14797</v>
      </c>
      <c r="Q1417" t="s">
        <v>11448</v>
      </c>
      <c r="S1417" t="s">
        <v>14827</v>
      </c>
      <c r="T1417" t="s">
        <v>14832</v>
      </c>
      <c r="U1417" t="s">
        <v>505</v>
      </c>
      <c r="V1417">
        <v>711</v>
      </c>
      <c r="W1417" t="s">
        <v>14859</v>
      </c>
      <c r="X1417" t="s">
        <v>14755</v>
      </c>
      <c r="Z1417" t="s">
        <v>16200</v>
      </c>
      <c r="AA1417" t="s">
        <v>19445</v>
      </c>
      <c r="AB1417" t="s">
        <v>21273</v>
      </c>
      <c r="AC1417">
        <v>82</v>
      </c>
      <c r="AD1417" t="s">
        <v>24595</v>
      </c>
      <c r="AE1417" t="s">
        <v>11459</v>
      </c>
      <c r="AF1417">
        <v>8</v>
      </c>
      <c r="AG1417">
        <v>1</v>
      </c>
      <c r="AH1417">
        <v>4</v>
      </c>
      <c r="AI1417">
        <v>112.03</v>
      </c>
      <c r="AL1417" t="s">
        <v>5011</v>
      </c>
      <c r="AM1417">
        <v>33800</v>
      </c>
      <c r="AS1417">
        <v>0</v>
      </c>
      <c r="AU1417" t="s">
        <v>25285</v>
      </c>
      <c r="AV1417" t="s">
        <v>25335</v>
      </c>
      <c r="AW1417" t="s">
        <v>11447</v>
      </c>
    </row>
    <row r="1418" spans="1:49">
      <c r="A1418" s="1">
        <f>HYPERLINK("https://lsnyc.legalserver.org/matter/dynamic-profile/view/1912104","19-1912104")</f>
        <v>0</v>
      </c>
      <c r="B1418" t="s">
        <v>56</v>
      </c>
      <c r="C1418" t="s">
        <v>551</v>
      </c>
      <c r="E1418" t="s">
        <v>1524</v>
      </c>
      <c r="F1418" t="s">
        <v>4439</v>
      </c>
      <c r="G1418" t="s">
        <v>7430</v>
      </c>
      <c r="H1418" t="s">
        <v>10522</v>
      </c>
      <c r="I1418" t="s">
        <v>11385</v>
      </c>
      <c r="J1418">
        <v>11206</v>
      </c>
      <c r="K1418" t="s">
        <v>11446</v>
      </c>
      <c r="L1418" t="s">
        <v>11930</v>
      </c>
      <c r="M1418" t="s">
        <v>14744</v>
      </c>
      <c r="N1418" t="s">
        <v>14781</v>
      </c>
      <c r="P1418" t="s">
        <v>14797</v>
      </c>
      <c r="Q1418" t="s">
        <v>11448</v>
      </c>
      <c r="S1418" t="s">
        <v>14827</v>
      </c>
      <c r="U1418" t="s">
        <v>505</v>
      </c>
      <c r="V1418">
        <v>711</v>
      </c>
      <c r="W1418" t="s">
        <v>14859</v>
      </c>
      <c r="X1418" t="s">
        <v>14755</v>
      </c>
      <c r="Z1418" t="s">
        <v>16200</v>
      </c>
      <c r="AB1418" t="s">
        <v>21273</v>
      </c>
      <c r="AC1418">
        <v>82</v>
      </c>
      <c r="AD1418" t="s">
        <v>24595</v>
      </c>
      <c r="AE1418" t="s">
        <v>24610</v>
      </c>
      <c r="AF1418">
        <v>8</v>
      </c>
      <c r="AG1418">
        <v>1</v>
      </c>
      <c r="AH1418">
        <v>4</v>
      </c>
      <c r="AI1418">
        <v>112.03</v>
      </c>
      <c r="AL1418" t="s">
        <v>5011</v>
      </c>
      <c r="AM1418">
        <v>33800</v>
      </c>
      <c r="AS1418">
        <v>2.5</v>
      </c>
      <c r="AT1418" t="s">
        <v>559</v>
      </c>
      <c r="AU1418" t="s">
        <v>120</v>
      </c>
      <c r="AV1418" t="s">
        <v>25335</v>
      </c>
      <c r="AW1418" t="s">
        <v>11447</v>
      </c>
    </row>
    <row r="1419" spans="1:49">
      <c r="A1419" s="1">
        <f>HYPERLINK("https://lsnyc.legalserver.org/matter/dynamic-profile/view/1909919","19-1909919")</f>
        <v>0</v>
      </c>
      <c r="B1419" t="s">
        <v>170</v>
      </c>
      <c r="C1419" t="s">
        <v>468</v>
      </c>
      <c r="E1419" t="s">
        <v>1407</v>
      </c>
      <c r="F1419" t="s">
        <v>4440</v>
      </c>
      <c r="G1419" t="s">
        <v>7431</v>
      </c>
      <c r="H1419" t="s">
        <v>10595</v>
      </c>
      <c r="I1419" t="s">
        <v>11386</v>
      </c>
      <c r="J1419">
        <v>10029</v>
      </c>
      <c r="K1419" t="s">
        <v>11446</v>
      </c>
      <c r="M1419" t="s">
        <v>14753</v>
      </c>
      <c r="N1419" t="s">
        <v>14782</v>
      </c>
      <c r="P1419" t="s">
        <v>14797</v>
      </c>
      <c r="Q1419" t="s">
        <v>11448</v>
      </c>
      <c r="S1419" t="s">
        <v>14827</v>
      </c>
      <c r="T1419" t="s">
        <v>14832</v>
      </c>
      <c r="U1419" t="s">
        <v>505</v>
      </c>
      <c r="V1419">
        <v>900</v>
      </c>
      <c r="W1419" t="s">
        <v>14860</v>
      </c>
      <c r="X1419" t="s">
        <v>14871</v>
      </c>
      <c r="Z1419" t="s">
        <v>16201</v>
      </c>
      <c r="AB1419" t="s">
        <v>21274</v>
      </c>
      <c r="AC1419">
        <v>272</v>
      </c>
      <c r="AD1419" t="s">
        <v>24596</v>
      </c>
      <c r="AE1419" t="s">
        <v>24610</v>
      </c>
      <c r="AF1419">
        <v>45</v>
      </c>
      <c r="AG1419">
        <v>2</v>
      </c>
      <c r="AH1419">
        <v>0</v>
      </c>
      <c r="AI1419">
        <v>121.99</v>
      </c>
      <c r="AL1419" t="s">
        <v>5011</v>
      </c>
      <c r="AM1419">
        <v>20628</v>
      </c>
      <c r="AS1419">
        <v>18.55</v>
      </c>
      <c r="AT1419" t="s">
        <v>478</v>
      </c>
      <c r="AU1419" t="s">
        <v>25229</v>
      </c>
      <c r="AV1419" t="s">
        <v>25335</v>
      </c>
      <c r="AW1419" t="s">
        <v>11447</v>
      </c>
    </row>
    <row r="1420" spans="1:49">
      <c r="A1420" s="1">
        <f>HYPERLINK("https://lsnyc.legalserver.org/matter/dynamic-profile/view/1911975","19-1911975")</f>
        <v>0</v>
      </c>
      <c r="B1420" t="s">
        <v>104</v>
      </c>
      <c r="C1420" t="s">
        <v>586</v>
      </c>
      <c r="E1420" t="s">
        <v>1071</v>
      </c>
      <c r="F1420" t="s">
        <v>3804</v>
      </c>
      <c r="G1420" t="s">
        <v>7172</v>
      </c>
      <c r="H1420">
        <v>614</v>
      </c>
      <c r="I1420" t="s">
        <v>11386</v>
      </c>
      <c r="J1420">
        <v>10029</v>
      </c>
      <c r="K1420" t="s">
        <v>11446</v>
      </c>
      <c r="M1420" t="s">
        <v>14746</v>
      </c>
      <c r="N1420" t="s">
        <v>14778</v>
      </c>
      <c r="P1420" t="s">
        <v>14797</v>
      </c>
      <c r="Q1420" t="s">
        <v>11448</v>
      </c>
      <c r="S1420" t="s">
        <v>14827</v>
      </c>
      <c r="T1420" t="s">
        <v>14832</v>
      </c>
      <c r="U1420" t="s">
        <v>505</v>
      </c>
      <c r="V1420">
        <v>345</v>
      </c>
      <c r="W1420" t="s">
        <v>14860</v>
      </c>
      <c r="X1420" t="s">
        <v>14755</v>
      </c>
      <c r="Z1420" t="s">
        <v>16202</v>
      </c>
      <c r="AB1420" t="s">
        <v>21275</v>
      </c>
      <c r="AC1420">
        <v>108</v>
      </c>
      <c r="AD1420" t="s">
        <v>24599</v>
      </c>
      <c r="AE1420" t="s">
        <v>24610</v>
      </c>
      <c r="AF1420">
        <v>32</v>
      </c>
      <c r="AG1420">
        <v>2</v>
      </c>
      <c r="AH1420">
        <v>0</v>
      </c>
      <c r="AI1420">
        <v>139.47</v>
      </c>
      <c r="AL1420" t="s">
        <v>24632</v>
      </c>
      <c r="AM1420">
        <v>23583.84</v>
      </c>
      <c r="AS1420">
        <v>0</v>
      </c>
      <c r="AU1420" t="s">
        <v>25266</v>
      </c>
      <c r="AV1420" t="s">
        <v>25335</v>
      </c>
      <c r="AW1420" t="s">
        <v>11447</v>
      </c>
    </row>
    <row r="1421" spans="1:49">
      <c r="A1421" s="1">
        <f>HYPERLINK("https://lsnyc.legalserver.org/matter/dynamic-profile/view/1911924","19-1911924")</f>
        <v>0</v>
      </c>
      <c r="B1421" t="s">
        <v>104</v>
      </c>
      <c r="C1421" t="s">
        <v>586</v>
      </c>
      <c r="E1421" t="s">
        <v>1919</v>
      </c>
      <c r="F1421" t="s">
        <v>4441</v>
      </c>
      <c r="G1421" t="s">
        <v>7415</v>
      </c>
      <c r="H1421" t="s">
        <v>10832</v>
      </c>
      <c r="I1421" t="s">
        <v>11386</v>
      </c>
      <c r="J1421">
        <v>10037</v>
      </c>
      <c r="K1421" t="s">
        <v>11446</v>
      </c>
      <c r="L1421" t="s">
        <v>11931</v>
      </c>
      <c r="M1421" t="s">
        <v>14744</v>
      </c>
      <c r="N1421" t="s">
        <v>14781</v>
      </c>
      <c r="P1421" t="s">
        <v>14797</v>
      </c>
      <c r="Q1421" t="s">
        <v>11446</v>
      </c>
      <c r="S1421" t="s">
        <v>14827</v>
      </c>
      <c r="T1421" t="s">
        <v>14832</v>
      </c>
      <c r="U1421" t="s">
        <v>505</v>
      </c>
      <c r="V1421">
        <v>0</v>
      </c>
      <c r="W1421" t="s">
        <v>14860</v>
      </c>
      <c r="X1421" t="s">
        <v>14876</v>
      </c>
      <c r="Z1421" t="s">
        <v>16203</v>
      </c>
      <c r="AB1421" t="s">
        <v>21276</v>
      </c>
      <c r="AC1421">
        <v>771</v>
      </c>
      <c r="AD1421" t="s">
        <v>24595</v>
      </c>
      <c r="AE1421" t="s">
        <v>11459</v>
      </c>
      <c r="AF1421">
        <v>10</v>
      </c>
      <c r="AG1421">
        <v>1</v>
      </c>
      <c r="AH1421">
        <v>0</v>
      </c>
      <c r="AI1421">
        <v>166.53</v>
      </c>
      <c r="AL1421" t="s">
        <v>5011</v>
      </c>
      <c r="AM1421">
        <v>20800</v>
      </c>
      <c r="AS1421">
        <v>2.45</v>
      </c>
      <c r="AT1421" t="s">
        <v>580</v>
      </c>
      <c r="AU1421" t="s">
        <v>25266</v>
      </c>
      <c r="AV1421" t="s">
        <v>25335</v>
      </c>
      <c r="AW1421" t="s">
        <v>11447</v>
      </c>
    </row>
    <row r="1422" spans="1:49">
      <c r="A1422" s="1">
        <f>HYPERLINK("https://lsnyc.legalserver.org/matter/dynamic-profile/view/1911749","19-1911749")</f>
        <v>0</v>
      </c>
      <c r="B1422" t="s">
        <v>232</v>
      </c>
      <c r="C1422" t="s">
        <v>505</v>
      </c>
      <c r="E1422" t="s">
        <v>1905</v>
      </c>
      <c r="F1422" t="s">
        <v>3885</v>
      </c>
      <c r="G1422" t="s">
        <v>7413</v>
      </c>
      <c r="H1422">
        <v>23</v>
      </c>
      <c r="I1422" t="s">
        <v>11386</v>
      </c>
      <c r="J1422">
        <v>10032</v>
      </c>
      <c r="K1422" t="s">
        <v>11446</v>
      </c>
      <c r="M1422" t="s">
        <v>14746</v>
      </c>
      <c r="N1422" t="s">
        <v>14781</v>
      </c>
      <c r="P1422" t="s">
        <v>14797</v>
      </c>
      <c r="Q1422" t="s">
        <v>11448</v>
      </c>
      <c r="S1422" t="s">
        <v>14827</v>
      </c>
      <c r="U1422" t="s">
        <v>505</v>
      </c>
      <c r="V1422">
        <v>1076</v>
      </c>
      <c r="W1422" t="s">
        <v>14860</v>
      </c>
      <c r="X1422" t="s">
        <v>14868</v>
      </c>
      <c r="Z1422" t="s">
        <v>16169</v>
      </c>
      <c r="AB1422" t="s">
        <v>21243</v>
      </c>
      <c r="AC1422">
        <v>28</v>
      </c>
      <c r="AD1422" t="s">
        <v>24595</v>
      </c>
      <c r="AE1422" t="s">
        <v>11459</v>
      </c>
      <c r="AF1422">
        <v>30</v>
      </c>
      <c r="AG1422">
        <v>2</v>
      </c>
      <c r="AH1422">
        <v>0</v>
      </c>
      <c r="AI1422">
        <v>176.82</v>
      </c>
      <c r="AL1422" t="s">
        <v>5011</v>
      </c>
      <c r="AM1422">
        <v>29900</v>
      </c>
      <c r="AS1422">
        <v>26.8</v>
      </c>
      <c r="AT1422" t="s">
        <v>495</v>
      </c>
      <c r="AU1422" t="s">
        <v>232</v>
      </c>
      <c r="AV1422" t="s">
        <v>25335</v>
      </c>
      <c r="AW1422" t="s">
        <v>11447</v>
      </c>
    </row>
    <row r="1423" spans="1:49">
      <c r="A1423" s="1">
        <f>HYPERLINK("https://lsnyc.legalserver.org/matter/dynamic-profile/view/1911485","19-1911485")</f>
        <v>0</v>
      </c>
      <c r="B1423" t="s">
        <v>56</v>
      </c>
      <c r="C1423" t="s">
        <v>486</v>
      </c>
      <c r="E1423" t="s">
        <v>1920</v>
      </c>
      <c r="F1423" t="s">
        <v>4442</v>
      </c>
      <c r="G1423" t="s">
        <v>7432</v>
      </c>
      <c r="H1423" t="s">
        <v>10553</v>
      </c>
      <c r="I1423" t="s">
        <v>11385</v>
      </c>
      <c r="J1423">
        <v>11212</v>
      </c>
      <c r="K1423" t="s">
        <v>11446</v>
      </c>
      <c r="L1423" t="s">
        <v>11932</v>
      </c>
      <c r="M1423" t="s">
        <v>14744</v>
      </c>
      <c r="N1423" t="s">
        <v>14778</v>
      </c>
      <c r="P1423" t="s">
        <v>14797</v>
      </c>
      <c r="Q1423" t="s">
        <v>11448</v>
      </c>
      <c r="S1423" t="s">
        <v>14827</v>
      </c>
      <c r="T1423" t="s">
        <v>14837</v>
      </c>
      <c r="U1423" t="s">
        <v>505</v>
      </c>
      <c r="V1423">
        <v>1217</v>
      </c>
      <c r="W1423" t="s">
        <v>14859</v>
      </c>
      <c r="X1423" t="s">
        <v>14866</v>
      </c>
      <c r="Z1423" t="s">
        <v>16204</v>
      </c>
      <c r="AA1423" t="s">
        <v>11465</v>
      </c>
      <c r="AB1423" t="s">
        <v>21277</v>
      </c>
      <c r="AC1423">
        <v>26</v>
      </c>
      <c r="AD1423" t="s">
        <v>24595</v>
      </c>
      <c r="AE1423" t="s">
        <v>11459</v>
      </c>
      <c r="AF1423">
        <v>11</v>
      </c>
      <c r="AG1423">
        <v>1</v>
      </c>
      <c r="AH1423">
        <v>0</v>
      </c>
      <c r="AI1423">
        <v>332.23</v>
      </c>
      <c r="AL1423" t="s">
        <v>5011</v>
      </c>
      <c r="AM1423">
        <v>41496</v>
      </c>
      <c r="AS1423">
        <v>2</v>
      </c>
      <c r="AT1423" t="s">
        <v>505</v>
      </c>
      <c r="AU1423" t="s">
        <v>25241</v>
      </c>
      <c r="AV1423" t="s">
        <v>25335</v>
      </c>
      <c r="AW1423" t="s">
        <v>11447</v>
      </c>
    </row>
    <row r="1424" spans="1:49">
      <c r="A1424" s="1">
        <f>HYPERLINK("https://lsnyc.legalserver.org/matter/dynamic-profile/view/1911874","19-1911874")</f>
        <v>0</v>
      </c>
      <c r="B1424" t="s">
        <v>187</v>
      </c>
      <c r="C1424" t="s">
        <v>645</v>
      </c>
      <c r="E1424" t="s">
        <v>1359</v>
      </c>
      <c r="F1424" t="s">
        <v>4443</v>
      </c>
      <c r="G1424" t="s">
        <v>7294</v>
      </c>
      <c r="H1424" t="s">
        <v>10467</v>
      </c>
      <c r="I1424" t="s">
        <v>11385</v>
      </c>
      <c r="J1424">
        <v>11238</v>
      </c>
      <c r="K1424" t="s">
        <v>11446</v>
      </c>
      <c r="L1424" t="s">
        <v>11933</v>
      </c>
      <c r="M1424" t="s">
        <v>14744</v>
      </c>
      <c r="N1424" t="s">
        <v>14781</v>
      </c>
      <c r="P1424" t="s">
        <v>14797</v>
      </c>
      <c r="Q1424" t="s">
        <v>11448</v>
      </c>
      <c r="S1424" t="s">
        <v>14827</v>
      </c>
      <c r="T1424" t="s">
        <v>14832</v>
      </c>
      <c r="U1424" t="s">
        <v>505</v>
      </c>
      <c r="V1424">
        <v>1048.29</v>
      </c>
      <c r="W1424" t="s">
        <v>14859</v>
      </c>
      <c r="Z1424" t="s">
        <v>16205</v>
      </c>
      <c r="AA1424" t="s">
        <v>11459</v>
      </c>
      <c r="AB1424" t="s">
        <v>21278</v>
      </c>
      <c r="AC1424">
        <v>16</v>
      </c>
      <c r="AD1424" t="s">
        <v>24595</v>
      </c>
      <c r="AE1424" t="s">
        <v>11459</v>
      </c>
      <c r="AF1424">
        <v>0</v>
      </c>
      <c r="AG1424">
        <v>2</v>
      </c>
      <c r="AH1424">
        <v>0</v>
      </c>
      <c r="AI1424">
        <v>413.96</v>
      </c>
      <c r="AL1424" t="s">
        <v>5011</v>
      </c>
      <c r="AM1424">
        <v>70000</v>
      </c>
      <c r="AN1424" t="s">
        <v>24770</v>
      </c>
      <c r="AS1424">
        <v>5.4</v>
      </c>
      <c r="AT1424" t="s">
        <v>537</v>
      </c>
      <c r="AU1424" t="s">
        <v>66</v>
      </c>
      <c r="AV1424" t="s">
        <v>25335</v>
      </c>
      <c r="AW1424" t="s">
        <v>11447</v>
      </c>
    </row>
    <row r="1425" spans="1:49">
      <c r="A1425" s="1">
        <f>HYPERLINK("https://lsnyc.legalserver.org/matter/dynamic-profile/view/1911831","19-1911831")</f>
        <v>0</v>
      </c>
      <c r="B1425" t="s">
        <v>167</v>
      </c>
      <c r="C1425" t="s">
        <v>645</v>
      </c>
      <c r="E1425" t="s">
        <v>1921</v>
      </c>
      <c r="F1425" t="s">
        <v>4444</v>
      </c>
      <c r="G1425" t="s">
        <v>7433</v>
      </c>
      <c r="H1425" t="s">
        <v>10610</v>
      </c>
      <c r="I1425" t="s">
        <v>11405</v>
      </c>
      <c r="J1425">
        <v>11417</v>
      </c>
      <c r="K1425" t="s">
        <v>11446</v>
      </c>
      <c r="L1425" t="s">
        <v>11934</v>
      </c>
      <c r="M1425" t="s">
        <v>14743</v>
      </c>
      <c r="N1425" t="s">
        <v>14781</v>
      </c>
      <c r="P1425" t="s">
        <v>14797</v>
      </c>
      <c r="Q1425" t="s">
        <v>11448</v>
      </c>
      <c r="S1425" t="s">
        <v>14827</v>
      </c>
      <c r="T1425" t="s">
        <v>14836</v>
      </c>
      <c r="U1425" t="s">
        <v>645</v>
      </c>
      <c r="V1425">
        <v>500</v>
      </c>
      <c r="W1425" t="s">
        <v>14861</v>
      </c>
      <c r="X1425" t="s">
        <v>14865</v>
      </c>
      <c r="Z1425" t="s">
        <v>16206</v>
      </c>
      <c r="AA1425" t="s">
        <v>19446</v>
      </c>
      <c r="AB1425" t="s">
        <v>21279</v>
      </c>
      <c r="AC1425">
        <v>2</v>
      </c>
      <c r="AD1425" t="s">
        <v>11479</v>
      </c>
      <c r="AE1425" t="s">
        <v>11459</v>
      </c>
      <c r="AF1425">
        <v>1</v>
      </c>
      <c r="AG1425">
        <v>1</v>
      </c>
      <c r="AH1425">
        <v>1</v>
      </c>
      <c r="AI1425">
        <v>0</v>
      </c>
      <c r="AL1425" t="s">
        <v>24647</v>
      </c>
      <c r="AM1425">
        <v>0</v>
      </c>
      <c r="AP1425" t="s">
        <v>24944</v>
      </c>
      <c r="AS1425">
        <v>46</v>
      </c>
      <c r="AT1425" t="s">
        <v>506</v>
      </c>
      <c r="AU1425" t="s">
        <v>292</v>
      </c>
      <c r="AV1425" t="s">
        <v>25335</v>
      </c>
      <c r="AW1425" t="s">
        <v>11447</v>
      </c>
    </row>
    <row r="1426" spans="1:49">
      <c r="A1426" s="1">
        <f>HYPERLINK("https://lsnyc.legalserver.org/matter/dynamic-profile/view/1911891","19-1911891")</f>
        <v>0</v>
      </c>
      <c r="B1426" t="s">
        <v>178</v>
      </c>
      <c r="C1426" t="s">
        <v>645</v>
      </c>
      <c r="E1426" t="s">
        <v>1169</v>
      </c>
      <c r="F1426" t="s">
        <v>4445</v>
      </c>
      <c r="G1426" t="s">
        <v>6540</v>
      </c>
      <c r="H1426" t="s">
        <v>10787</v>
      </c>
      <c r="I1426" t="s">
        <v>11386</v>
      </c>
      <c r="J1426">
        <v>10034</v>
      </c>
      <c r="K1426" t="s">
        <v>11446</v>
      </c>
      <c r="N1426" t="s">
        <v>14779</v>
      </c>
      <c r="P1426" t="s">
        <v>14797</v>
      </c>
      <c r="Q1426" t="s">
        <v>11448</v>
      </c>
      <c r="S1426" t="s">
        <v>14827</v>
      </c>
      <c r="U1426" t="s">
        <v>645</v>
      </c>
      <c r="V1426">
        <v>0</v>
      </c>
      <c r="W1426" t="s">
        <v>14860</v>
      </c>
      <c r="X1426" t="s">
        <v>14868</v>
      </c>
      <c r="Z1426" t="s">
        <v>16207</v>
      </c>
      <c r="AB1426" t="s">
        <v>21280</v>
      </c>
      <c r="AC1426">
        <v>100</v>
      </c>
      <c r="AD1426" t="s">
        <v>24595</v>
      </c>
      <c r="AE1426" t="s">
        <v>11459</v>
      </c>
      <c r="AF1426">
        <v>1</v>
      </c>
      <c r="AG1426">
        <v>1</v>
      </c>
      <c r="AH1426">
        <v>0</v>
      </c>
      <c r="AI1426">
        <v>73.02</v>
      </c>
      <c r="AL1426" t="s">
        <v>5011</v>
      </c>
      <c r="AM1426">
        <v>9120</v>
      </c>
      <c r="AS1426">
        <v>7</v>
      </c>
      <c r="AT1426" t="s">
        <v>521</v>
      </c>
      <c r="AU1426" t="s">
        <v>137</v>
      </c>
      <c r="AV1426" t="s">
        <v>25335</v>
      </c>
      <c r="AW1426" t="s">
        <v>11447</v>
      </c>
    </row>
    <row r="1427" spans="1:49">
      <c r="A1427" s="1">
        <f>HYPERLINK("https://lsnyc.legalserver.org/matter/dynamic-profile/view/1911832","19-1911832")</f>
        <v>0</v>
      </c>
      <c r="B1427" t="s">
        <v>136</v>
      </c>
      <c r="C1427" t="s">
        <v>645</v>
      </c>
      <c r="E1427" t="s">
        <v>1194</v>
      </c>
      <c r="F1427" t="s">
        <v>4446</v>
      </c>
      <c r="G1427" t="s">
        <v>7434</v>
      </c>
      <c r="H1427" t="s">
        <v>10833</v>
      </c>
      <c r="I1427" t="s">
        <v>11385</v>
      </c>
      <c r="J1427">
        <v>11238</v>
      </c>
      <c r="K1427" t="s">
        <v>11446</v>
      </c>
      <c r="M1427" t="s">
        <v>14744</v>
      </c>
      <c r="N1427" t="s">
        <v>14781</v>
      </c>
      <c r="P1427" t="s">
        <v>14797</v>
      </c>
      <c r="Q1427" t="s">
        <v>11448</v>
      </c>
      <c r="S1427" t="s">
        <v>14827</v>
      </c>
      <c r="U1427" t="s">
        <v>645</v>
      </c>
      <c r="V1427">
        <v>838.96</v>
      </c>
      <c r="W1427" t="s">
        <v>14859</v>
      </c>
      <c r="Z1427" t="s">
        <v>16208</v>
      </c>
      <c r="AB1427" t="s">
        <v>21281</v>
      </c>
      <c r="AC1427">
        <v>35</v>
      </c>
      <c r="AF1427">
        <v>34</v>
      </c>
      <c r="AG1427">
        <v>1</v>
      </c>
      <c r="AH1427">
        <v>0</v>
      </c>
      <c r="AI1427">
        <v>78.40000000000001</v>
      </c>
      <c r="AL1427" t="s">
        <v>5011</v>
      </c>
      <c r="AM1427">
        <v>9792</v>
      </c>
      <c r="AS1427">
        <v>2</v>
      </c>
      <c r="AT1427" t="s">
        <v>473</v>
      </c>
      <c r="AU1427" t="s">
        <v>75</v>
      </c>
      <c r="AV1427" t="s">
        <v>25335</v>
      </c>
      <c r="AW1427" t="s">
        <v>11447</v>
      </c>
    </row>
    <row r="1428" spans="1:49">
      <c r="A1428" s="1">
        <f>HYPERLINK("https://lsnyc.legalserver.org/matter/dynamic-profile/view/1911811","19-1911811")</f>
        <v>0</v>
      </c>
      <c r="B1428" t="s">
        <v>178</v>
      </c>
      <c r="C1428" t="s">
        <v>645</v>
      </c>
      <c r="E1428" t="s">
        <v>1025</v>
      </c>
      <c r="F1428" t="s">
        <v>3877</v>
      </c>
      <c r="G1428" t="s">
        <v>7435</v>
      </c>
      <c r="H1428" t="s">
        <v>10529</v>
      </c>
      <c r="I1428" t="s">
        <v>11386</v>
      </c>
      <c r="J1428">
        <v>10040</v>
      </c>
      <c r="K1428" t="s">
        <v>11446</v>
      </c>
      <c r="N1428" t="s">
        <v>14782</v>
      </c>
      <c r="P1428" t="s">
        <v>14797</v>
      </c>
      <c r="Q1428" t="s">
        <v>11448</v>
      </c>
      <c r="S1428" t="s">
        <v>14827</v>
      </c>
      <c r="U1428" t="s">
        <v>645</v>
      </c>
      <c r="V1428">
        <v>177</v>
      </c>
      <c r="W1428" t="s">
        <v>14860</v>
      </c>
      <c r="X1428" t="s">
        <v>14868</v>
      </c>
      <c r="Z1428" t="s">
        <v>16209</v>
      </c>
      <c r="AB1428" t="s">
        <v>21282</v>
      </c>
      <c r="AC1428">
        <v>26</v>
      </c>
      <c r="AD1428" t="s">
        <v>24595</v>
      </c>
      <c r="AE1428" t="s">
        <v>24610</v>
      </c>
      <c r="AF1428">
        <v>47</v>
      </c>
      <c r="AG1428">
        <v>1</v>
      </c>
      <c r="AH1428">
        <v>0</v>
      </c>
      <c r="AI1428">
        <v>81.95</v>
      </c>
      <c r="AL1428" t="s">
        <v>24632</v>
      </c>
      <c r="AM1428">
        <v>10236</v>
      </c>
      <c r="AS1428">
        <v>1.8</v>
      </c>
      <c r="AT1428" t="s">
        <v>603</v>
      </c>
      <c r="AU1428" t="s">
        <v>137</v>
      </c>
      <c r="AV1428" t="s">
        <v>25335</v>
      </c>
      <c r="AW1428" t="s">
        <v>11447</v>
      </c>
    </row>
    <row r="1429" spans="1:49">
      <c r="A1429" s="1">
        <f>HYPERLINK("https://lsnyc.legalserver.org/matter/dynamic-profile/view/1911785","19-1911785")</f>
        <v>0</v>
      </c>
      <c r="B1429" t="s">
        <v>178</v>
      </c>
      <c r="C1429" t="s">
        <v>645</v>
      </c>
      <c r="E1429" t="s">
        <v>1278</v>
      </c>
      <c r="F1429" t="s">
        <v>4447</v>
      </c>
      <c r="G1429" t="s">
        <v>7436</v>
      </c>
      <c r="H1429">
        <v>46</v>
      </c>
      <c r="I1429" t="s">
        <v>11386</v>
      </c>
      <c r="J1429">
        <v>10033</v>
      </c>
      <c r="K1429" t="s">
        <v>11446</v>
      </c>
      <c r="N1429" t="s">
        <v>14782</v>
      </c>
      <c r="P1429" t="s">
        <v>14797</v>
      </c>
      <c r="Q1429" t="s">
        <v>11448</v>
      </c>
      <c r="S1429" t="s">
        <v>14827</v>
      </c>
      <c r="U1429" t="s">
        <v>645</v>
      </c>
      <c r="V1429">
        <v>724.4</v>
      </c>
      <c r="W1429" t="s">
        <v>14860</v>
      </c>
      <c r="X1429" t="s">
        <v>14867</v>
      </c>
      <c r="Z1429" t="s">
        <v>15791</v>
      </c>
      <c r="AA1429" t="s">
        <v>19447</v>
      </c>
      <c r="AB1429" t="s">
        <v>21283</v>
      </c>
      <c r="AC1429">
        <v>56</v>
      </c>
      <c r="AD1429" t="s">
        <v>24595</v>
      </c>
      <c r="AE1429" t="s">
        <v>11459</v>
      </c>
      <c r="AF1429">
        <v>48</v>
      </c>
      <c r="AG1429">
        <v>1</v>
      </c>
      <c r="AH1429">
        <v>0</v>
      </c>
      <c r="AI1429">
        <v>95.12</v>
      </c>
      <c r="AL1429" t="s">
        <v>5011</v>
      </c>
      <c r="AM1429">
        <v>11880</v>
      </c>
      <c r="AS1429">
        <v>7.2</v>
      </c>
      <c r="AT1429" t="s">
        <v>491</v>
      </c>
      <c r="AU1429" t="s">
        <v>137</v>
      </c>
      <c r="AV1429" t="s">
        <v>25335</v>
      </c>
      <c r="AW1429" t="s">
        <v>11447</v>
      </c>
    </row>
    <row r="1430" spans="1:49">
      <c r="A1430" s="1">
        <f>HYPERLINK("https://lsnyc.legalserver.org/matter/dynamic-profile/view/1911142","19-1911142")</f>
        <v>0</v>
      </c>
      <c r="B1430" t="s">
        <v>196</v>
      </c>
      <c r="C1430" t="s">
        <v>475</v>
      </c>
      <c r="E1430" t="s">
        <v>1922</v>
      </c>
      <c r="F1430" t="s">
        <v>4116</v>
      </c>
      <c r="G1430" t="s">
        <v>7437</v>
      </c>
      <c r="I1430" t="s">
        <v>11385</v>
      </c>
      <c r="J1430">
        <v>11212</v>
      </c>
      <c r="K1430" t="s">
        <v>11446</v>
      </c>
      <c r="L1430" t="s">
        <v>11935</v>
      </c>
      <c r="M1430" t="s">
        <v>14743</v>
      </c>
      <c r="N1430" t="s">
        <v>14779</v>
      </c>
      <c r="P1430" t="s">
        <v>14797</v>
      </c>
      <c r="Q1430" t="s">
        <v>11448</v>
      </c>
      <c r="S1430" t="s">
        <v>14827</v>
      </c>
      <c r="T1430" t="s">
        <v>14832</v>
      </c>
      <c r="U1430" t="s">
        <v>586</v>
      </c>
      <c r="V1430">
        <v>1500</v>
      </c>
      <c r="W1430" t="s">
        <v>14859</v>
      </c>
      <c r="X1430" t="s">
        <v>14865</v>
      </c>
      <c r="Z1430" t="s">
        <v>16210</v>
      </c>
      <c r="AB1430" t="s">
        <v>21284</v>
      </c>
      <c r="AC1430">
        <v>4</v>
      </c>
      <c r="AD1430" t="s">
        <v>24600</v>
      </c>
      <c r="AE1430" t="s">
        <v>24610</v>
      </c>
      <c r="AF1430">
        <v>7</v>
      </c>
      <c r="AG1430">
        <v>1</v>
      </c>
      <c r="AH1430">
        <v>4</v>
      </c>
      <c r="AI1430">
        <v>0</v>
      </c>
      <c r="AL1430" t="s">
        <v>5011</v>
      </c>
      <c r="AM1430">
        <v>0</v>
      </c>
      <c r="AS1430">
        <v>2.5</v>
      </c>
      <c r="AT1430" t="s">
        <v>470</v>
      </c>
      <c r="AU1430" t="s">
        <v>25275</v>
      </c>
      <c r="AV1430" t="s">
        <v>25335</v>
      </c>
      <c r="AW1430" t="s">
        <v>11447</v>
      </c>
    </row>
    <row r="1431" spans="1:49">
      <c r="A1431" s="1">
        <f>HYPERLINK("https://lsnyc.legalserver.org/matter/dynamic-profile/view/1909422","19-1909422")</f>
        <v>0</v>
      </c>
      <c r="B1431" t="s">
        <v>51</v>
      </c>
      <c r="C1431" t="s">
        <v>412</v>
      </c>
      <c r="E1431" t="s">
        <v>1125</v>
      </c>
      <c r="F1431" t="s">
        <v>4448</v>
      </c>
      <c r="G1431" t="s">
        <v>7438</v>
      </c>
      <c r="H1431" t="s">
        <v>10595</v>
      </c>
      <c r="I1431" t="s">
        <v>11383</v>
      </c>
      <c r="J1431">
        <v>10453</v>
      </c>
      <c r="K1431" t="s">
        <v>11446</v>
      </c>
      <c r="L1431">
        <v>6882</v>
      </c>
      <c r="M1431" t="s">
        <v>14744</v>
      </c>
      <c r="N1431" t="s">
        <v>14778</v>
      </c>
      <c r="P1431" t="s">
        <v>14797</v>
      </c>
      <c r="R1431" t="s">
        <v>14797</v>
      </c>
      <c r="S1431" t="s">
        <v>14827</v>
      </c>
      <c r="U1431" t="s">
        <v>586</v>
      </c>
      <c r="V1431">
        <v>889</v>
      </c>
      <c r="W1431" t="s">
        <v>14858</v>
      </c>
      <c r="X1431" t="s">
        <v>14755</v>
      </c>
      <c r="Z1431" t="s">
        <v>16211</v>
      </c>
      <c r="AB1431" t="s">
        <v>21285</v>
      </c>
      <c r="AC1431">
        <v>47</v>
      </c>
      <c r="AD1431" t="s">
        <v>24595</v>
      </c>
      <c r="AE1431" t="s">
        <v>24616</v>
      </c>
      <c r="AF1431">
        <v>35</v>
      </c>
      <c r="AG1431">
        <v>2</v>
      </c>
      <c r="AH1431">
        <v>0</v>
      </c>
      <c r="AI1431">
        <v>8.460000000000001</v>
      </c>
      <c r="AL1431" t="s">
        <v>5011</v>
      </c>
      <c r="AM1431">
        <v>1430</v>
      </c>
      <c r="AS1431">
        <v>0.5</v>
      </c>
      <c r="AT1431" t="s">
        <v>412</v>
      </c>
      <c r="AU1431" t="s">
        <v>25229</v>
      </c>
      <c r="AV1431" t="s">
        <v>25335</v>
      </c>
      <c r="AW1431" t="s">
        <v>11447</v>
      </c>
    </row>
    <row r="1432" spans="1:49">
      <c r="A1432" s="1">
        <f>HYPERLINK("https://lsnyc.legalserver.org/matter/dynamic-profile/view/1911085","19-1911085")</f>
        <v>0</v>
      </c>
      <c r="B1432" t="s">
        <v>56</v>
      </c>
      <c r="C1432" t="s">
        <v>460</v>
      </c>
      <c r="E1432" t="s">
        <v>1923</v>
      </c>
      <c r="F1432" t="s">
        <v>3758</v>
      </c>
      <c r="G1432" t="s">
        <v>7315</v>
      </c>
      <c r="I1432" t="s">
        <v>11385</v>
      </c>
      <c r="J1432">
        <v>11213</v>
      </c>
      <c r="K1432" t="s">
        <v>11446</v>
      </c>
      <c r="L1432" t="s">
        <v>11936</v>
      </c>
      <c r="M1432" t="s">
        <v>14744</v>
      </c>
      <c r="N1432" t="s">
        <v>14781</v>
      </c>
      <c r="P1432" t="s">
        <v>14797</v>
      </c>
      <c r="Q1432" t="s">
        <v>11448</v>
      </c>
      <c r="S1432" t="s">
        <v>14827</v>
      </c>
      <c r="T1432" t="s">
        <v>14832</v>
      </c>
      <c r="U1432" t="s">
        <v>586</v>
      </c>
      <c r="V1432">
        <v>1350</v>
      </c>
      <c r="W1432" t="s">
        <v>14859</v>
      </c>
      <c r="X1432" t="s">
        <v>14876</v>
      </c>
      <c r="Z1432" t="s">
        <v>16212</v>
      </c>
      <c r="AA1432" t="s">
        <v>19448</v>
      </c>
      <c r="AB1432" t="s">
        <v>21286</v>
      </c>
      <c r="AC1432">
        <v>35</v>
      </c>
      <c r="AD1432" t="s">
        <v>24595</v>
      </c>
      <c r="AE1432" t="s">
        <v>24616</v>
      </c>
      <c r="AF1432">
        <v>2</v>
      </c>
      <c r="AG1432">
        <v>2</v>
      </c>
      <c r="AH1432">
        <v>0</v>
      </c>
      <c r="AI1432">
        <v>30.87</v>
      </c>
      <c r="AL1432" t="s">
        <v>5011</v>
      </c>
      <c r="AM1432">
        <v>5220</v>
      </c>
      <c r="AS1432">
        <v>5.3</v>
      </c>
      <c r="AT1432" t="s">
        <v>509</v>
      </c>
      <c r="AU1432" t="s">
        <v>66</v>
      </c>
      <c r="AV1432" t="s">
        <v>25335</v>
      </c>
      <c r="AW1432" t="s">
        <v>11447</v>
      </c>
    </row>
    <row r="1433" spans="1:49">
      <c r="A1433" s="1">
        <f>HYPERLINK("https://lsnyc.legalserver.org/matter/dynamic-profile/view/1909220","19-1909220")</f>
        <v>0</v>
      </c>
      <c r="B1433" t="s">
        <v>51</v>
      </c>
      <c r="C1433" t="s">
        <v>462</v>
      </c>
      <c r="E1433" t="s">
        <v>1718</v>
      </c>
      <c r="F1433" t="s">
        <v>4449</v>
      </c>
      <c r="G1433" t="s">
        <v>7439</v>
      </c>
      <c r="H1433">
        <v>5</v>
      </c>
      <c r="I1433" t="s">
        <v>11383</v>
      </c>
      <c r="J1433">
        <v>10452</v>
      </c>
      <c r="K1433" t="s">
        <v>11446</v>
      </c>
      <c r="L1433" t="s">
        <v>11937</v>
      </c>
      <c r="M1433" t="s">
        <v>14744</v>
      </c>
      <c r="N1433" t="s">
        <v>14778</v>
      </c>
      <c r="P1433" t="s">
        <v>14797</v>
      </c>
      <c r="Q1433" t="s">
        <v>11448</v>
      </c>
      <c r="S1433" t="s">
        <v>14827</v>
      </c>
      <c r="U1433" t="s">
        <v>586</v>
      </c>
      <c r="V1433">
        <v>938</v>
      </c>
      <c r="W1433" t="s">
        <v>14858</v>
      </c>
      <c r="X1433" t="s">
        <v>14866</v>
      </c>
      <c r="Z1433" t="s">
        <v>16213</v>
      </c>
      <c r="AB1433" t="s">
        <v>21287</v>
      </c>
      <c r="AC1433">
        <v>30</v>
      </c>
      <c r="AF1433">
        <v>34</v>
      </c>
      <c r="AG1433">
        <v>1</v>
      </c>
      <c r="AH1433">
        <v>0</v>
      </c>
      <c r="AI1433">
        <v>72.06</v>
      </c>
      <c r="AL1433" t="s">
        <v>24632</v>
      </c>
      <c r="AM1433">
        <v>9000</v>
      </c>
      <c r="AS1433">
        <v>1</v>
      </c>
      <c r="AT1433" t="s">
        <v>462</v>
      </c>
      <c r="AU1433" t="s">
        <v>25241</v>
      </c>
      <c r="AV1433" t="s">
        <v>25335</v>
      </c>
      <c r="AW1433" t="s">
        <v>11447</v>
      </c>
    </row>
    <row r="1434" spans="1:49">
      <c r="A1434" s="1">
        <f>HYPERLINK("https://lsnyc.legalserver.org/matter/dynamic-profile/view/1909699","19-1909699")</f>
        <v>0</v>
      </c>
      <c r="B1434" t="s">
        <v>154</v>
      </c>
      <c r="C1434" t="s">
        <v>519</v>
      </c>
      <c r="E1434" t="s">
        <v>1924</v>
      </c>
      <c r="F1434" t="s">
        <v>3724</v>
      </c>
      <c r="G1434" t="s">
        <v>7440</v>
      </c>
      <c r="I1434" t="s">
        <v>11383</v>
      </c>
      <c r="J1434">
        <v>10452</v>
      </c>
      <c r="K1434" t="s">
        <v>11446</v>
      </c>
      <c r="L1434" t="s">
        <v>11938</v>
      </c>
      <c r="M1434" t="s">
        <v>14744</v>
      </c>
      <c r="N1434" t="s">
        <v>14778</v>
      </c>
      <c r="P1434" t="s">
        <v>14797</v>
      </c>
      <c r="Q1434" t="s">
        <v>11448</v>
      </c>
      <c r="S1434" t="s">
        <v>14827</v>
      </c>
      <c r="U1434" t="s">
        <v>586</v>
      </c>
      <c r="V1434">
        <v>1774</v>
      </c>
      <c r="W1434" t="s">
        <v>14858</v>
      </c>
      <c r="X1434" t="s">
        <v>14873</v>
      </c>
      <c r="Z1434" t="s">
        <v>16214</v>
      </c>
      <c r="AB1434" t="s">
        <v>21288</v>
      </c>
      <c r="AC1434">
        <v>60</v>
      </c>
      <c r="AD1434" t="s">
        <v>24595</v>
      </c>
      <c r="AE1434" t="s">
        <v>24610</v>
      </c>
      <c r="AF1434">
        <v>10</v>
      </c>
      <c r="AG1434">
        <v>1</v>
      </c>
      <c r="AH1434">
        <v>2</v>
      </c>
      <c r="AI1434">
        <v>108.24</v>
      </c>
      <c r="AL1434" t="s">
        <v>24632</v>
      </c>
      <c r="AM1434">
        <v>23088</v>
      </c>
      <c r="AS1434">
        <v>2.65</v>
      </c>
      <c r="AT1434" t="s">
        <v>505</v>
      </c>
      <c r="AU1434" t="s">
        <v>25236</v>
      </c>
      <c r="AV1434" t="s">
        <v>25335</v>
      </c>
      <c r="AW1434" t="s">
        <v>11447</v>
      </c>
    </row>
    <row r="1435" spans="1:49">
      <c r="A1435" s="1">
        <f>HYPERLINK("https://lsnyc.legalserver.org/matter/dynamic-profile/view/1910716","19-1910716")</f>
        <v>0</v>
      </c>
      <c r="B1435" t="s">
        <v>109</v>
      </c>
      <c r="C1435" t="s">
        <v>663</v>
      </c>
      <c r="E1435" t="s">
        <v>1201</v>
      </c>
      <c r="F1435" t="s">
        <v>4450</v>
      </c>
      <c r="G1435" t="s">
        <v>7441</v>
      </c>
      <c r="H1435">
        <v>2</v>
      </c>
      <c r="I1435" t="s">
        <v>11385</v>
      </c>
      <c r="J1435">
        <v>11238</v>
      </c>
      <c r="K1435" t="s">
        <v>11446</v>
      </c>
      <c r="N1435" t="s">
        <v>14780</v>
      </c>
      <c r="P1435" t="s">
        <v>14797</v>
      </c>
      <c r="Q1435" t="s">
        <v>11446</v>
      </c>
      <c r="S1435" t="s">
        <v>14827</v>
      </c>
      <c r="U1435" t="s">
        <v>586</v>
      </c>
      <c r="V1435">
        <v>939.46</v>
      </c>
      <c r="W1435" t="s">
        <v>14859</v>
      </c>
      <c r="Z1435" t="s">
        <v>16215</v>
      </c>
      <c r="AB1435" t="s">
        <v>21289</v>
      </c>
      <c r="AC1435">
        <v>41</v>
      </c>
      <c r="AD1435" t="s">
        <v>24595</v>
      </c>
      <c r="AF1435">
        <v>0</v>
      </c>
      <c r="AG1435">
        <v>2</v>
      </c>
      <c r="AH1435">
        <v>0</v>
      </c>
      <c r="AI1435">
        <v>123.83</v>
      </c>
      <c r="AL1435" t="s">
        <v>5011</v>
      </c>
      <c r="AM1435">
        <v>20940</v>
      </c>
      <c r="AS1435">
        <v>7.9</v>
      </c>
      <c r="AT1435" t="s">
        <v>490</v>
      </c>
      <c r="AU1435" t="s">
        <v>177</v>
      </c>
      <c r="AV1435" t="s">
        <v>25335</v>
      </c>
      <c r="AW1435" t="s">
        <v>11447</v>
      </c>
    </row>
    <row r="1436" spans="1:49">
      <c r="A1436" s="1">
        <f>HYPERLINK("https://lsnyc.legalserver.org/matter/dynamic-profile/view/1911992","19-1911992")</f>
        <v>0</v>
      </c>
      <c r="B1436" t="s">
        <v>205</v>
      </c>
      <c r="C1436" t="s">
        <v>586</v>
      </c>
      <c r="E1436" t="s">
        <v>1925</v>
      </c>
      <c r="F1436" t="s">
        <v>4451</v>
      </c>
      <c r="G1436" t="s">
        <v>7348</v>
      </c>
      <c r="H1436" t="s">
        <v>10555</v>
      </c>
      <c r="I1436" t="s">
        <v>11386</v>
      </c>
      <c r="J1436">
        <v>10035</v>
      </c>
      <c r="K1436" t="s">
        <v>11446</v>
      </c>
      <c r="L1436" t="s">
        <v>11886</v>
      </c>
      <c r="M1436" t="s">
        <v>14746</v>
      </c>
      <c r="N1436" t="s">
        <v>14781</v>
      </c>
      <c r="P1436" t="s">
        <v>14797</v>
      </c>
      <c r="Q1436" t="s">
        <v>11446</v>
      </c>
      <c r="S1436" t="s">
        <v>14827</v>
      </c>
      <c r="T1436" t="s">
        <v>14832</v>
      </c>
      <c r="U1436" t="s">
        <v>586</v>
      </c>
      <c r="V1436">
        <v>1033.5</v>
      </c>
      <c r="W1436" t="s">
        <v>14860</v>
      </c>
      <c r="X1436" t="s">
        <v>14876</v>
      </c>
      <c r="Z1436" t="s">
        <v>16216</v>
      </c>
      <c r="AB1436" t="s">
        <v>21290</v>
      </c>
      <c r="AC1436">
        <v>60</v>
      </c>
      <c r="AD1436" t="s">
        <v>24595</v>
      </c>
      <c r="AE1436" t="s">
        <v>24610</v>
      </c>
      <c r="AF1436">
        <v>15</v>
      </c>
      <c r="AG1436">
        <v>3</v>
      </c>
      <c r="AH1436">
        <v>0</v>
      </c>
      <c r="AI1436">
        <v>140.65</v>
      </c>
      <c r="AL1436" t="s">
        <v>24632</v>
      </c>
      <c r="AM1436">
        <v>30000</v>
      </c>
      <c r="AS1436">
        <v>0</v>
      </c>
      <c r="AU1436" t="s">
        <v>25266</v>
      </c>
      <c r="AV1436" t="s">
        <v>25335</v>
      </c>
      <c r="AW1436" t="s">
        <v>11447</v>
      </c>
    </row>
    <row r="1437" spans="1:49">
      <c r="A1437" s="1">
        <f>HYPERLINK("https://lsnyc.legalserver.org/matter/dynamic-profile/view/1911939","19-1911939")</f>
        <v>0</v>
      </c>
      <c r="B1437" t="s">
        <v>205</v>
      </c>
      <c r="C1437" t="s">
        <v>586</v>
      </c>
      <c r="E1437" t="s">
        <v>1144</v>
      </c>
      <c r="F1437" t="s">
        <v>3571</v>
      </c>
      <c r="G1437" t="s">
        <v>7348</v>
      </c>
      <c r="H1437" t="s">
        <v>10498</v>
      </c>
      <c r="I1437" t="s">
        <v>11386</v>
      </c>
      <c r="J1437">
        <v>10035</v>
      </c>
      <c r="K1437" t="s">
        <v>11446</v>
      </c>
      <c r="L1437" t="s">
        <v>11939</v>
      </c>
      <c r="M1437" t="s">
        <v>14762</v>
      </c>
      <c r="N1437" t="s">
        <v>14783</v>
      </c>
      <c r="P1437" t="s">
        <v>14797</v>
      </c>
      <c r="Q1437" t="s">
        <v>11446</v>
      </c>
      <c r="S1437" t="s">
        <v>14827</v>
      </c>
      <c r="T1437" t="s">
        <v>14832</v>
      </c>
      <c r="U1437" t="s">
        <v>586</v>
      </c>
      <c r="V1437">
        <v>1116</v>
      </c>
      <c r="W1437" t="s">
        <v>14860</v>
      </c>
      <c r="X1437" t="s">
        <v>14876</v>
      </c>
      <c r="Z1437" t="s">
        <v>15074</v>
      </c>
      <c r="AC1437">
        <v>60</v>
      </c>
      <c r="AD1437" t="s">
        <v>24595</v>
      </c>
      <c r="AE1437" t="s">
        <v>11459</v>
      </c>
      <c r="AF1437">
        <v>18</v>
      </c>
      <c r="AG1437">
        <v>2</v>
      </c>
      <c r="AH1437">
        <v>2</v>
      </c>
      <c r="AI1437">
        <v>233.01</v>
      </c>
      <c r="AL1437" t="s">
        <v>5011</v>
      </c>
      <c r="AM1437">
        <v>60000</v>
      </c>
      <c r="AS1437">
        <v>0</v>
      </c>
      <c r="AU1437" t="s">
        <v>25266</v>
      </c>
      <c r="AV1437" t="s">
        <v>25335</v>
      </c>
      <c r="AW1437" t="s">
        <v>11447</v>
      </c>
    </row>
    <row r="1438" spans="1:49">
      <c r="A1438" s="1">
        <f>HYPERLINK("https://lsnyc.legalserver.org/matter/dynamic-profile/view/1912056","19-1912056")</f>
        <v>0</v>
      </c>
      <c r="B1438" t="s">
        <v>205</v>
      </c>
      <c r="C1438" t="s">
        <v>551</v>
      </c>
      <c r="E1438" t="s">
        <v>1706</v>
      </c>
      <c r="F1438" t="s">
        <v>4452</v>
      </c>
      <c r="G1438" t="s">
        <v>7264</v>
      </c>
      <c r="H1438" t="s">
        <v>10451</v>
      </c>
      <c r="I1438" t="s">
        <v>11386</v>
      </c>
      <c r="J1438">
        <v>10035</v>
      </c>
      <c r="K1438" t="s">
        <v>11446</v>
      </c>
      <c r="M1438" t="s">
        <v>14746</v>
      </c>
      <c r="N1438" t="s">
        <v>14781</v>
      </c>
      <c r="P1438" t="s">
        <v>14797</v>
      </c>
      <c r="Q1438" t="s">
        <v>11446</v>
      </c>
      <c r="S1438" t="s">
        <v>14827</v>
      </c>
      <c r="T1438" t="s">
        <v>14832</v>
      </c>
      <c r="U1438" t="s">
        <v>586</v>
      </c>
      <c r="V1438">
        <v>2575</v>
      </c>
      <c r="W1438" t="s">
        <v>14860</v>
      </c>
      <c r="X1438" t="s">
        <v>14876</v>
      </c>
      <c r="Z1438" t="s">
        <v>16217</v>
      </c>
      <c r="AB1438" t="s">
        <v>21291</v>
      </c>
      <c r="AC1438">
        <v>72</v>
      </c>
      <c r="AD1438" t="s">
        <v>24600</v>
      </c>
      <c r="AE1438" t="s">
        <v>11459</v>
      </c>
      <c r="AF1438">
        <v>1</v>
      </c>
      <c r="AG1438">
        <v>3</v>
      </c>
      <c r="AH1438">
        <v>0</v>
      </c>
      <c r="AI1438">
        <v>234.41</v>
      </c>
      <c r="AL1438" t="s">
        <v>5011</v>
      </c>
      <c r="AM1438">
        <v>50000</v>
      </c>
      <c r="AN1438" t="s">
        <v>24759</v>
      </c>
      <c r="AS1438">
        <v>4.5</v>
      </c>
      <c r="AT1438" t="s">
        <v>495</v>
      </c>
      <c r="AU1438" t="s">
        <v>25266</v>
      </c>
      <c r="AV1438" t="s">
        <v>25335</v>
      </c>
      <c r="AW1438" t="s">
        <v>11447</v>
      </c>
    </row>
    <row r="1439" spans="1:49">
      <c r="A1439" s="1">
        <f>HYPERLINK("https://lsnyc.legalserver.org/matter/dynamic-profile/view/1909999","19-1909999")</f>
        <v>0</v>
      </c>
      <c r="B1439" t="s">
        <v>183</v>
      </c>
      <c r="C1439" t="s">
        <v>468</v>
      </c>
      <c r="E1439" t="s">
        <v>1926</v>
      </c>
      <c r="F1439" t="s">
        <v>4453</v>
      </c>
      <c r="G1439" t="s">
        <v>7442</v>
      </c>
      <c r="H1439" t="s">
        <v>10666</v>
      </c>
      <c r="I1439" t="s">
        <v>11385</v>
      </c>
      <c r="J1439">
        <v>11207</v>
      </c>
      <c r="K1439" t="s">
        <v>11447</v>
      </c>
      <c r="L1439" t="s">
        <v>11940</v>
      </c>
      <c r="M1439" t="s">
        <v>14744</v>
      </c>
      <c r="N1439" t="s">
        <v>14781</v>
      </c>
      <c r="P1439" t="s">
        <v>14797</v>
      </c>
      <c r="Q1439" t="s">
        <v>11448</v>
      </c>
      <c r="S1439" t="s">
        <v>14827</v>
      </c>
      <c r="U1439" t="s">
        <v>586</v>
      </c>
      <c r="V1439">
        <v>584</v>
      </c>
      <c r="W1439" t="s">
        <v>14859</v>
      </c>
      <c r="X1439" t="s">
        <v>14868</v>
      </c>
      <c r="Z1439" t="s">
        <v>16218</v>
      </c>
      <c r="AA1439" t="s">
        <v>11601</v>
      </c>
      <c r="AB1439" t="s">
        <v>21292</v>
      </c>
      <c r="AC1439">
        <v>16</v>
      </c>
      <c r="AD1439" t="s">
        <v>24595</v>
      </c>
      <c r="AE1439" t="s">
        <v>11459</v>
      </c>
      <c r="AF1439">
        <v>8</v>
      </c>
      <c r="AG1439">
        <v>1</v>
      </c>
      <c r="AH1439">
        <v>0</v>
      </c>
      <c r="AI1439">
        <v>320.26</v>
      </c>
      <c r="AL1439" t="s">
        <v>5011</v>
      </c>
      <c r="AM1439">
        <v>40000</v>
      </c>
      <c r="AS1439">
        <v>5.5</v>
      </c>
      <c r="AT1439" t="s">
        <v>495</v>
      </c>
      <c r="AU1439" t="s">
        <v>120</v>
      </c>
      <c r="AW1439" t="s">
        <v>11447</v>
      </c>
    </row>
    <row r="1440" spans="1:49">
      <c r="A1440" s="1">
        <f>HYPERLINK("https://lsnyc.legalserver.org/matter/dynamic-profile/view/1911945","19-1911945")</f>
        <v>0</v>
      </c>
      <c r="B1440" t="s">
        <v>172</v>
      </c>
      <c r="C1440" t="s">
        <v>586</v>
      </c>
      <c r="E1440" t="s">
        <v>1552</v>
      </c>
      <c r="F1440" t="s">
        <v>1135</v>
      </c>
      <c r="G1440" t="s">
        <v>7192</v>
      </c>
      <c r="H1440" t="s">
        <v>10541</v>
      </c>
      <c r="I1440" t="s">
        <v>11386</v>
      </c>
      <c r="J1440">
        <v>10034</v>
      </c>
      <c r="K1440" t="s">
        <v>11446</v>
      </c>
      <c r="N1440" t="s">
        <v>14781</v>
      </c>
      <c r="P1440" t="s">
        <v>14797</v>
      </c>
      <c r="Q1440" t="s">
        <v>11446</v>
      </c>
      <c r="S1440" t="s">
        <v>14827</v>
      </c>
      <c r="U1440" t="s">
        <v>586</v>
      </c>
      <c r="V1440">
        <v>2430</v>
      </c>
      <c r="W1440" t="s">
        <v>14860</v>
      </c>
      <c r="X1440" t="s">
        <v>14868</v>
      </c>
      <c r="Z1440" t="s">
        <v>15143</v>
      </c>
      <c r="AB1440" t="s">
        <v>21293</v>
      </c>
      <c r="AC1440">
        <v>43</v>
      </c>
      <c r="AD1440" t="s">
        <v>24595</v>
      </c>
      <c r="AE1440" t="s">
        <v>11459</v>
      </c>
      <c r="AF1440">
        <v>3</v>
      </c>
      <c r="AG1440">
        <v>3</v>
      </c>
      <c r="AH1440">
        <v>2</v>
      </c>
      <c r="AI1440">
        <v>361.14</v>
      </c>
      <c r="AL1440" t="s">
        <v>5011</v>
      </c>
      <c r="AM1440">
        <v>108956.44</v>
      </c>
      <c r="AS1440">
        <v>0.1</v>
      </c>
      <c r="AT1440" t="s">
        <v>586</v>
      </c>
      <c r="AU1440" t="s">
        <v>137</v>
      </c>
      <c r="AV1440" t="s">
        <v>25335</v>
      </c>
      <c r="AW1440" t="s">
        <v>11447</v>
      </c>
    </row>
    <row r="1441" spans="1:49">
      <c r="A1441" s="1">
        <f>HYPERLINK("https://lsnyc.legalserver.org/matter/dynamic-profile/view/1912397","19-1912397")</f>
        <v>0</v>
      </c>
      <c r="B1441" t="s">
        <v>205</v>
      </c>
      <c r="C1441" t="s">
        <v>489</v>
      </c>
      <c r="E1441" t="s">
        <v>1927</v>
      </c>
      <c r="F1441" t="s">
        <v>3561</v>
      </c>
      <c r="G1441" t="s">
        <v>7443</v>
      </c>
      <c r="H1441" t="s">
        <v>10522</v>
      </c>
      <c r="I1441" t="s">
        <v>11386</v>
      </c>
      <c r="J1441">
        <v>10029</v>
      </c>
      <c r="K1441" t="s">
        <v>11446</v>
      </c>
      <c r="M1441" t="s">
        <v>11601</v>
      </c>
      <c r="N1441" t="s">
        <v>14778</v>
      </c>
      <c r="P1441" t="s">
        <v>14797</v>
      </c>
      <c r="Q1441" t="s">
        <v>11448</v>
      </c>
      <c r="S1441" t="s">
        <v>14827</v>
      </c>
      <c r="T1441" t="s">
        <v>14832</v>
      </c>
      <c r="U1441" t="s">
        <v>551</v>
      </c>
      <c r="V1441">
        <v>259.33</v>
      </c>
      <c r="W1441" t="s">
        <v>14860</v>
      </c>
      <c r="X1441" t="s">
        <v>14876</v>
      </c>
      <c r="Z1441" t="s">
        <v>16219</v>
      </c>
      <c r="AA1441" t="s">
        <v>19449</v>
      </c>
      <c r="AB1441" t="s">
        <v>21294</v>
      </c>
      <c r="AC1441">
        <v>18</v>
      </c>
      <c r="AD1441" t="s">
        <v>24595</v>
      </c>
      <c r="AE1441" t="s">
        <v>11459</v>
      </c>
      <c r="AF1441">
        <v>15</v>
      </c>
      <c r="AG1441">
        <v>1</v>
      </c>
      <c r="AH1441">
        <v>0</v>
      </c>
      <c r="AI1441">
        <v>76.86</v>
      </c>
      <c r="AL1441" t="s">
        <v>24632</v>
      </c>
      <c r="AM1441">
        <v>9600</v>
      </c>
      <c r="AS1441">
        <v>1</v>
      </c>
      <c r="AT1441" t="s">
        <v>490</v>
      </c>
      <c r="AU1441" t="s">
        <v>25266</v>
      </c>
      <c r="AV1441" t="s">
        <v>25335</v>
      </c>
      <c r="AW1441" t="s">
        <v>11447</v>
      </c>
    </row>
    <row r="1442" spans="1:49">
      <c r="A1442" s="1">
        <f>HYPERLINK("https://lsnyc.legalserver.org/matter/dynamic-profile/view/1910165","19-1910165")</f>
        <v>0</v>
      </c>
      <c r="B1442" t="s">
        <v>183</v>
      </c>
      <c r="C1442" t="s">
        <v>528</v>
      </c>
      <c r="E1442" t="s">
        <v>1610</v>
      </c>
      <c r="F1442" t="s">
        <v>4454</v>
      </c>
      <c r="G1442" t="s">
        <v>7444</v>
      </c>
      <c r="I1442" t="s">
        <v>11385</v>
      </c>
      <c r="J1442">
        <v>11212</v>
      </c>
      <c r="K1442" t="s">
        <v>11446</v>
      </c>
      <c r="L1442" t="s">
        <v>11941</v>
      </c>
      <c r="M1442" t="s">
        <v>14743</v>
      </c>
      <c r="N1442" t="s">
        <v>14781</v>
      </c>
      <c r="P1442" t="s">
        <v>14797</v>
      </c>
      <c r="Q1442" t="s">
        <v>11448</v>
      </c>
      <c r="S1442" t="s">
        <v>14827</v>
      </c>
      <c r="T1442" t="s">
        <v>14832</v>
      </c>
      <c r="U1442" t="s">
        <v>551</v>
      </c>
      <c r="V1442">
        <v>700</v>
      </c>
      <c r="W1442" t="s">
        <v>14859</v>
      </c>
      <c r="X1442" t="s">
        <v>14867</v>
      </c>
      <c r="Z1442" t="s">
        <v>16220</v>
      </c>
      <c r="AA1442" t="s">
        <v>19336</v>
      </c>
      <c r="AB1442" t="s">
        <v>21295</v>
      </c>
      <c r="AC1442">
        <v>39</v>
      </c>
      <c r="AD1442" t="s">
        <v>24595</v>
      </c>
      <c r="AE1442" t="s">
        <v>24614</v>
      </c>
      <c r="AF1442">
        <v>26</v>
      </c>
      <c r="AG1442">
        <v>3</v>
      </c>
      <c r="AH1442">
        <v>1</v>
      </c>
      <c r="AI1442">
        <v>127.88</v>
      </c>
      <c r="AL1442" t="s">
        <v>5011</v>
      </c>
      <c r="AM1442">
        <v>32928</v>
      </c>
      <c r="AS1442">
        <v>3.2</v>
      </c>
      <c r="AT1442" t="s">
        <v>476</v>
      </c>
      <c r="AU1442" t="s">
        <v>25231</v>
      </c>
      <c r="AV1442" t="s">
        <v>25335</v>
      </c>
      <c r="AW1442" t="s">
        <v>11447</v>
      </c>
    </row>
    <row r="1443" spans="1:49">
      <c r="A1443" s="1">
        <f>HYPERLINK("https://lsnyc.legalserver.org/matter/dynamic-profile/view/1912190","19-1912190")</f>
        <v>0</v>
      </c>
      <c r="B1443" t="s">
        <v>183</v>
      </c>
      <c r="C1443" t="s">
        <v>559</v>
      </c>
      <c r="E1443" t="s">
        <v>1162</v>
      </c>
      <c r="F1443" t="s">
        <v>3547</v>
      </c>
      <c r="G1443" t="s">
        <v>7444</v>
      </c>
      <c r="H1443" t="s">
        <v>10465</v>
      </c>
      <c r="I1443" t="s">
        <v>11385</v>
      </c>
      <c r="J1443">
        <v>11212</v>
      </c>
      <c r="K1443" t="s">
        <v>11446</v>
      </c>
      <c r="L1443" t="s">
        <v>11941</v>
      </c>
      <c r="M1443" t="s">
        <v>14743</v>
      </c>
      <c r="N1443" t="s">
        <v>14781</v>
      </c>
      <c r="P1443" t="s">
        <v>14797</v>
      </c>
      <c r="Q1443" t="s">
        <v>11448</v>
      </c>
      <c r="S1443" t="s">
        <v>14827</v>
      </c>
      <c r="T1443" t="s">
        <v>14832</v>
      </c>
      <c r="U1443" t="s">
        <v>551</v>
      </c>
      <c r="V1443">
        <v>700</v>
      </c>
      <c r="W1443" t="s">
        <v>14859</v>
      </c>
      <c r="X1443" t="s">
        <v>14867</v>
      </c>
      <c r="Z1443" t="s">
        <v>16221</v>
      </c>
      <c r="AA1443" t="s">
        <v>19418</v>
      </c>
      <c r="AB1443" t="s">
        <v>21296</v>
      </c>
      <c r="AC1443">
        <v>39</v>
      </c>
      <c r="AD1443" t="s">
        <v>24595</v>
      </c>
      <c r="AE1443" t="s">
        <v>24614</v>
      </c>
      <c r="AF1443">
        <v>26</v>
      </c>
      <c r="AG1443">
        <v>3</v>
      </c>
      <c r="AH1443">
        <v>1</v>
      </c>
      <c r="AI1443">
        <v>127.88</v>
      </c>
      <c r="AL1443" t="s">
        <v>5011</v>
      </c>
      <c r="AM1443">
        <v>32928</v>
      </c>
      <c r="AS1443">
        <v>0.1</v>
      </c>
      <c r="AT1443" t="s">
        <v>533</v>
      </c>
      <c r="AU1443" t="s">
        <v>120</v>
      </c>
      <c r="AV1443" t="s">
        <v>25335</v>
      </c>
      <c r="AW1443" t="s">
        <v>11447</v>
      </c>
    </row>
    <row r="1444" spans="1:49">
      <c r="A1444" s="1">
        <f>HYPERLINK("https://lsnyc.legalserver.org/matter/dynamic-profile/view/1912120","19-1912120")</f>
        <v>0</v>
      </c>
      <c r="B1444" t="s">
        <v>109</v>
      </c>
      <c r="C1444" t="s">
        <v>551</v>
      </c>
      <c r="E1444" t="s">
        <v>1276</v>
      </c>
      <c r="F1444" t="s">
        <v>4455</v>
      </c>
      <c r="G1444" t="s">
        <v>7445</v>
      </c>
      <c r="H1444" t="s">
        <v>10485</v>
      </c>
      <c r="I1444" t="s">
        <v>11385</v>
      </c>
      <c r="J1444">
        <v>11226</v>
      </c>
      <c r="K1444" t="s">
        <v>11446</v>
      </c>
      <c r="M1444" t="s">
        <v>14745</v>
      </c>
      <c r="N1444" t="s">
        <v>14780</v>
      </c>
      <c r="P1444" t="s">
        <v>14797</v>
      </c>
      <c r="Q1444" t="s">
        <v>11448</v>
      </c>
      <c r="S1444" t="s">
        <v>14827</v>
      </c>
      <c r="U1444" t="s">
        <v>551</v>
      </c>
      <c r="V1444">
        <v>0</v>
      </c>
      <c r="W1444" t="s">
        <v>14859</v>
      </c>
      <c r="Z1444" t="s">
        <v>16222</v>
      </c>
      <c r="AC1444">
        <v>83</v>
      </c>
      <c r="AF1444">
        <v>8</v>
      </c>
      <c r="AG1444">
        <v>2</v>
      </c>
      <c r="AH1444">
        <v>2</v>
      </c>
      <c r="AI1444">
        <v>135.92</v>
      </c>
      <c r="AL1444" t="s">
        <v>24641</v>
      </c>
      <c r="AM1444">
        <v>35000</v>
      </c>
      <c r="AS1444">
        <v>8.5</v>
      </c>
      <c r="AT1444" t="s">
        <v>478</v>
      </c>
      <c r="AU1444" t="s">
        <v>75</v>
      </c>
      <c r="AV1444" t="s">
        <v>25335</v>
      </c>
      <c r="AW1444" t="s">
        <v>11447</v>
      </c>
    </row>
    <row r="1445" spans="1:49">
      <c r="A1445" s="1">
        <f>HYPERLINK("https://lsnyc.legalserver.org/matter/dynamic-profile/view/1912109","19-1912109")</f>
        <v>0</v>
      </c>
      <c r="B1445" t="s">
        <v>231</v>
      </c>
      <c r="C1445" t="s">
        <v>551</v>
      </c>
      <c r="E1445" t="s">
        <v>1928</v>
      </c>
      <c r="F1445" t="s">
        <v>3966</v>
      </c>
      <c r="G1445" t="s">
        <v>7446</v>
      </c>
      <c r="H1445">
        <v>311</v>
      </c>
      <c r="I1445" t="s">
        <v>11386</v>
      </c>
      <c r="J1445">
        <v>10034</v>
      </c>
      <c r="K1445" t="s">
        <v>11446</v>
      </c>
      <c r="M1445" t="s">
        <v>14748</v>
      </c>
      <c r="N1445" t="s">
        <v>14779</v>
      </c>
      <c r="P1445" t="s">
        <v>14797</v>
      </c>
      <c r="Q1445" t="s">
        <v>11448</v>
      </c>
      <c r="S1445" t="s">
        <v>14827</v>
      </c>
      <c r="U1445" t="s">
        <v>551</v>
      </c>
      <c r="V1445">
        <v>846.63</v>
      </c>
      <c r="W1445" t="s">
        <v>14860</v>
      </c>
      <c r="X1445" t="s">
        <v>14868</v>
      </c>
      <c r="Z1445" t="s">
        <v>15447</v>
      </c>
      <c r="AB1445" t="s">
        <v>21297</v>
      </c>
      <c r="AC1445">
        <v>72</v>
      </c>
      <c r="AD1445" t="s">
        <v>24595</v>
      </c>
      <c r="AE1445" t="s">
        <v>24613</v>
      </c>
      <c r="AF1445">
        <v>35</v>
      </c>
      <c r="AG1445">
        <v>2</v>
      </c>
      <c r="AH1445">
        <v>0</v>
      </c>
      <c r="AI1445">
        <v>145.48</v>
      </c>
      <c r="AL1445" t="s">
        <v>5011</v>
      </c>
      <c r="AM1445">
        <v>24600</v>
      </c>
      <c r="AS1445">
        <v>4.8</v>
      </c>
      <c r="AT1445" t="s">
        <v>537</v>
      </c>
      <c r="AU1445" t="s">
        <v>137</v>
      </c>
      <c r="AV1445" t="s">
        <v>25335</v>
      </c>
      <c r="AW1445" t="s">
        <v>11447</v>
      </c>
    </row>
    <row r="1446" spans="1:49">
      <c r="A1446" s="1">
        <f>HYPERLINK("https://lsnyc.legalserver.org/matter/dynamic-profile/view/1912044","19-1912044")</f>
        <v>0</v>
      </c>
      <c r="B1446" t="s">
        <v>205</v>
      </c>
      <c r="C1446" t="s">
        <v>551</v>
      </c>
      <c r="E1446" t="s">
        <v>1068</v>
      </c>
      <c r="F1446" t="s">
        <v>4456</v>
      </c>
      <c r="G1446" t="s">
        <v>7447</v>
      </c>
      <c r="H1446" t="s">
        <v>10516</v>
      </c>
      <c r="I1446" t="s">
        <v>11386</v>
      </c>
      <c r="J1446">
        <v>10037</v>
      </c>
      <c r="K1446" t="s">
        <v>11446</v>
      </c>
      <c r="M1446" t="s">
        <v>11601</v>
      </c>
      <c r="N1446" t="s">
        <v>14779</v>
      </c>
      <c r="P1446" t="s">
        <v>14797</v>
      </c>
      <c r="Q1446" t="s">
        <v>11448</v>
      </c>
      <c r="S1446" t="s">
        <v>14827</v>
      </c>
      <c r="T1446" t="s">
        <v>14832</v>
      </c>
      <c r="U1446" t="s">
        <v>551</v>
      </c>
      <c r="V1446">
        <v>787.5700000000001</v>
      </c>
      <c r="W1446" t="s">
        <v>14860</v>
      </c>
      <c r="X1446" t="s">
        <v>14876</v>
      </c>
      <c r="Z1446" t="s">
        <v>16223</v>
      </c>
      <c r="AB1446" t="s">
        <v>21298</v>
      </c>
      <c r="AC1446">
        <v>1000</v>
      </c>
      <c r="AD1446" t="s">
        <v>24595</v>
      </c>
      <c r="AE1446" t="s">
        <v>11459</v>
      </c>
      <c r="AF1446">
        <v>19</v>
      </c>
      <c r="AG1446">
        <v>1</v>
      </c>
      <c r="AH1446">
        <v>0</v>
      </c>
      <c r="AI1446">
        <v>184.15</v>
      </c>
      <c r="AL1446" t="s">
        <v>5011</v>
      </c>
      <c r="AM1446">
        <v>23000</v>
      </c>
      <c r="AS1446">
        <v>0</v>
      </c>
      <c r="AU1446" t="s">
        <v>25266</v>
      </c>
      <c r="AV1446" t="s">
        <v>25335</v>
      </c>
      <c r="AW1446" t="s">
        <v>11447</v>
      </c>
    </row>
    <row r="1447" spans="1:49">
      <c r="A1447" s="1">
        <f>HYPERLINK("https://lsnyc.legalserver.org/matter/dynamic-profile/view/1912103","19-1912103")</f>
        <v>0</v>
      </c>
      <c r="B1447" t="s">
        <v>55</v>
      </c>
      <c r="C1447" t="s">
        <v>551</v>
      </c>
      <c r="E1447" t="s">
        <v>1929</v>
      </c>
      <c r="F1447" t="s">
        <v>4457</v>
      </c>
      <c r="G1447" t="s">
        <v>7448</v>
      </c>
      <c r="H1447" t="s">
        <v>10450</v>
      </c>
      <c r="I1447" t="s">
        <v>11386</v>
      </c>
      <c r="J1447">
        <v>10034</v>
      </c>
      <c r="K1447" t="s">
        <v>11446</v>
      </c>
      <c r="N1447" t="s">
        <v>14781</v>
      </c>
      <c r="P1447" t="s">
        <v>14797</v>
      </c>
      <c r="Q1447" t="s">
        <v>11448</v>
      </c>
      <c r="S1447" t="s">
        <v>14827</v>
      </c>
      <c r="U1447" t="s">
        <v>551</v>
      </c>
      <c r="V1447">
        <v>2300</v>
      </c>
      <c r="W1447" t="s">
        <v>14860</v>
      </c>
      <c r="X1447" t="s">
        <v>14868</v>
      </c>
      <c r="Z1447" t="s">
        <v>16224</v>
      </c>
      <c r="AB1447" t="s">
        <v>21299</v>
      </c>
      <c r="AC1447">
        <v>20</v>
      </c>
      <c r="AD1447" t="s">
        <v>24595</v>
      </c>
      <c r="AE1447" t="s">
        <v>11459</v>
      </c>
      <c r="AF1447">
        <v>11</v>
      </c>
      <c r="AG1447">
        <v>2</v>
      </c>
      <c r="AH1447">
        <v>0</v>
      </c>
      <c r="AI1447">
        <v>313.42</v>
      </c>
      <c r="AJ1447" t="s">
        <v>560</v>
      </c>
      <c r="AK1447" t="s">
        <v>24629</v>
      </c>
      <c r="AL1447" t="s">
        <v>5011</v>
      </c>
      <c r="AM1447">
        <v>53000</v>
      </c>
      <c r="AS1447">
        <v>18.25</v>
      </c>
      <c r="AT1447" t="s">
        <v>506</v>
      </c>
      <c r="AU1447" t="s">
        <v>137</v>
      </c>
      <c r="AV1447" t="s">
        <v>25335</v>
      </c>
      <c r="AW1447" t="s">
        <v>11447</v>
      </c>
    </row>
    <row r="1448" spans="1:49">
      <c r="A1448" s="1">
        <f>HYPERLINK("https://lsnyc.legalserver.org/matter/dynamic-profile/view/1912231","19-1912231")</f>
        <v>0</v>
      </c>
      <c r="B1448" t="s">
        <v>59</v>
      </c>
      <c r="C1448" t="s">
        <v>559</v>
      </c>
      <c r="E1448" t="s">
        <v>1361</v>
      </c>
      <c r="F1448" t="s">
        <v>4458</v>
      </c>
      <c r="G1448" t="s">
        <v>7449</v>
      </c>
      <c r="H1448" t="s">
        <v>10465</v>
      </c>
      <c r="I1448" t="s">
        <v>11407</v>
      </c>
      <c r="J1448">
        <v>11415</v>
      </c>
      <c r="K1448" t="s">
        <v>11446</v>
      </c>
      <c r="L1448" t="s">
        <v>11942</v>
      </c>
      <c r="M1448" t="s">
        <v>14744</v>
      </c>
      <c r="N1448" t="s">
        <v>14778</v>
      </c>
      <c r="P1448" t="s">
        <v>14797</v>
      </c>
      <c r="Q1448" t="s">
        <v>11448</v>
      </c>
      <c r="S1448" t="s">
        <v>14827</v>
      </c>
      <c r="T1448" t="s">
        <v>14837</v>
      </c>
      <c r="U1448" t="s">
        <v>559</v>
      </c>
      <c r="V1448">
        <v>1467.75</v>
      </c>
      <c r="W1448" t="s">
        <v>14861</v>
      </c>
      <c r="X1448" t="s">
        <v>14865</v>
      </c>
      <c r="Z1448" t="s">
        <v>14966</v>
      </c>
      <c r="AA1448" t="s">
        <v>19450</v>
      </c>
      <c r="AB1448" t="s">
        <v>21300</v>
      </c>
      <c r="AC1448">
        <v>60</v>
      </c>
      <c r="AD1448" t="s">
        <v>24595</v>
      </c>
      <c r="AE1448" t="s">
        <v>24611</v>
      </c>
      <c r="AF1448">
        <v>2</v>
      </c>
      <c r="AG1448">
        <v>1</v>
      </c>
      <c r="AH1448">
        <v>0</v>
      </c>
      <c r="AI1448">
        <v>16.33</v>
      </c>
      <c r="AL1448" t="s">
        <v>5011</v>
      </c>
      <c r="AM1448">
        <v>2040</v>
      </c>
      <c r="AS1448">
        <v>1.78</v>
      </c>
      <c r="AT1448" t="s">
        <v>603</v>
      </c>
      <c r="AU1448" t="s">
        <v>25233</v>
      </c>
      <c r="AV1448" t="s">
        <v>25335</v>
      </c>
      <c r="AW1448" t="s">
        <v>11447</v>
      </c>
    </row>
    <row r="1449" spans="1:49">
      <c r="A1449" s="1">
        <f>HYPERLINK("https://lsnyc.legalserver.org/matter/dynamic-profile/view/1912797","19-1912797")</f>
        <v>0</v>
      </c>
      <c r="B1449" t="s">
        <v>233</v>
      </c>
      <c r="C1449" t="s">
        <v>470</v>
      </c>
      <c r="E1449" t="s">
        <v>1047</v>
      </c>
      <c r="F1449" t="s">
        <v>4459</v>
      </c>
      <c r="G1449" t="s">
        <v>7450</v>
      </c>
      <c r="H1449" t="s">
        <v>10504</v>
      </c>
      <c r="I1449" t="s">
        <v>11385</v>
      </c>
      <c r="J1449">
        <v>11217</v>
      </c>
      <c r="K1449" t="s">
        <v>11446</v>
      </c>
      <c r="L1449" t="s">
        <v>11943</v>
      </c>
      <c r="M1449" t="s">
        <v>14744</v>
      </c>
      <c r="N1449" t="s">
        <v>14782</v>
      </c>
      <c r="P1449" t="s">
        <v>14797</v>
      </c>
      <c r="Q1449" t="s">
        <v>11448</v>
      </c>
      <c r="S1449" t="s">
        <v>14827</v>
      </c>
      <c r="U1449" t="s">
        <v>559</v>
      </c>
      <c r="V1449">
        <v>580</v>
      </c>
      <c r="W1449" t="s">
        <v>14859</v>
      </c>
      <c r="X1449" t="s">
        <v>14863</v>
      </c>
      <c r="Z1449" t="s">
        <v>16225</v>
      </c>
      <c r="AB1449" t="s">
        <v>21301</v>
      </c>
      <c r="AC1449">
        <v>9</v>
      </c>
      <c r="AD1449" t="s">
        <v>24598</v>
      </c>
      <c r="AF1449">
        <v>15</v>
      </c>
      <c r="AG1449">
        <v>2</v>
      </c>
      <c r="AH1449">
        <v>0</v>
      </c>
      <c r="AI1449">
        <v>51.8</v>
      </c>
      <c r="AL1449" t="s">
        <v>5011</v>
      </c>
      <c r="AM1449">
        <v>8760</v>
      </c>
      <c r="AS1449">
        <v>3.5</v>
      </c>
      <c r="AT1449" t="s">
        <v>509</v>
      </c>
      <c r="AU1449" t="s">
        <v>120</v>
      </c>
      <c r="AV1449" t="s">
        <v>25335</v>
      </c>
      <c r="AW1449" t="s">
        <v>11447</v>
      </c>
    </row>
    <row r="1450" spans="1:49">
      <c r="A1450" s="1">
        <f>HYPERLINK("https://lsnyc.legalserver.org/matter/dynamic-profile/view/1912726","19-1912726")</f>
        <v>0</v>
      </c>
      <c r="B1450" t="s">
        <v>103</v>
      </c>
      <c r="C1450" t="s">
        <v>578</v>
      </c>
      <c r="E1450" t="s">
        <v>1930</v>
      </c>
      <c r="F1450" t="s">
        <v>4460</v>
      </c>
      <c r="G1450" t="s">
        <v>7451</v>
      </c>
      <c r="H1450" t="s">
        <v>10509</v>
      </c>
      <c r="I1450" t="s">
        <v>11385</v>
      </c>
      <c r="J1450">
        <v>11212</v>
      </c>
      <c r="K1450" t="s">
        <v>11446</v>
      </c>
      <c r="L1450" t="s">
        <v>11944</v>
      </c>
      <c r="M1450" t="s">
        <v>14744</v>
      </c>
      <c r="N1450" t="s">
        <v>14782</v>
      </c>
      <c r="P1450" t="s">
        <v>14797</v>
      </c>
      <c r="Q1450" t="s">
        <v>11448</v>
      </c>
      <c r="S1450" t="s">
        <v>14827</v>
      </c>
      <c r="U1450" t="s">
        <v>559</v>
      </c>
      <c r="V1450">
        <v>1450</v>
      </c>
      <c r="W1450" t="s">
        <v>14859</v>
      </c>
      <c r="X1450" t="s">
        <v>14863</v>
      </c>
      <c r="Z1450" t="s">
        <v>16226</v>
      </c>
      <c r="AA1450" t="s">
        <v>19451</v>
      </c>
      <c r="AB1450" t="s">
        <v>21302</v>
      </c>
      <c r="AC1450">
        <v>43</v>
      </c>
      <c r="AD1450" t="s">
        <v>24595</v>
      </c>
      <c r="AE1450" t="s">
        <v>11459</v>
      </c>
      <c r="AF1450">
        <v>4</v>
      </c>
      <c r="AG1450">
        <v>1</v>
      </c>
      <c r="AH1450">
        <v>3</v>
      </c>
      <c r="AI1450">
        <v>69.27</v>
      </c>
      <c r="AL1450" t="s">
        <v>5011</v>
      </c>
      <c r="AM1450">
        <v>17836</v>
      </c>
      <c r="AS1450">
        <v>2.25</v>
      </c>
      <c r="AT1450" t="s">
        <v>506</v>
      </c>
      <c r="AU1450" t="s">
        <v>120</v>
      </c>
      <c r="AV1450" t="s">
        <v>25335</v>
      </c>
      <c r="AW1450" t="s">
        <v>11447</v>
      </c>
    </row>
    <row r="1451" spans="1:49">
      <c r="A1451" s="1">
        <f>HYPERLINK("https://lsnyc.legalserver.org/matter/dynamic-profile/view/1912268","19-1912268")</f>
        <v>0</v>
      </c>
      <c r="B1451" t="s">
        <v>172</v>
      </c>
      <c r="C1451" t="s">
        <v>559</v>
      </c>
      <c r="E1451" t="s">
        <v>1852</v>
      </c>
      <c r="F1451" t="s">
        <v>4374</v>
      </c>
      <c r="G1451" t="s">
        <v>7198</v>
      </c>
      <c r="H1451">
        <v>1</v>
      </c>
      <c r="I1451" t="s">
        <v>11386</v>
      </c>
      <c r="J1451">
        <v>10033</v>
      </c>
      <c r="K1451" t="s">
        <v>11446</v>
      </c>
      <c r="M1451" t="s">
        <v>14771</v>
      </c>
      <c r="N1451" t="s">
        <v>14781</v>
      </c>
      <c r="P1451" t="s">
        <v>14797</v>
      </c>
      <c r="Q1451" t="s">
        <v>11448</v>
      </c>
      <c r="S1451" t="s">
        <v>14827</v>
      </c>
      <c r="U1451" t="s">
        <v>559</v>
      </c>
      <c r="V1451">
        <v>0</v>
      </c>
      <c r="W1451" t="s">
        <v>14860</v>
      </c>
      <c r="X1451" t="s">
        <v>14868</v>
      </c>
      <c r="Z1451" t="s">
        <v>16085</v>
      </c>
      <c r="AB1451" t="s">
        <v>21166</v>
      </c>
      <c r="AC1451">
        <v>20</v>
      </c>
      <c r="AE1451" t="s">
        <v>24613</v>
      </c>
      <c r="AF1451">
        <v>29</v>
      </c>
      <c r="AG1451">
        <v>2</v>
      </c>
      <c r="AH1451">
        <v>0</v>
      </c>
      <c r="AI1451">
        <v>92.54000000000001</v>
      </c>
      <c r="AL1451" t="s">
        <v>24632</v>
      </c>
      <c r="AM1451">
        <v>15648</v>
      </c>
      <c r="AS1451">
        <v>0</v>
      </c>
      <c r="AU1451" t="s">
        <v>137</v>
      </c>
      <c r="AV1451" t="s">
        <v>25335</v>
      </c>
      <c r="AW1451" t="s">
        <v>11447</v>
      </c>
    </row>
    <row r="1452" spans="1:49">
      <c r="A1452" s="1">
        <f>HYPERLINK("https://lsnyc.legalserver.org/matter/dynamic-profile/view/1912157","19-1912157")</f>
        <v>0</v>
      </c>
      <c r="B1452" t="s">
        <v>172</v>
      </c>
      <c r="C1452" t="s">
        <v>559</v>
      </c>
      <c r="E1452" t="s">
        <v>1249</v>
      </c>
      <c r="F1452" t="s">
        <v>4188</v>
      </c>
      <c r="G1452" t="s">
        <v>7198</v>
      </c>
      <c r="H1452">
        <v>3</v>
      </c>
      <c r="I1452" t="s">
        <v>11386</v>
      </c>
      <c r="J1452">
        <v>10033</v>
      </c>
      <c r="K1452" t="s">
        <v>11446</v>
      </c>
      <c r="M1452" t="s">
        <v>14771</v>
      </c>
      <c r="N1452" t="s">
        <v>14783</v>
      </c>
      <c r="P1452" t="s">
        <v>14797</v>
      </c>
      <c r="Q1452" t="s">
        <v>11448</v>
      </c>
      <c r="S1452" t="s">
        <v>14827</v>
      </c>
      <c r="U1452" t="s">
        <v>559</v>
      </c>
      <c r="V1452">
        <v>923</v>
      </c>
      <c r="W1452" t="s">
        <v>14860</v>
      </c>
      <c r="X1452" t="s">
        <v>14868</v>
      </c>
      <c r="Z1452" t="s">
        <v>16227</v>
      </c>
      <c r="AB1452" t="s">
        <v>21303</v>
      </c>
      <c r="AC1452">
        <v>20</v>
      </c>
      <c r="AD1452" t="s">
        <v>24595</v>
      </c>
      <c r="AE1452" t="s">
        <v>11459</v>
      </c>
      <c r="AF1452">
        <v>48</v>
      </c>
      <c r="AG1452">
        <v>2</v>
      </c>
      <c r="AH1452">
        <v>0</v>
      </c>
      <c r="AI1452">
        <v>132.35</v>
      </c>
      <c r="AL1452" t="s">
        <v>24632</v>
      </c>
      <c r="AM1452">
        <v>22380</v>
      </c>
      <c r="AS1452">
        <v>5.3</v>
      </c>
      <c r="AT1452" t="s">
        <v>571</v>
      </c>
      <c r="AU1452" t="s">
        <v>137</v>
      </c>
      <c r="AV1452" t="s">
        <v>25335</v>
      </c>
      <c r="AW1452" t="s">
        <v>11447</v>
      </c>
    </row>
    <row r="1453" spans="1:49">
      <c r="A1453" s="1">
        <f>HYPERLINK("https://lsnyc.legalserver.org/matter/dynamic-profile/view/1912555","19-1912555")</f>
        <v>0</v>
      </c>
      <c r="B1453" t="s">
        <v>56</v>
      </c>
      <c r="C1453" t="s">
        <v>472</v>
      </c>
      <c r="E1453" t="s">
        <v>1491</v>
      </c>
      <c r="F1453" t="s">
        <v>3985</v>
      </c>
      <c r="G1453" t="s">
        <v>7452</v>
      </c>
      <c r="H1453">
        <v>2</v>
      </c>
      <c r="I1453" t="s">
        <v>11385</v>
      </c>
      <c r="J1453">
        <v>11233</v>
      </c>
      <c r="K1453" t="s">
        <v>11446</v>
      </c>
      <c r="L1453" t="s">
        <v>11945</v>
      </c>
      <c r="M1453" t="s">
        <v>14744</v>
      </c>
      <c r="N1453" t="s">
        <v>14782</v>
      </c>
      <c r="P1453" t="s">
        <v>14797</v>
      </c>
      <c r="Q1453" t="s">
        <v>11448</v>
      </c>
      <c r="S1453" t="s">
        <v>14827</v>
      </c>
      <c r="U1453" t="s">
        <v>559</v>
      </c>
      <c r="V1453">
        <v>2400</v>
      </c>
      <c r="W1453" t="s">
        <v>14859</v>
      </c>
      <c r="X1453" t="s">
        <v>14863</v>
      </c>
      <c r="Z1453" t="s">
        <v>15482</v>
      </c>
      <c r="AA1453" t="s">
        <v>19452</v>
      </c>
      <c r="AB1453" t="s">
        <v>20602</v>
      </c>
      <c r="AC1453">
        <v>2</v>
      </c>
      <c r="AD1453" t="s">
        <v>24600</v>
      </c>
      <c r="AE1453" t="s">
        <v>11459</v>
      </c>
      <c r="AF1453">
        <v>0</v>
      </c>
      <c r="AG1453">
        <v>2</v>
      </c>
      <c r="AH1453">
        <v>2</v>
      </c>
      <c r="AI1453">
        <v>159.22</v>
      </c>
      <c r="AL1453" t="s">
        <v>5011</v>
      </c>
      <c r="AM1453">
        <v>41000</v>
      </c>
      <c r="AS1453">
        <v>3.8</v>
      </c>
      <c r="AT1453" t="s">
        <v>592</v>
      </c>
      <c r="AU1453" t="s">
        <v>120</v>
      </c>
      <c r="AV1453" t="s">
        <v>25335</v>
      </c>
      <c r="AW1453" t="s">
        <v>11447</v>
      </c>
    </row>
    <row r="1454" spans="1:49">
      <c r="A1454" s="1">
        <f>HYPERLINK("https://lsnyc.legalserver.org/matter/dynamic-profile/view/1912252","19-1912252")</f>
        <v>0</v>
      </c>
      <c r="B1454" t="s">
        <v>110</v>
      </c>
      <c r="C1454" t="s">
        <v>559</v>
      </c>
      <c r="E1454" t="s">
        <v>1552</v>
      </c>
      <c r="F1454" t="s">
        <v>4461</v>
      </c>
      <c r="G1454" t="s">
        <v>7453</v>
      </c>
      <c r="H1454" t="s">
        <v>10834</v>
      </c>
      <c r="I1454" t="s">
        <v>11391</v>
      </c>
      <c r="J1454">
        <v>11691</v>
      </c>
      <c r="K1454" t="s">
        <v>11446</v>
      </c>
      <c r="L1454" t="s">
        <v>11946</v>
      </c>
      <c r="M1454" t="s">
        <v>14746</v>
      </c>
      <c r="N1454" t="s">
        <v>14781</v>
      </c>
      <c r="P1454" t="s">
        <v>14797</v>
      </c>
      <c r="Q1454" t="s">
        <v>11446</v>
      </c>
      <c r="S1454" t="s">
        <v>14827</v>
      </c>
      <c r="T1454" t="s">
        <v>14832</v>
      </c>
      <c r="U1454" t="s">
        <v>559</v>
      </c>
      <c r="V1454">
        <v>540</v>
      </c>
      <c r="W1454" t="s">
        <v>14861</v>
      </c>
      <c r="X1454" t="s">
        <v>14876</v>
      </c>
      <c r="Z1454" t="s">
        <v>16228</v>
      </c>
      <c r="AB1454" t="s">
        <v>21304</v>
      </c>
      <c r="AC1454">
        <v>43</v>
      </c>
      <c r="AD1454" t="s">
        <v>24595</v>
      </c>
      <c r="AE1454" t="s">
        <v>11459</v>
      </c>
      <c r="AF1454">
        <v>40</v>
      </c>
      <c r="AG1454">
        <v>2</v>
      </c>
      <c r="AH1454">
        <v>0</v>
      </c>
      <c r="AI1454">
        <v>160.52</v>
      </c>
      <c r="AL1454" t="s">
        <v>5011</v>
      </c>
      <c r="AM1454">
        <v>27144</v>
      </c>
      <c r="AP1454" t="s">
        <v>14755</v>
      </c>
      <c r="AS1454">
        <v>0.4</v>
      </c>
      <c r="AT1454" t="s">
        <v>559</v>
      </c>
      <c r="AU1454" t="s">
        <v>292</v>
      </c>
      <c r="AV1454" t="s">
        <v>25335</v>
      </c>
      <c r="AW1454" t="s">
        <v>11447</v>
      </c>
    </row>
    <row r="1455" spans="1:49">
      <c r="A1455" s="1">
        <f>HYPERLINK("https://lsnyc.legalserver.org/matter/dynamic-profile/view/1912286","19-1912286")</f>
        <v>0</v>
      </c>
      <c r="B1455" t="s">
        <v>231</v>
      </c>
      <c r="C1455" t="s">
        <v>559</v>
      </c>
      <c r="E1455" t="s">
        <v>1644</v>
      </c>
      <c r="F1455" t="s">
        <v>4435</v>
      </c>
      <c r="G1455" t="s">
        <v>7423</v>
      </c>
      <c r="H1455" t="s">
        <v>10831</v>
      </c>
      <c r="I1455" t="s">
        <v>11386</v>
      </c>
      <c r="J1455">
        <v>10033</v>
      </c>
      <c r="K1455" t="s">
        <v>11446</v>
      </c>
      <c r="M1455" t="s">
        <v>14748</v>
      </c>
      <c r="N1455" t="s">
        <v>14779</v>
      </c>
      <c r="P1455" t="s">
        <v>14797</v>
      </c>
      <c r="Q1455" t="s">
        <v>11448</v>
      </c>
      <c r="S1455" t="s">
        <v>14827</v>
      </c>
      <c r="U1455" t="s">
        <v>559</v>
      </c>
      <c r="V1455">
        <v>1319.95</v>
      </c>
      <c r="W1455" t="s">
        <v>14860</v>
      </c>
      <c r="X1455" t="s">
        <v>14868</v>
      </c>
      <c r="Z1455" t="s">
        <v>16194</v>
      </c>
      <c r="AB1455" t="s">
        <v>21268</v>
      </c>
      <c r="AC1455">
        <v>480</v>
      </c>
      <c r="AD1455" t="s">
        <v>24595</v>
      </c>
      <c r="AE1455" t="s">
        <v>24613</v>
      </c>
      <c r="AF1455">
        <v>18</v>
      </c>
      <c r="AG1455">
        <v>2</v>
      </c>
      <c r="AH1455">
        <v>0</v>
      </c>
      <c r="AI1455">
        <v>255.47</v>
      </c>
      <c r="AL1455" t="s">
        <v>5011</v>
      </c>
      <c r="AM1455">
        <v>43200</v>
      </c>
      <c r="AS1455">
        <v>6.25</v>
      </c>
      <c r="AT1455" t="s">
        <v>484</v>
      </c>
      <c r="AU1455" t="s">
        <v>137</v>
      </c>
      <c r="AV1455" t="s">
        <v>25335</v>
      </c>
      <c r="AW1455" t="s">
        <v>11447</v>
      </c>
    </row>
    <row r="1456" spans="1:49">
      <c r="A1456" s="1">
        <f>HYPERLINK("https://lsnyc.legalserver.org/matter/dynamic-profile/view/1912384","19-1912384")</f>
        <v>0</v>
      </c>
      <c r="B1456" t="s">
        <v>109</v>
      </c>
      <c r="C1456" t="s">
        <v>473</v>
      </c>
      <c r="E1456" t="s">
        <v>1931</v>
      </c>
      <c r="F1456" t="s">
        <v>4462</v>
      </c>
      <c r="G1456" t="s">
        <v>7295</v>
      </c>
      <c r="H1456" t="s">
        <v>10468</v>
      </c>
      <c r="I1456" t="s">
        <v>11385</v>
      </c>
      <c r="J1456">
        <v>11238</v>
      </c>
      <c r="K1456" t="s">
        <v>11446</v>
      </c>
      <c r="M1456" t="s">
        <v>14744</v>
      </c>
      <c r="N1456" t="s">
        <v>14781</v>
      </c>
      <c r="P1456" t="s">
        <v>14797</v>
      </c>
      <c r="Q1456" t="s">
        <v>11448</v>
      </c>
      <c r="S1456" t="s">
        <v>14827</v>
      </c>
      <c r="U1456" t="s">
        <v>473</v>
      </c>
      <c r="V1456">
        <v>989.25</v>
      </c>
      <c r="W1456" t="s">
        <v>14859</v>
      </c>
      <c r="Z1456" t="s">
        <v>16229</v>
      </c>
      <c r="AB1456" t="s">
        <v>21305</v>
      </c>
      <c r="AC1456">
        <v>29</v>
      </c>
      <c r="AE1456" t="s">
        <v>24615</v>
      </c>
      <c r="AF1456">
        <v>10</v>
      </c>
      <c r="AG1456">
        <v>1</v>
      </c>
      <c r="AH1456">
        <v>1</v>
      </c>
      <c r="AI1456">
        <v>0</v>
      </c>
      <c r="AL1456" t="s">
        <v>5011</v>
      </c>
      <c r="AM1456">
        <v>0</v>
      </c>
      <c r="AS1456">
        <v>4.3</v>
      </c>
      <c r="AT1456" t="s">
        <v>495</v>
      </c>
      <c r="AU1456" t="s">
        <v>75</v>
      </c>
      <c r="AV1456" t="s">
        <v>25335</v>
      </c>
      <c r="AW1456" t="s">
        <v>11447</v>
      </c>
    </row>
    <row r="1457" spans="1:49">
      <c r="A1457" s="1">
        <f>HYPERLINK("https://lsnyc.legalserver.org/matter/dynamic-profile/view/1912335","19-1912335")</f>
        <v>0</v>
      </c>
      <c r="B1457" t="s">
        <v>109</v>
      </c>
      <c r="C1457" t="s">
        <v>473</v>
      </c>
      <c r="E1457" t="s">
        <v>1272</v>
      </c>
      <c r="F1457" t="s">
        <v>4463</v>
      </c>
      <c r="G1457" t="s">
        <v>7454</v>
      </c>
      <c r="H1457" t="s">
        <v>10451</v>
      </c>
      <c r="I1457" t="s">
        <v>11385</v>
      </c>
      <c r="J1457">
        <v>11217</v>
      </c>
      <c r="K1457" t="s">
        <v>11446</v>
      </c>
      <c r="M1457" t="s">
        <v>14744</v>
      </c>
      <c r="N1457" t="s">
        <v>14782</v>
      </c>
      <c r="P1457" t="s">
        <v>14797</v>
      </c>
      <c r="Q1457" t="s">
        <v>11448</v>
      </c>
      <c r="S1457" t="s">
        <v>14827</v>
      </c>
      <c r="T1457" t="s">
        <v>14832</v>
      </c>
      <c r="U1457" t="s">
        <v>473</v>
      </c>
      <c r="V1457">
        <v>0</v>
      </c>
      <c r="W1457" t="s">
        <v>14859</v>
      </c>
      <c r="X1457" t="s">
        <v>14865</v>
      </c>
      <c r="Z1457" t="s">
        <v>16230</v>
      </c>
      <c r="AC1457">
        <v>0</v>
      </c>
      <c r="AD1457" t="s">
        <v>24595</v>
      </c>
      <c r="AE1457" t="s">
        <v>11459</v>
      </c>
      <c r="AF1457">
        <v>0</v>
      </c>
      <c r="AG1457">
        <v>1</v>
      </c>
      <c r="AH1457">
        <v>0</v>
      </c>
      <c r="AI1457">
        <v>0</v>
      </c>
      <c r="AL1457" t="s">
        <v>5011</v>
      </c>
      <c r="AM1457">
        <v>0</v>
      </c>
      <c r="AS1457">
        <v>6.2</v>
      </c>
      <c r="AT1457" t="s">
        <v>521</v>
      </c>
      <c r="AU1457" t="s">
        <v>109</v>
      </c>
      <c r="AV1457" t="s">
        <v>25335</v>
      </c>
      <c r="AW1457" t="s">
        <v>11447</v>
      </c>
    </row>
    <row r="1458" spans="1:49">
      <c r="A1458" s="1">
        <f>HYPERLINK("https://lsnyc.legalserver.org/matter/dynamic-profile/view/1912336","19-1912336")</f>
        <v>0</v>
      </c>
      <c r="B1458" t="s">
        <v>105</v>
      </c>
      <c r="C1458" t="s">
        <v>473</v>
      </c>
      <c r="E1458" t="s">
        <v>1320</v>
      </c>
      <c r="F1458" t="s">
        <v>3696</v>
      </c>
      <c r="G1458" t="s">
        <v>7146</v>
      </c>
      <c r="H1458" t="s">
        <v>10471</v>
      </c>
      <c r="I1458" t="s">
        <v>11386</v>
      </c>
      <c r="J1458">
        <v>10040</v>
      </c>
      <c r="K1458" t="s">
        <v>11446</v>
      </c>
      <c r="M1458" t="s">
        <v>14762</v>
      </c>
      <c r="N1458" t="s">
        <v>14781</v>
      </c>
      <c r="P1458" t="s">
        <v>14797</v>
      </c>
      <c r="Q1458" t="s">
        <v>11446</v>
      </c>
      <c r="S1458" t="s">
        <v>14827</v>
      </c>
      <c r="U1458" t="s">
        <v>473</v>
      </c>
      <c r="V1458">
        <v>1134.04</v>
      </c>
      <c r="W1458" t="s">
        <v>14860</v>
      </c>
      <c r="X1458" t="s">
        <v>14868</v>
      </c>
      <c r="Z1458" t="s">
        <v>16185</v>
      </c>
      <c r="AA1458" t="s">
        <v>19444</v>
      </c>
      <c r="AB1458" t="s">
        <v>21257</v>
      </c>
      <c r="AC1458">
        <v>44</v>
      </c>
      <c r="AD1458" t="s">
        <v>24595</v>
      </c>
      <c r="AE1458" t="s">
        <v>24610</v>
      </c>
      <c r="AF1458">
        <v>36</v>
      </c>
      <c r="AG1458">
        <v>1</v>
      </c>
      <c r="AH1458">
        <v>0</v>
      </c>
      <c r="AI1458">
        <v>59.72</v>
      </c>
      <c r="AL1458" t="s">
        <v>24632</v>
      </c>
      <c r="AM1458">
        <v>7459.2</v>
      </c>
      <c r="AS1458">
        <v>0</v>
      </c>
      <c r="AU1458" t="s">
        <v>137</v>
      </c>
      <c r="AV1458" t="s">
        <v>25335</v>
      </c>
      <c r="AW1458" t="s">
        <v>11447</v>
      </c>
    </row>
    <row r="1459" spans="1:49">
      <c r="A1459" s="1">
        <f>HYPERLINK("https://lsnyc.legalserver.org/matter/dynamic-profile/view/1912334","19-1912334")</f>
        <v>0</v>
      </c>
      <c r="B1459" t="s">
        <v>105</v>
      </c>
      <c r="C1459" t="s">
        <v>473</v>
      </c>
      <c r="E1459" t="s">
        <v>1190</v>
      </c>
      <c r="F1459" t="s">
        <v>4432</v>
      </c>
      <c r="G1459" t="s">
        <v>7146</v>
      </c>
      <c r="H1459" t="s">
        <v>10620</v>
      </c>
      <c r="I1459" t="s">
        <v>11386</v>
      </c>
      <c r="J1459">
        <v>10040</v>
      </c>
      <c r="K1459" t="s">
        <v>11446</v>
      </c>
      <c r="M1459" t="s">
        <v>14762</v>
      </c>
      <c r="N1459" t="s">
        <v>14781</v>
      </c>
      <c r="P1459" t="s">
        <v>14797</v>
      </c>
      <c r="Q1459" t="s">
        <v>11446</v>
      </c>
      <c r="S1459" t="s">
        <v>14827</v>
      </c>
      <c r="U1459" t="s">
        <v>473</v>
      </c>
      <c r="V1459">
        <v>952</v>
      </c>
      <c r="W1459" t="s">
        <v>14860</v>
      </c>
      <c r="X1459" t="s">
        <v>14868</v>
      </c>
      <c r="Z1459" t="s">
        <v>15820</v>
      </c>
      <c r="AB1459" t="s">
        <v>21260</v>
      </c>
      <c r="AC1459">
        <v>44</v>
      </c>
      <c r="AD1459" t="s">
        <v>24595</v>
      </c>
      <c r="AE1459" t="s">
        <v>11459</v>
      </c>
      <c r="AF1459">
        <v>24</v>
      </c>
      <c r="AG1459">
        <v>2</v>
      </c>
      <c r="AH1459">
        <v>1</v>
      </c>
      <c r="AI1459">
        <v>93.76000000000001</v>
      </c>
      <c r="AL1459" t="s">
        <v>24632</v>
      </c>
      <c r="AM1459">
        <v>20000</v>
      </c>
      <c r="AS1459">
        <v>0</v>
      </c>
      <c r="AU1459" t="s">
        <v>137</v>
      </c>
      <c r="AV1459" t="s">
        <v>25335</v>
      </c>
      <c r="AW1459" t="s">
        <v>11447</v>
      </c>
    </row>
    <row r="1460" spans="1:49">
      <c r="A1460" s="1">
        <f>HYPERLINK("https://lsnyc.legalserver.org/matter/dynamic-profile/view/1912332","19-1912332")</f>
        <v>0</v>
      </c>
      <c r="B1460" t="s">
        <v>105</v>
      </c>
      <c r="C1460" t="s">
        <v>473</v>
      </c>
      <c r="E1460" t="s">
        <v>1916</v>
      </c>
      <c r="F1460" t="s">
        <v>3683</v>
      </c>
      <c r="G1460" t="s">
        <v>7146</v>
      </c>
      <c r="I1460" t="s">
        <v>11386</v>
      </c>
      <c r="J1460">
        <v>10040</v>
      </c>
      <c r="K1460" t="s">
        <v>11446</v>
      </c>
      <c r="M1460" t="s">
        <v>14762</v>
      </c>
      <c r="N1460" t="s">
        <v>14781</v>
      </c>
      <c r="P1460" t="s">
        <v>14797</v>
      </c>
      <c r="Q1460" t="s">
        <v>11446</v>
      </c>
      <c r="S1460" t="s">
        <v>14827</v>
      </c>
      <c r="U1460" t="s">
        <v>473</v>
      </c>
      <c r="V1460">
        <v>1296</v>
      </c>
      <c r="W1460" t="s">
        <v>14860</v>
      </c>
      <c r="X1460" t="s">
        <v>14868</v>
      </c>
      <c r="Z1460" t="s">
        <v>16190</v>
      </c>
      <c r="AB1460" t="s">
        <v>21264</v>
      </c>
      <c r="AC1460">
        <v>44</v>
      </c>
      <c r="AD1460" t="s">
        <v>24595</v>
      </c>
      <c r="AE1460" t="s">
        <v>11459</v>
      </c>
      <c r="AF1460">
        <v>11</v>
      </c>
      <c r="AG1460">
        <v>3</v>
      </c>
      <c r="AH1460">
        <v>0</v>
      </c>
      <c r="AI1460">
        <v>173.46</v>
      </c>
      <c r="AL1460" t="s">
        <v>24632</v>
      </c>
      <c r="AM1460">
        <v>37000</v>
      </c>
      <c r="AS1460">
        <v>0</v>
      </c>
      <c r="AU1460" t="s">
        <v>137</v>
      </c>
      <c r="AV1460" t="s">
        <v>25335</v>
      </c>
      <c r="AW1460" t="s">
        <v>11447</v>
      </c>
    </row>
    <row r="1461" spans="1:49">
      <c r="A1461" s="1">
        <f>HYPERLINK("https://lsnyc.legalserver.org/matter/dynamic-profile/view/1912365","19-1912365")</f>
        <v>0</v>
      </c>
      <c r="B1461" t="s">
        <v>105</v>
      </c>
      <c r="C1461" t="s">
        <v>473</v>
      </c>
      <c r="E1461" t="s">
        <v>1244</v>
      </c>
      <c r="F1461" t="s">
        <v>2719</v>
      </c>
      <c r="G1461" t="s">
        <v>7146</v>
      </c>
      <c r="H1461" t="s">
        <v>10482</v>
      </c>
      <c r="I1461" t="s">
        <v>11386</v>
      </c>
      <c r="J1461">
        <v>10040</v>
      </c>
      <c r="K1461" t="s">
        <v>11446</v>
      </c>
      <c r="M1461" t="s">
        <v>14762</v>
      </c>
      <c r="N1461" t="s">
        <v>14781</v>
      </c>
      <c r="P1461" t="s">
        <v>14797</v>
      </c>
      <c r="Q1461" t="s">
        <v>11446</v>
      </c>
      <c r="S1461" t="s">
        <v>14827</v>
      </c>
      <c r="U1461" t="s">
        <v>473</v>
      </c>
      <c r="V1461">
        <v>1600</v>
      </c>
      <c r="W1461" t="s">
        <v>14860</v>
      </c>
      <c r="X1461" t="s">
        <v>14868</v>
      </c>
      <c r="Z1461" t="s">
        <v>16192</v>
      </c>
      <c r="AB1461" t="s">
        <v>21266</v>
      </c>
      <c r="AC1461">
        <v>44</v>
      </c>
      <c r="AD1461" t="s">
        <v>24595</v>
      </c>
      <c r="AE1461" t="s">
        <v>11459</v>
      </c>
      <c r="AF1461">
        <v>39</v>
      </c>
      <c r="AG1461">
        <v>4</v>
      </c>
      <c r="AH1461">
        <v>1</v>
      </c>
      <c r="AI1461">
        <v>222.07</v>
      </c>
      <c r="AL1461" t="s">
        <v>5011</v>
      </c>
      <c r="AM1461">
        <v>67000</v>
      </c>
      <c r="AS1461">
        <v>0</v>
      </c>
      <c r="AU1461" t="s">
        <v>137</v>
      </c>
      <c r="AV1461" t="s">
        <v>25335</v>
      </c>
      <c r="AW1461" t="s">
        <v>11447</v>
      </c>
    </row>
    <row r="1462" spans="1:49">
      <c r="A1462" s="1">
        <f>HYPERLINK("https://lsnyc.legalserver.org/matter/dynamic-profile/view/1912409","19-1912409")</f>
        <v>0</v>
      </c>
      <c r="B1462" t="s">
        <v>105</v>
      </c>
      <c r="C1462" t="s">
        <v>489</v>
      </c>
      <c r="E1462" t="s">
        <v>1689</v>
      </c>
      <c r="F1462" t="s">
        <v>2002</v>
      </c>
      <c r="G1462" t="s">
        <v>7145</v>
      </c>
      <c r="H1462" t="s">
        <v>10749</v>
      </c>
      <c r="I1462" t="s">
        <v>11386</v>
      </c>
      <c r="J1462">
        <v>10040</v>
      </c>
      <c r="K1462" t="s">
        <v>11446</v>
      </c>
      <c r="M1462" t="s">
        <v>14762</v>
      </c>
      <c r="N1462" t="s">
        <v>14781</v>
      </c>
      <c r="P1462" t="s">
        <v>14797</v>
      </c>
      <c r="Q1462" t="s">
        <v>11446</v>
      </c>
      <c r="S1462" t="s">
        <v>14827</v>
      </c>
      <c r="U1462" t="s">
        <v>489</v>
      </c>
      <c r="V1462">
        <v>995.92</v>
      </c>
      <c r="W1462" t="s">
        <v>14860</v>
      </c>
      <c r="X1462" t="s">
        <v>14868</v>
      </c>
      <c r="Z1462" t="s">
        <v>15788</v>
      </c>
      <c r="AA1462" t="s">
        <v>19386</v>
      </c>
      <c r="AB1462" t="s">
        <v>20885</v>
      </c>
      <c r="AC1462">
        <v>44</v>
      </c>
      <c r="AD1462" t="s">
        <v>24595</v>
      </c>
      <c r="AE1462" t="s">
        <v>11459</v>
      </c>
      <c r="AF1462">
        <v>15</v>
      </c>
      <c r="AG1462">
        <v>2</v>
      </c>
      <c r="AH1462">
        <v>2</v>
      </c>
      <c r="AI1462">
        <v>50.49</v>
      </c>
      <c r="AL1462" t="s">
        <v>24632</v>
      </c>
      <c r="AM1462">
        <v>13000</v>
      </c>
      <c r="AS1462">
        <v>0</v>
      </c>
      <c r="AU1462" t="s">
        <v>137</v>
      </c>
      <c r="AV1462" t="s">
        <v>25335</v>
      </c>
      <c r="AW1462" t="s">
        <v>11447</v>
      </c>
    </row>
    <row r="1463" spans="1:49">
      <c r="A1463" s="1">
        <f>HYPERLINK("https://lsnyc.legalserver.org/matter/dynamic-profile/view/1912431","19-1912431")</f>
        <v>0</v>
      </c>
      <c r="B1463" t="s">
        <v>110</v>
      </c>
      <c r="C1463" t="s">
        <v>489</v>
      </c>
      <c r="E1463" t="s">
        <v>1165</v>
      </c>
      <c r="F1463" t="s">
        <v>1056</v>
      </c>
      <c r="G1463" t="s">
        <v>7453</v>
      </c>
      <c r="H1463" t="s">
        <v>10471</v>
      </c>
      <c r="I1463" t="s">
        <v>11391</v>
      </c>
      <c r="J1463">
        <v>11691</v>
      </c>
      <c r="K1463" t="s">
        <v>11446</v>
      </c>
      <c r="L1463" t="s">
        <v>11946</v>
      </c>
      <c r="M1463" t="s">
        <v>14746</v>
      </c>
      <c r="N1463" t="s">
        <v>14781</v>
      </c>
      <c r="P1463" t="s">
        <v>14797</v>
      </c>
      <c r="Q1463" t="s">
        <v>11446</v>
      </c>
      <c r="S1463" t="s">
        <v>14827</v>
      </c>
      <c r="T1463" t="s">
        <v>14832</v>
      </c>
      <c r="U1463" t="s">
        <v>489</v>
      </c>
      <c r="V1463">
        <v>637</v>
      </c>
      <c r="W1463" t="s">
        <v>14861</v>
      </c>
      <c r="X1463" t="s">
        <v>14876</v>
      </c>
      <c r="Z1463" t="s">
        <v>16231</v>
      </c>
      <c r="AB1463" t="s">
        <v>21306</v>
      </c>
      <c r="AC1463">
        <v>43</v>
      </c>
      <c r="AD1463" t="s">
        <v>24595</v>
      </c>
      <c r="AE1463" t="s">
        <v>11459</v>
      </c>
      <c r="AF1463">
        <v>20</v>
      </c>
      <c r="AG1463">
        <v>1</v>
      </c>
      <c r="AH1463">
        <v>0</v>
      </c>
      <c r="AI1463">
        <v>64.05</v>
      </c>
      <c r="AL1463" t="s">
        <v>5011</v>
      </c>
      <c r="AM1463">
        <v>8000</v>
      </c>
      <c r="AP1463" t="s">
        <v>14755</v>
      </c>
      <c r="AS1463">
        <v>6.75</v>
      </c>
      <c r="AT1463" t="s">
        <v>495</v>
      </c>
      <c r="AU1463" t="s">
        <v>292</v>
      </c>
      <c r="AV1463" t="s">
        <v>25335</v>
      </c>
      <c r="AW1463" t="s">
        <v>11447</v>
      </c>
    </row>
    <row r="1464" spans="1:49">
      <c r="A1464" s="1">
        <f>HYPERLINK("https://lsnyc.legalserver.org/matter/dynamic-profile/view/1912425","19-1912425")</f>
        <v>0</v>
      </c>
      <c r="B1464" t="s">
        <v>110</v>
      </c>
      <c r="C1464" t="s">
        <v>489</v>
      </c>
      <c r="E1464" t="s">
        <v>1165</v>
      </c>
      <c r="F1464" t="s">
        <v>1056</v>
      </c>
      <c r="G1464" t="s">
        <v>7453</v>
      </c>
      <c r="H1464" t="s">
        <v>10471</v>
      </c>
      <c r="I1464" t="s">
        <v>11391</v>
      </c>
      <c r="J1464">
        <v>11691</v>
      </c>
      <c r="K1464" t="s">
        <v>11446</v>
      </c>
      <c r="L1464" t="s">
        <v>11947</v>
      </c>
      <c r="M1464" t="s">
        <v>14744</v>
      </c>
      <c r="N1464" t="s">
        <v>14781</v>
      </c>
      <c r="P1464" t="s">
        <v>14797</v>
      </c>
      <c r="Q1464" t="s">
        <v>11446</v>
      </c>
      <c r="S1464" t="s">
        <v>14827</v>
      </c>
      <c r="T1464" t="s">
        <v>14832</v>
      </c>
      <c r="U1464" t="s">
        <v>489</v>
      </c>
      <c r="V1464">
        <v>637</v>
      </c>
      <c r="W1464" t="s">
        <v>14861</v>
      </c>
      <c r="X1464" t="s">
        <v>14876</v>
      </c>
      <c r="Z1464" t="s">
        <v>16231</v>
      </c>
      <c r="AB1464" t="s">
        <v>21306</v>
      </c>
      <c r="AC1464">
        <v>43</v>
      </c>
      <c r="AD1464" t="s">
        <v>24595</v>
      </c>
      <c r="AE1464" t="s">
        <v>11459</v>
      </c>
      <c r="AF1464">
        <v>20</v>
      </c>
      <c r="AG1464">
        <v>1</v>
      </c>
      <c r="AH1464">
        <v>0</v>
      </c>
      <c r="AI1464">
        <v>64.05</v>
      </c>
      <c r="AL1464" t="s">
        <v>5011</v>
      </c>
      <c r="AM1464">
        <v>8000</v>
      </c>
      <c r="AP1464" t="s">
        <v>14755</v>
      </c>
      <c r="AS1464">
        <v>2.5</v>
      </c>
      <c r="AT1464" t="s">
        <v>1017</v>
      </c>
      <c r="AU1464" t="s">
        <v>292</v>
      </c>
      <c r="AV1464" t="s">
        <v>25335</v>
      </c>
      <c r="AW1464" t="s">
        <v>11447</v>
      </c>
    </row>
    <row r="1465" spans="1:49">
      <c r="A1465" s="1">
        <f>HYPERLINK("https://lsnyc.legalserver.org/matter/dynamic-profile/view/1912442","19-1912442")</f>
        <v>0</v>
      </c>
      <c r="B1465" t="s">
        <v>110</v>
      </c>
      <c r="C1465" t="s">
        <v>489</v>
      </c>
      <c r="E1465" t="s">
        <v>1932</v>
      </c>
      <c r="F1465" t="s">
        <v>4464</v>
      </c>
      <c r="G1465" t="s">
        <v>7453</v>
      </c>
      <c r="H1465" t="s">
        <v>10465</v>
      </c>
      <c r="I1465" t="s">
        <v>11391</v>
      </c>
      <c r="J1465">
        <v>11691</v>
      </c>
      <c r="K1465" t="s">
        <v>11446</v>
      </c>
      <c r="L1465" t="s">
        <v>11946</v>
      </c>
      <c r="M1465" t="s">
        <v>14746</v>
      </c>
      <c r="N1465" t="s">
        <v>14781</v>
      </c>
      <c r="P1465" t="s">
        <v>14797</v>
      </c>
      <c r="Q1465" t="s">
        <v>11448</v>
      </c>
      <c r="S1465" t="s">
        <v>14827</v>
      </c>
      <c r="T1465" t="s">
        <v>14832</v>
      </c>
      <c r="U1465" t="s">
        <v>489</v>
      </c>
      <c r="V1465">
        <v>675</v>
      </c>
      <c r="W1465" t="s">
        <v>14861</v>
      </c>
      <c r="X1465" t="s">
        <v>14876</v>
      </c>
      <c r="Z1465" t="s">
        <v>16232</v>
      </c>
      <c r="AB1465" t="s">
        <v>21307</v>
      </c>
      <c r="AC1465">
        <v>43</v>
      </c>
      <c r="AD1465" t="s">
        <v>24595</v>
      </c>
      <c r="AE1465" t="s">
        <v>11459</v>
      </c>
      <c r="AF1465">
        <v>8</v>
      </c>
      <c r="AG1465">
        <v>1</v>
      </c>
      <c r="AH1465">
        <v>0</v>
      </c>
      <c r="AI1465">
        <v>91.27</v>
      </c>
      <c r="AL1465" t="s">
        <v>5011</v>
      </c>
      <c r="AM1465">
        <v>11400</v>
      </c>
      <c r="AP1465" t="s">
        <v>14755</v>
      </c>
      <c r="AS1465">
        <v>0.4</v>
      </c>
      <c r="AT1465" t="s">
        <v>489</v>
      </c>
      <c r="AU1465" t="s">
        <v>292</v>
      </c>
      <c r="AV1465" t="s">
        <v>25335</v>
      </c>
      <c r="AW1465" t="s">
        <v>11447</v>
      </c>
    </row>
    <row r="1466" spans="1:49">
      <c r="A1466" s="1">
        <f>HYPERLINK("https://lsnyc.legalserver.org/matter/dynamic-profile/view/1912486","19-1912486")</f>
        <v>0</v>
      </c>
      <c r="B1466" t="s">
        <v>136</v>
      </c>
      <c r="C1466" t="s">
        <v>489</v>
      </c>
      <c r="E1466" t="s">
        <v>1933</v>
      </c>
      <c r="F1466" t="s">
        <v>4465</v>
      </c>
      <c r="G1466" t="s">
        <v>7283</v>
      </c>
      <c r="H1466" t="s">
        <v>10569</v>
      </c>
      <c r="I1466" t="s">
        <v>11385</v>
      </c>
      <c r="J1466">
        <v>11210</v>
      </c>
      <c r="K1466" t="s">
        <v>11446</v>
      </c>
      <c r="M1466" t="s">
        <v>14745</v>
      </c>
      <c r="N1466" t="s">
        <v>14780</v>
      </c>
      <c r="P1466" t="s">
        <v>14797</v>
      </c>
      <c r="Q1466" t="s">
        <v>11448</v>
      </c>
      <c r="S1466" t="s">
        <v>14827</v>
      </c>
      <c r="U1466" t="s">
        <v>489</v>
      </c>
      <c r="V1466">
        <v>0</v>
      </c>
      <c r="W1466" t="s">
        <v>14859</v>
      </c>
      <c r="Z1466" t="s">
        <v>16233</v>
      </c>
      <c r="AB1466" t="s">
        <v>21308</v>
      </c>
      <c r="AC1466">
        <v>65</v>
      </c>
      <c r="AF1466">
        <v>14</v>
      </c>
      <c r="AG1466">
        <v>1</v>
      </c>
      <c r="AH1466">
        <v>0</v>
      </c>
      <c r="AI1466">
        <v>96.08</v>
      </c>
      <c r="AL1466" t="s">
        <v>5011</v>
      </c>
      <c r="AM1466">
        <v>12000</v>
      </c>
      <c r="AS1466">
        <v>0</v>
      </c>
      <c r="AU1466" t="s">
        <v>75</v>
      </c>
      <c r="AV1466" t="s">
        <v>25335</v>
      </c>
      <c r="AW1466" t="s">
        <v>11447</v>
      </c>
    </row>
    <row r="1467" spans="1:49">
      <c r="A1467" s="1">
        <f>HYPERLINK("https://lsnyc.legalserver.org/matter/dynamic-profile/view/1912405","19-1912405")</f>
        <v>0</v>
      </c>
      <c r="B1467" t="s">
        <v>105</v>
      </c>
      <c r="C1467" t="s">
        <v>489</v>
      </c>
      <c r="E1467" t="s">
        <v>1913</v>
      </c>
      <c r="F1467" t="s">
        <v>3843</v>
      </c>
      <c r="G1467" t="s">
        <v>7146</v>
      </c>
      <c r="H1467" t="s">
        <v>10595</v>
      </c>
      <c r="I1467" t="s">
        <v>11386</v>
      </c>
      <c r="J1467">
        <v>10040</v>
      </c>
      <c r="K1467" t="s">
        <v>11446</v>
      </c>
      <c r="M1467" t="s">
        <v>14762</v>
      </c>
      <c r="N1467" t="s">
        <v>14781</v>
      </c>
      <c r="P1467" t="s">
        <v>14797</v>
      </c>
      <c r="Q1467" t="s">
        <v>11446</v>
      </c>
      <c r="S1467" t="s">
        <v>14827</v>
      </c>
      <c r="U1467" t="s">
        <v>489</v>
      </c>
      <c r="V1467">
        <v>211</v>
      </c>
      <c r="W1467" t="s">
        <v>14860</v>
      </c>
      <c r="X1467" t="s">
        <v>14868</v>
      </c>
      <c r="Z1467" t="s">
        <v>14981</v>
      </c>
      <c r="AB1467" t="s">
        <v>21261</v>
      </c>
      <c r="AC1467">
        <v>44</v>
      </c>
      <c r="AD1467" t="s">
        <v>24595</v>
      </c>
      <c r="AE1467" t="s">
        <v>24610</v>
      </c>
      <c r="AF1467">
        <v>24</v>
      </c>
      <c r="AG1467">
        <v>1</v>
      </c>
      <c r="AH1467">
        <v>0</v>
      </c>
      <c r="AI1467">
        <v>100.39</v>
      </c>
      <c r="AL1467" t="s">
        <v>24632</v>
      </c>
      <c r="AM1467">
        <v>12539</v>
      </c>
      <c r="AS1467">
        <v>0</v>
      </c>
      <c r="AU1467" t="s">
        <v>137</v>
      </c>
      <c r="AV1467" t="s">
        <v>25335</v>
      </c>
      <c r="AW1467" t="s">
        <v>11447</v>
      </c>
    </row>
    <row r="1468" spans="1:49">
      <c r="A1468" s="1">
        <f>HYPERLINK("https://lsnyc.legalserver.org/matter/dynamic-profile/view/1912435","19-1912435")</f>
        <v>0</v>
      </c>
      <c r="B1468" t="s">
        <v>110</v>
      </c>
      <c r="C1468" t="s">
        <v>489</v>
      </c>
      <c r="E1468" t="s">
        <v>1182</v>
      </c>
      <c r="F1468" t="s">
        <v>3896</v>
      </c>
      <c r="G1468" t="s">
        <v>7453</v>
      </c>
      <c r="H1468">
        <v>40</v>
      </c>
      <c r="I1468" t="s">
        <v>11391</v>
      </c>
      <c r="J1468">
        <v>11691</v>
      </c>
      <c r="K1468" t="s">
        <v>11446</v>
      </c>
      <c r="L1468" t="s">
        <v>11946</v>
      </c>
      <c r="M1468" t="s">
        <v>14746</v>
      </c>
      <c r="N1468" t="s">
        <v>14781</v>
      </c>
      <c r="P1468" t="s">
        <v>14797</v>
      </c>
      <c r="Q1468" t="s">
        <v>11446</v>
      </c>
      <c r="S1468" t="s">
        <v>14827</v>
      </c>
      <c r="T1468" t="s">
        <v>14832</v>
      </c>
      <c r="U1468" t="s">
        <v>489</v>
      </c>
      <c r="V1468">
        <v>660</v>
      </c>
      <c r="W1468" t="s">
        <v>14861</v>
      </c>
      <c r="X1468" t="s">
        <v>14876</v>
      </c>
      <c r="Z1468" t="s">
        <v>16234</v>
      </c>
      <c r="AB1468" t="s">
        <v>21309</v>
      </c>
      <c r="AC1468">
        <v>43</v>
      </c>
      <c r="AD1468" t="s">
        <v>24595</v>
      </c>
      <c r="AE1468" t="s">
        <v>11459</v>
      </c>
      <c r="AF1468">
        <v>40</v>
      </c>
      <c r="AG1468">
        <v>2</v>
      </c>
      <c r="AH1468">
        <v>0</v>
      </c>
      <c r="AI1468">
        <v>107.23</v>
      </c>
      <c r="AL1468" t="s">
        <v>5011</v>
      </c>
      <c r="AM1468">
        <v>18132</v>
      </c>
      <c r="AP1468" t="s">
        <v>14755</v>
      </c>
      <c r="AS1468">
        <v>0.3</v>
      </c>
      <c r="AT1468" t="s">
        <v>489</v>
      </c>
      <c r="AU1468" t="s">
        <v>292</v>
      </c>
      <c r="AV1468" t="s">
        <v>25335</v>
      </c>
      <c r="AW1468" t="s">
        <v>11447</v>
      </c>
    </row>
    <row r="1469" spans="1:49">
      <c r="A1469" s="1">
        <f>HYPERLINK("https://lsnyc.legalserver.org/matter/dynamic-profile/view/1912652","19-1912652")</f>
        <v>0</v>
      </c>
      <c r="B1469" t="s">
        <v>222</v>
      </c>
      <c r="C1469" t="s">
        <v>578</v>
      </c>
      <c r="E1469" t="s">
        <v>1934</v>
      </c>
      <c r="F1469" t="s">
        <v>3561</v>
      </c>
      <c r="G1469" t="s">
        <v>7455</v>
      </c>
      <c r="H1469" t="s">
        <v>10493</v>
      </c>
      <c r="I1469" t="s">
        <v>11385</v>
      </c>
      <c r="J1469">
        <v>11215</v>
      </c>
      <c r="K1469" t="s">
        <v>11446</v>
      </c>
      <c r="N1469" t="s">
        <v>14778</v>
      </c>
      <c r="P1469" t="s">
        <v>14797</v>
      </c>
      <c r="Q1469" t="s">
        <v>11448</v>
      </c>
      <c r="S1469" t="s">
        <v>14827</v>
      </c>
      <c r="U1469" t="s">
        <v>489</v>
      </c>
      <c r="V1469">
        <v>0</v>
      </c>
      <c r="W1469" t="s">
        <v>14859</v>
      </c>
      <c r="X1469" t="s">
        <v>14864</v>
      </c>
      <c r="Z1469" t="s">
        <v>16235</v>
      </c>
      <c r="AB1469" t="s">
        <v>21310</v>
      </c>
      <c r="AC1469">
        <v>8</v>
      </c>
      <c r="AF1469">
        <v>7</v>
      </c>
      <c r="AG1469">
        <v>1</v>
      </c>
      <c r="AH1469">
        <v>3</v>
      </c>
      <c r="AI1469">
        <v>108.74</v>
      </c>
      <c r="AL1469" t="s">
        <v>5011</v>
      </c>
      <c r="AM1469">
        <v>28000</v>
      </c>
      <c r="AS1469">
        <v>0</v>
      </c>
      <c r="AU1469" t="s">
        <v>75</v>
      </c>
      <c r="AV1469" t="s">
        <v>25335</v>
      </c>
      <c r="AW1469" t="s">
        <v>11447</v>
      </c>
    </row>
    <row r="1470" spans="1:49">
      <c r="A1470" s="1">
        <f>HYPERLINK("https://lsnyc.legalserver.org/matter/dynamic-profile/view/1912403","19-1912403")</f>
        <v>0</v>
      </c>
      <c r="B1470" t="s">
        <v>110</v>
      </c>
      <c r="C1470" t="s">
        <v>489</v>
      </c>
      <c r="E1470" t="s">
        <v>1935</v>
      </c>
      <c r="F1470" t="s">
        <v>3262</v>
      </c>
      <c r="G1470" t="s">
        <v>7453</v>
      </c>
      <c r="H1470" t="s">
        <v>10547</v>
      </c>
      <c r="I1470" t="s">
        <v>11391</v>
      </c>
      <c r="J1470">
        <v>11691</v>
      </c>
      <c r="K1470" t="s">
        <v>11446</v>
      </c>
      <c r="L1470" t="s">
        <v>11946</v>
      </c>
      <c r="M1470" t="s">
        <v>14746</v>
      </c>
      <c r="N1470" t="s">
        <v>14781</v>
      </c>
      <c r="P1470" t="s">
        <v>14797</v>
      </c>
      <c r="Q1470" t="s">
        <v>11446</v>
      </c>
      <c r="S1470" t="s">
        <v>14827</v>
      </c>
      <c r="T1470" t="s">
        <v>14832</v>
      </c>
      <c r="U1470" t="s">
        <v>489</v>
      </c>
      <c r="V1470">
        <v>637</v>
      </c>
      <c r="W1470" t="s">
        <v>14861</v>
      </c>
      <c r="X1470" t="s">
        <v>14876</v>
      </c>
      <c r="Z1470" t="s">
        <v>14913</v>
      </c>
      <c r="AB1470" t="s">
        <v>21311</v>
      </c>
      <c r="AC1470">
        <v>43</v>
      </c>
      <c r="AD1470" t="s">
        <v>24595</v>
      </c>
      <c r="AE1470" t="s">
        <v>11459</v>
      </c>
      <c r="AF1470">
        <v>30</v>
      </c>
      <c r="AG1470">
        <v>4</v>
      </c>
      <c r="AH1470">
        <v>0</v>
      </c>
      <c r="AI1470">
        <v>166.99</v>
      </c>
      <c r="AL1470" t="s">
        <v>5011</v>
      </c>
      <c r="AM1470">
        <v>43000</v>
      </c>
      <c r="AP1470" t="s">
        <v>14755</v>
      </c>
      <c r="AS1470">
        <v>0.3</v>
      </c>
      <c r="AT1470" t="s">
        <v>489</v>
      </c>
      <c r="AU1470" t="s">
        <v>292</v>
      </c>
      <c r="AV1470" t="s">
        <v>25335</v>
      </c>
      <c r="AW1470" t="s">
        <v>11447</v>
      </c>
    </row>
    <row r="1471" spans="1:49">
      <c r="A1471" s="1">
        <f>HYPERLINK("https://lsnyc.legalserver.org/matter/dynamic-profile/view/1912394","19-1912394")</f>
        <v>0</v>
      </c>
      <c r="B1471" t="s">
        <v>110</v>
      </c>
      <c r="C1471" t="s">
        <v>489</v>
      </c>
      <c r="E1471" t="s">
        <v>1935</v>
      </c>
      <c r="F1471" t="s">
        <v>3262</v>
      </c>
      <c r="G1471" t="s">
        <v>7453</v>
      </c>
      <c r="H1471" t="s">
        <v>10835</v>
      </c>
      <c r="I1471" t="s">
        <v>11391</v>
      </c>
      <c r="J1471">
        <v>11691</v>
      </c>
      <c r="K1471" t="s">
        <v>11446</v>
      </c>
      <c r="M1471" t="s">
        <v>14744</v>
      </c>
      <c r="N1471" t="s">
        <v>14780</v>
      </c>
      <c r="P1471" t="s">
        <v>14797</v>
      </c>
      <c r="Q1471" t="s">
        <v>11446</v>
      </c>
      <c r="S1471" t="s">
        <v>14827</v>
      </c>
      <c r="U1471" t="s">
        <v>489</v>
      </c>
      <c r="V1471">
        <v>637</v>
      </c>
      <c r="W1471" t="s">
        <v>14861</v>
      </c>
      <c r="X1471" t="s">
        <v>14876</v>
      </c>
      <c r="Z1471" t="s">
        <v>14913</v>
      </c>
      <c r="AB1471" t="s">
        <v>21311</v>
      </c>
      <c r="AC1471">
        <v>43</v>
      </c>
      <c r="AD1471" t="s">
        <v>24595</v>
      </c>
      <c r="AE1471" t="s">
        <v>11459</v>
      </c>
      <c r="AF1471">
        <v>30</v>
      </c>
      <c r="AG1471">
        <v>4</v>
      </c>
      <c r="AH1471">
        <v>0</v>
      </c>
      <c r="AI1471">
        <v>166.99</v>
      </c>
      <c r="AL1471" t="s">
        <v>5011</v>
      </c>
      <c r="AM1471">
        <v>43000</v>
      </c>
      <c r="AS1471">
        <v>0.4</v>
      </c>
      <c r="AT1471" t="s">
        <v>489</v>
      </c>
      <c r="AU1471" t="s">
        <v>292</v>
      </c>
      <c r="AV1471" t="s">
        <v>25335</v>
      </c>
      <c r="AW1471" t="s">
        <v>11447</v>
      </c>
    </row>
    <row r="1472" spans="1:49">
      <c r="A1472" s="1">
        <f>HYPERLINK("https://lsnyc.legalserver.org/matter/dynamic-profile/view/1912469","19-1912469")</f>
        <v>0</v>
      </c>
      <c r="B1472" t="s">
        <v>110</v>
      </c>
      <c r="C1472" t="s">
        <v>489</v>
      </c>
      <c r="E1472" t="s">
        <v>1070</v>
      </c>
      <c r="F1472" t="s">
        <v>4466</v>
      </c>
      <c r="G1472" t="s">
        <v>7453</v>
      </c>
      <c r="H1472" t="s">
        <v>10527</v>
      </c>
      <c r="I1472" t="s">
        <v>11391</v>
      </c>
      <c r="J1472">
        <v>11691</v>
      </c>
      <c r="K1472" t="s">
        <v>11446</v>
      </c>
      <c r="L1472" t="s">
        <v>11946</v>
      </c>
      <c r="M1472" t="s">
        <v>14746</v>
      </c>
      <c r="N1472" t="s">
        <v>14781</v>
      </c>
      <c r="P1472" t="s">
        <v>14797</v>
      </c>
      <c r="Q1472" t="s">
        <v>11448</v>
      </c>
      <c r="S1472" t="s">
        <v>14827</v>
      </c>
      <c r="T1472" t="s">
        <v>14832</v>
      </c>
      <c r="U1472" t="s">
        <v>489</v>
      </c>
      <c r="V1472">
        <v>675</v>
      </c>
      <c r="W1472" t="s">
        <v>14861</v>
      </c>
      <c r="X1472" t="s">
        <v>14876</v>
      </c>
      <c r="Z1472" t="s">
        <v>16236</v>
      </c>
      <c r="AB1472" t="s">
        <v>21312</v>
      </c>
      <c r="AC1472">
        <v>43</v>
      </c>
      <c r="AD1472" t="s">
        <v>24595</v>
      </c>
      <c r="AE1472" t="s">
        <v>11459</v>
      </c>
      <c r="AF1472">
        <v>5</v>
      </c>
      <c r="AG1472">
        <v>2</v>
      </c>
      <c r="AH1472">
        <v>0</v>
      </c>
      <c r="AI1472">
        <v>172.21</v>
      </c>
      <c r="AL1472" t="s">
        <v>5011</v>
      </c>
      <c r="AM1472">
        <v>29120</v>
      </c>
      <c r="AP1472" t="s">
        <v>14755</v>
      </c>
      <c r="AS1472">
        <v>0.5</v>
      </c>
      <c r="AT1472" t="s">
        <v>489</v>
      </c>
      <c r="AU1472" t="s">
        <v>292</v>
      </c>
      <c r="AV1472" t="s">
        <v>25335</v>
      </c>
      <c r="AW1472" t="s">
        <v>11447</v>
      </c>
    </row>
    <row r="1473" spans="1:49">
      <c r="A1473" s="1">
        <f>HYPERLINK("https://lsnyc.legalserver.org/matter/dynamic-profile/view/1912457","19-1912457")</f>
        <v>0</v>
      </c>
      <c r="B1473" t="s">
        <v>110</v>
      </c>
      <c r="C1473" t="s">
        <v>489</v>
      </c>
      <c r="E1473" t="s">
        <v>1070</v>
      </c>
      <c r="F1473" t="s">
        <v>4466</v>
      </c>
      <c r="G1473" t="s">
        <v>7453</v>
      </c>
      <c r="H1473" t="s">
        <v>10527</v>
      </c>
      <c r="I1473" t="s">
        <v>11391</v>
      </c>
      <c r="J1473">
        <v>11691</v>
      </c>
      <c r="K1473" t="s">
        <v>11446</v>
      </c>
      <c r="M1473" t="s">
        <v>14744</v>
      </c>
      <c r="N1473" t="s">
        <v>14780</v>
      </c>
      <c r="P1473" t="s">
        <v>14797</v>
      </c>
      <c r="Q1473" t="s">
        <v>11446</v>
      </c>
      <c r="S1473" t="s">
        <v>14827</v>
      </c>
      <c r="U1473" t="s">
        <v>489</v>
      </c>
      <c r="V1473">
        <v>675</v>
      </c>
      <c r="W1473" t="s">
        <v>14861</v>
      </c>
      <c r="X1473" t="s">
        <v>14876</v>
      </c>
      <c r="Z1473" t="s">
        <v>16236</v>
      </c>
      <c r="AB1473" t="s">
        <v>21312</v>
      </c>
      <c r="AC1473">
        <v>43</v>
      </c>
      <c r="AD1473" t="s">
        <v>24595</v>
      </c>
      <c r="AE1473" t="s">
        <v>11459</v>
      </c>
      <c r="AF1473">
        <v>5</v>
      </c>
      <c r="AG1473">
        <v>2</v>
      </c>
      <c r="AH1473">
        <v>0</v>
      </c>
      <c r="AI1473">
        <v>172.21</v>
      </c>
      <c r="AL1473" t="s">
        <v>5011</v>
      </c>
      <c r="AM1473">
        <v>29120</v>
      </c>
      <c r="AS1473">
        <v>0.5</v>
      </c>
      <c r="AT1473" t="s">
        <v>489</v>
      </c>
      <c r="AU1473" t="s">
        <v>292</v>
      </c>
      <c r="AV1473" t="s">
        <v>25335</v>
      </c>
      <c r="AW1473" t="s">
        <v>11447</v>
      </c>
    </row>
    <row r="1474" spans="1:49">
      <c r="A1474" s="1">
        <f>HYPERLINK("https://lsnyc.legalserver.org/matter/dynamic-profile/view/1912491","19-1912491")</f>
        <v>0</v>
      </c>
      <c r="B1474" t="s">
        <v>105</v>
      </c>
      <c r="C1474" t="s">
        <v>489</v>
      </c>
      <c r="E1474" t="s">
        <v>1916</v>
      </c>
      <c r="F1474" t="s">
        <v>3683</v>
      </c>
      <c r="G1474" t="s">
        <v>7146</v>
      </c>
      <c r="I1474" t="s">
        <v>11386</v>
      </c>
      <c r="J1474">
        <v>10040</v>
      </c>
      <c r="K1474" t="s">
        <v>11446</v>
      </c>
      <c r="M1474" t="s">
        <v>14762</v>
      </c>
      <c r="N1474" t="s">
        <v>14781</v>
      </c>
      <c r="P1474" t="s">
        <v>14797</v>
      </c>
      <c r="Q1474" t="s">
        <v>11446</v>
      </c>
      <c r="S1474" t="s">
        <v>14827</v>
      </c>
      <c r="U1474" t="s">
        <v>489</v>
      </c>
      <c r="V1474">
        <v>1296</v>
      </c>
      <c r="W1474" t="s">
        <v>14860</v>
      </c>
      <c r="X1474" t="s">
        <v>14868</v>
      </c>
      <c r="Z1474" t="s">
        <v>16190</v>
      </c>
      <c r="AB1474" t="s">
        <v>21264</v>
      </c>
      <c r="AC1474">
        <v>44</v>
      </c>
      <c r="AE1474" t="s">
        <v>11459</v>
      </c>
      <c r="AF1474">
        <v>11</v>
      </c>
      <c r="AG1474">
        <v>3</v>
      </c>
      <c r="AH1474">
        <v>0</v>
      </c>
      <c r="AI1474">
        <v>173.46</v>
      </c>
      <c r="AL1474" t="s">
        <v>24632</v>
      </c>
      <c r="AM1474">
        <v>37000</v>
      </c>
      <c r="AS1474">
        <v>0.6</v>
      </c>
      <c r="AT1474" t="s">
        <v>654</v>
      </c>
      <c r="AU1474" t="s">
        <v>137</v>
      </c>
      <c r="AV1474" t="s">
        <v>25335</v>
      </c>
      <c r="AW1474" t="s">
        <v>11447</v>
      </c>
    </row>
    <row r="1475" spans="1:49">
      <c r="A1475" s="1">
        <f>HYPERLINK("https://lsnyc.legalserver.org/matter/dynamic-profile/view/1912422","19-1912422")</f>
        <v>0</v>
      </c>
      <c r="B1475" t="s">
        <v>110</v>
      </c>
      <c r="C1475" t="s">
        <v>489</v>
      </c>
      <c r="E1475" t="s">
        <v>1936</v>
      </c>
      <c r="F1475" t="s">
        <v>3896</v>
      </c>
      <c r="G1475" t="s">
        <v>7453</v>
      </c>
      <c r="H1475" t="s">
        <v>10482</v>
      </c>
      <c r="I1475" t="s">
        <v>11391</v>
      </c>
      <c r="J1475">
        <v>11691</v>
      </c>
      <c r="K1475" t="s">
        <v>11446</v>
      </c>
      <c r="L1475" t="s">
        <v>11946</v>
      </c>
      <c r="M1475" t="s">
        <v>14746</v>
      </c>
      <c r="N1475" t="s">
        <v>14781</v>
      </c>
      <c r="P1475" t="s">
        <v>14797</v>
      </c>
      <c r="Q1475" t="s">
        <v>11448</v>
      </c>
      <c r="S1475" t="s">
        <v>14827</v>
      </c>
      <c r="T1475" t="s">
        <v>14832</v>
      </c>
      <c r="U1475" t="s">
        <v>489</v>
      </c>
      <c r="V1475">
        <v>637</v>
      </c>
      <c r="W1475" t="s">
        <v>14861</v>
      </c>
      <c r="X1475" t="s">
        <v>14876</v>
      </c>
      <c r="Z1475" t="s">
        <v>16237</v>
      </c>
      <c r="AB1475" t="s">
        <v>21313</v>
      </c>
      <c r="AC1475">
        <v>43</v>
      </c>
      <c r="AD1475" t="s">
        <v>24595</v>
      </c>
      <c r="AE1475" t="s">
        <v>11459</v>
      </c>
      <c r="AF1475">
        <v>28</v>
      </c>
      <c r="AG1475">
        <v>1</v>
      </c>
      <c r="AH1475">
        <v>0</v>
      </c>
      <c r="AI1475">
        <v>400.32</v>
      </c>
      <c r="AL1475" t="s">
        <v>5011</v>
      </c>
      <c r="AM1475">
        <v>50000</v>
      </c>
      <c r="AP1475" t="s">
        <v>14755</v>
      </c>
      <c r="AS1475">
        <v>0.4</v>
      </c>
      <c r="AT1475" t="s">
        <v>489</v>
      </c>
      <c r="AU1475" t="s">
        <v>292</v>
      </c>
      <c r="AV1475" t="s">
        <v>25335</v>
      </c>
      <c r="AW1475" t="s">
        <v>11447</v>
      </c>
    </row>
    <row r="1476" spans="1:49">
      <c r="A1476" s="1">
        <f>HYPERLINK("https://lsnyc.legalserver.org/matter/dynamic-profile/view/1912412","19-1912412")</f>
        <v>0</v>
      </c>
      <c r="B1476" t="s">
        <v>110</v>
      </c>
      <c r="C1476" t="s">
        <v>489</v>
      </c>
      <c r="E1476" t="s">
        <v>1936</v>
      </c>
      <c r="F1476" t="s">
        <v>3896</v>
      </c>
      <c r="G1476" t="s">
        <v>7453</v>
      </c>
      <c r="H1476" t="s">
        <v>10482</v>
      </c>
      <c r="I1476" t="s">
        <v>11391</v>
      </c>
      <c r="J1476">
        <v>11691</v>
      </c>
      <c r="K1476" t="s">
        <v>11446</v>
      </c>
      <c r="M1476" t="s">
        <v>14744</v>
      </c>
      <c r="N1476" t="s">
        <v>14780</v>
      </c>
      <c r="P1476" t="s">
        <v>14797</v>
      </c>
      <c r="Q1476" t="s">
        <v>11446</v>
      </c>
      <c r="S1476" t="s">
        <v>14827</v>
      </c>
      <c r="U1476" t="s">
        <v>489</v>
      </c>
      <c r="V1476">
        <v>637</v>
      </c>
      <c r="W1476" t="s">
        <v>14861</v>
      </c>
      <c r="X1476" t="s">
        <v>14876</v>
      </c>
      <c r="Z1476" t="s">
        <v>16237</v>
      </c>
      <c r="AB1476" t="s">
        <v>21313</v>
      </c>
      <c r="AC1476">
        <v>43</v>
      </c>
      <c r="AD1476" t="s">
        <v>24595</v>
      </c>
      <c r="AE1476" t="s">
        <v>11459</v>
      </c>
      <c r="AF1476">
        <v>28</v>
      </c>
      <c r="AG1476">
        <v>1</v>
      </c>
      <c r="AH1476">
        <v>0</v>
      </c>
      <c r="AI1476">
        <v>400.32</v>
      </c>
      <c r="AL1476" t="s">
        <v>5011</v>
      </c>
      <c r="AM1476">
        <v>50000</v>
      </c>
      <c r="AS1476">
        <v>0.5</v>
      </c>
      <c r="AT1476" t="s">
        <v>489</v>
      </c>
      <c r="AU1476" t="s">
        <v>292</v>
      </c>
      <c r="AV1476" t="s">
        <v>25335</v>
      </c>
      <c r="AW1476" t="s">
        <v>11447</v>
      </c>
    </row>
    <row r="1477" spans="1:49">
      <c r="A1477" s="1">
        <f>HYPERLINK("https://lsnyc.legalserver.org/matter/dynamic-profile/view/1912645","19-1912645")</f>
        <v>0</v>
      </c>
      <c r="B1477" t="s">
        <v>110</v>
      </c>
      <c r="C1477" t="s">
        <v>472</v>
      </c>
      <c r="E1477" t="s">
        <v>1937</v>
      </c>
      <c r="F1477" t="s">
        <v>4467</v>
      </c>
      <c r="G1477" t="s">
        <v>7453</v>
      </c>
      <c r="H1477" t="s">
        <v>10557</v>
      </c>
      <c r="I1477" t="s">
        <v>11391</v>
      </c>
      <c r="J1477">
        <v>11691</v>
      </c>
      <c r="K1477" t="s">
        <v>11446</v>
      </c>
      <c r="M1477" t="s">
        <v>14746</v>
      </c>
      <c r="N1477" t="s">
        <v>14780</v>
      </c>
      <c r="P1477" t="s">
        <v>14797</v>
      </c>
      <c r="Q1477" t="s">
        <v>11446</v>
      </c>
      <c r="S1477" t="s">
        <v>14827</v>
      </c>
      <c r="U1477" t="s">
        <v>472</v>
      </c>
      <c r="V1477">
        <v>660</v>
      </c>
      <c r="W1477" t="s">
        <v>14861</v>
      </c>
      <c r="X1477" t="s">
        <v>14876</v>
      </c>
      <c r="Z1477" t="s">
        <v>16238</v>
      </c>
      <c r="AB1477" t="s">
        <v>21314</v>
      </c>
      <c r="AC1477">
        <v>43</v>
      </c>
      <c r="AD1477" t="s">
        <v>24595</v>
      </c>
      <c r="AE1477" t="s">
        <v>11459</v>
      </c>
      <c r="AF1477">
        <v>8</v>
      </c>
      <c r="AG1477">
        <v>1</v>
      </c>
      <c r="AH1477">
        <v>0</v>
      </c>
      <c r="AI1477">
        <v>0</v>
      </c>
      <c r="AL1477" t="s">
        <v>5011</v>
      </c>
      <c r="AM1477">
        <v>0</v>
      </c>
      <c r="AS1477">
        <v>0.3</v>
      </c>
      <c r="AT1477" t="s">
        <v>472</v>
      </c>
      <c r="AU1477" t="s">
        <v>292</v>
      </c>
      <c r="AV1477" t="s">
        <v>25335</v>
      </c>
      <c r="AW1477" t="s">
        <v>11447</v>
      </c>
    </row>
    <row r="1478" spans="1:49">
      <c r="A1478" s="1">
        <f>HYPERLINK("https://lsnyc.legalserver.org/matter/dynamic-profile/view/1912643","19-1912643")</f>
        <v>0</v>
      </c>
      <c r="B1478" t="s">
        <v>110</v>
      </c>
      <c r="C1478" t="s">
        <v>472</v>
      </c>
      <c r="E1478" t="s">
        <v>1937</v>
      </c>
      <c r="F1478" t="s">
        <v>4467</v>
      </c>
      <c r="G1478" t="s">
        <v>7453</v>
      </c>
      <c r="H1478" t="s">
        <v>10557</v>
      </c>
      <c r="I1478" t="s">
        <v>11391</v>
      </c>
      <c r="J1478">
        <v>11691</v>
      </c>
      <c r="K1478" t="s">
        <v>11446</v>
      </c>
      <c r="M1478" t="s">
        <v>14744</v>
      </c>
      <c r="N1478" t="s">
        <v>14780</v>
      </c>
      <c r="P1478" t="s">
        <v>14797</v>
      </c>
      <c r="Q1478" t="s">
        <v>11446</v>
      </c>
      <c r="S1478" t="s">
        <v>14827</v>
      </c>
      <c r="U1478" t="s">
        <v>472</v>
      </c>
      <c r="V1478">
        <v>660</v>
      </c>
      <c r="W1478" t="s">
        <v>14861</v>
      </c>
      <c r="X1478" t="s">
        <v>14876</v>
      </c>
      <c r="Z1478" t="s">
        <v>16238</v>
      </c>
      <c r="AB1478" t="s">
        <v>21314</v>
      </c>
      <c r="AC1478">
        <v>43</v>
      </c>
      <c r="AD1478" t="s">
        <v>24595</v>
      </c>
      <c r="AE1478" t="s">
        <v>11459</v>
      </c>
      <c r="AF1478">
        <v>8</v>
      </c>
      <c r="AG1478">
        <v>1</v>
      </c>
      <c r="AH1478">
        <v>0</v>
      </c>
      <c r="AI1478">
        <v>0</v>
      </c>
      <c r="AL1478" t="s">
        <v>5011</v>
      </c>
      <c r="AM1478">
        <v>0</v>
      </c>
      <c r="AS1478">
        <v>0.3</v>
      </c>
      <c r="AT1478" t="s">
        <v>472</v>
      </c>
      <c r="AU1478" t="s">
        <v>292</v>
      </c>
      <c r="AV1478" t="s">
        <v>25335</v>
      </c>
      <c r="AW1478" t="s">
        <v>11447</v>
      </c>
    </row>
    <row r="1479" spans="1:49">
      <c r="A1479" s="1">
        <f>HYPERLINK("https://lsnyc.legalserver.org/matter/dynamic-profile/view/1912639","19-1912639")</f>
        <v>0</v>
      </c>
      <c r="B1479" t="s">
        <v>110</v>
      </c>
      <c r="C1479" t="s">
        <v>472</v>
      </c>
      <c r="E1479" t="s">
        <v>1279</v>
      </c>
      <c r="F1479" t="s">
        <v>4468</v>
      </c>
      <c r="G1479" t="s">
        <v>7453</v>
      </c>
      <c r="H1479" t="s">
        <v>10529</v>
      </c>
      <c r="I1479" t="s">
        <v>11391</v>
      </c>
      <c r="J1479">
        <v>11691</v>
      </c>
      <c r="K1479" t="s">
        <v>11446</v>
      </c>
      <c r="M1479" t="s">
        <v>14746</v>
      </c>
      <c r="N1479" t="s">
        <v>14780</v>
      </c>
      <c r="P1479" t="s">
        <v>14797</v>
      </c>
      <c r="Q1479" t="s">
        <v>11448</v>
      </c>
      <c r="S1479" t="s">
        <v>14827</v>
      </c>
      <c r="U1479" t="s">
        <v>472</v>
      </c>
      <c r="V1479">
        <v>819</v>
      </c>
      <c r="W1479" t="s">
        <v>14861</v>
      </c>
      <c r="X1479" t="s">
        <v>14876</v>
      </c>
      <c r="Z1479" t="s">
        <v>16239</v>
      </c>
      <c r="AB1479" t="s">
        <v>21315</v>
      </c>
      <c r="AC1479">
        <v>43</v>
      </c>
      <c r="AD1479" t="s">
        <v>24595</v>
      </c>
      <c r="AE1479" t="s">
        <v>11459</v>
      </c>
      <c r="AF1479">
        <v>15</v>
      </c>
      <c r="AG1479">
        <v>2</v>
      </c>
      <c r="AH1479">
        <v>3</v>
      </c>
      <c r="AI1479">
        <v>51.71</v>
      </c>
      <c r="AL1479" t="s">
        <v>24632</v>
      </c>
      <c r="AM1479">
        <v>15600</v>
      </c>
      <c r="AS1479">
        <v>0.3</v>
      </c>
      <c r="AT1479" t="s">
        <v>472</v>
      </c>
      <c r="AU1479" t="s">
        <v>292</v>
      </c>
      <c r="AV1479" t="s">
        <v>25335</v>
      </c>
      <c r="AW1479" t="s">
        <v>11447</v>
      </c>
    </row>
    <row r="1480" spans="1:49">
      <c r="A1480" s="1">
        <f>HYPERLINK("https://lsnyc.legalserver.org/matter/dynamic-profile/view/1912536","19-1912536")</f>
        <v>0</v>
      </c>
      <c r="B1480" t="s">
        <v>110</v>
      </c>
      <c r="C1480" t="s">
        <v>472</v>
      </c>
      <c r="E1480" t="s">
        <v>1938</v>
      </c>
      <c r="F1480" t="s">
        <v>3901</v>
      </c>
      <c r="G1480" t="s">
        <v>7453</v>
      </c>
      <c r="H1480" t="s">
        <v>10523</v>
      </c>
      <c r="I1480" t="s">
        <v>11391</v>
      </c>
      <c r="J1480">
        <v>11691</v>
      </c>
      <c r="K1480" t="s">
        <v>11446</v>
      </c>
      <c r="L1480" t="s">
        <v>11946</v>
      </c>
      <c r="M1480" t="s">
        <v>14746</v>
      </c>
      <c r="N1480" t="s">
        <v>14781</v>
      </c>
      <c r="P1480" t="s">
        <v>14797</v>
      </c>
      <c r="Q1480" t="s">
        <v>11446</v>
      </c>
      <c r="S1480" t="s">
        <v>14827</v>
      </c>
      <c r="T1480" t="s">
        <v>14832</v>
      </c>
      <c r="U1480" t="s">
        <v>472</v>
      </c>
      <c r="V1480">
        <v>819</v>
      </c>
      <c r="W1480" t="s">
        <v>14861</v>
      </c>
      <c r="X1480" t="s">
        <v>14876</v>
      </c>
      <c r="Z1480" t="s">
        <v>16240</v>
      </c>
      <c r="AB1480" t="s">
        <v>21316</v>
      </c>
      <c r="AC1480">
        <v>43</v>
      </c>
      <c r="AD1480" t="s">
        <v>24595</v>
      </c>
      <c r="AE1480" t="s">
        <v>11459</v>
      </c>
      <c r="AF1480">
        <v>11</v>
      </c>
      <c r="AG1480">
        <v>2</v>
      </c>
      <c r="AH1480">
        <v>1</v>
      </c>
      <c r="AI1480">
        <v>52.41</v>
      </c>
      <c r="AL1480" t="s">
        <v>5011</v>
      </c>
      <c r="AM1480">
        <v>11180</v>
      </c>
      <c r="AP1480" t="s">
        <v>14755</v>
      </c>
      <c r="AS1480">
        <v>0.3</v>
      </c>
      <c r="AT1480" t="s">
        <v>472</v>
      </c>
      <c r="AU1480" t="s">
        <v>292</v>
      </c>
      <c r="AV1480" t="s">
        <v>25335</v>
      </c>
      <c r="AW1480" t="s">
        <v>11447</v>
      </c>
    </row>
    <row r="1481" spans="1:49">
      <c r="A1481" s="1">
        <f>HYPERLINK("https://lsnyc.legalserver.org/matter/dynamic-profile/view/1912637","19-1912637")</f>
        <v>0</v>
      </c>
      <c r="B1481" t="s">
        <v>110</v>
      </c>
      <c r="C1481" t="s">
        <v>472</v>
      </c>
      <c r="E1481" t="s">
        <v>1938</v>
      </c>
      <c r="F1481" t="s">
        <v>3901</v>
      </c>
      <c r="G1481" t="s">
        <v>7453</v>
      </c>
      <c r="H1481" t="s">
        <v>10523</v>
      </c>
      <c r="I1481" t="s">
        <v>11391</v>
      </c>
      <c r="J1481">
        <v>11691</v>
      </c>
      <c r="K1481" t="s">
        <v>11446</v>
      </c>
      <c r="L1481" t="s">
        <v>11948</v>
      </c>
      <c r="M1481" t="s">
        <v>14744</v>
      </c>
      <c r="N1481" t="s">
        <v>14781</v>
      </c>
      <c r="P1481" t="s">
        <v>14797</v>
      </c>
      <c r="Q1481" t="s">
        <v>11446</v>
      </c>
      <c r="S1481" t="s">
        <v>14827</v>
      </c>
      <c r="T1481" t="s">
        <v>14832</v>
      </c>
      <c r="U1481" t="s">
        <v>472</v>
      </c>
      <c r="V1481">
        <v>819</v>
      </c>
      <c r="W1481" t="s">
        <v>14861</v>
      </c>
      <c r="X1481" t="s">
        <v>14876</v>
      </c>
      <c r="Z1481" t="s">
        <v>16240</v>
      </c>
      <c r="AB1481" t="s">
        <v>21316</v>
      </c>
      <c r="AC1481">
        <v>43</v>
      </c>
      <c r="AD1481" t="s">
        <v>24595</v>
      </c>
      <c r="AE1481" t="s">
        <v>11459</v>
      </c>
      <c r="AF1481">
        <v>11</v>
      </c>
      <c r="AG1481">
        <v>2</v>
      </c>
      <c r="AH1481">
        <v>1</v>
      </c>
      <c r="AI1481">
        <v>52.41</v>
      </c>
      <c r="AL1481" t="s">
        <v>5011</v>
      </c>
      <c r="AM1481">
        <v>11180</v>
      </c>
      <c r="AP1481" t="s">
        <v>14755</v>
      </c>
      <c r="AS1481">
        <v>0.3</v>
      </c>
      <c r="AT1481" t="s">
        <v>472</v>
      </c>
      <c r="AU1481" t="s">
        <v>292</v>
      </c>
      <c r="AV1481" t="s">
        <v>25335</v>
      </c>
      <c r="AW1481" t="s">
        <v>11447</v>
      </c>
    </row>
    <row r="1482" spans="1:49">
      <c r="A1482" s="1">
        <f>HYPERLINK("https://lsnyc.legalserver.org/matter/dynamic-profile/view/1912560","19-1912560")</f>
        <v>0</v>
      </c>
      <c r="B1482" t="s">
        <v>104</v>
      </c>
      <c r="C1482" t="s">
        <v>472</v>
      </c>
      <c r="E1482" t="s">
        <v>1939</v>
      </c>
      <c r="F1482" t="s">
        <v>3696</v>
      </c>
      <c r="G1482" t="s">
        <v>7456</v>
      </c>
      <c r="I1482" t="s">
        <v>11386</v>
      </c>
      <c r="J1482">
        <v>10035</v>
      </c>
      <c r="K1482" t="s">
        <v>11446</v>
      </c>
      <c r="L1482" t="s">
        <v>11949</v>
      </c>
      <c r="M1482" t="s">
        <v>14746</v>
      </c>
      <c r="N1482" t="s">
        <v>14781</v>
      </c>
      <c r="P1482" t="s">
        <v>14797</v>
      </c>
      <c r="Q1482" t="s">
        <v>11448</v>
      </c>
      <c r="S1482" t="s">
        <v>14827</v>
      </c>
      <c r="T1482" t="s">
        <v>14832</v>
      </c>
      <c r="U1482" t="s">
        <v>472</v>
      </c>
      <c r="V1482">
        <v>1167.04</v>
      </c>
      <c r="W1482" t="s">
        <v>14860</v>
      </c>
      <c r="X1482" t="s">
        <v>14755</v>
      </c>
      <c r="Z1482" t="s">
        <v>16241</v>
      </c>
      <c r="AB1482" t="s">
        <v>21317</v>
      </c>
      <c r="AC1482">
        <v>54</v>
      </c>
      <c r="AD1482" t="s">
        <v>24595</v>
      </c>
      <c r="AE1482" t="s">
        <v>24610</v>
      </c>
      <c r="AF1482">
        <v>11</v>
      </c>
      <c r="AG1482">
        <v>1</v>
      </c>
      <c r="AH1482">
        <v>1</v>
      </c>
      <c r="AI1482">
        <v>56.77</v>
      </c>
      <c r="AL1482" t="s">
        <v>5011</v>
      </c>
      <c r="AM1482">
        <v>9600</v>
      </c>
      <c r="AS1482">
        <v>2.25</v>
      </c>
      <c r="AT1482" t="s">
        <v>574</v>
      </c>
      <c r="AU1482" t="s">
        <v>25266</v>
      </c>
      <c r="AV1482" t="s">
        <v>25335</v>
      </c>
      <c r="AW1482" t="s">
        <v>11447</v>
      </c>
    </row>
    <row r="1483" spans="1:49">
      <c r="A1483" s="1">
        <f>HYPERLINK("https://lsnyc.legalserver.org/matter/dynamic-profile/view/1908389","19-1908389")</f>
        <v>0</v>
      </c>
      <c r="B1483" t="s">
        <v>183</v>
      </c>
      <c r="C1483" t="s">
        <v>464</v>
      </c>
      <c r="E1483" t="s">
        <v>1940</v>
      </c>
      <c r="F1483" t="s">
        <v>4469</v>
      </c>
      <c r="G1483" t="s">
        <v>7457</v>
      </c>
      <c r="H1483" t="s">
        <v>10736</v>
      </c>
      <c r="I1483" t="s">
        <v>11385</v>
      </c>
      <c r="J1483">
        <v>11239</v>
      </c>
      <c r="K1483" t="s">
        <v>11446</v>
      </c>
      <c r="L1483" t="s">
        <v>11950</v>
      </c>
      <c r="M1483" t="s">
        <v>14743</v>
      </c>
      <c r="N1483" t="s">
        <v>14781</v>
      </c>
      <c r="P1483" t="s">
        <v>14797</v>
      </c>
      <c r="Q1483" t="s">
        <v>11448</v>
      </c>
      <c r="S1483" t="s">
        <v>14827</v>
      </c>
      <c r="T1483" t="s">
        <v>14832</v>
      </c>
      <c r="U1483" t="s">
        <v>472</v>
      </c>
      <c r="V1483">
        <v>2050</v>
      </c>
      <c r="W1483" t="s">
        <v>14859</v>
      </c>
      <c r="X1483" t="s">
        <v>14863</v>
      </c>
      <c r="Z1483" t="s">
        <v>16242</v>
      </c>
      <c r="AA1483" t="s">
        <v>19418</v>
      </c>
      <c r="AC1483">
        <v>1164</v>
      </c>
      <c r="AD1483" t="s">
        <v>24596</v>
      </c>
      <c r="AE1483" t="s">
        <v>24610</v>
      </c>
      <c r="AF1483">
        <v>3</v>
      </c>
      <c r="AG1483">
        <v>1</v>
      </c>
      <c r="AH1483">
        <v>0</v>
      </c>
      <c r="AI1483">
        <v>76.86</v>
      </c>
      <c r="AL1483" t="s">
        <v>5011</v>
      </c>
      <c r="AM1483">
        <v>9600</v>
      </c>
      <c r="AS1483">
        <v>7.2</v>
      </c>
      <c r="AT1483" t="s">
        <v>476</v>
      </c>
      <c r="AU1483" t="s">
        <v>25227</v>
      </c>
      <c r="AV1483" t="s">
        <v>25335</v>
      </c>
      <c r="AW1483" t="s">
        <v>11447</v>
      </c>
    </row>
    <row r="1484" spans="1:49">
      <c r="A1484" s="1">
        <f>HYPERLINK("https://lsnyc.legalserver.org/matter/dynamic-profile/view/1912558","19-1912558")</f>
        <v>0</v>
      </c>
      <c r="B1484" t="s">
        <v>140</v>
      </c>
      <c r="C1484" t="s">
        <v>472</v>
      </c>
      <c r="E1484" t="s">
        <v>1359</v>
      </c>
      <c r="F1484" t="s">
        <v>1035</v>
      </c>
      <c r="G1484" t="s">
        <v>7458</v>
      </c>
      <c r="H1484" t="s">
        <v>10773</v>
      </c>
      <c r="I1484" t="s">
        <v>11383</v>
      </c>
      <c r="J1484">
        <v>10458</v>
      </c>
      <c r="K1484" t="s">
        <v>11446</v>
      </c>
      <c r="L1484" t="s">
        <v>11951</v>
      </c>
      <c r="M1484" t="s">
        <v>14744</v>
      </c>
      <c r="N1484" t="s">
        <v>14781</v>
      </c>
      <c r="P1484" t="s">
        <v>14797</v>
      </c>
      <c r="Q1484" t="s">
        <v>11448</v>
      </c>
      <c r="S1484" t="s">
        <v>14827</v>
      </c>
      <c r="U1484" t="s">
        <v>472</v>
      </c>
      <c r="V1484">
        <v>1052.53</v>
      </c>
      <c r="W1484" t="s">
        <v>14858</v>
      </c>
      <c r="X1484" t="s">
        <v>14864</v>
      </c>
      <c r="Z1484" t="s">
        <v>16243</v>
      </c>
      <c r="AB1484" t="s">
        <v>21318</v>
      </c>
      <c r="AC1484">
        <v>94</v>
      </c>
      <c r="AD1484" t="s">
        <v>11479</v>
      </c>
      <c r="AE1484" t="s">
        <v>11459</v>
      </c>
      <c r="AF1484">
        <v>6</v>
      </c>
      <c r="AG1484">
        <v>1</v>
      </c>
      <c r="AH1484">
        <v>2</v>
      </c>
      <c r="AI1484">
        <v>80.64</v>
      </c>
      <c r="AL1484" t="s">
        <v>5011</v>
      </c>
      <c r="AM1484">
        <v>17200</v>
      </c>
      <c r="AS1484">
        <v>3</v>
      </c>
      <c r="AT1484" t="s">
        <v>477</v>
      </c>
      <c r="AU1484" t="s">
        <v>25242</v>
      </c>
      <c r="AV1484" t="s">
        <v>25334</v>
      </c>
      <c r="AW1484" t="s">
        <v>11447</v>
      </c>
    </row>
    <row r="1485" spans="1:49">
      <c r="A1485" s="1">
        <f>HYPERLINK("https://lsnyc.legalserver.org/matter/dynamic-profile/view/1912552","19-1912552")</f>
        <v>0</v>
      </c>
      <c r="B1485" t="s">
        <v>232</v>
      </c>
      <c r="C1485" t="s">
        <v>472</v>
      </c>
      <c r="E1485" t="s">
        <v>1941</v>
      </c>
      <c r="F1485" t="s">
        <v>3614</v>
      </c>
      <c r="G1485" t="s">
        <v>7459</v>
      </c>
      <c r="H1485">
        <v>6</v>
      </c>
      <c r="I1485" t="s">
        <v>11386</v>
      </c>
      <c r="J1485">
        <v>10034</v>
      </c>
      <c r="K1485" t="s">
        <v>11446</v>
      </c>
      <c r="M1485" t="s">
        <v>14762</v>
      </c>
      <c r="N1485" t="s">
        <v>14782</v>
      </c>
      <c r="P1485" t="s">
        <v>14797</v>
      </c>
      <c r="Q1485" t="s">
        <v>11448</v>
      </c>
      <c r="S1485" t="s">
        <v>14827</v>
      </c>
      <c r="U1485" t="s">
        <v>472</v>
      </c>
      <c r="V1485">
        <v>902.13</v>
      </c>
      <c r="W1485" t="s">
        <v>14860</v>
      </c>
      <c r="X1485" t="s">
        <v>14867</v>
      </c>
      <c r="Z1485" t="s">
        <v>16244</v>
      </c>
      <c r="AB1485" t="s">
        <v>21319</v>
      </c>
      <c r="AC1485">
        <v>34</v>
      </c>
      <c r="AD1485" t="s">
        <v>24595</v>
      </c>
      <c r="AE1485" t="s">
        <v>24613</v>
      </c>
      <c r="AF1485">
        <v>24</v>
      </c>
      <c r="AG1485">
        <v>1</v>
      </c>
      <c r="AH1485">
        <v>0</v>
      </c>
      <c r="AI1485">
        <v>106.84</v>
      </c>
      <c r="AL1485" t="s">
        <v>24632</v>
      </c>
      <c r="AM1485">
        <v>13344</v>
      </c>
      <c r="AS1485">
        <v>1.4</v>
      </c>
      <c r="AT1485" t="s">
        <v>470</v>
      </c>
      <c r="AU1485" t="s">
        <v>137</v>
      </c>
      <c r="AV1485" t="s">
        <v>25335</v>
      </c>
      <c r="AW1485" t="s">
        <v>11447</v>
      </c>
    </row>
    <row r="1486" spans="1:49">
      <c r="A1486" s="1">
        <f>HYPERLINK("https://lsnyc.legalserver.org/matter/dynamic-profile/view/1912978","19-1912978")</f>
        <v>0</v>
      </c>
      <c r="B1486" t="s">
        <v>226</v>
      </c>
      <c r="C1486" t="s">
        <v>574</v>
      </c>
      <c r="E1486" t="s">
        <v>1942</v>
      </c>
      <c r="F1486" t="s">
        <v>4470</v>
      </c>
      <c r="G1486" t="s">
        <v>7460</v>
      </c>
      <c r="I1486" t="s">
        <v>11385</v>
      </c>
      <c r="J1486">
        <v>11207</v>
      </c>
      <c r="K1486" t="s">
        <v>11446</v>
      </c>
      <c r="L1486" t="s">
        <v>11456</v>
      </c>
      <c r="M1486" t="s">
        <v>11601</v>
      </c>
      <c r="N1486" t="s">
        <v>14778</v>
      </c>
      <c r="P1486" t="s">
        <v>14797</v>
      </c>
      <c r="Q1486" t="s">
        <v>11448</v>
      </c>
      <c r="S1486" t="s">
        <v>14829</v>
      </c>
      <c r="T1486" t="s">
        <v>14832</v>
      </c>
      <c r="U1486" t="s">
        <v>472</v>
      </c>
      <c r="V1486">
        <v>0</v>
      </c>
      <c r="W1486" t="s">
        <v>14859</v>
      </c>
      <c r="X1486" t="s">
        <v>14864</v>
      </c>
      <c r="Z1486" t="s">
        <v>16245</v>
      </c>
      <c r="AB1486" t="s">
        <v>21320</v>
      </c>
      <c r="AC1486">
        <v>65</v>
      </c>
      <c r="AD1486" t="s">
        <v>24596</v>
      </c>
      <c r="AF1486">
        <v>0</v>
      </c>
      <c r="AG1486">
        <v>1</v>
      </c>
      <c r="AH1486">
        <v>1</v>
      </c>
      <c r="AI1486">
        <v>143.58</v>
      </c>
      <c r="AL1486" t="s">
        <v>24632</v>
      </c>
      <c r="AM1486">
        <v>24280</v>
      </c>
      <c r="AS1486">
        <v>3</v>
      </c>
      <c r="AT1486" t="s">
        <v>516</v>
      </c>
      <c r="AU1486" t="s">
        <v>66</v>
      </c>
      <c r="AV1486" t="s">
        <v>25335</v>
      </c>
      <c r="AW1486" t="s">
        <v>11447</v>
      </c>
    </row>
    <row r="1487" spans="1:49">
      <c r="A1487" s="1">
        <f>HYPERLINK("https://lsnyc.legalserver.org/matter/dynamic-profile/view/1912617","19-1912617")</f>
        <v>0</v>
      </c>
      <c r="B1487" t="s">
        <v>55</v>
      </c>
      <c r="C1487" t="s">
        <v>472</v>
      </c>
      <c r="E1487" t="s">
        <v>1228</v>
      </c>
      <c r="F1487" t="s">
        <v>3799</v>
      </c>
      <c r="G1487" t="s">
        <v>7361</v>
      </c>
      <c r="H1487" t="s">
        <v>10559</v>
      </c>
      <c r="I1487" t="s">
        <v>11386</v>
      </c>
      <c r="J1487">
        <v>10034</v>
      </c>
      <c r="K1487" t="s">
        <v>11446</v>
      </c>
      <c r="N1487" t="s">
        <v>14779</v>
      </c>
      <c r="P1487" t="s">
        <v>14797</v>
      </c>
      <c r="Q1487" t="s">
        <v>11448</v>
      </c>
      <c r="S1487" t="s">
        <v>14827</v>
      </c>
      <c r="U1487" t="s">
        <v>472</v>
      </c>
      <c r="V1487">
        <v>1702.26</v>
      </c>
      <c r="W1487" t="s">
        <v>14860</v>
      </c>
      <c r="X1487" t="s">
        <v>14868</v>
      </c>
      <c r="Z1487" t="s">
        <v>16246</v>
      </c>
      <c r="AB1487" t="s">
        <v>21321</v>
      </c>
      <c r="AC1487">
        <v>25</v>
      </c>
      <c r="AD1487" t="s">
        <v>24595</v>
      </c>
      <c r="AE1487" t="s">
        <v>11459</v>
      </c>
      <c r="AF1487">
        <v>6</v>
      </c>
      <c r="AG1487">
        <v>1</v>
      </c>
      <c r="AH1487">
        <v>0</v>
      </c>
      <c r="AI1487">
        <v>160.13</v>
      </c>
      <c r="AL1487" t="s">
        <v>5011</v>
      </c>
      <c r="AM1487">
        <v>20000</v>
      </c>
      <c r="AS1487">
        <v>1</v>
      </c>
      <c r="AT1487" t="s">
        <v>472</v>
      </c>
      <c r="AU1487" t="s">
        <v>137</v>
      </c>
      <c r="AV1487" t="s">
        <v>25335</v>
      </c>
      <c r="AW1487" t="s">
        <v>11447</v>
      </c>
    </row>
    <row r="1488" spans="1:49">
      <c r="A1488" s="1">
        <f>HYPERLINK("https://lsnyc.legalserver.org/matter/dynamic-profile/view/1912533","19-1912533")</f>
        <v>0</v>
      </c>
      <c r="B1488" t="s">
        <v>110</v>
      </c>
      <c r="C1488" t="s">
        <v>472</v>
      </c>
      <c r="E1488" t="s">
        <v>1943</v>
      </c>
      <c r="F1488" t="s">
        <v>3965</v>
      </c>
      <c r="G1488" t="s">
        <v>7453</v>
      </c>
      <c r="H1488" t="s">
        <v>10464</v>
      </c>
      <c r="I1488" t="s">
        <v>11391</v>
      </c>
      <c r="J1488">
        <v>11691</v>
      </c>
      <c r="K1488" t="s">
        <v>11446</v>
      </c>
      <c r="L1488" t="s">
        <v>11946</v>
      </c>
      <c r="M1488" t="s">
        <v>14746</v>
      </c>
      <c r="N1488" t="s">
        <v>14781</v>
      </c>
      <c r="P1488" t="s">
        <v>14797</v>
      </c>
      <c r="Q1488" t="s">
        <v>11448</v>
      </c>
      <c r="S1488" t="s">
        <v>14827</v>
      </c>
      <c r="T1488" t="s">
        <v>14832</v>
      </c>
      <c r="U1488" t="s">
        <v>472</v>
      </c>
      <c r="V1488">
        <v>637</v>
      </c>
      <c r="W1488" t="s">
        <v>14861</v>
      </c>
      <c r="X1488" t="s">
        <v>14876</v>
      </c>
      <c r="Z1488" t="s">
        <v>16247</v>
      </c>
      <c r="AB1488" t="s">
        <v>21322</v>
      </c>
      <c r="AC1488">
        <v>43</v>
      </c>
      <c r="AD1488" t="s">
        <v>24595</v>
      </c>
      <c r="AE1488" t="s">
        <v>11459</v>
      </c>
      <c r="AF1488">
        <v>20</v>
      </c>
      <c r="AG1488">
        <v>1</v>
      </c>
      <c r="AH1488">
        <v>0</v>
      </c>
      <c r="AI1488">
        <v>166.53</v>
      </c>
      <c r="AL1488" t="s">
        <v>5011</v>
      </c>
      <c r="AM1488">
        <v>20800</v>
      </c>
      <c r="AP1488" t="s">
        <v>14755</v>
      </c>
      <c r="AS1488">
        <v>0.4</v>
      </c>
      <c r="AT1488" t="s">
        <v>472</v>
      </c>
      <c r="AU1488" t="s">
        <v>292</v>
      </c>
      <c r="AV1488" t="s">
        <v>25335</v>
      </c>
      <c r="AW1488" t="s">
        <v>11447</v>
      </c>
    </row>
    <row r="1489" spans="1:49">
      <c r="A1489" s="1">
        <f>HYPERLINK("https://lsnyc.legalserver.org/matter/dynamic-profile/view/1912648","19-1912648")</f>
        <v>0</v>
      </c>
      <c r="B1489" t="s">
        <v>110</v>
      </c>
      <c r="C1489" t="s">
        <v>472</v>
      </c>
      <c r="E1489" t="s">
        <v>1249</v>
      </c>
      <c r="F1489" t="s">
        <v>4471</v>
      </c>
      <c r="G1489" t="s">
        <v>7453</v>
      </c>
      <c r="H1489" t="s">
        <v>10450</v>
      </c>
      <c r="I1489" t="s">
        <v>11391</v>
      </c>
      <c r="J1489">
        <v>11691</v>
      </c>
      <c r="K1489" t="s">
        <v>11446</v>
      </c>
      <c r="M1489" t="s">
        <v>14744</v>
      </c>
      <c r="N1489" t="s">
        <v>14781</v>
      </c>
      <c r="P1489" t="s">
        <v>14797</v>
      </c>
      <c r="Q1489" t="s">
        <v>11446</v>
      </c>
      <c r="S1489" t="s">
        <v>14827</v>
      </c>
      <c r="T1489" t="s">
        <v>14832</v>
      </c>
      <c r="U1489" t="s">
        <v>472</v>
      </c>
      <c r="V1489">
        <v>637</v>
      </c>
      <c r="W1489" t="s">
        <v>14861</v>
      </c>
      <c r="X1489" t="s">
        <v>14876</v>
      </c>
      <c r="Z1489" t="s">
        <v>16248</v>
      </c>
      <c r="AB1489" t="s">
        <v>21323</v>
      </c>
      <c r="AC1489">
        <v>43</v>
      </c>
      <c r="AD1489" t="s">
        <v>24595</v>
      </c>
      <c r="AE1489" t="s">
        <v>11459</v>
      </c>
      <c r="AF1489">
        <v>17</v>
      </c>
      <c r="AG1489">
        <v>2</v>
      </c>
      <c r="AH1489">
        <v>0</v>
      </c>
      <c r="AI1489">
        <v>215.26</v>
      </c>
      <c r="AJ1489" t="s">
        <v>491</v>
      </c>
      <c r="AK1489" t="s">
        <v>24629</v>
      </c>
      <c r="AL1489" t="s">
        <v>24632</v>
      </c>
      <c r="AM1489">
        <v>36400</v>
      </c>
      <c r="AP1489" t="s">
        <v>14755</v>
      </c>
      <c r="AS1489">
        <v>0.5</v>
      </c>
      <c r="AT1489" t="s">
        <v>539</v>
      </c>
      <c r="AU1489" t="s">
        <v>292</v>
      </c>
      <c r="AV1489" t="s">
        <v>25335</v>
      </c>
      <c r="AW1489" t="s">
        <v>11447</v>
      </c>
    </row>
    <row r="1490" spans="1:49">
      <c r="A1490" s="1">
        <f>HYPERLINK("https://lsnyc.legalserver.org/matter/dynamic-profile/view/1912981","19-1912981")</f>
        <v>0</v>
      </c>
      <c r="B1490" t="s">
        <v>214</v>
      </c>
      <c r="C1490" t="s">
        <v>574</v>
      </c>
      <c r="E1490" t="s">
        <v>1329</v>
      </c>
      <c r="F1490" t="s">
        <v>3730</v>
      </c>
      <c r="G1490" t="s">
        <v>7461</v>
      </c>
      <c r="H1490" t="s">
        <v>10760</v>
      </c>
      <c r="I1490" t="s">
        <v>11385</v>
      </c>
      <c r="J1490">
        <v>11212</v>
      </c>
      <c r="K1490" t="s">
        <v>11446</v>
      </c>
      <c r="L1490" t="s">
        <v>11952</v>
      </c>
      <c r="M1490" t="s">
        <v>14744</v>
      </c>
      <c r="P1490" t="s">
        <v>14797</v>
      </c>
      <c r="Q1490" t="s">
        <v>11448</v>
      </c>
      <c r="S1490" t="s">
        <v>14827</v>
      </c>
      <c r="T1490" t="s">
        <v>14832</v>
      </c>
      <c r="U1490" t="s">
        <v>472</v>
      </c>
      <c r="V1490">
        <v>1331</v>
      </c>
      <c r="W1490" t="s">
        <v>14859</v>
      </c>
      <c r="X1490" t="s">
        <v>14870</v>
      </c>
      <c r="Z1490" t="s">
        <v>16249</v>
      </c>
      <c r="AA1490" t="s">
        <v>11465</v>
      </c>
      <c r="AB1490" t="s">
        <v>21324</v>
      </c>
      <c r="AC1490">
        <v>0</v>
      </c>
      <c r="AD1490" t="s">
        <v>24595</v>
      </c>
      <c r="AE1490" t="s">
        <v>11459</v>
      </c>
      <c r="AF1490">
        <v>21</v>
      </c>
      <c r="AG1490">
        <v>1</v>
      </c>
      <c r="AH1490">
        <v>1</v>
      </c>
      <c r="AI1490">
        <v>248.37</v>
      </c>
      <c r="AL1490" t="s">
        <v>5011</v>
      </c>
      <c r="AM1490">
        <v>42000</v>
      </c>
      <c r="AN1490" t="s">
        <v>24768</v>
      </c>
      <c r="AS1490">
        <v>0</v>
      </c>
      <c r="AU1490" t="s">
        <v>66</v>
      </c>
      <c r="AV1490" t="s">
        <v>25335</v>
      </c>
      <c r="AW1490" t="s">
        <v>11447</v>
      </c>
    </row>
    <row r="1491" spans="1:49">
      <c r="A1491" s="1">
        <f>HYPERLINK("https://lsnyc.legalserver.org/matter/dynamic-profile/view/1912602","19-1912602")</f>
        <v>0</v>
      </c>
      <c r="B1491" t="s">
        <v>232</v>
      </c>
      <c r="C1491" t="s">
        <v>472</v>
      </c>
      <c r="E1491" t="s">
        <v>1249</v>
      </c>
      <c r="F1491" t="s">
        <v>1925</v>
      </c>
      <c r="G1491" t="s">
        <v>7462</v>
      </c>
      <c r="H1491" t="s">
        <v>10476</v>
      </c>
      <c r="I1491" t="s">
        <v>11386</v>
      </c>
      <c r="J1491">
        <v>10040</v>
      </c>
      <c r="K1491" t="s">
        <v>11446</v>
      </c>
      <c r="M1491" t="s">
        <v>14743</v>
      </c>
      <c r="N1491" t="s">
        <v>14782</v>
      </c>
      <c r="P1491" t="s">
        <v>14797</v>
      </c>
      <c r="Q1491" t="s">
        <v>11448</v>
      </c>
      <c r="S1491" t="s">
        <v>14827</v>
      </c>
      <c r="U1491" t="s">
        <v>472</v>
      </c>
      <c r="V1491">
        <v>1020</v>
      </c>
      <c r="W1491" t="s">
        <v>14860</v>
      </c>
      <c r="X1491" t="s">
        <v>14867</v>
      </c>
      <c r="Z1491" t="s">
        <v>16250</v>
      </c>
      <c r="AB1491" t="s">
        <v>21325</v>
      </c>
      <c r="AC1491">
        <v>186</v>
      </c>
      <c r="AD1491" t="s">
        <v>24595</v>
      </c>
      <c r="AE1491" t="s">
        <v>11459</v>
      </c>
      <c r="AF1491">
        <v>34</v>
      </c>
      <c r="AG1491">
        <v>3</v>
      </c>
      <c r="AH1491">
        <v>0</v>
      </c>
      <c r="AI1491">
        <v>316.92</v>
      </c>
      <c r="AL1491" t="s">
        <v>24632</v>
      </c>
      <c r="AM1491">
        <v>67600</v>
      </c>
      <c r="AS1491">
        <v>14</v>
      </c>
      <c r="AT1491" t="s">
        <v>495</v>
      </c>
      <c r="AU1491" t="s">
        <v>137</v>
      </c>
      <c r="AV1491" t="s">
        <v>25335</v>
      </c>
      <c r="AW1491" t="s">
        <v>11447</v>
      </c>
    </row>
    <row r="1492" spans="1:49">
      <c r="A1492" s="1">
        <f>HYPERLINK("https://lsnyc.legalserver.org/matter/dynamic-profile/view/1912722","19-1912722")</f>
        <v>0</v>
      </c>
      <c r="B1492" t="s">
        <v>211</v>
      </c>
      <c r="C1492" t="s">
        <v>578</v>
      </c>
      <c r="E1492" t="s">
        <v>1706</v>
      </c>
      <c r="F1492" t="s">
        <v>4402</v>
      </c>
      <c r="G1492" t="s">
        <v>7463</v>
      </c>
      <c r="H1492" t="s">
        <v>10500</v>
      </c>
      <c r="I1492" t="s">
        <v>11385</v>
      </c>
      <c r="J1492">
        <v>11207</v>
      </c>
      <c r="K1492" t="s">
        <v>11446</v>
      </c>
      <c r="M1492" t="s">
        <v>14745</v>
      </c>
      <c r="N1492" t="s">
        <v>14779</v>
      </c>
      <c r="P1492" t="s">
        <v>14797</v>
      </c>
      <c r="Q1492" t="s">
        <v>11446</v>
      </c>
      <c r="S1492" t="s">
        <v>14827</v>
      </c>
      <c r="U1492" t="s">
        <v>578</v>
      </c>
      <c r="V1492">
        <v>640</v>
      </c>
      <c r="W1492" t="s">
        <v>14859</v>
      </c>
      <c r="X1492" t="s">
        <v>14868</v>
      </c>
      <c r="Z1492" t="s">
        <v>16251</v>
      </c>
      <c r="AB1492" t="s">
        <v>21326</v>
      </c>
      <c r="AC1492">
        <v>6</v>
      </c>
      <c r="AD1492" t="s">
        <v>24595</v>
      </c>
      <c r="AF1492">
        <v>5</v>
      </c>
      <c r="AG1492">
        <v>1</v>
      </c>
      <c r="AH1492">
        <v>0</v>
      </c>
      <c r="AI1492">
        <v>43.3</v>
      </c>
      <c r="AL1492" t="s">
        <v>5011</v>
      </c>
      <c r="AM1492">
        <v>5408</v>
      </c>
      <c r="AS1492">
        <v>0.1</v>
      </c>
      <c r="AT1492" t="s">
        <v>574</v>
      </c>
      <c r="AU1492" t="s">
        <v>211</v>
      </c>
      <c r="AV1492" t="s">
        <v>25335</v>
      </c>
      <c r="AW1492" t="s">
        <v>11447</v>
      </c>
    </row>
    <row r="1493" spans="1:49">
      <c r="A1493" s="1">
        <f>HYPERLINK("https://lsnyc.legalserver.org/matter/dynamic-profile/view/1912717","19-1912717")</f>
        <v>0</v>
      </c>
      <c r="B1493" t="s">
        <v>205</v>
      </c>
      <c r="C1493" t="s">
        <v>578</v>
      </c>
      <c r="E1493" t="s">
        <v>1754</v>
      </c>
      <c r="F1493" t="s">
        <v>3709</v>
      </c>
      <c r="G1493" t="s">
        <v>7264</v>
      </c>
      <c r="H1493" t="s">
        <v>10677</v>
      </c>
      <c r="I1493" t="s">
        <v>11386</v>
      </c>
      <c r="J1493">
        <v>10035</v>
      </c>
      <c r="K1493" t="s">
        <v>11446</v>
      </c>
      <c r="M1493" t="s">
        <v>14746</v>
      </c>
      <c r="N1493" t="s">
        <v>14781</v>
      </c>
      <c r="P1493" t="s">
        <v>14797</v>
      </c>
      <c r="Q1493" t="s">
        <v>11446</v>
      </c>
      <c r="S1493" t="s">
        <v>14827</v>
      </c>
      <c r="T1493" t="s">
        <v>14832</v>
      </c>
      <c r="U1493" t="s">
        <v>578</v>
      </c>
      <c r="V1493">
        <v>1962.89</v>
      </c>
      <c r="W1493" t="s">
        <v>14860</v>
      </c>
      <c r="X1493" t="s">
        <v>14755</v>
      </c>
      <c r="Z1493" t="s">
        <v>16010</v>
      </c>
      <c r="AA1493" t="s">
        <v>19416</v>
      </c>
      <c r="AB1493" t="s">
        <v>21096</v>
      </c>
      <c r="AC1493">
        <v>72</v>
      </c>
      <c r="AD1493" t="s">
        <v>24595</v>
      </c>
      <c r="AE1493" t="s">
        <v>24610</v>
      </c>
      <c r="AF1493">
        <v>39</v>
      </c>
      <c r="AG1493">
        <v>3</v>
      </c>
      <c r="AH1493">
        <v>0</v>
      </c>
      <c r="AI1493">
        <v>43.38</v>
      </c>
      <c r="AL1493" t="s">
        <v>5011</v>
      </c>
      <c r="AM1493">
        <v>9252</v>
      </c>
      <c r="AS1493">
        <v>0</v>
      </c>
      <c r="AU1493" t="s">
        <v>205</v>
      </c>
      <c r="AV1493" t="s">
        <v>25335</v>
      </c>
      <c r="AW1493" t="s">
        <v>11447</v>
      </c>
    </row>
    <row r="1494" spans="1:49">
      <c r="A1494" s="1">
        <f>HYPERLINK("https://lsnyc.legalserver.org/matter/dynamic-profile/view/1912711","19-1912711")</f>
        <v>0</v>
      </c>
      <c r="B1494" t="s">
        <v>205</v>
      </c>
      <c r="C1494" t="s">
        <v>578</v>
      </c>
      <c r="E1494" t="s">
        <v>1754</v>
      </c>
      <c r="F1494" t="s">
        <v>3709</v>
      </c>
      <c r="G1494" t="s">
        <v>7264</v>
      </c>
      <c r="H1494" t="s">
        <v>10677</v>
      </c>
      <c r="I1494" t="s">
        <v>11386</v>
      </c>
      <c r="J1494">
        <v>10035</v>
      </c>
      <c r="K1494" t="s">
        <v>11446</v>
      </c>
      <c r="M1494" t="s">
        <v>14745</v>
      </c>
      <c r="N1494" t="s">
        <v>14779</v>
      </c>
      <c r="P1494" t="s">
        <v>14797</v>
      </c>
      <c r="Q1494" t="s">
        <v>11448</v>
      </c>
      <c r="S1494" t="s">
        <v>14827</v>
      </c>
      <c r="T1494" t="s">
        <v>14832</v>
      </c>
      <c r="U1494" t="s">
        <v>578</v>
      </c>
      <c r="V1494">
        <v>1962.89</v>
      </c>
      <c r="W1494" t="s">
        <v>14860</v>
      </c>
      <c r="X1494" t="s">
        <v>14755</v>
      </c>
      <c r="Z1494" t="s">
        <v>16010</v>
      </c>
      <c r="AA1494" t="s">
        <v>19453</v>
      </c>
      <c r="AB1494" t="s">
        <v>21096</v>
      </c>
      <c r="AC1494">
        <v>72</v>
      </c>
      <c r="AD1494" t="s">
        <v>24595</v>
      </c>
      <c r="AE1494" t="s">
        <v>24610</v>
      </c>
      <c r="AF1494">
        <v>39</v>
      </c>
      <c r="AG1494">
        <v>3</v>
      </c>
      <c r="AH1494">
        <v>0</v>
      </c>
      <c r="AI1494">
        <v>43.38</v>
      </c>
      <c r="AL1494" t="s">
        <v>5011</v>
      </c>
      <c r="AM1494">
        <v>9252</v>
      </c>
      <c r="AS1494">
        <v>0</v>
      </c>
      <c r="AU1494" t="s">
        <v>205</v>
      </c>
      <c r="AV1494" t="s">
        <v>25335</v>
      </c>
      <c r="AW1494" t="s">
        <v>11447</v>
      </c>
    </row>
    <row r="1495" spans="1:49">
      <c r="A1495" s="1">
        <f>HYPERLINK("https://lsnyc.legalserver.org/matter/dynamic-profile/view/1912736","19-1912736")</f>
        <v>0</v>
      </c>
      <c r="B1495" t="s">
        <v>222</v>
      </c>
      <c r="C1495" t="s">
        <v>489</v>
      </c>
      <c r="E1495" t="s">
        <v>1944</v>
      </c>
      <c r="F1495" t="s">
        <v>3706</v>
      </c>
      <c r="G1495" t="s">
        <v>7464</v>
      </c>
      <c r="H1495">
        <v>4</v>
      </c>
      <c r="I1495" t="s">
        <v>11385</v>
      </c>
      <c r="J1495">
        <v>11231</v>
      </c>
      <c r="K1495" t="s">
        <v>11446</v>
      </c>
      <c r="M1495" t="s">
        <v>14743</v>
      </c>
      <c r="N1495" t="s">
        <v>14781</v>
      </c>
      <c r="P1495" t="s">
        <v>14797</v>
      </c>
      <c r="Q1495" t="s">
        <v>11448</v>
      </c>
      <c r="S1495" t="s">
        <v>14827</v>
      </c>
      <c r="U1495" t="s">
        <v>578</v>
      </c>
      <c r="V1495">
        <v>670</v>
      </c>
      <c r="W1495" t="s">
        <v>14859</v>
      </c>
      <c r="X1495" t="s">
        <v>14755</v>
      </c>
      <c r="Z1495" t="s">
        <v>16252</v>
      </c>
      <c r="AB1495" t="s">
        <v>21327</v>
      </c>
      <c r="AC1495">
        <v>12</v>
      </c>
      <c r="AF1495">
        <v>12</v>
      </c>
      <c r="AG1495">
        <v>1</v>
      </c>
      <c r="AH1495">
        <v>0</v>
      </c>
      <c r="AI1495">
        <v>74.08</v>
      </c>
      <c r="AL1495" t="s">
        <v>5011</v>
      </c>
      <c r="AM1495">
        <v>9252</v>
      </c>
      <c r="AS1495">
        <v>15.6</v>
      </c>
      <c r="AT1495" t="s">
        <v>509</v>
      </c>
      <c r="AU1495" t="s">
        <v>75</v>
      </c>
      <c r="AV1495" t="s">
        <v>25335</v>
      </c>
      <c r="AW1495" t="s">
        <v>11447</v>
      </c>
    </row>
    <row r="1496" spans="1:49">
      <c r="A1496" s="1">
        <f>HYPERLINK("https://lsnyc.legalserver.org/matter/dynamic-profile/view/1912664","19-1912664")</f>
        <v>0</v>
      </c>
      <c r="B1496" t="s">
        <v>229</v>
      </c>
      <c r="C1496" t="s">
        <v>578</v>
      </c>
      <c r="E1496" t="s">
        <v>1104</v>
      </c>
      <c r="F1496" t="s">
        <v>4456</v>
      </c>
      <c r="G1496" t="s">
        <v>7131</v>
      </c>
      <c r="H1496" t="s">
        <v>10493</v>
      </c>
      <c r="I1496" t="s">
        <v>11390</v>
      </c>
      <c r="J1496">
        <v>11368</v>
      </c>
      <c r="K1496" t="s">
        <v>11448</v>
      </c>
      <c r="L1496" t="s">
        <v>11953</v>
      </c>
      <c r="M1496" t="s">
        <v>14744</v>
      </c>
      <c r="N1496" t="s">
        <v>14781</v>
      </c>
      <c r="P1496" t="s">
        <v>14797</v>
      </c>
      <c r="Q1496" t="s">
        <v>11448</v>
      </c>
      <c r="S1496" t="s">
        <v>14827</v>
      </c>
      <c r="T1496" t="s">
        <v>14832</v>
      </c>
      <c r="U1496" t="s">
        <v>578</v>
      </c>
      <c r="V1496">
        <v>1694.28</v>
      </c>
      <c r="W1496" t="s">
        <v>14861</v>
      </c>
      <c r="X1496" t="s">
        <v>14876</v>
      </c>
      <c r="Z1496" t="s">
        <v>16253</v>
      </c>
      <c r="AB1496" t="s">
        <v>21328</v>
      </c>
      <c r="AC1496">
        <v>237</v>
      </c>
      <c r="AD1496" t="s">
        <v>24595</v>
      </c>
      <c r="AF1496">
        <v>19</v>
      </c>
      <c r="AG1496">
        <v>3</v>
      </c>
      <c r="AH1496">
        <v>0</v>
      </c>
      <c r="AI1496">
        <v>234.41</v>
      </c>
      <c r="AL1496" t="s">
        <v>5011</v>
      </c>
      <c r="AM1496">
        <v>50000</v>
      </c>
      <c r="AS1496">
        <v>3.2</v>
      </c>
      <c r="AT1496" t="s">
        <v>495</v>
      </c>
      <c r="AU1496" t="s">
        <v>229</v>
      </c>
      <c r="AV1496" t="s">
        <v>25335</v>
      </c>
      <c r="AW1496" t="s">
        <v>11447</v>
      </c>
    </row>
    <row r="1497" spans="1:49">
      <c r="A1497" s="1">
        <f>HYPERLINK("https://lsnyc.legalserver.org/matter/dynamic-profile/view/1901015","19-1901015")</f>
        <v>0</v>
      </c>
      <c r="B1497" t="s">
        <v>84</v>
      </c>
      <c r="C1497" t="s">
        <v>530</v>
      </c>
      <c r="E1497" t="s">
        <v>1945</v>
      </c>
      <c r="F1497" t="s">
        <v>4472</v>
      </c>
      <c r="G1497" t="s">
        <v>7381</v>
      </c>
      <c r="H1497" t="s">
        <v>10587</v>
      </c>
      <c r="I1497" t="s">
        <v>11383</v>
      </c>
      <c r="J1497">
        <v>10455</v>
      </c>
      <c r="K1497" t="s">
        <v>11446</v>
      </c>
      <c r="L1497" t="s">
        <v>11954</v>
      </c>
      <c r="M1497" t="s">
        <v>14746</v>
      </c>
      <c r="N1497" t="s">
        <v>14781</v>
      </c>
      <c r="P1497" t="s">
        <v>14797</v>
      </c>
      <c r="S1497" t="s">
        <v>14827</v>
      </c>
      <c r="U1497" t="s">
        <v>470</v>
      </c>
      <c r="V1497">
        <v>1421</v>
      </c>
      <c r="W1497" t="s">
        <v>14858</v>
      </c>
      <c r="Z1497" t="s">
        <v>16254</v>
      </c>
      <c r="AB1497" t="s">
        <v>21329</v>
      </c>
      <c r="AC1497">
        <v>49</v>
      </c>
      <c r="AD1497" t="s">
        <v>24595</v>
      </c>
      <c r="AE1497" t="s">
        <v>11459</v>
      </c>
      <c r="AF1497">
        <v>5</v>
      </c>
      <c r="AG1497">
        <v>2</v>
      </c>
      <c r="AH1497">
        <v>0</v>
      </c>
      <c r="AI1497">
        <v>0</v>
      </c>
      <c r="AL1497" t="s">
        <v>24632</v>
      </c>
      <c r="AM1497">
        <v>0</v>
      </c>
      <c r="AS1497">
        <v>0</v>
      </c>
      <c r="AU1497" t="s">
        <v>57</v>
      </c>
      <c r="AV1497" t="s">
        <v>25335</v>
      </c>
      <c r="AW1497" t="s">
        <v>11447</v>
      </c>
    </row>
    <row r="1498" spans="1:49">
      <c r="A1498" s="1">
        <f>HYPERLINK("https://lsnyc.legalserver.org/matter/dynamic-profile/view/1912882","19-1912882")</f>
        <v>0</v>
      </c>
      <c r="B1498" t="s">
        <v>177</v>
      </c>
      <c r="C1498" t="s">
        <v>470</v>
      </c>
      <c r="E1498" t="s">
        <v>1301</v>
      </c>
      <c r="F1498" t="s">
        <v>3803</v>
      </c>
      <c r="G1498" t="s">
        <v>6597</v>
      </c>
      <c r="H1498" t="s">
        <v>10836</v>
      </c>
      <c r="I1498" t="s">
        <v>11385</v>
      </c>
      <c r="J1498">
        <v>11226</v>
      </c>
      <c r="K1498" t="s">
        <v>11446</v>
      </c>
      <c r="M1498" t="s">
        <v>11601</v>
      </c>
      <c r="N1498" t="s">
        <v>14780</v>
      </c>
      <c r="P1498" t="s">
        <v>14797</v>
      </c>
      <c r="Q1498" t="s">
        <v>11448</v>
      </c>
      <c r="S1498" t="s">
        <v>14827</v>
      </c>
      <c r="U1498" t="s">
        <v>470</v>
      </c>
      <c r="V1498">
        <v>865</v>
      </c>
      <c r="W1498" t="s">
        <v>14859</v>
      </c>
      <c r="Z1498" t="s">
        <v>15222</v>
      </c>
      <c r="AB1498" t="s">
        <v>21330</v>
      </c>
      <c r="AC1498">
        <v>0</v>
      </c>
      <c r="AF1498">
        <v>37</v>
      </c>
      <c r="AG1498">
        <v>1</v>
      </c>
      <c r="AH1498">
        <v>0</v>
      </c>
      <c r="AI1498">
        <v>76.86</v>
      </c>
      <c r="AL1498" t="s">
        <v>5011</v>
      </c>
      <c r="AM1498">
        <v>9600</v>
      </c>
      <c r="AS1498">
        <v>0</v>
      </c>
      <c r="AU1498" t="s">
        <v>75</v>
      </c>
      <c r="AV1498" t="s">
        <v>25335</v>
      </c>
      <c r="AW1498" t="s">
        <v>11447</v>
      </c>
    </row>
    <row r="1499" spans="1:49">
      <c r="A1499" s="1">
        <f>HYPERLINK("https://lsnyc.legalserver.org/matter/dynamic-profile/view/1911546","19-1911546")</f>
        <v>0</v>
      </c>
      <c r="B1499" t="s">
        <v>170</v>
      </c>
      <c r="C1499" t="s">
        <v>486</v>
      </c>
      <c r="E1499" t="s">
        <v>1946</v>
      </c>
      <c r="F1499" t="s">
        <v>4473</v>
      </c>
      <c r="G1499" t="s">
        <v>7465</v>
      </c>
      <c r="H1499" t="s">
        <v>10837</v>
      </c>
      <c r="I1499" t="s">
        <v>11386</v>
      </c>
      <c r="J1499">
        <v>10035</v>
      </c>
      <c r="K1499" t="s">
        <v>11446</v>
      </c>
      <c r="L1499" t="s">
        <v>11955</v>
      </c>
      <c r="M1499" t="s">
        <v>14744</v>
      </c>
      <c r="N1499" t="s">
        <v>14782</v>
      </c>
      <c r="P1499" t="s">
        <v>14797</v>
      </c>
      <c r="Q1499" t="s">
        <v>11448</v>
      </c>
      <c r="S1499" t="s">
        <v>14827</v>
      </c>
      <c r="T1499" t="s">
        <v>14832</v>
      </c>
      <c r="U1499" t="s">
        <v>470</v>
      </c>
      <c r="V1499">
        <v>811</v>
      </c>
      <c r="W1499" t="s">
        <v>14860</v>
      </c>
      <c r="X1499" t="s">
        <v>14755</v>
      </c>
      <c r="Z1499" t="s">
        <v>16255</v>
      </c>
      <c r="AB1499" t="s">
        <v>21331</v>
      </c>
      <c r="AC1499">
        <v>90</v>
      </c>
      <c r="AD1499" t="s">
        <v>24596</v>
      </c>
      <c r="AE1499" t="s">
        <v>24610</v>
      </c>
      <c r="AF1499">
        <v>5</v>
      </c>
      <c r="AG1499">
        <v>2</v>
      </c>
      <c r="AH1499">
        <v>3</v>
      </c>
      <c r="AI1499">
        <v>94.13</v>
      </c>
      <c r="AL1499" t="s">
        <v>5011</v>
      </c>
      <c r="AM1499">
        <v>28400</v>
      </c>
      <c r="AS1499">
        <v>14.75</v>
      </c>
      <c r="AT1499" t="s">
        <v>654</v>
      </c>
      <c r="AU1499" t="s">
        <v>25229</v>
      </c>
      <c r="AV1499" t="s">
        <v>25335</v>
      </c>
      <c r="AW1499" t="s">
        <v>11447</v>
      </c>
    </row>
    <row r="1500" spans="1:49">
      <c r="A1500" s="1">
        <f>HYPERLINK("https://lsnyc.legalserver.org/matter/dynamic-profile/view/1911428","19-1911428")</f>
        <v>0</v>
      </c>
      <c r="B1500" t="s">
        <v>56</v>
      </c>
      <c r="C1500" t="s">
        <v>467</v>
      </c>
      <c r="E1500" t="s">
        <v>1947</v>
      </c>
      <c r="F1500" t="s">
        <v>3262</v>
      </c>
      <c r="G1500" t="s">
        <v>7466</v>
      </c>
      <c r="I1500" t="s">
        <v>11385</v>
      </c>
      <c r="J1500">
        <v>11233</v>
      </c>
      <c r="K1500" t="s">
        <v>11446</v>
      </c>
      <c r="L1500" t="s">
        <v>11956</v>
      </c>
      <c r="M1500" t="s">
        <v>14743</v>
      </c>
      <c r="N1500" t="s">
        <v>14779</v>
      </c>
      <c r="P1500" t="s">
        <v>14797</v>
      </c>
      <c r="Q1500" t="s">
        <v>11448</v>
      </c>
      <c r="S1500" t="s">
        <v>14827</v>
      </c>
      <c r="T1500" t="s">
        <v>14832</v>
      </c>
      <c r="U1500" t="s">
        <v>470</v>
      </c>
      <c r="V1500">
        <v>2100</v>
      </c>
      <c r="W1500" t="s">
        <v>14859</v>
      </c>
      <c r="X1500" t="s">
        <v>14863</v>
      </c>
      <c r="Z1500" t="s">
        <v>16256</v>
      </c>
      <c r="AA1500" t="s">
        <v>19454</v>
      </c>
      <c r="AB1500" t="s">
        <v>21332</v>
      </c>
      <c r="AC1500">
        <v>4</v>
      </c>
      <c r="AD1500" t="s">
        <v>24600</v>
      </c>
      <c r="AE1500" t="s">
        <v>24610</v>
      </c>
      <c r="AF1500">
        <v>3</v>
      </c>
      <c r="AG1500">
        <v>3</v>
      </c>
      <c r="AH1500">
        <v>1</v>
      </c>
      <c r="AI1500">
        <v>124.85</v>
      </c>
      <c r="AL1500" t="s">
        <v>5011</v>
      </c>
      <c r="AM1500">
        <v>32150</v>
      </c>
      <c r="AS1500">
        <v>2</v>
      </c>
      <c r="AT1500" t="s">
        <v>470</v>
      </c>
      <c r="AU1500" t="s">
        <v>66</v>
      </c>
      <c r="AV1500" t="s">
        <v>25335</v>
      </c>
      <c r="AW1500" t="s">
        <v>11447</v>
      </c>
    </row>
    <row r="1501" spans="1:49">
      <c r="A1501" s="1">
        <f>HYPERLINK("https://lsnyc.legalserver.org/matter/dynamic-profile/view/1912865","19-1912865")</f>
        <v>0</v>
      </c>
      <c r="B1501" t="s">
        <v>75</v>
      </c>
      <c r="C1501" t="s">
        <v>470</v>
      </c>
      <c r="E1501" t="s">
        <v>1389</v>
      </c>
      <c r="F1501" t="s">
        <v>4474</v>
      </c>
      <c r="G1501" t="s">
        <v>6707</v>
      </c>
      <c r="H1501" t="s">
        <v>10496</v>
      </c>
      <c r="I1501" t="s">
        <v>11385</v>
      </c>
      <c r="J1501">
        <v>11237</v>
      </c>
      <c r="K1501" t="s">
        <v>11446</v>
      </c>
      <c r="M1501" t="s">
        <v>11601</v>
      </c>
      <c r="N1501" t="s">
        <v>14780</v>
      </c>
      <c r="P1501" t="s">
        <v>14797</v>
      </c>
      <c r="Q1501" t="s">
        <v>11448</v>
      </c>
      <c r="S1501" t="s">
        <v>14827</v>
      </c>
      <c r="U1501" t="s">
        <v>470</v>
      </c>
      <c r="V1501">
        <v>0</v>
      </c>
      <c r="W1501" t="s">
        <v>14859</v>
      </c>
      <c r="Z1501" t="s">
        <v>15336</v>
      </c>
      <c r="AB1501" t="s">
        <v>21333</v>
      </c>
      <c r="AC1501">
        <v>0</v>
      </c>
      <c r="AF1501">
        <v>7</v>
      </c>
      <c r="AG1501">
        <v>5</v>
      </c>
      <c r="AH1501">
        <v>2</v>
      </c>
      <c r="AI1501">
        <v>140.99</v>
      </c>
      <c r="AL1501" t="s">
        <v>24632</v>
      </c>
      <c r="AM1501">
        <v>55000</v>
      </c>
      <c r="AS1501">
        <v>0</v>
      </c>
      <c r="AU1501" t="s">
        <v>75</v>
      </c>
      <c r="AV1501" t="s">
        <v>25335</v>
      </c>
      <c r="AW1501" t="s">
        <v>11447</v>
      </c>
    </row>
    <row r="1502" spans="1:49">
      <c r="A1502" s="1">
        <f>HYPERLINK("https://lsnyc.legalserver.org/matter/dynamic-profile/view/1912866","19-1912866")</f>
        <v>0</v>
      </c>
      <c r="B1502" t="s">
        <v>110</v>
      </c>
      <c r="C1502" t="s">
        <v>470</v>
      </c>
      <c r="E1502" t="s">
        <v>1249</v>
      </c>
      <c r="F1502" t="s">
        <v>4471</v>
      </c>
      <c r="G1502" t="s">
        <v>7453</v>
      </c>
      <c r="H1502" t="s">
        <v>10450</v>
      </c>
      <c r="I1502" t="s">
        <v>11391</v>
      </c>
      <c r="J1502">
        <v>11691</v>
      </c>
      <c r="K1502" t="s">
        <v>11446</v>
      </c>
      <c r="L1502" t="s">
        <v>11946</v>
      </c>
      <c r="M1502" t="s">
        <v>14746</v>
      </c>
      <c r="N1502" t="s">
        <v>14781</v>
      </c>
      <c r="P1502" t="s">
        <v>14797</v>
      </c>
      <c r="Q1502" t="s">
        <v>11446</v>
      </c>
      <c r="S1502" t="s">
        <v>14827</v>
      </c>
      <c r="T1502" t="s">
        <v>14832</v>
      </c>
      <c r="U1502" t="s">
        <v>470</v>
      </c>
      <c r="V1502">
        <v>637</v>
      </c>
      <c r="W1502" t="s">
        <v>14861</v>
      </c>
      <c r="X1502" t="s">
        <v>14876</v>
      </c>
      <c r="Z1502" t="s">
        <v>16248</v>
      </c>
      <c r="AB1502" t="s">
        <v>21323</v>
      </c>
      <c r="AC1502">
        <v>43</v>
      </c>
      <c r="AD1502" t="s">
        <v>24595</v>
      </c>
      <c r="AE1502" t="s">
        <v>11459</v>
      </c>
      <c r="AF1502">
        <v>17</v>
      </c>
      <c r="AG1502">
        <v>2</v>
      </c>
      <c r="AH1502">
        <v>0</v>
      </c>
      <c r="AI1502">
        <v>215.26</v>
      </c>
      <c r="AL1502" t="s">
        <v>24632</v>
      </c>
      <c r="AM1502">
        <v>36400</v>
      </c>
      <c r="AP1502" t="s">
        <v>14755</v>
      </c>
      <c r="AS1502">
        <v>0</v>
      </c>
      <c r="AU1502" t="s">
        <v>292</v>
      </c>
      <c r="AV1502" t="s">
        <v>25335</v>
      </c>
      <c r="AW1502" t="s">
        <v>11447</v>
      </c>
    </row>
    <row r="1503" spans="1:49">
      <c r="A1503" s="1">
        <f>HYPERLINK("https://lsnyc.legalserver.org/matter/dynamic-profile/view/1905677","19-1905677")</f>
        <v>0</v>
      </c>
      <c r="B1503" t="s">
        <v>56</v>
      </c>
      <c r="C1503" t="s">
        <v>496</v>
      </c>
      <c r="E1503" t="s">
        <v>1948</v>
      </c>
      <c r="F1503" t="s">
        <v>3580</v>
      </c>
      <c r="G1503" t="s">
        <v>7467</v>
      </c>
      <c r="H1503" t="s">
        <v>10464</v>
      </c>
      <c r="I1503" t="s">
        <v>11385</v>
      </c>
      <c r="J1503">
        <v>11212</v>
      </c>
      <c r="K1503" t="s">
        <v>11446</v>
      </c>
      <c r="L1503" t="s">
        <v>11957</v>
      </c>
      <c r="M1503" t="s">
        <v>14743</v>
      </c>
      <c r="N1503" t="s">
        <v>14778</v>
      </c>
      <c r="P1503" t="s">
        <v>14797</v>
      </c>
      <c r="Q1503" t="s">
        <v>11448</v>
      </c>
      <c r="S1503" t="s">
        <v>14827</v>
      </c>
      <c r="T1503" t="s">
        <v>14832</v>
      </c>
      <c r="U1503" t="s">
        <v>470</v>
      </c>
      <c r="V1503">
        <v>1100</v>
      </c>
      <c r="W1503" t="s">
        <v>14859</v>
      </c>
      <c r="X1503" t="s">
        <v>14873</v>
      </c>
      <c r="Z1503" t="s">
        <v>16257</v>
      </c>
      <c r="AA1503" t="s">
        <v>11465</v>
      </c>
      <c r="AB1503" t="s">
        <v>21334</v>
      </c>
      <c r="AC1503">
        <v>4</v>
      </c>
      <c r="AD1503" t="s">
        <v>24600</v>
      </c>
      <c r="AE1503" t="s">
        <v>11459</v>
      </c>
      <c r="AF1503">
        <v>13</v>
      </c>
      <c r="AG1503">
        <v>2</v>
      </c>
      <c r="AH1503">
        <v>1</v>
      </c>
      <c r="AI1503">
        <v>227.61</v>
      </c>
      <c r="AL1503" t="s">
        <v>5011</v>
      </c>
      <c r="AM1503">
        <v>48550</v>
      </c>
      <c r="AN1503" t="s">
        <v>24771</v>
      </c>
      <c r="AS1503">
        <v>2.75</v>
      </c>
      <c r="AT1503" t="s">
        <v>470</v>
      </c>
      <c r="AU1503" t="s">
        <v>25240</v>
      </c>
      <c r="AV1503" t="s">
        <v>25335</v>
      </c>
      <c r="AW1503" t="s">
        <v>11447</v>
      </c>
    </row>
    <row r="1504" spans="1:49">
      <c r="A1504" s="1">
        <f>HYPERLINK("https://lsnyc.legalserver.org/matter/dynamic-profile/view/1912582","19-1912582")</f>
        <v>0</v>
      </c>
      <c r="B1504" t="s">
        <v>171</v>
      </c>
      <c r="C1504" t="s">
        <v>574</v>
      </c>
      <c r="E1504" t="s">
        <v>1334</v>
      </c>
      <c r="F1504" t="s">
        <v>4475</v>
      </c>
      <c r="G1504" t="s">
        <v>7131</v>
      </c>
      <c r="I1504" t="s">
        <v>11390</v>
      </c>
      <c r="J1504">
        <v>11368</v>
      </c>
      <c r="K1504" t="s">
        <v>11446</v>
      </c>
      <c r="L1504" t="s">
        <v>11777</v>
      </c>
      <c r="M1504" t="s">
        <v>14762</v>
      </c>
      <c r="N1504" t="s">
        <v>14783</v>
      </c>
      <c r="P1504" t="s">
        <v>14797</v>
      </c>
      <c r="Q1504" t="s">
        <v>11446</v>
      </c>
      <c r="S1504" t="s">
        <v>14827</v>
      </c>
      <c r="T1504" t="s">
        <v>14832</v>
      </c>
      <c r="U1504" t="s">
        <v>574</v>
      </c>
      <c r="V1504">
        <v>1240</v>
      </c>
      <c r="W1504" t="s">
        <v>14861</v>
      </c>
      <c r="X1504" t="s">
        <v>14876</v>
      </c>
      <c r="Z1504" t="s">
        <v>16258</v>
      </c>
      <c r="AA1504" t="s">
        <v>19344</v>
      </c>
      <c r="AB1504" t="s">
        <v>19344</v>
      </c>
      <c r="AC1504">
        <v>0</v>
      </c>
      <c r="AD1504" t="s">
        <v>24595</v>
      </c>
      <c r="AE1504" t="s">
        <v>11459</v>
      </c>
      <c r="AF1504">
        <v>27</v>
      </c>
      <c r="AG1504">
        <v>1</v>
      </c>
      <c r="AH1504">
        <v>0</v>
      </c>
      <c r="AI1504">
        <v>0</v>
      </c>
      <c r="AL1504" t="s">
        <v>5011</v>
      </c>
      <c r="AM1504">
        <v>0</v>
      </c>
      <c r="AP1504" t="s">
        <v>14755</v>
      </c>
      <c r="AS1504">
        <v>0.5</v>
      </c>
      <c r="AT1504" t="s">
        <v>574</v>
      </c>
      <c r="AU1504" t="s">
        <v>292</v>
      </c>
      <c r="AV1504" t="s">
        <v>25335</v>
      </c>
      <c r="AW1504" t="s">
        <v>11447</v>
      </c>
    </row>
    <row r="1505" spans="1:49">
      <c r="A1505" s="1">
        <f>HYPERLINK("https://lsnyc.legalserver.org/matter/dynamic-profile/view/1911887","19-1911887")</f>
        <v>0</v>
      </c>
      <c r="B1505" t="s">
        <v>170</v>
      </c>
      <c r="C1505" t="s">
        <v>645</v>
      </c>
      <c r="E1505" t="s">
        <v>1949</v>
      </c>
      <c r="F1505" t="s">
        <v>4476</v>
      </c>
      <c r="G1505" t="s">
        <v>7447</v>
      </c>
      <c r="H1505" t="s">
        <v>10838</v>
      </c>
      <c r="I1505" t="s">
        <v>11386</v>
      </c>
      <c r="J1505">
        <v>10037</v>
      </c>
      <c r="K1505" t="s">
        <v>11446</v>
      </c>
      <c r="M1505" t="s">
        <v>11601</v>
      </c>
      <c r="N1505" t="s">
        <v>14778</v>
      </c>
      <c r="P1505" t="s">
        <v>14797</v>
      </c>
      <c r="Q1505" t="s">
        <v>11448</v>
      </c>
      <c r="S1505" t="s">
        <v>14827</v>
      </c>
      <c r="T1505" t="s">
        <v>14832</v>
      </c>
      <c r="U1505" t="s">
        <v>574</v>
      </c>
      <c r="V1505">
        <v>2052</v>
      </c>
      <c r="W1505" t="s">
        <v>14860</v>
      </c>
      <c r="X1505" t="s">
        <v>14864</v>
      </c>
      <c r="Z1505" t="s">
        <v>16259</v>
      </c>
      <c r="AB1505" t="s">
        <v>21335</v>
      </c>
      <c r="AC1505">
        <v>150</v>
      </c>
      <c r="AD1505" t="s">
        <v>24595</v>
      </c>
      <c r="AE1505" t="s">
        <v>11459</v>
      </c>
      <c r="AF1505">
        <v>2</v>
      </c>
      <c r="AG1505">
        <v>1</v>
      </c>
      <c r="AH1505">
        <v>0</v>
      </c>
      <c r="AI1505">
        <v>0</v>
      </c>
      <c r="AL1505" t="s">
        <v>5011</v>
      </c>
      <c r="AM1505">
        <v>0</v>
      </c>
      <c r="AS1505">
        <v>3.5</v>
      </c>
      <c r="AT1505" t="s">
        <v>574</v>
      </c>
      <c r="AU1505" t="s">
        <v>25247</v>
      </c>
      <c r="AV1505" t="s">
        <v>25335</v>
      </c>
      <c r="AW1505" t="s">
        <v>11447</v>
      </c>
    </row>
    <row r="1506" spans="1:49">
      <c r="A1506" s="1">
        <f>HYPERLINK("https://lsnyc.legalserver.org/matter/dynamic-profile/view/1912946","19-1912946")</f>
        <v>0</v>
      </c>
      <c r="B1506" t="s">
        <v>122</v>
      </c>
      <c r="C1506" t="s">
        <v>574</v>
      </c>
      <c r="E1506" t="s">
        <v>1024</v>
      </c>
      <c r="F1506" t="s">
        <v>3547</v>
      </c>
      <c r="G1506" t="s">
        <v>7468</v>
      </c>
      <c r="H1506" t="s">
        <v>10638</v>
      </c>
      <c r="I1506" t="s">
        <v>11400</v>
      </c>
      <c r="J1506">
        <v>11385</v>
      </c>
      <c r="K1506" t="s">
        <v>11446</v>
      </c>
      <c r="L1506" t="s">
        <v>11958</v>
      </c>
      <c r="M1506" t="s">
        <v>14746</v>
      </c>
      <c r="N1506" t="s">
        <v>14778</v>
      </c>
      <c r="P1506" t="s">
        <v>14797</v>
      </c>
      <c r="Q1506" t="s">
        <v>11448</v>
      </c>
      <c r="S1506" t="s">
        <v>14827</v>
      </c>
      <c r="U1506" t="s">
        <v>574</v>
      </c>
      <c r="V1506">
        <v>1500</v>
      </c>
      <c r="W1506" t="s">
        <v>14861</v>
      </c>
      <c r="X1506" t="s">
        <v>14865</v>
      </c>
      <c r="Z1506" t="s">
        <v>16260</v>
      </c>
      <c r="AB1506" t="s">
        <v>21336</v>
      </c>
      <c r="AC1506">
        <v>6</v>
      </c>
      <c r="AD1506" t="s">
        <v>11479</v>
      </c>
      <c r="AE1506" t="s">
        <v>24610</v>
      </c>
      <c r="AF1506">
        <v>46</v>
      </c>
      <c r="AG1506">
        <v>1</v>
      </c>
      <c r="AH1506">
        <v>0</v>
      </c>
      <c r="AI1506">
        <v>15.25</v>
      </c>
      <c r="AL1506" t="s">
        <v>5011</v>
      </c>
      <c r="AM1506">
        <v>1905.02</v>
      </c>
      <c r="AS1506">
        <v>1.7</v>
      </c>
      <c r="AT1506" t="s">
        <v>509</v>
      </c>
      <c r="AU1506" t="s">
        <v>292</v>
      </c>
      <c r="AV1506" t="s">
        <v>25335</v>
      </c>
      <c r="AW1506" t="s">
        <v>11447</v>
      </c>
    </row>
    <row r="1507" spans="1:49">
      <c r="A1507" s="1">
        <f>HYPERLINK("https://lsnyc.legalserver.org/matter/dynamic-profile/view/1912915","19-1912915")</f>
        <v>0</v>
      </c>
      <c r="B1507" t="s">
        <v>234</v>
      </c>
      <c r="C1507" t="s">
        <v>574</v>
      </c>
      <c r="E1507" t="s">
        <v>1035</v>
      </c>
      <c r="F1507" t="s">
        <v>4477</v>
      </c>
      <c r="G1507" t="s">
        <v>7447</v>
      </c>
      <c r="H1507" t="s">
        <v>10839</v>
      </c>
      <c r="I1507" t="s">
        <v>11386</v>
      </c>
      <c r="J1507">
        <v>10037</v>
      </c>
      <c r="K1507" t="s">
        <v>11446</v>
      </c>
      <c r="M1507" t="s">
        <v>11601</v>
      </c>
      <c r="N1507" t="s">
        <v>14782</v>
      </c>
      <c r="P1507" t="s">
        <v>14797</v>
      </c>
      <c r="Q1507" t="s">
        <v>11448</v>
      </c>
      <c r="S1507" t="s">
        <v>14827</v>
      </c>
      <c r="T1507" t="s">
        <v>14832</v>
      </c>
      <c r="U1507" t="s">
        <v>574</v>
      </c>
      <c r="V1507">
        <v>2235</v>
      </c>
      <c r="W1507" t="s">
        <v>14860</v>
      </c>
      <c r="X1507" t="s">
        <v>14876</v>
      </c>
      <c r="Z1507" t="s">
        <v>16261</v>
      </c>
      <c r="AB1507" t="s">
        <v>21337</v>
      </c>
      <c r="AC1507">
        <v>259</v>
      </c>
      <c r="AD1507" t="s">
        <v>24595</v>
      </c>
      <c r="AF1507">
        <v>4</v>
      </c>
      <c r="AG1507">
        <v>1</v>
      </c>
      <c r="AH1507">
        <v>0</v>
      </c>
      <c r="AI1507">
        <v>39.14</v>
      </c>
      <c r="AL1507" t="s">
        <v>5011</v>
      </c>
      <c r="AM1507">
        <v>4888</v>
      </c>
      <c r="AS1507">
        <v>0</v>
      </c>
      <c r="AU1507" t="s">
        <v>25286</v>
      </c>
      <c r="AV1507" t="s">
        <v>25334</v>
      </c>
      <c r="AW1507" t="s">
        <v>11447</v>
      </c>
    </row>
    <row r="1508" spans="1:49">
      <c r="A1508" s="1">
        <f>HYPERLINK("https://lsnyc.legalserver.org/matter/dynamic-profile/view/1912943","19-1912943")</f>
        <v>0</v>
      </c>
      <c r="B1508" t="s">
        <v>105</v>
      </c>
      <c r="C1508" t="s">
        <v>574</v>
      </c>
      <c r="E1508" t="s">
        <v>1320</v>
      </c>
      <c r="F1508" t="s">
        <v>3696</v>
      </c>
      <c r="G1508" t="s">
        <v>7146</v>
      </c>
      <c r="H1508" t="s">
        <v>10471</v>
      </c>
      <c r="I1508" t="s">
        <v>11386</v>
      </c>
      <c r="J1508">
        <v>10040</v>
      </c>
      <c r="K1508" t="s">
        <v>11446</v>
      </c>
      <c r="M1508" t="s">
        <v>14762</v>
      </c>
      <c r="N1508" t="s">
        <v>14781</v>
      </c>
      <c r="P1508" t="s">
        <v>14797</v>
      </c>
      <c r="Q1508" t="s">
        <v>11446</v>
      </c>
      <c r="S1508" t="s">
        <v>14827</v>
      </c>
      <c r="U1508" t="s">
        <v>574</v>
      </c>
      <c r="V1508">
        <v>1134.04</v>
      </c>
      <c r="W1508" t="s">
        <v>14860</v>
      </c>
      <c r="X1508" t="s">
        <v>14868</v>
      </c>
      <c r="Z1508" t="s">
        <v>16185</v>
      </c>
      <c r="AB1508" t="s">
        <v>21257</v>
      </c>
      <c r="AC1508">
        <v>44</v>
      </c>
      <c r="AD1508" t="s">
        <v>24595</v>
      </c>
      <c r="AE1508" t="s">
        <v>24610</v>
      </c>
      <c r="AF1508">
        <v>36</v>
      </c>
      <c r="AG1508">
        <v>1</v>
      </c>
      <c r="AH1508">
        <v>0</v>
      </c>
      <c r="AI1508">
        <v>59.72</v>
      </c>
      <c r="AL1508" t="s">
        <v>24632</v>
      </c>
      <c r="AM1508">
        <v>7459.2</v>
      </c>
      <c r="AS1508">
        <v>0.1</v>
      </c>
      <c r="AT1508" t="s">
        <v>654</v>
      </c>
      <c r="AU1508" t="s">
        <v>137</v>
      </c>
      <c r="AV1508" t="s">
        <v>25335</v>
      </c>
      <c r="AW1508" t="s">
        <v>11447</v>
      </c>
    </row>
    <row r="1509" spans="1:49">
      <c r="A1509" s="1">
        <f>HYPERLINK("https://lsnyc.legalserver.org/matter/dynamic-profile/view/1910142","19-1910142")</f>
        <v>0</v>
      </c>
      <c r="B1509" t="s">
        <v>51</v>
      </c>
      <c r="C1509" t="s">
        <v>471</v>
      </c>
      <c r="E1509" t="s">
        <v>1372</v>
      </c>
      <c r="F1509" t="s">
        <v>3547</v>
      </c>
      <c r="G1509" t="s">
        <v>7469</v>
      </c>
      <c r="H1509" t="s">
        <v>10568</v>
      </c>
      <c r="I1509" t="s">
        <v>11383</v>
      </c>
      <c r="J1509">
        <v>10452</v>
      </c>
      <c r="K1509" t="s">
        <v>11446</v>
      </c>
      <c r="L1509" t="s">
        <v>11959</v>
      </c>
      <c r="M1509" t="s">
        <v>14744</v>
      </c>
      <c r="N1509" t="s">
        <v>14778</v>
      </c>
      <c r="P1509" t="s">
        <v>14797</v>
      </c>
      <c r="Q1509" t="s">
        <v>11448</v>
      </c>
      <c r="S1509" t="s">
        <v>14827</v>
      </c>
      <c r="U1509" t="s">
        <v>574</v>
      </c>
      <c r="V1509">
        <v>1169.2</v>
      </c>
      <c r="W1509" t="s">
        <v>14858</v>
      </c>
      <c r="X1509" t="s">
        <v>14864</v>
      </c>
      <c r="Z1509" t="s">
        <v>16262</v>
      </c>
      <c r="AB1509" t="s">
        <v>21338</v>
      </c>
      <c r="AC1509">
        <v>61</v>
      </c>
      <c r="AE1509" t="s">
        <v>24613</v>
      </c>
      <c r="AF1509">
        <v>30</v>
      </c>
      <c r="AG1509">
        <v>2</v>
      </c>
      <c r="AH1509">
        <v>0</v>
      </c>
      <c r="AI1509">
        <v>69.47</v>
      </c>
      <c r="AL1509" t="s">
        <v>24632</v>
      </c>
      <c r="AM1509">
        <v>11748</v>
      </c>
      <c r="AS1509">
        <v>0</v>
      </c>
      <c r="AU1509" t="s">
        <v>51</v>
      </c>
      <c r="AV1509" t="s">
        <v>25335</v>
      </c>
      <c r="AW1509" t="s">
        <v>11447</v>
      </c>
    </row>
    <row r="1510" spans="1:49">
      <c r="A1510" s="1">
        <f>HYPERLINK("https://lsnyc.legalserver.org/matter/dynamic-profile/view/1910141","19-1910141")</f>
        <v>0</v>
      </c>
      <c r="B1510" t="s">
        <v>51</v>
      </c>
      <c r="C1510" t="s">
        <v>471</v>
      </c>
      <c r="E1510" t="s">
        <v>1950</v>
      </c>
      <c r="F1510" t="s">
        <v>4478</v>
      </c>
      <c r="G1510" t="s">
        <v>7470</v>
      </c>
      <c r="H1510" t="s">
        <v>10581</v>
      </c>
      <c r="I1510" t="s">
        <v>11383</v>
      </c>
      <c r="J1510">
        <v>10468</v>
      </c>
      <c r="K1510" t="s">
        <v>11446</v>
      </c>
      <c r="L1510" t="s">
        <v>11960</v>
      </c>
      <c r="M1510" t="s">
        <v>14746</v>
      </c>
      <c r="N1510" t="s">
        <v>14778</v>
      </c>
      <c r="P1510" t="s">
        <v>14797</v>
      </c>
      <c r="Q1510" t="s">
        <v>11448</v>
      </c>
      <c r="S1510" t="s">
        <v>14827</v>
      </c>
      <c r="U1510" t="s">
        <v>574</v>
      </c>
      <c r="V1510">
        <v>913.75</v>
      </c>
      <c r="W1510" t="s">
        <v>14858</v>
      </c>
      <c r="X1510" t="s">
        <v>14864</v>
      </c>
      <c r="Z1510" t="s">
        <v>16263</v>
      </c>
      <c r="AB1510" t="s">
        <v>21339</v>
      </c>
      <c r="AC1510">
        <v>0</v>
      </c>
      <c r="AD1510" t="s">
        <v>24595</v>
      </c>
      <c r="AE1510" t="s">
        <v>24613</v>
      </c>
      <c r="AF1510">
        <v>16</v>
      </c>
      <c r="AG1510">
        <v>1</v>
      </c>
      <c r="AH1510">
        <v>0</v>
      </c>
      <c r="AI1510">
        <v>75.13</v>
      </c>
      <c r="AM1510">
        <v>9384</v>
      </c>
      <c r="AS1510">
        <v>0</v>
      </c>
      <c r="AU1510" t="s">
        <v>51</v>
      </c>
      <c r="AV1510" t="s">
        <v>25335</v>
      </c>
      <c r="AW1510" t="s">
        <v>11447</v>
      </c>
    </row>
    <row r="1511" spans="1:49">
      <c r="A1511" s="1">
        <f>HYPERLINK("https://lsnyc.legalserver.org/matter/dynamic-profile/view/1912969","19-1912969")</f>
        <v>0</v>
      </c>
      <c r="B1511" t="s">
        <v>190</v>
      </c>
      <c r="C1511" t="s">
        <v>574</v>
      </c>
      <c r="E1511" t="s">
        <v>1294</v>
      </c>
      <c r="F1511" t="s">
        <v>3696</v>
      </c>
      <c r="G1511" t="s">
        <v>7471</v>
      </c>
      <c r="H1511" t="s">
        <v>10598</v>
      </c>
      <c r="I1511" t="s">
        <v>11386</v>
      </c>
      <c r="J1511">
        <v>10032</v>
      </c>
      <c r="K1511" t="s">
        <v>11446</v>
      </c>
      <c r="N1511" t="s">
        <v>14782</v>
      </c>
      <c r="P1511" t="s">
        <v>14797</v>
      </c>
      <c r="Q1511" t="s">
        <v>11448</v>
      </c>
      <c r="S1511" t="s">
        <v>14827</v>
      </c>
      <c r="U1511" t="s">
        <v>574</v>
      </c>
      <c r="V1511">
        <v>2400</v>
      </c>
      <c r="W1511" t="s">
        <v>14860</v>
      </c>
      <c r="X1511" t="s">
        <v>14876</v>
      </c>
      <c r="Z1511" t="s">
        <v>16264</v>
      </c>
      <c r="AC1511">
        <v>0</v>
      </c>
      <c r="AD1511" t="s">
        <v>24595</v>
      </c>
      <c r="AE1511" t="s">
        <v>11459</v>
      </c>
      <c r="AF1511">
        <v>9</v>
      </c>
      <c r="AG1511">
        <v>2</v>
      </c>
      <c r="AH1511">
        <v>4</v>
      </c>
      <c r="AI1511">
        <v>75.17</v>
      </c>
      <c r="AL1511" t="s">
        <v>24632</v>
      </c>
      <c r="AM1511">
        <v>26000</v>
      </c>
      <c r="AS1511">
        <v>7.2</v>
      </c>
      <c r="AT1511" t="s">
        <v>592</v>
      </c>
      <c r="AU1511" t="s">
        <v>137</v>
      </c>
      <c r="AV1511" t="s">
        <v>25335</v>
      </c>
      <c r="AW1511" t="s">
        <v>11447</v>
      </c>
    </row>
    <row r="1512" spans="1:49">
      <c r="A1512" s="1">
        <f>HYPERLINK("https://lsnyc.legalserver.org/matter/dynamic-profile/view/1912952","19-1912952")</f>
        <v>0</v>
      </c>
      <c r="B1512" t="s">
        <v>63</v>
      </c>
      <c r="C1512" t="s">
        <v>574</v>
      </c>
      <c r="E1512" t="s">
        <v>1951</v>
      </c>
      <c r="F1512" t="s">
        <v>3859</v>
      </c>
      <c r="G1512" t="s">
        <v>7472</v>
      </c>
      <c r="H1512" t="s">
        <v>10646</v>
      </c>
      <c r="I1512" t="s">
        <v>11390</v>
      </c>
      <c r="J1512">
        <v>11368</v>
      </c>
      <c r="K1512" t="s">
        <v>11446</v>
      </c>
      <c r="L1512" t="s">
        <v>11961</v>
      </c>
      <c r="M1512" t="s">
        <v>14743</v>
      </c>
      <c r="N1512" t="s">
        <v>14781</v>
      </c>
      <c r="P1512" t="s">
        <v>14797</v>
      </c>
      <c r="Q1512" t="s">
        <v>11448</v>
      </c>
      <c r="S1512" t="s">
        <v>14827</v>
      </c>
      <c r="T1512" t="s">
        <v>14832</v>
      </c>
      <c r="U1512" t="s">
        <v>574</v>
      </c>
      <c r="V1512">
        <v>2000</v>
      </c>
      <c r="W1512" t="s">
        <v>14861</v>
      </c>
      <c r="X1512" t="s">
        <v>14863</v>
      </c>
      <c r="Z1512" t="s">
        <v>16265</v>
      </c>
      <c r="AA1512" t="s">
        <v>19344</v>
      </c>
      <c r="AB1512" t="s">
        <v>19344</v>
      </c>
      <c r="AC1512">
        <v>2</v>
      </c>
      <c r="AD1512" t="s">
        <v>11479</v>
      </c>
      <c r="AE1512" t="s">
        <v>11459</v>
      </c>
      <c r="AF1512">
        <v>2</v>
      </c>
      <c r="AG1512">
        <v>2</v>
      </c>
      <c r="AH1512">
        <v>2</v>
      </c>
      <c r="AI1512">
        <v>80.78</v>
      </c>
      <c r="AL1512" t="s">
        <v>24632</v>
      </c>
      <c r="AM1512">
        <v>20800</v>
      </c>
      <c r="AS1512">
        <v>1.45</v>
      </c>
      <c r="AT1512" t="s">
        <v>509</v>
      </c>
      <c r="AU1512" t="s">
        <v>292</v>
      </c>
      <c r="AV1512" t="s">
        <v>25335</v>
      </c>
      <c r="AW1512" t="s">
        <v>11447</v>
      </c>
    </row>
    <row r="1513" spans="1:49">
      <c r="A1513" s="1">
        <f>HYPERLINK("https://lsnyc.legalserver.org/matter/dynamic-profile/view/1912986","19-1912986")</f>
        <v>0</v>
      </c>
      <c r="B1513" t="s">
        <v>235</v>
      </c>
      <c r="C1513" t="s">
        <v>574</v>
      </c>
      <c r="E1513" t="s">
        <v>1952</v>
      </c>
      <c r="F1513" t="s">
        <v>3799</v>
      </c>
      <c r="G1513" t="s">
        <v>6923</v>
      </c>
      <c r="H1513" t="s">
        <v>10585</v>
      </c>
      <c r="I1513" t="s">
        <v>11383</v>
      </c>
      <c r="J1513">
        <v>10458</v>
      </c>
      <c r="K1513" t="s">
        <v>11446</v>
      </c>
      <c r="L1513" t="s">
        <v>11962</v>
      </c>
      <c r="M1513" t="s">
        <v>14744</v>
      </c>
      <c r="N1513" t="s">
        <v>14781</v>
      </c>
      <c r="P1513" t="s">
        <v>14797</v>
      </c>
      <c r="Q1513" t="s">
        <v>11448</v>
      </c>
      <c r="S1513" t="s">
        <v>14827</v>
      </c>
      <c r="U1513" t="s">
        <v>574</v>
      </c>
      <c r="V1513">
        <v>0</v>
      </c>
      <c r="W1513" t="s">
        <v>14858</v>
      </c>
      <c r="X1513" t="s">
        <v>14864</v>
      </c>
      <c r="Z1513" t="s">
        <v>16266</v>
      </c>
      <c r="AA1513" t="s">
        <v>19455</v>
      </c>
      <c r="AB1513" t="s">
        <v>21340</v>
      </c>
      <c r="AC1513">
        <v>0</v>
      </c>
      <c r="AD1513" t="s">
        <v>24595</v>
      </c>
      <c r="AE1513" t="s">
        <v>24615</v>
      </c>
      <c r="AF1513">
        <v>7</v>
      </c>
      <c r="AG1513">
        <v>3</v>
      </c>
      <c r="AH1513">
        <v>1</v>
      </c>
      <c r="AI1513">
        <v>87.56999999999999</v>
      </c>
      <c r="AL1513" t="s">
        <v>24632</v>
      </c>
      <c r="AM1513">
        <v>22548</v>
      </c>
      <c r="AS1513">
        <v>28.25</v>
      </c>
      <c r="AT1513" t="s">
        <v>654</v>
      </c>
      <c r="AU1513" t="s">
        <v>25268</v>
      </c>
      <c r="AV1513" t="s">
        <v>25334</v>
      </c>
      <c r="AW1513" t="s">
        <v>11447</v>
      </c>
    </row>
    <row r="1514" spans="1:49">
      <c r="A1514" s="1">
        <f>HYPERLINK("https://lsnyc.legalserver.org/matter/dynamic-profile/view/1912938","19-1912938")</f>
        <v>0</v>
      </c>
      <c r="B1514" t="s">
        <v>105</v>
      </c>
      <c r="C1514" t="s">
        <v>574</v>
      </c>
      <c r="E1514" t="s">
        <v>1913</v>
      </c>
      <c r="F1514" t="s">
        <v>3843</v>
      </c>
      <c r="G1514" t="s">
        <v>7146</v>
      </c>
      <c r="H1514" t="s">
        <v>10595</v>
      </c>
      <c r="I1514" t="s">
        <v>11386</v>
      </c>
      <c r="J1514">
        <v>10040</v>
      </c>
      <c r="K1514" t="s">
        <v>11446</v>
      </c>
      <c r="M1514" t="s">
        <v>14762</v>
      </c>
      <c r="N1514" t="s">
        <v>14781</v>
      </c>
      <c r="P1514" t="s">
        <v>14797</v>
      </c>
      <c r="Q1514" t="s">
        <v>11446</v>
      </c>
      <c r="S1514" t="s">
        <v>14827</v>
      </c>
      <c r="U1514" t="s">
        <v>574</v>
      </c>
      <c r="V1514">
        <v>211</v>
      </c>
      <c r="W1514" t="s">
        <v>14860</v>
      </c>
      <c r="X1514" t="s">
        <v>14868</v>
      </c>
      <c r="Z1514" t="s">
        <v>14981</v>
      </c>
      <c r="AB1514" t="s">
        <v>21261</v>
      </c>
      <c r="AC1514">
        <v>44</v>
      </c>
      <c r="AD1514" t="s">
        <v>24595</v>
      </c>
      <c r="AE1514" t="s">
        <v>24610</v>
      </c>
      <c r="AF1514">
        <v>24</v>
      </c>
      <c r="AG1514">
        <v>1</v>
      </c>
      <c r="AH1514">
        <v>0</v>
      </c>
      <c r="AI1514">
        <v>100.39</v>
      </c>
      <c r="AL1514" t="s">
        <v>24632</v>
      </c>
      <c r="AM1514">
        <v>12539</v>
      </c>
      <c r="AS1514">
        <v>0.1</v>
      </c>
      <c r="AT1514" t="s">
        <v>654</v>
      </c>
      <c r="AU1514" t="s">
        <v>137</v>
      </c>
      <c r="AV1514" t="s">
        <v>25335</v>
      </c>
      <c r="AW1514" t="s">
        <v>11447</v>
      </c>
    </row>
    <row r="1515" spans="1:49">
      <c r="A1515" s="1">
        <f>HYPERLINK("https://lsnyc.legalserver.org/matter/dynamic-profile/view/1912892","19-1912892")</f>
        <v>0</v>
      </c>
      <c r="B1515" t="s">
        <v>234</v>
      </c>
      <c r="C1515" t="s">
        <v>574</v>
      </c>
      <c r="E1515" t="s">
        <v>1953</v>
      </c>
      <c r="F1515" t="s">
        <v>4479</v>
      </c>
      <c r="G1515" t="s">
        <v>7473</v>
      </c>
      <c r="H1515" t="s">
        <v>10481</v>
      </c>
      <c r="I1515" t="s">
        <v>11386</v>
      </c>
      <c r="J1515">
        <v>10128</v>
      </c>
      <c r="K1515" t="s">
        <v>11446</v>
      </c>
      <c r="M1515" t="s">
        <v>11601</v>
      </c>
      <c r="N1515" t="s">
        <v>14782</v>
      </c>
      <c r="P1515" t="s">
        <v>14797</v>
      </c>
      <c r="Q1515" t="s">
        <v>11448</v>
      </c>
      <c r="S1515" t="s">
        <v>14827</v>
      </c>
      <c r="T1515" t="s">
        <v>14832</v>
      </c>
      <c r="U1515" t="s">
        <v>574</v>
      </c>
      <c r="V1515">
        <v>1200</v>
      </c>
      <c r="W1515" t="s">
        <v>14860</v>
      </c>
      <c r="X1515" t="s">
        <v>14864</v>
      </c>
      <c r="Z1515" t="s">
        <v>16267</v>
      </c>
      <c r="AB1515" t="s">
        <v>21341</v>
      </c>
      <c r="AC1515">
        <v>11</v>
      </c>
      <c r="AD1515" t="s">
        <v>11479</v>
      </c>
      <c r="AF1515">
        <v>5</v>
      </c>
      <c r="AG1515">
        <v>1</v>
      </c>
      <c r="AH1515">
        <v>0</v>
      </c>
      <c r="AI1515">
        <v>112.09</v>
      </c>
      <c r="AL1515" t="s">
        <v>5011</v>
      </c>
      <c r="AM1515">
        <v>14000</v>
      </c>
      <c r="AS1515">
        <v>0.5</v>
      </c>
      <c r="AT1515" t="s">
        <v>509</v>
      </c>
      <c r="AU1515" t="s">
        <v>25286</v>
      </c>
      <c r="AW1515" t="s">
        <v>11447</v>
      </c>
    </row>
    <row r="1516" spans="1:49">
      <c r="A1516" s="1">
        <f>HYPERLINK("https://lsnyc.legalserver.org/matter/dynamic-profile/view/1905037","19-1905037")</f>
        <v>0</v>
      </c>
      <c r="B1516" t="s">
        <v>78</v>
      </c>
      <c r="C1516" t="s">
        <v>456</v>
      </c>
      <c r="E1516" t="s">
        <v>1789</v>
      </c>
      <c r="F1516" t="s">
        <v>3799</v>
      </c>
      <c r="G1516" t="s">
        <v>7474</v>
      </c>
      <c r="H1516" t="s">
        <v>10840</v>
      </c>
      <c r="I1516" t="s">
        <v>11383</v>
      </c>
      <c r="J1516">
        <v>10457</v>
      </c>
      <c r="K1516" t="s">
        <v>11446</v>
      </c>
      <c r="M1516" t="s">
        <v>11601</v>
      </c>
      <c r="N1516" t="s">
        <v>14779</v>
      </c>
      <c r="P1516" t="s">
        <v>14797</v>
      </c>
      <c r="Q1516" t="s">
        <v>11448</v>
      </c>
      <c r="S1516" t="s">
        <v>14827</v>
      </c>
      <c r="U1516" t="s">
        <v>574</v>
      </c>
      <c r="V1516">
        <v>1680</v>
      </c>
      <c r="W1516" t="s">
        <v>14858</v>
      </c>
      <c r="X1516" t="s">
        <v>14755</v>
      </c>
      <c r="Z1516" t="s">
        <v>16268</v>
      </c>
      <c r="AB1516" t="s">
        <v>21342</v>
      </c>
      <c r="AC1516">
        <v>100</v>
      </c>
      <c r="AD1516" t="s">
        <v>11479</v>
      </c>
      <c r="AE1516" t="s">
        <v>14755</v>
      </c>
      <c r="AF1516">
        <v>16</v>
      </c>
      <c r="AG1516">
        <v>1</v>
      </c>
      <c r="AH1516">
        <v>3</v>
      </c>
      <c r="AI1516">
        <v>131.26</v>
      </c>
      <c r="AL1516" t="s">
        <v>5011</v>
      </c>
      <c r="AM1516">
        <v>33800</v>
      </c>
      <c r="AS1516">
        <v>4.45</v>
      </c>
      <c r="AT1516" t="s">
        <v>574</v>
      </c>
      <c r="AU1516" t="s">
        <v>25244</v>
      </c>
      <c r="AV1516" t="s">
        <v>25335</v>
      </c>
      <c r="AW1516" t="s">
        <v>11447</v>
      </c>
    </row>
    <row r="1517" spans="1:49">
      <c r="A1517" s="1">
        <f>HYPERLINK("https://lsnyc.legalserver.org/matter/dynamic-profile/view/1912932","19-1912932")</f>
        <v>0</v>
      </c>
      <c r="B1517" t="s">
        <v>105</v>
      </c>
      <c r="C1517" t="s">
        <v>574</v>
      </c>
      <c r="E1517" t="s">
        <v>1244</v>
      </c>
      <c r="F1517" t="s">
        <v>2719</v>
      </c>
      <c r="G1517" t="s">
        <v>7146</v>
      </c>
      <c r="H1517" t="s">
        <v>10482</v>
      </c>
      <c r="I1517" t="s">
        <v>11386</v>
      </c>
      <c r="J1517">
        <v>10040</v>
      </c>
      <c r="K1517" t="s">
        <v>11446</v>
      </c>
      <c r="M1517" t="s">
        <v>14762</v>
      </c>
      <c r="N1517" t="s">
        <v>14781</v>
      </c>
      <c r="P1517" t="s">
        <v>14797</v>
      </c>
      <c r="Q1517" t="s">
        <v>11446</v>
      </c>
      <c r="S1517" t="s">
        <v>14827</v>
      </c>
      <c r="U1517" t="s">
        <v>574</v>
      </c>
      <c r="V1517">
        <v>1600</v>
      </c>
      <c r="W1517" t="s">
        <v>14860</v>
      </c>
      <c r="X1517" t="s">
        <v>14868</v>
      </c>
      <c r="Z1517" t="s">
        <v>16192</v>
      </c>
      <c r="AB1517" t="s">
        <v>21266</v>
      </c>
      <c r="AC1517">
        <v>44</v>
      </c>
      <c r="AD1517" t="s">
        <v>24595</v>
      </c>
      <c r="AE1517" t="s">
        <v>11459</v>
      </c>
      <c r="AF1517">
        <v>39</v>
      </c>
      <c r="AG1517">
        <v>4</v>
      </c>
      <c r="AH1517">
        <v>1</v>
      </c>
      <c r="AI1517">
        <v>222.07</v>
      </c>
      <c r="AL1517" t="s">
        <v>5011</v>
      </c>
      <c r="AM1517">
        <v>67000</v>
      </c>
      <c r="AS1517">
        <v>0.1</v>
      </c>
      <c r="AT1517" t="s">
        <v>654</v>
      </c>
      <c r="AU1517" t="s">
        <v>137</v>
      </c>
      <c r="AV1517" t="s">
        <v>25335</v>
      </c>
      <c r="AW1517" t="s">
        <v>11447</v>
      </c>
    </row>
    <row r="1518" spans="1:49">
      <c r="A1518" s="1">
        <f>HYPERLINK("https://lsnyc.legalserver.org/matter/dynamic-profile/view/1912929","19-1912929")</f>
        <v>0</v>
      </c>
      <c r="B1518" t="s">
        <v>171</v>
      </c>
      <c r="C1518" t="s">
        <v>574</v>
      </c>
      <c r="E1518" t="s">
        <v>1538</v>
      </c>
      <c r="F1518" t="s">
        <v>2645</v>
      </c>
      <c r="G1518" t="s">
        <v>7219</v>
      </c>
      <c r="H1518" t="s">
        <v>10841</v>
      </c>
      <c r="I1518" t="s">
        <v>11390</v>
      </c>
      <c r="J1518">
        <v>11368</v>
      </c>
      <c r="K1518" t="s">
        <v>11446</v>
      </c>
      <c r="L1518" t="s">
        <v>11777</v>
      </c>
      <c r="M1518" t="s">
        <v>14762</v>
      </c>
      <c r="N1518" t="s">
        <v>14783</v>
      </c>
      <c r="P1518" t="s">
        <v>14797</v>
      </c>
      <c r="Q1518" t="s">
        <v>11446</v>
      </c>
      <c r="S1518" t="s">
        <v>14827</v>
      </c>
      <c r="T1518" t="s">
        <v>14832</v>
      </c>
      <c r="U1518" t="s">
        <v>574</v>
      </c>
      <c r="V1518">
        <v>1000</v>
      </c>
      <c r="W1518" t="s">
        <v>14861</v>
      </c>
      <c r="X1518" t="s">
        <v>14876</v>
      </c>
      <c r="Z1518" t="s">
        <v>16269</v>
      </c>
      <c r="AA1518" t="s">
        <v>19344</v>
      </c>
      <c r="AB1518" t="s">
        <v>19344</v>
      </c>
      <c r="AC1518">
        <v>0</v>
      </c>
      <c r="AD1518" t="s">
        <v>24595</v>
      </c>
      <c r="AE1518" t="s">
        <v>11459</v>
      </c>
      <c r="AF1518">
        <v>40</v>
      </c>
      <c r="AG1518">
        <v>1</v>
      </c>
      <c r="AH1518">
        <v>0</v>
      </c>
      <c r="AI1518">
        <v>320.26</v>
      </c>
      <c r="AL1518" t="s">
        <v>5011</v>
      </c>
      <c r="AM1518">
        <v>40000</v>
      </c>
      <c r="AP1518" t="s">
        <v>14755</v>
      </c>
      <c r="AS1518">
        <v>0.3</v>
      </c>
      <c r="AT1518" t="s">
        <v>574</v>
      </c>
      <c r="AU1518" t="s">
        <v>292</v>
      </c>
      <c r="AV1518" t="s">
        <v>25335</v>
      </c>
      <c r="AW1518" t="s">
        <v>11447</v>
      </c>
    </row>
    <row r="1519" spans="1:49">
      <c r="A1519" s="1">
        <f>HYPERLINK("https://lsnyc.legalserver.org/matter/dynamic-profile/view/1910692","19-1910692")</f>
        <v>0</v>
      </c>
      <c r="B1519" t="s">
        <v>171</v>
      </c>
      <c r="C1519" t="s">
        <v>663</v>
      </c>
      <c r="E1519" t="s">
        <v>1047</v>
      </c>
      <c r="F1519" t="s">
        <v>3567</v>
      </c>
      <c r="G1519" t="s">
        <v>6298</v>
      </c>
      <c r="H1519" t="s">
        <v>10465</v>
      </c>
      <c r="I1519" t="s">
        <v>11389</v>
      </c>
      <c r="J1519">
        <v>11354</v>
      </c>
      <c r="K1519" t="s">
        <v>11446</v>
      </c>
      <c r="L1519" t="s">
        <v>11963</v>
      </c>
      <c r="M1519" t="s">
        <v>14743</v>
      </c>
      <c r="N1519" t="s">
        <v>14781</v>
      </c>
      <c r="P1519" t="s">
        <v>14797</v>
      </c>
      <c r="Q1519" t="s">
        <v>11448</v>
      </c>
      <c r="S1519" t="s">
        <v>14827</v>
      </c>
      <c r="T1519" t="s">
        <v>14832</v>
      </c>
      <c r="U1519" t="s">
        <v>768</v>
      </c>
      <c r="V1519">
        <v>923</v>
      </c>
      <c r="W1519" t="s">
        <v>14861</v>
      </c>
      <c r="X1519" t="s">
        <v>14865</v>
      </c>
      <c r="Z1519" t="s">
        <v>14924</v>
      </c>
      <c r="AB1519" t="s">
        <v>21343</v>
      </c>
      <c r="AC1519">
        <v>72</v>
      </c>
      <c r="AD1519" t="s">
        <v>11479</v>
      </c>
      <c r="AE1519" t="s">
        <v>11459</v>
      </c>
      <c r="AF1519">
        <v>42</v>
      </c>
      <c r="AG1519">
        <v>1</v>
      </c>
      <c r="AH1519">
        <v>0</v>
      </c>
      <c r="AI1519">
        <v>137.39</v>
      </c>
      <c r="AL1519" t="s">
        <v>5011</v>
      </c>
      <c r="AM1519">
        <v>17160</v>
      </c>
      <c r="AP1519" t="s">
        <v>14755</v>
      </c>
      <c r="AS1519">
        <v>32.2</v>
      </c>
      <c r="AT1519" t="s">
        <v>509</v>
      </c>
      <c r="AU1519" t="s">
        <v>292</v>
      </c>
      <c r="AV1519" t="s">
        <v>25335</v>
      </c>
      <c r="AW1519" t="s">
        <v>11447</v>
      </c>
    </row>
    <row r="1520" spans="1:49">
      <c r="A1520" s="1">
        <f>HYPERLINK("https://lsnyc.legalserver.org/matter/dynamic-profile/view/1913071","19-1913071")</f>
        <v>0</v>
      </c>
      <c r="B1520" t="s">
        <v>105</v>
      </c>
      <c r="C1520" t="s">
        <v>603</v>
      </c>
      <c r="E1520" t="s">
        <v>1190</v>
      </c>
      <c r="F1520" t="s">
        <v>4432</v>
      </c>
      <c r="G1520" t="s">
        <v>7146</v>
      </c>
      <c r="H1520" t="s">
        <v>10620</v>
      </c>
      <c r="I1520" t="s">
        <v>11386</v>
      </c>
      <c r="J1520">
        <v>10040</v>
      </c>
      <c r="K1520" t="s">
        <v>11446</v>
      </c>
      <c r="L1520" t="s">
        <v>11731</v>
      </c>
      <c r="M1520" t="s">
        <v>14762</v>
      </c>
      <c r="N1520" t="s">
        <v>14783</v>
      </c>
      <c r="P1520" t="s">
        <v>14797</v>
      </c>
      <c r="Q1520" t="s">
        <v>11446</v>
      </c>
      <c r="S1520" t="s">
        <v>14827</v>
      </c>
      <c r="U1520" t="s">
        <v>603</v>
      </c>
      <c r="V1520">
        <v>952</v>
      </c>
      <c r="W1520" t="s">
        <v>14860</v>
      </c>
      <c r="X1520" t="s">
        <v>14868</v>
      </c>
      <c r="Z1520" t="s">
        <v>15820</v>
      </c>
      <c r="AB1520" t="s">
        <v>21260</v>
      </c>
      <c r="AC1520">
        <v>44</v>
      </c>
      <c r="AD1520" t="s">
        <v>24595</v>
      </c>
      <c r="AE1520" t="s">
        <v>11459</v>
      </c>
      <c r="AF1520">
        <v>25</v>
      </c>
      <c r="AG1520">
        <v>2</v>
      </c>
      <c r="AH1520">
        <v>1</v>
      </c>
      <c r="AI1520">
        <v>93.76000000000001</v>
      </c>
      <c r="AL1520" t="s">
        <v>24632</v>
      </c>
      <c r="AM1520">
        <v>20000</v>
      </c>
      <c r="AS1520">
        <v>0</v>
      </c>
      <c r="AU1520" t="s">
        <v>137</v>
      </c>
      <c r="AV1520" t="s">
        <v>25335</v>
      </c>
      <c r="AW1520" t="s">
        <v>11447</v>
      </c>
    </row>
    <row r="1521" spans="1:49">
      <c r="A1521" s="1">
        <f>HYPERLINK("https://lsnyc.legalserver.org/matter/dynamic-profile/view/1913069","19-1913069")</f>
        <v>0</v>
      </c>
      <c r="B1521" t="s">
        <v>104</v>
      </c>
      <c r="C1521" t="s">
        <v>603</v>
      </c>
      <c r="E1521" t="s">
        <v>1025</v>
      </c>
      <c r="F1521" t="s">
        <v>3628</v>
      </c>
      <c r="G1521" t="s">
        <v>7172</v>
      </c>
      <c r="H1521">
        <v>814</v>
      </c>
      <c r="I1521" t="s">
        <v>11386</v>
      </c>
      <c r="J1521">
        <v>10029</v>
      </c>
      <c r="K1521" t="s">
        <v>11446</v>
      </c>
      <c r="L1521" t="s">
        <v>11964</v>
      </c>
      <c r="M1521" t="s">
        <v>14744</v>
      </c>
      <c r="N1521" t="s">
        <v>14781</v>
      </c>
      <c r="P1521" t="s">
        <v>14797</v>
      </c>
      <c r="Q1521" t="s">
        <v>11448</v>
      </c>
      <c r="S1521" t="s">
        <v>14827</v>
      </c>
      <c r="T1521" t="s">
        <v>14832</v>
      </c>
      <c r="U1521" t="s">
        <v>603</v>
      </c>
      <c r="V1521">
        <v>0</v>
      </c>
      <c r="W1521" t="s">
        <v>14860</v>
      </c>
      <c r="X1521" t="s">
        <v>14868</v>
      </c>
      <c r="Z1521" t="s">
        <v>16270</v>
      </c>
      <c r="AC1521">
        <v>108</v>
      </c>
      <c r="AD1521" t="s">
        <v>24596</v>
      </c>
      <c r="AE1521" t="s">
        <v>24610</v>
      </c>
      <c r="AF1521">
        <v>34</v>
      </c>
      <c r="AG1521">
        <v>1</v>
      </c>
      <c r="AH1521">
        <v>2</v>
      </c>
      <c r="AI1521">
        <v>136.52</v>
      </c>
      <c r="AL1521" t="s">
        <v>5011</v>
      </c>
      <c r="AM1521">
        <v>29120</v>
      </c>
      <c r="AS1521">
        <v>1.5</v>
      </c>
      <c r="AT1521" t="s">
        <v>603</v>
      </c>
      <c r="AU1521" t="s">
        <v>25266</v>
      </c>
      <c r="AV1521" t="s">
        <v>25335</v>
      </c>
      <c r="AW1521" t="s">
        <v>11447</v>
      </c>
    </row>
    <row r="1522" spans="1:49">
      <c r="A1522" s="1">
        <f>HYPERLINK("https://lsnyc.legalserver.org/matter/dynamic-profile/view/1913062","19-1913062")</f>
        <v>0</v>
      </c>
      <c r="B1522" t="s">
        <v>108</v>
      </c>
      <c r="C1522" t="s">
        <v>603</v>
      </c>
      <c r="E1522" t="s">
        <v>1359</v>
      </c>
      <c r="F1522" t="s">
        <v>4480</v>
      </c>
      <c r="G1522" t="s">
        <v>7475</v>
      </c>
      <c r="H1522">
        <v>12</v>
      </c>
      <c r="I1522" t="s">
        <v>11385</v>
      </c>
      <c r="J1522">
        <v>11217</v>
      </c>
      <c r="K1522" t="s">
        <v>11446</v>
      </c>
      <c r="L1522" t="s">
        <v>11965</v>
      </c>
      <c r="M1522" t="s">
        <v>14744</v>
      </c>
      <c r="N1522" t="s">
        <v>14781</v>
      </c>
      <c r="P1522" t="s">
        <v>14797</v>
      </c>
      <c r="Q1522" t="s">
        <v>11448</v>
      </c>
      <c r="S1522" t="s">
        <v>14827</v>
      </c>
      <c r="U1522" t="s">
        <v>603</v>
      </c>
      <c r="V1522">
        <v>740</v>
      </c>
      <c r="W1522" t="s">
        <v>14859</v>
      </c>
      <c r="X1522" t="s">
        <v>14755</v>
      </c>
      <c r="Z1522" t="s">
        <v>15839</v>
      </c>
      <c r="AB1522" t="s">
        <v>21344</v>
      </c>
      <c r="AC1522">
        <v>12</v>
      </c>
      <c r="AD1522" t="s">
        <v>24599</v>
      </c>
      <c r="AF1522">
        <v>11</v>
      </c>
      <c r="AG1522">
        <v>1</v>
      </c>
      <c r="AH1522">
        <v>0</v>
      </c>
      <c r="AI1522">
        <v>191.35</v>
      </c>
      <c r="AL1522" t="s">
        <v>5011</v>
      </c>
      <c r="AM1522">
        <v>23900</v>
      </c>
      <c r="AS1522">
        <v>0.5</v>
      </c>
      <c r="AT1522" t="s">
        <v>603</v>
      </c>
      <c r="AU1522" t="s">
        <v>25229</v>
      </c>
      <c r="AV1522" t="s">
        <v>25335</v>
      </c>
      <c r="AW1522" t="s">
        <v>11447</v>
      </c>
    </row>
    <row r="1523" spans="1:49">
      <c r="A1523" s="1">
        <f>HYPERLINK("https://lsnyc.legalserver.org/matter/dynamic-profile/view/1913028","19-1913028")</f>
        <v>0</v>
      </c>
      <c r="B1523" t="s">
        <v>107</v>
      </c>
      <c r="C1523" t="s">
        <v>603</v>
      </c>
      <c r="E1523" t="s">
        <v>1954</v>
      </c>
      <c r="F1523" t="s">
        <v>2951</v>
      </c>
      <c r="G1523" t="s">
        <v>7365</v>
      </c>
      <c r="H1523">
        <v>4</v>
      </c>
      <c r="I1523" t="s">
        <v>11385</v>
      </c>
      <c r="J1523">
        <v>11213</v>
      </c>
      <c r="K1523" t="s">
        <v>11446</v>
      </c>
      <c r="L1523" t="s">
        <v>11459</v>
      </c>
      <c r="M1523" t="s">
        <v>11601</v>
      </c>
      <c r="N1523" t="s">
        <v>14779</v>
      </c>
      <c r="P1523" t="s">
        <v>14797</v>
      </c>
      <c r="Q1523" t="s">
        <v>11446</v>
      </c>
      <c r="S1523" t="s">
        <v>14827</v>
      </c>
      <c r="T1523" t="s">
        <v>14832</v>
      </c>
      <c r="U1523" t="s">
        <v>603</v>
      </c>
      <c r="V1523">
        <v>993</v>
      </c>
      <c r="W1523" t="s">
        <v>14859</v>
      </c>
      <c r="X1523" t="s">
        <v>14876</v>
      </c>
      <c r="Z1523" t="s">
        <v>16271</v>
      </c>
      <c r="AA1523" t="s">
        <v>11465</v>
      </c>
      <c r="AB1523" t="s">
        <v>21345</v>
      </c>
      <c r="AC1523">
        <v>31</v>
      </c>
      <c r="AD1523" t="s">
        <v>24595</v>
      </c>
      <c r="AE1523" t="s">
        <v>11459</v>
      </c>
      <c r="AF1523">
        <v>20</v>
      </c>
      <c r="AG1523">
        <v>3</v>
      </c>
      <c r="AH1523">
        <v>0</v>
      </c>
      <c r="AI1523">
        <v>267.23</v>
      </c>
      <c r="AL1523" t="s">
        <v>5011</v>
      </c>
      <c r="AM1523">
        <v>57000</v>
      </c>
      <c r="AN1523" t="s">
        <v>24772</v>
      </c>
      <c r="AS1523">
        <v>1.1</v>
      </c>
      <c r="AT1523" t="s">
        <v>515</v>
      </c>
      <c r="AU1523" t="s">
        <v>66</v>
      </c>
      <c r="AV1523" t="s">
        <v>25335</v>
      </c>
      <c r="AW1523" t="s">
        <v>11447</v>
      </c>
    </row>
    <row r="1524" spans="1:49">
      <c r="A1524" s="1">
        <f>HYPERLINK("https://lsnyc.legalserver.org/matter/dynamic-profile/view/1913064","19-1913064")</f>
        <v>0</v>
      </c>
      <c r="B1524" t="s">
        <v>171</v>
      </c>
      <c r="C1524" t="s">
        <v>603</v>
      </c>
      <c r="E1524" t="s">
        <v>1032</v>
      </c>
      <c r="F1524" t="s">
        <v>4481</v>
      </c>
      <c r="G1524" t="s">
        <v>7131</v>
      </c>
      <c r="H1524" t="s">
        <v>10842</v>
      </c>
      <c r="I1524" t="s">
        <v>11390</v>
      </c>
      <c r="J1524">
        <v>11368</v>
      </c>
      <c r="K1524" t="s">
        <v>11446</v>
      </c>
      <c r="L1524" t="s">
        <v>11777</v>
      </c>
      <c r="M1524" t="s">
        <v>14762</v>
      </c>
      <c r="N1524" t="s">
        <v>14783</v>
      </c>
      <c r="P1524" t="s">
        <v>14797</v>
      </c>
      <c r="Q1524" t="s">
        <v>11446</v>
      </c>
      <c r="S1524" t="s">
        <v>14827</v>
      </c>
      <c r="T1524" t="s">
        <v>14832</v>
      </c>
      <c r="U1524" t="s">
        <v>603</v>
      </c>
      <c r="V1524">
        <v>994</v>
      </c>
      <c r="W1524" t="s">
        <v>14861</v>
      </c>
      <c r="X1524" t="s">
        <v>14876</v>
      </c>
      <c r="Z1524" t="s">
        <v>16272</v>
      </c>
      <c r="AA1524" t="s">
        <v>19344</v>
      </c>
      <c r="AB1524" t="s">
        <v>21346</v>
      </c>
      <c r="AC1524">
        <v>0</v>
      </c>
      <c r="AD1524" t="s">
        <v>24595</v>
      </c>
      <c r="AE1524" t="s">
        <v>24613</v>
      </c>
      <c r="AF1524">
        <v>15</v>
      </c>
      <c r="AG1524">
        <v>1</v>
      </c>
      <c r="AH1524">
        <v>1</v>
      </c>
      <c r="AI1524">
        <v>293.32</v>
      </c>
      <c r="AL1524" t="s">
        <v>5011</v>
      </c>
      <c r="AM1524">
        <v>49600</v>
      </c>
      <c r="AP1524" t="s">
        <v>14755</v>
      </c>
      <c r="AS1524">
        <v>0.3</v>
      </c>
      <c r="AT1524" t="s">
        <v>603</v>
      </c>
      <c r="AU1524" t="s">
        <v>292</v>
      </c>
      <c r="AV1524" t="s">
        <v>25335</v>
      </c>
      <c r="AW1524" t="s">
        <v>11447</v>
      </c>
    </row>
    <row r="1525" spans="1:49">
      <c r="A1525" s="1">
        <f>HYPERLINK("https://lsnyc.legalserver.org/matter/dynamic-profile/view/1913097","19-1913097")</f>
        <v>0</v>
      </c>
      <c r="B1525" t="s">
        <v>224</v>
      </c>
      <c r="C1525" t="s">
        <v>603</v>
      </c>
      <c r="E1525" t="s">
        <v>1955</v>
      </c>
      <c r="F1525" t="s">
        <v>2951</v>
      </c>
      <c r="G1525" t="s">
        <v>7365</v>
      </c>
      <c r="H1525">
        <v>31</v>
      </c>
      <c r="I1525" t="s">
        <v>11385</v>
      </c>
      <c r="J1525">
        <v>11213</v>
      </c>
      <c r="K1525" t="s">
        <v>11446</v>
      </c>
      <c r="L1525" t="s">
        <v>11459</v>
      </c>
      <c r="M1525" t="s">
        <v>11601</v>
      </c>
      <c r="N1525" t="s">
        <v>14779</v>
      </c>
      <c r="P1525" t="s">
        <v>14797</v>
      </c>
      <c r="Q1525" t="s">
        <v>11446</v>
      </c>
      <c r="S1525" t="s">
        <v>14827</v>
      </c>
      <c r="T1525" t="s">
        <v>14832</v>
      </c>
      <c r="U1525" t="s">
        <v>603</v>
      </c>
      <c r="V1525">
        <v>944.38</v>
      </c>
      <c r="W1525" t="s">
        <v>14859</v>
      </c>
      <c r="X1525" t="s">
        <v>14876</v>
      </c>
      <c r="Z1525" t="s">
        <v>16273</v>
      </c>
      <c r="AB1525" t="s">
        <v>21347</v>
      </c>
      <c r="AC1525">
        <v>31</v>
      </c>
      <c r="AD1525" t="s">
        <v>24595</v>
      </c>
      <c r="AE1525" t="s">
        <v>11459</v>
      </c>
      <c r="AF1525">
        <v>15</v>
      </c>
      <c r="AG1525">
        <v>2</v>
      </c>
      <c r="AH1525">
        <v>0</v>
      </c>
      <c r="AI1525">
        <v>786.52</v>
      </c>
      <c r="AL1525" t="s">
        <v>5011</v>
      </c>
      <c r="AM1525">
        <v>133000</v>
      </c>
      <c r="AS1525">
        <v>4.3</v>
      </c>
      <c r="AT1525" t="s">
        <v>515</v>
      </c>
      <c r="AU1525" t="s">
        <v>224</v>
      </c>
      <c r="AV1525" t="s">
        <v>25335</v>
      </c>
      <c r="AW1525" t="s">
        <v>11447</v>
      </c>
    </row>
    <row r="1526" spans="1:49">
      <c r="A1526" s="1">
        <f>HYPERLINK("https://lsnyc.legalserver.org/matter/dynamic-profile/view/1913119","19-1913119")</f>
        <v>0</v>
      </c>
      <c r="B1526" t="s">
        <v>172</v>
      </c>
      <c r="C1526" t="s">
        <v>571</v>
      </c>
      <c r="E1526" t="s">
        <v>1956</v>
      </c>
      <c r="F1526" t="s">
        <v>4482</v>
      </c>
      <c r="G1526" t="s">
        <v>7476</v>
      </c>
      <c r="H1526" t="s">
        <v>10448</v>
      </c>
      <c r="I1526" t="s">
        <v>11386</v>
      </c>
      <c r="J1526">
        <v>10040</v>
      </c>
      <c r="K1526" t="s">
        <v>11446</v>
      </c>
      <c r="N1526" t="s">
        <v>14782</v>
      </c>
      <c r="P1526" t="s">
        <v>14797</v>
      </c>
      <c r="Q1526" t="s">
        <v>11448</v>
      </c>
      <c r="S1526" t="s">
        <v>14827</v>
      </c>
      <c r="U1526" t="s">
        <v>571</v>
      </c>
      <c r="V1526">
        <v>1075</v>
      </c>
      <c r="W1526" t="s">
        <v>14860</v>
      </c>
      <c r="X1526" t="s">
        <v>14867</v>
      </c>
      <c r="Z1526" t="s">
        <v>16274</v>
      </c>
      <c r="AB1526" t="s">
        <v>21348</v>
      </c>
      <c r="AC1526">
        <v>150</v>
      </c>
      <c r="AD1526" t="s">
        <v>24595</v>
      </c>
      <c r="AE1526" t="s">
        <v>11459</v>
      </c>
      <c r="AF1526">
        <v>3</v>
      </c>
      <c r="AG1526">
        <v>1</v>
      </c>
      <c r="AH1526">
        <v>0</v>
      </c>
      <c r="AI1526">
        <v>0</v>
      </c>
      <c r="AL1526" t="s">
        <v>5011</v>
      </c>
      <c r="AM1526">
        <v>0</v>
      </c>
      <c r="AS1526">
        <v>1.8</v>
      </c>
      <c r="AT1526" t="s">
        <v>539</v>
      </c>
      <c r="AU1526" t="s">
        <v>137</v>
      </c>
      <c r="AV1526" t="s">
        <v>25335</v>
      </c>
      <c r="AW1526" t="s">
        <v>11447</v>
      </c>
    </row>
    <row r="1527" spans="1:49">
      <c r="A1527" s="1">
        <f>HYPERLINK("https://lsnyc.legalserver.org/matter/dynamic-profile/view/1913103","19-1913103")</f>
        <v>0</v>
      </c>
      <c r="B1527" t="s">
        <v>172</v>
      </c>
      <c r="C1527" t="s">
        <v>571</v>
      </c>
      <c r="E1527" t="s">
        <v>1048</v>
      </c>
      <c r="F1527" t="s">
        <v>3656</v>
      </c>
      <c r="G1527" t="s">
        <v>7477</v>
      </c>
      <c r="H1527" t="s">
        <v>10670</v>
      </c>
      <c r="I1527" t="s">
        <v>11386</v>
      </c>
      <c r="J1527">
        <v>10034</v>
      </c>
      <c r="K1527" t="s">
        <v>11446</v>
      </c>
      <c r="N1527" t="s">
        <v>14782</v>
      </c>
      <c r="P1527" t="s">
        <v>14797</v>
      </c>
      <c r="Q1527" t="s">
        <v>11448</v>
      </c>
      <c r="S1527" t="s">
        <v>14827</v>
      </c>
      <c r="U1527" t="s">
        <v>571</v>
      </c>
      <c r="V1527">
        <v>236</v>
      </c>
      <c r="W1527" t="s">
        <v>14860</v>
      </c>
      <c r="X1527" t="s">
        <v>14868</v>
      </c>
      <c r="Z1527" t="s">
        <v>16275</v>
      </c>
      <c r="AC1527">
        <v>1167</v>
      </c>
      <c r="AD1527" t="s">
        <v>24595</v>
      </c>
      <c r="AE1527" t="s">
        <v>24610</v>
      </c>
      <c r="AF1527">
        <v>14</v>
      </c>
      <c r="AG1527">
        <v>1</v>
      </c>
      <c r="AH1527">
        <v>0</v>
      </c>
      <c r="AI1527">
        <v>82.43000000000001</v>
      </c>
      <c r="AL1527" t="s">
        <v>5011</v>
      </c>
      <c r="AM1527">
        <v>10296</v>
      </c>
      <c r="AS1527">
        <v>0.5</v>
      </c>
      <c r="AT1527" t="s">
        <v>571</v>
      </c>
      <c r="AU1527" t="s">
        <v>137</v>
      </c>
      <c r="AV1527" t="s">
        <v>25335</v>
      </c>
      <c r="AW1527" t="s">
        <v>11447</v>
      </c>
    </row>
    <row r="1528" spans="1:49">
      <c r="A1528" s="1">
        <f>HYPERLINK("https://lsnyc.legalserver.org/matter/dynamic-profile/view/1913986","19-1913986")</f>
        <v>0</v>
      </c>
      <c r="B1528" t="s">
        <v>123</v>
      </c>
      <c r="C1528" t="s">
        <v>490</v>
      </c>
      <c r="E1528" t="s">
        <v>1884</v>
      </c>
      <c r="F1528" t="s">
        <v>4412</v>
      </c>
      <c r="G1528" t="s">
        <v>7391</v>
      </c>
      <c r="H1528">
        <v>26</v>
      </c>
      <c r="I1528" t="s">
        <v>11385</v>
      </c>
      <c r="J1528">
        <v>11215</v>
      </c>
      <c r="K1528" t="s">
        <v>11446</v>
      </c>
      <c r="L1528" t="s">
        <v>11966</v>
      </c>
      <c r="M1528" t="s">
        <v>14744</v>
      </c>
      <c r="N1528" t="s">
        <v>14781</v>
      </c>
      <c r="P1528" t="s">
        <v>14797</v>
      </c>
      <c r="Q1528" t="s">
        <v>11448</v>
      </c>
      <c r="S1528" t="s">
        <v>14827</v>
      </c>
      <c r="T1528" t="s">
        <v>14832</v>
      </c>
      <c r="U1528" t="s">
        <v>571</v>
      </c>
      <c r="V1528">
        <v>0</v>
      </c>
      <c r="W1528" t="s">
        <v>14859</v>
      </c>
      <c r="X1528" t="s">
        <v>14868</v>
      </c>
      <c r="Z1528" t="s">
        <v>16142</v>
      </c>
      <c r="AB1528" t="s">
        <v>21221</v>
      </c>
      <c r="AC1528">
        <v>8</v>
      </c>
      <c r="AF1528">
        <v>0</v>
      </c>
      <c r="AG1528">
        <v>1</v>
      </c>
      <c r="AH1528">
        <v>2</v>
      </c>
      <c r="AI1528">
        <v>182.84</v>
      </c>
      <c r="AL1528" t="s">
        <v>5011</v>
      </c>
      <c r="AM1528">
        <v>39000</v>
      </c>
      <c r="AS1528">
        <v>1.1</v>
      </c>
      <c r="AT1528" t="s">
        <v>509</v>
      </c>
      <c r="AU1528" t="s">
        <v>123</v>
      </c>
      <c r="AV1528" t="s">
        <v>25335</v>
      </c>
      <c r="AW1528" t="s">
        <v>11447</v>
      </c>
    </row>
    <row r="1529" spans="1:49">
      <c r="A1529" s="1">
        <f>HYPERLINK("https://lsnyc.legalserver.org/matter/dynamic-profile/view/1913174","19-1913174")</f>
        <v>0</v>
      </c>
      <c r="B1529" t="s">
        <v>55</v>
      </c>
      <c r="C1529" t="s">
        <v>571</v>
      </c>
      <c r="E1529" t="s">
        <v>1126</v>
      </c>
      <c r="F1529" t="s">
        <v>4434</v>
      </c>
      <c r="G1529" t="s">
        <v>7146</v>
      </c>
      <c r="H1529" t="s">
        <v>10598</v>
      </c>
      <c r="I1529" t="s">
        <v>11386</v>
      </c>
      <c r="J1529">
        <v>10040</v>
      </c>
      <c r="K1529" t="s">
        <v>11446</v>
      </c>
      <c r="M1529" t="s">
        <v>14746</v>
      </c>
      <c r="N1529" t="s">
        <v>14781</v>
      </c>
      <c r="P1529" t="s">
        <v>14797</v>
      </c>
      <c r="Q1529" t="s">
        <v>11446</v>
      </c>
      <c r="S1529" t="s">
        <v>14827</v>
      </c>
      <c r="U1529" t="s">
        <v>571</v>
      </c>
      <c r="V1529">
        <v>700</v>
      </c>
      <c r="W1529" t="s">
        <v>14860</v>
      </c>
      <c r="X1529" t="s">
        <v>14868</v>
      </c>
      <c r="Z1529" t="s">
        <v>16191</v>
      </c>
      <c r="AB1529" t="s">
        <v>21265</v>
      </c>
      <c r="AC1529">
        <v>44</v>
      </c>
      <c r="AD1529" t="s">
        <v>24595</v>
      </c>
      <c r="AE1529" t="s">
        <v>11459</v>
      </c>
      <c r="AF1529">
        <v>47</v>
      </c>
      <c r="AG1529">
        <v>1</v>
      </c>
      <c r="AH1529">
        <v>0</v>
      </c>
      <c r="AI1529">
        <v>187.64</v>
      </c>
      <c r="AL1529" t="s">
        <v>24632</v>
      </c>
      <c r="AM1529">
        <v>23436</v>
      </c>
      <c r="AS1529">
        <v>0</v>
      </c>
      <c r="AU1529" t="s">
        <v>137</v>
      </c>
      <c r="AV1529" t="s">
        <v>25335</v>
      </c>
      <c r="AW1529" t="s">
        <v>11447</v>
      </c>
    </row>
    <row r="1530" spans="1:49">
      <c r="A1530" s="1">
        <f>HYPERLINK("https://lsnyc.legalserver.org/matter/dynamic-profile/view/1913177","19-1913177")</f>
        <v>0</v>
      </c>
      <c r="B1530" t="s">
        <v>172</v>
      </c>
      <c r="C1530" t="s">
        <v>571</v>
      </c>
      <c r="E1530" t="s">
        <v>1086</v>
      </c>
      <c r="F1530" t="s">
        <v>4483</v>
      </c>
      <c r="G1530" t="s">
        <v>7478</v>
      </c>
      <c r="H1530" t="s">
        <v>10547</v>
      </c>
      <c r="I1530" t="s">
        <v>11386</v>
      </c>
      <c r="J1530">
        <v>10032</v>
      </c>
      <c r="K1530" t="s">
        <v>11446</v>
      </c>
      <c r="M1530" t="s">
        <v>14746</v>
      </c>
      <c r="N1530" t="s">
        <v>14781</v>
      </c>
      <c r="P1530" t="s">
        <v>14797</v>
      </c>
      <c r="Q1530" t="s">
        <v>11446</v>
      </c>
      <c r="S1530" t="s">
        <v>14827</v>
      </c>
      <c r="U1530" t="s">
        <v>571</v>
      </c>
      <c r="V1530">
        <v>894.05</v>
      </c>
      <c r="W1530" t="s">
        <v>14860</v>
      </c>
      <c r="X1530" t="s">
        <v>14868</v>
      </c>
      <c r="Z1530" t="s">
        <v>16276</v>
      </c>
      <c r="AB1530" t="s">
        <v>21349</v>
      </c>
      <c r="AC1530">
        <v>48</v>
      </c>
      <c r="AD1530" t="s">
        <v>24595</v>
      </c>
      <c r="AE1530" t="s">
        <v>11459</v>
      </c>
      <c r="AF1530">
        <v>19</v>
      </c>
      <c r="AG1530">
        <v>2</v>
      </c>
      <c r="AH1530">
        <v>3</v>
      </c>
      <c r="AI1530">
        <v>326.15</v>
      </c>
      <c r="AJ1530" t="s">
        <v>491</v>
      </c>
      <c r="AK1530" t="s">
        <v>24629</v>
      </c>
      <c r="AL1530" t="s">
        <v>5011</v>
      </c>
      <c r="AM1530">
        <v>98400</v>
      </c>
      <c r="AS1530">
        <v>0.4</v>
      </c>
      <c r="AT1530" t="s">
        <v>491</v>
      </c>
      <c r="AU1530" t="s">
        <v>137</v>
      </c>
      <c r="AV1530" t="s">
        <v>25335</v>
      </c>
      <c r="AW1530" t="s">
        <v>11447</v>
      </c>
    </row>
    <row r="1531" spans="1:49">
      <c r="A1531" s="1">
        <f>HYPERLINK("https://lsnyc.legalserver.org/matter/dynamic-profile/view/1912118","19-1912118")</f>
        <v>0</v>
      </c>
      <c r="B1531" t="s">
        <v>103</v>
      </c>
      <c r="C1531" t="s">
        <v>551</v>
      </c>
      <c r="E1531" t="s">
        <v>1957</v>
      </c>
      <c r="F1531" t="s">
        <v>4357</v>
      </c>
      <c r="G1531" t="s">
        <v>7479</v>
      </c>
      <c r="H1531" t="s">
        <v>10773</v>
      </c>
      <c r="I1531" t="s">
        <v>11385</v>
      </c>
      <c r="J1531">
        <v>11208</v>
      </c>
      <c r="K1531" t="s">
        <v>11448</v>
      </c>
      <c r="L1531" t="s">
        <v>11967</v>
      </c>
      <c r="M1531" t="s">
        <v>14744</v>
      </c>
      <c r="N1531" t="s">
        <v>14781</v>
      </c>
      <c r="P1531" t="s">
        <v>14797</v>
      </c>
      <c r="Q1531" t="s">
        <v>11448</v>
      </c>
      <c r="S1531" t="s">
        <v>14827</v>
      </c>
      <c r="U1531" t="s">
        <v>515</v>
      </c>
      <c r="V1531">
        <v>895</v>
      </c>
      <c r="W1531" t="s">
        <v>14859</v>
      </c>
      <c r="X1531" t="s">
        <v>14868</v>
      </c>
      <c r="Z1531" t="s">
        <v>16277</v>
      </c>
      <c r="AA1531" t="s">
        <v>19456</v>
      </c>
      <c r="AB1531" t="s">
        <v>21350</v>
      </c>
      <c r="AC1531">
        <v>319</v>
      </c>
      <c r="AD1531" t="s">
        <v>24595</v>
      </c>
      <c r="AE1531" t="s">
        <v>24616</v>
      </c>
      <c r="AF1531">
        <v>4</v>
      </c>
      <c r="AG1531">
        <v>1</v>
      </c>
      <c r="AH1531">
        <v>2</v>
      </c>
      <c r="AI1531">
        <v>0</v>
      </c>
      <c r="AL1531" t="s">
        <v>5011</v>
      </c>
      <c r="AM1531">
        <v>0</v>
      </c>
      <c r="AS1531">
        <v>2</v>
      </c>
      <c r="AT1531" t="s">
        <v>490</v>
      </c>
      <c r="AU1531" t="s">
        <v>120</v>
      </c>
      <c r="AV1531" t="s">
        <v>25334</v>
      </c>
      <c r="AW1531" t="s">
        <v>11447</v>
      </c>
    </row>
    <row r="1532" spans="1:49">
      <c r="A1532" s="1">
        <f>HYPERLINK("https://lsnyc.legalserver.org/matter/dynamic-profile/view/1912848","19-1912848")</f>
        <v>0</v>
      </c>
      <c r="B1532" t="s">
        <v>183</v>
      </c>
      <c r="C1532" t="s">
        <v>470</v>
      </c>
      <c r="E1532" t="s">
        <v>1032</v>
      </c>
      <c r="F1532" t="s">
        <v>4085</v>
      </c>
      <c r="G1532" t="s">
        <v>7480</v>
      </c>
      <c r="H1532" t="s">
        <v>10843</v>
      </c>
      <c r="I1532" t="s">
        <v>11385</v>
      </c>
      <c r="J1532">
        <v>11208</v>
      </c>
      <c r="K1532" t="s">
        <v>11446</v>
      </c>
      <c r="L1532" t="s">
        <v>11968</v>
      </c>
      <c r="M1532" t="s">
        <v>14743</v>
      </c>
      <c r="N1532" t="s">
        <v>14781</v>
      </c>
      <c r="P1532" t="s">
        <v>14797</v>
      </c>
      <c r="Q1532" t="s">
        <v>11448</v>
      </c>
      <c r="S1532" t="s">
        <v>14827</v>
      </c>
      <c r="T1532" t="s">
        <v>14832</v>
      </c>
      <c r="U1532" t="s">
        <v>515</v>
      </c>
      <c r="V1532">
        <v>800</v>
      </c>
      <c r="W1532" t="s">
        <v>14859</v>
      </c>
      <c r="X1532" t="s">
        <v>14865</v>
      </c>
      <c r="Z1532" t="s">
        <v>16278</v>
      </c>
      <c r="AA1532">
        <v>6270460</v>
      </c>
      <c r="AB1532" t="s">
        <v>21351</v>
      </c>
      <c r="AC1532">
        <v>3</v>
      </c>
      <c r="AD1532" t="s">
        <v>24600</v>
      </c>
      <c r="AE1532" t="s">
        <v>24616</v>
      </c>
      <c r="AF1532">
        <v>1</v>
      </c>
      <c r="AG1532">
        <v>1</v>
      </c>
      <c r="AH1532">
        <v>0</v>
      </c>
      <c r="AI1532">
        <v>38.43</v>
      </c>
      <c r="AL1532" t="s">
        <v>5011</v>
      </c>
      <c r="AM1532">
        <v>4800</v>
      </c>
      <c r="AS1532">
        <v>0.3</v>
      </c>
      <c r="AT1532" t="s">
        <v>495</v>
      </c>
      <c r="AU1532" t="s">
        <v>66</v>
      </c>
      <c r="AV1532" t="s">
        <v>25335</v>
      </c>
      <c r="AW1532" t="s">
        <v>11447</v>
      </c>
    </row>
    <row r="1533" spans="1:49">
      <c r="A1533" s="1">
        <f>HYPERLINK("https://lsnyc.legalserver.org/matter/dynamic-profile/view/1913308","19-1913308")</f>
        <v>0</v>
      </c>
      <c r="B1533" t="s">
        <v>104</v>
      </c>
      <c r="C1533" t="s">
        <v>483</v>
      </c>
      <c r="E1533" t="s">
        <v>1117</v>
      </c>
      <c r="F1533" t="s">
        <v>4484</v>
      </c>
      <c r="G1533" t="s">
        <v>7172</v>
      </c>
      <c r="H1533">
        <v>201</v>
      </c>
      <c r="I1533" t="s">
        <v>11386</v>
      </c>
      <c r="J1533">
        <v>10029</v>
      </c>
      <c r="K1533" t="s">
        <v>11446</v>
      </c>
      <c r="M1533" t="s">
        <v>14746</v>
      </c>
      <c r="N1533" t="s">
        <v>14778</v>
      </c>
      <c r="P1533" t="s">
        <v>14797</v>
      </c>
      <c r="Q1533" t="s">
        <v>11446</v>
      </c>
      <c r="S1533" t="s">
        <v>14827</v>
      </c>
      <c r="T1533" t="s">
        <v>14832</v>
      </c>
      <c r="U1533" t="s">
        <v>515</v>
      </c>
      <c r="V1533">
        <v>48</v>
      </c>
      <c r="W1533" t="s">
        <v>14860</v>
      </c>
      <c r="X1533" t="s">
        <v>14868</v>
      </c>
      <c r="Z1533" t="s">
        <v>16279</v>
      </c>
      <c r="AC1533">
        <v>108</v>
      </c>
      <c r="AD1533" t="s">
        <v>24596</v>
      </c>
      <c r="AE1533" t="s">
        <v>24610</v>
      </c>
      <c r="AF1533">
        <v>10</v>
      </c>
      <c r="AG1533">
        <v>1</v>
      </c>
      <c r="AH1533">
        <v>1</v>
      </c>
      <c r="AI1533">
        <v>38.44</v>
      </c>
      <c r="AL1533" t="s">
        <v>5011</v>
      </c>
      <c r="AM1533">
        <v>6500</v>
      </c>
      <c r="AN1533" t="s">
        <v>24773</v>
      </c>
      <c r="AS1533">
        <v>0</v>
      </c>
      <c r="AU1533" t="s">
        <v>25266</v>
      </c>
      <c r="AV1533" t="s">
        <v>25335</v>
      </c>
      <c r="AW1533" t="s">
        <v>11447</v>
      </c>
    </row>
    <row r="1534" spans="1:49">
      <c r="A1534" s="1">
        <f>HYPERLINK("https://lsnyc.legalserver.org/matter/dynamic-profile/view/1913372","19-1913372")</f>
        <v>0</v>
      </c>
      <c r="B1534" t="s">
        <v>104</v>
      </c>
      <c r="C1534" t="s">
        <v>483</v>
      </c>
      <c r="E1534" t="s">
        <v>1958</v>
      </c>
      <c r="F1534" t="s">
        <v>3580</v>
      </c>
      <c r="G1534" t="s">
        <v>7172</v>
      </c>
      <c r="H1534">
        <v>412</v>
      </c>
      <c r="I1534" t="s">
        <v>11386</v>
      </c>
      <c r="J1534">
        <v>10029</v>
      </c>
      <c r="K1534" t="s">
        <v>11446</v>
      </c>
      <c r="M1534" t="s">
        <v>14746</v>
      </c>
      <c r="N1534" t="s">
        <v>14778</v>
      </c>
      <c r="P1534" t="s">
        <v>14797</v>
      </c>
      <c r="Q1534" t="s">
        <v>11446</v>
      </c>
      <c r="S1534" t="s">
        <v>14827</v>
      </c>
      <c r="T1534" t="s">
        <v>14832</v>
      </c>
      <c r="U1534" t="s">
        <v>515</v>
      </c>
      <c r="V1534">
        <v>0</v>
      </c>
      <c r="W1534" t="s">
        <v>14860</v>
      </c>
      <c r="X1534" t="s">
        <v>14868</v>
      </c>
      <c r="Z1534" t="s">
        <v>16280</v>
      </c>
      <c r="AB1534" t="s">
        <v>21352</v>
      </c>
      <c r="AC1534">
        <v>108</v>
      </c>
      <c r="AD1534" t="s">
        <v>24596</v>
      </c>
      <c r="AE1534" t="s">
        <v>24610</v>
      </c>
      <c r="AF1534">
        <v>4</v>
      </c>
      <c r="AG1534">
        <v>2</v>
      </c>
      <c r="AH1534">
        <v>1</v>
      </c>
      <c r="AI1534">
        <v>52.26</v>
      </c>
      <c r="AL1534" t="s">
        <v>5011</v>
      </c>
      <c r="AM1534">
        <v>11148</v>
      </c>
      <c r="AS1534">
        <v>0</v>
      </c>
      <c r="AU1534" t="s">
        <v>25266</v>
      </c>
      <c r="AV1534" t="s">
        <v>25335</v>
      </c>
      <c r="AW1534" t="s">
        <v>11447</v>
      </c>
    </row>
    <row r="1535" spans="1:49">
      <c r="A1535" s="1">
        <f>HYPERLINK("https://lsnyc.legalserver.org/matter/dynamic-profile/view/1913306","19-1913306")</f>
        <v>0</v>
      </c>
      <c r="B1535" t="s">
        <v>224</v>
      </c>
      <c r="C1535" t="s">
        <v>515</v>
      </c>
      <c r="E1535" t="s">
        <v>1032</v>
      </c>
      <c r="F1535" t="s">
        <v>4485</v>
      </c>
      <c r="G1535" t="s">
        <v>7365</v>
      </c>
      <c r="H1535">
        <v>47</v>
      </c>
      <c r="I1535" t="s">
        <v>11385</v>
      </c>
      <c r="J1535">
        <v>11213</v>
      </c>
      <c r="K1535" t="s">
        <v>11446</v>
      </c>
      <c r="L1535" t="s">
        <v>11459</v>
      </c>
      <c r="M1535" t="s">
        <v>11601</v>
      </c>
      <c r="N1535" t="s">
        <v>14779</v>
      </c>
      <c r="P1535" t="s">
        <v>14797</v>
      </c>
      <c r="Q1535" t="s">
        <v>11446</v>
      </c>
      <c r="S1535" t="s">
        <v>14827</v>
      </c>
      <c r="U1535" t="s">
        <v>515</v>
      </c>
      <c r="V1535">
        <v>1017.21</v>
      </c>
      <c r="W1535" t="s">
        <v>14859</v>
      </c>
      <c r="X1535" t="s">
        <v>14876</v>
      </c>
      <c r="Z1535" t="s">
        <v>16281</v>
      </c>
      <c r="AB1535" t="s">
        <v>21353</v>
      </c>
      <c r="AC1535">
        <v>31</v>
      </c>
      <c r="AD1535" t="s">
        <v>24595</v>
      </c>
      <c r="AE1535" t="s">
        <v>11459</v>
      </c>
      <c r="AF1535">
        <v>22</v>
      </c>
      <c r="AG1535">
        <v>2</v>
      </c>
      <c r="AH1535">
        <v>1</v>
      </c>
      <c r="AI1535">
        <v>168.78</v>
      </c>
      <c r="AL1535" t="s">
        <v>5011</v>
      </c>
      <c r="AM1535">
        <v>36000</v>
      </c>
      <c r="AS1535">
        <v>1.5</v>
      </c>
      <c r="AT1535" t="s">
        <v>515</v>
      </c>
      <c r="AU1535" t="s">
        <v>224</v>
      </c>
      <c r="AV1535" t="s">
        <v>25335</v>
      </c>
      <c r="AW1535" t="s">
        <v>11447</v>
      </c>
    </row>
    <row r="1536" spans="1:49">
      <c r="A1536" s="1">
        <f>HYPERLINK("https://lsnyc.legalserver.org/matter/dynamic-profile/view/1913595","19-1913595")</f>
        <v>0</v>
      </c>
      <c r="B1536" t="s">
        <v>187</v>
      </c>
      <c r="C1536" t="s">
        <v>477</v>
      </c>
      <c r="E1536" t="s">
        <v>1359</v>
      </c>
      <c r="F1536" t="s">
        <v>4443</v>
      </c>
      <c r="G1536" t="s">
        <v>7294</v>
      </c>
      <c r="H1536" t="s">
        <v>10467</v>
      </c>
      <c r="I1536" t="s">
        <v>11385</v>
      </c>
      <c r="J1536">
        <v>11238</v>
      </c>
      <c r="K1536" t="s">
        <v>11446</v>
      </c>
      <c r="L1536" t="s">
        <v>11601</v>
      </c>
      <c r="M1536" t="s">
        <v>14745</v>
      </c>
      <c r="N1536" t="s">
        <v>14779</v>
      </c>
      <c r="P1536" t="s">
        <v>14797</v>
      </c>
      <c r="Q1536" t="s">
        <v>11446</v>
      </c>
      <c r="S1536" t="s">
        <v>14827</v>
      </c>
      <c r="T1536" t="s">
        <v>14832</v>
      </c>
      <c r="U1536" t="s">
        <v>515</v>
      </c>
      <c r="V1536">
        <v>1048.29</v>
      </c>
      <c r="W1536" t="s">
        <v>14859</v>
      </c>
      <c r="X1536" t="s">
        <v>14755</v>
      </c>
      <c r="Z1536" t="s">
        <v>16205</v>
      </c>
      <c r="AA1536" t="s">
        <v>11459</v>
      </c>
      <c r="AB1536" t="s">
        <v>21278</v>
      </c>
      <c r="AC1536">
        <v>16</v>
      </c>
      <c r="AD1536" t="s">
        <v>24595</v>
      </c>
      <c r="AE1536" t="s">
        <v>11459</v>
      </c>
      <c r="AF1536">
        <v>0</v>
      </c>
      <c r="AG1536">
        <v>2</v>
      </c>
      <c r="AH1536">
        <v>0</v>
      </c>
      <c r="AI1536">
        <v>413.96</v>
      </c>
      <c r="AL1536" t="s">
        <v>5011</v>
      </c>
      <c r="AM1536">
        <v>70000</v>
      </c>
      <c r="AN1536" t="s">
        <v>24774</v>
      </c>
      <c r="AS1536">
        <v>0</v>
      </c>
      <c r="AU1536" t="s">
        <v>120</v>
      </c>
      <c r="AV1536" t="s">
        <v>25335</v>
      </c>
      <c r="AW1536" t="s">
        <v>11447</v>
      </c>
    </row>
    <row r="1537" spans="1:49">
      <c r="A1537" s="1">
        <f>HYPERLINK("https://lsnyc.legalserver.org/matter/dynamic-profile/view/1913297","19-1913297")</f>
        <v>0</v>
      </c>
      <c r="B1537" t="s">
        <v>211</v>
      </c>
      <c r="C1537" t="s">
        <v>515</v>
      </c>
      <c r="E1537" t="s">
        <v>1056</v>
      </c>
      <c r="F1537" t="s">
        <v>1374</v>
      </c>
      <c r="G1537" t="s">
        <v>7365</v>
      </c>
      <c r="H1537">
        <v>44</v>
      </c>
      <c r="I1537" t="s">
        <v>11385</v>
      </c>
      <c r="J1537">
        <v>11213</v>
      </c>
      <c r="K1537" t="s">
        <v>11446</v>
      </c>
      <c r="L1537" t="s">
        <v>11459</v>
      </c>
      <c r="M1537" t="s">
        <v>11601</v>
      </c>
      <c r="N1537" t="s">
        <v>14779</v>
      </c>
      <c r="P1537" t="s">
        <v>14797</v>
      </c>
      <c r="Q1537" t="s">
        <v>11446</v>
      </c>
      <c r="S1537" t="s">
        <v>14827</v>
      </c>
      <c r="T1537" t="s">
        <v>14832</v>
      </c>
      <c r="U1537" t="s">
        <v>515</v>
      </c>
      <c r="V1537">
        <v>996.34</v>
      </c>
      <c r="W1537" t="s">
        <v>14859</v>
      </c>
      <c r="Z1537" t="s">
        <v>16282</v>
      </c>
      <c r="AA1537" t="s">
        <v>11465</v>
      </c>
      <c r="AB1537" t="s">
        <v>21354</v>
      </c>
      <c r="AC1537">
        <v>31</v>
      </c>
      <c r="AD1537" t="s">
        <v>24595</v>
      </c>
      <c r="AE1537" t="s">
        <v>11459</v>
      </c>
      <c r="AF1537">
        <v>15</v>
      </c>
      <c r="AG1537">
        <v>1</v>
      </c>
      <c r="AH1537">
        <v>0</v>
      </c>
      <c r="AI1537">
        <v>432.35</v>
      </c>
      <c r="AL1537" t="s">
        <v>5011</v>
      </c>
      <c r="AM1537">
        <v>54000</v>
      </c>
      <c r="AN1537" t="s">
        <v>24775</v>
      </c>
      <c r="AS1537">
        <v>0</v>
      </c>
      <c r="AU1537" t="s">
        <v>66</v>
      </c>
      <c r="AV1537" t="s">
        <v>25335</v>
      </c>
      <c r="AW1537" t="s">
        <v>11447</v>
      </c>
    </row>
    <row r="1538" spans="1:49">
      <c r="A1538" s="1">
        <f>HYPERLINK("https://lsnyc.legalserver.org/matter/dynamic-profile/view/1914128","19-1914128")</f>
        <v>0</v>
      </c>
      <c r="B1538" t="s">
        <v>108</v>
      </c>
      <c r="C1538" t="s">
        <v>580</v>
      </c>
      <c r="E1538" t="s">
        <v>1359</v>
      </c>
      <c r="F1538" t="s">
        <v>1911</v>
      </c>
      <c r="G1538" t="s">
        <v>7481</v>
      </c>
      <c r="H1538" t="s">
        <v>10474</v>
      </c>
      <c r="I1538" t="s">
        <v>11385</v>
      </c>
      <c r="J1538">
        <v>11203</v>
      </c>
      <c r="K1538" t="s">
        <v>11446</v>
      </c>
      <c r="N1538" t="s">
        <v>14781</v>
      </c>
      <c r="P1538" t="s">
        <v>14797</v>
      </c>
      <c r="Q1538" t="s">
        <v>11448</v>
      </c>
      <c r="S1538" t="s">
        <v>14827</v>
      </c>
      <c r="U1538" t="s">
        <v>483</v>
      </c>
      <c r="V1538">
        <v>1690</v>
      </c>
      <c r="W1538" t="s">
        <v>14859</v>
      </c>
      <c r="Z1538" t="s">
        <v>16283</v>
      </c>
      <c r="AB1538" t="s">
        <v>21355</v>
      </c>
      <c r="AC1538">
        <v>0</v>
      </c>
      <c r="AD1538" t="s">
        <v>24596</v>
      </c>
      <c r="AF1538">
        <v>5</v>
      </c>
      <c r="AG1538">
        <v>2</v>
      </c>
      <c r="AH1538">
        <v>0</v>
      </c>
      <c r="AI1538">
        <v>19.22</v>
      </c>
      <c r="AL1538" t="s">
        <v>5011</v>
      </c>
      <c r="AM1538">
        <v>3250</v>
      </c>
      <c r="AS1538">
        <v>0.2</v>
      </c>
      <c r="AT1538" t="s">
        <v>521</v>
      </c>
      <c r="AU1538" t="s">
        <v>75</v>
      </c>
      <c r="AV1538" t="s">
        <v>25335</v>
      </c>
      <c r="AW1538" t="s">
        <v>11447</v>
      </c>
    </row>
    <row r="1539" spans="1:49">
      <c r="A1539" s="1">
        <f>HYPERLINK("https://lsnyc.legalserver.org/matter/dynamic-profile/view/1912847","19-1912847")</f>
        <v>0</v>
      </c>
      <c r="B1539" t="s">
        <v>184</v>
      </c>
      <c r="C1539" t="s">
        <v>470</v>
      </c>
      <c r="E1539" t="s">
        <v>1959</v>
      </c>
      <c r="F1539" t="s">
        <v>4486</v>
      </c>
      <c r="G1539" t="s">
        <v>7134</v>
      </c>
      <c r="H1539" t="s">
        <v>10758</v>
      </c>
      <c r="I1539" t="s">
        <v>11383</v>
      </c>
      <c r="J1539">
        <v>10452</v>
      </c>
      <c r="K1539" t="s">
        <v>11446</v>
      </c>
      <c r="M1539" t="s">
        <v>11601</v>
      </c>
      <c r="N1539" t="s">
        <v>14782</v>
      </c>
      <c r="P1539" t="s">
        <v>14797</v>
      </c>
      <c r="Q1539" t="s">
        <v>11448</v>
      </c>
      <c r="S1539" t="s">
        <v>14827</v>
      </c>
      <c r="U1539" t="s">
        <v>483</v>
      </c>
      <c r="V1539">
        <v>52</v>
      </c>
      <c r="W1539" t="s">
        <v>14858</v>
      </c>
      <c r="X1539" t="s">
        <v>14864</v>
      </c>
      <c r="Z1539" t="s">
        <v>16284</v>
      </c>
      <c r="AB1539" t="s">
        <v>21356</v>
      </c>
      <c r="AC1539">
        <v>147</v>
      </c>
      <c r="AD1539" t="s">
        <v>24596</v>
      </c>
      <c r="AE1539" t="s">
        <v>24610</v>
      </c>
      <c r="AF1539">
        <v>25</v>
      </c>
      <c r="AG1539">
        <v>1</v>
      </c>
      <c r="AH1539">
        <v>0</v>
      </c>
      <c r="AI1539">
        <v>34.11</v>
      </c>
      <c r="AL1539" t="s">
        <v>5011</v>
      </c>
      <c r="AM1539">
        <v>4260</v>
      </c>
      <c r="AS1539">
        <v>1.2</v>
      </c>
      <c r="AT1539" t="s">
        <v>603</v>
      </c>
      <c r="AU1539" t="s">
        <v>184</v>
      </c>
      <c r="AV1539" t="s">
        <v>25335</v>
      </c>
      <c r="AW1539" t="s">
        <v>11447</v>
      </c>
    </row>
    <row r="1540" spans="1:49">
      <c r="A1540" s="1">
        <f>HYPERLINK("https://lsnyc.legalserver.org/matter/dynamic-profile/view/1912850","19-1912850")</f>
        <v>0</v>
      </c>
      <c r="B1540" t="s">
        <v>184</v>
      </c>
      <c r="C1540" t="s">
        <v>470</v>
      </c>
      <c r="E1540" t="s">
        <v>1945</v>
      </c>
      <c r="F1540" t="s">
        <v>4487</v>
      </c>
      <c r="G1540" t="s">
        <v>7482</v>
      </c>
      <c r="I1540" t="s">
        <v>11383</v>
      </c>
      <c r="J1540">
        <v>10452</v>
      </c>
      <c r="K1540" t="s">
        <v>11446</v>
      </c>
      <c r="M1540" t="s">
        <v>11601</v>
      </c>
      <c r="N1540" t="s">
        <v>14778</v>
      </c>
      <c r="P1540" t="s">
        <v>14797</v>
      </c>
      <c r="Q1540" t="s">
        <v>11448</v>
      </c>
      <c r="S1540" t="s">
        <v>14827</v>
      </c>
      <c r="U1540" t="s">
        <v>483</v>
      </c>
      <c r="V1540">
        <v>286</v>
      </c>
      <c r="W1540" t="s">
        <v>14858</v>
      </c>
      <c r="X1540" t="s">
        <v>14864</v>
      </c>
      <c r="Z1540" t="s">
        <v>16285</v>
      </c>
      <c r="AB1540" t="s">
        <v>21357</v>
      </c>
      <c r="AC1540">
        <v>79</v>
      </c>
      <c r="AD1540" t="s">
        <v>24606</v>
      </c>
      <c r="AE1540" t="s">
        <v>24610</v>
      </c>
      <c r="AF1540">
        <v>8</v>
      </c>
      <c r="AG1540">
        <v>1</v>
      </c>
      <c r="AH1540">
        <v>0</v>
      </c>
      <c r="AI1540">
        <v>96.08</v>
      </c>
      <c r="AL1540" t="s">
        <v>24632</v>
      </c>
      <c r="AM1540">
        <v>12000</v>
      </c>
      <c r="AS1540">
        <v>1.7</v>
      </c>
      <c r="AT1540" t="s">
        <v>490</v>
      </c>
      <c r="AU1540" t="s">
        <v>184</v>
      </c>
      <c r="AV1540" t="s">
        <v>25335</v>
      </c>
      <c r="AW1540" t="s">
        <v>11447</v>
      </c>
    </row>
    <row r="1541" spans="1:49">
      <c r="A1541" s="1">
        <f>HYPERLINK("https://lsnyc.legalserver.org/matter/dynamic-profile/view/1913367","19-1913367")</f>
        <v>0</v>
      </c>
      <c r="B1541" t="s">
        <v>75</v>
      </c>
      <c r="C1541" t="s">
        <v>521</v>
      </c>
      <c r="E1541" t="s">
        <v>1960</v>
      </c>
      <c r="F1541" t="s">
        <v>3804</v>
      </c>
      <c r="G1541" t="s">
        <v>7483</v>
      </c>
      <c r="H1541" t="s">
        <v>10500</v>
      </c>
      <c r="I1541" t="s">
        <v>11385</v>
      </c>
      <c r="J1541">
        <v>11237</v>
      </c>
      <c r="K1541" t="s">
        <v>11447</v>
      </c>
      <c r="M1541" t="s">
        <v>14746</v>
      </c>
      <c r="N1541" t="s">
        <v>14780</v>
      </c>
      <c r="P1541" t="s">
        <v>14797</v>
      </c>
      <c r="Q1541" t="s">
        <v>11446</v>
      </c>
      <c r="S1541" t="s">
        <v>14827</v>
      </c>
      <c r="U1541" t="s">
        <v>483</v>
      </c>
      <c r="V1541">
        <v>0</v>
      </c>
      <c r="W1541" t="s">
        <v>14859</v>
      </c>
      <c r="X1541" t="s">
        <v>14879</v>
      </c>
      <c r="Z1541" t="s">
        <v>16286</v>
      </c>
      <c r="AB1541" t="s">
        <v>21358</v>
      </c>
      <c r="AC1541">
        <v>0</v>
      </c>
      <c r="AD1541" t="s">
        <v>24596</v>
      </c>
      <c r="AE1541" t="s">
        <v>24610</v>
      </c>
      <c r="AF1541">
        <v>39</v>
      </c>
      <c r="AG1541">
        <v>2</v>
      </c>
      <c r="AH1541">
        <v>0</v>
      </c>
      <c r="AI1541">
        <v>107.16</v>
      </c>
      <c r="AL1541" t="s">
        <v>5011</v>
      </c>
      <c r="AM1541">
        <v>18120</v>
      </c>
      <c r="AS1541">
        <v>0.2</v>
      </c>
      <c r="AT1541" t="s">
        <v>521</v>
      </c>
      <c r="AU1541" t="s">
        <v>75</v>
      </c>
      <c r="AV1541" t="s">
        <v>11459</v>
      </c>
      <c r="AW1541" t="s">
        <v>11447</v>
      </c>
    </row>
    <row r="1542" spans="1:49">
      <c r="A1542" s="1">
        <f>HYPERLINK("https://lsnyc.legalserver.org/matter/dynamic-profile/view/1913398","19-1913398")</f>
        <v>0</v>
      </c>
      <c r="B1542" t="s">
        <v>55</v>
      </c>
      <c r="C1542" t="s">
        <v>483</v>
      </c>
      <c r="E1542" t="s">
        <v>1961</v>
      </c>
      <c r="F1542" t="s">
        <v>4488</v>
      </c>
      <c r="G1542" t="s">
        <v>7484</v>
      </c>
      <c r="H1542">
        <v>43</v>
      </c>
      <c r="I1542" t="s">
        <v>11386</v>
      </c>
      <c r="J1542">
        <v>10034</v>
      </c>
      <c r="K1542" t="s">
        <v>11446</v>
      </c>
      <c r="M1542" t="s">
        <v>14762</v>
      </c>
      <c r="N1542" t="s">
        <v>14783</v>
      </c>
      <c r="P1542" t="s">
        <v>14797</v>
      </c>
      <c r="Q1542" t="s">
        <v>11446</v>
      </c>
      <c r="S1542" t="s">
        <v>14827</v>
      </c>
      <c r="U1542" t="s">
        <v>483</v>
      </c>
      <c r="V1542">
        <v>2000</v>
      </c>
      <c r="W1542" t="s">
        <v>14860</v>
      </c>
      <c r="X1542" t="s">
        <v>14867</v>
      </c>
      <c r="Z1542" t="s">
        <v>16287</v>
      </c>
      <c r="AC1542">
        <v>0</v>
      </c>
      <c r="AD1542" t="s">
        <v>24595</v>
      </c>
      <c r="AE1542" t="s">
        <v>11459</v>
      </c>
      <c r="AF1542">
        <v>10</v>
      </c>
      <c r="AG1542">
        <v>1</v>
      </c>
      <c r="AH1542">
        <v>0</v>
      </c>
      <c r="AI1542">
        <v>144.12</v>
      </c>
      <c r="AL1542" t="s">
        <v>5011</v>
      </c>
      <c r="AM1542">
        <v>18000</v>
      </c>
      <c r="AS1542">
        <v>0</v>
      </c>
      <c r="AU1542" t="s">
        <v>137</v>
      </c>
      <c r="AV1542" t="s">
        <v>25335</v>
      </c>
      <c r="AW1542" t="s">
        <v>11447</v>
      </c>
    </row>
    <row r="1543" spans="1:49">
      <c r="A1543" s="1">
        <f>HYPERLINK("https://lsnyc.legalserver.org/matter/dynamic-profile/view/1913235","19-1913235")</f>
        <v>0</v>
      </c>
      <c r="B1543" t="s">
        <v>56</v>
      </c>
      <c r="C1543" t="s">
        <v>515</v>
      </c>
      <c r="E1543" t="s">
        <v>1962</v>
      </c>
      <c r="F1543" t="s">
        <v>4489</v>
      </c>
      <c r="G1543" t="s">
        <v>7485</v>
      </c>
      <c r="H1543" t="s">
        <v>10491</v>
      </c>
      <c r="I1543" t="s">
        <v>11385</v>
      </c>
      <c r="J1543">
        <v>11239</v>
      </c>
      <c r="K1543" t="s">
        <v>11446</v>
      </c>
      <c r="L1543" t="s">
        <v>11969</v>
      </c>
      <c r="M1543" t="s">
        <v>14744</v>
      </c>
      <c r="N1543" t="s">
        <v>14781</v>
      </c>
      <c r="P1543" t="s">
        <v>14797</v>
      </c>
      <c r="Q1543" t="s">
        <v>11448</v>
      </c>
      <c r="S1543" t="s">
        <v>14827</v>
      </c>
      <c r="T1543" t="s">
        <v>14832</v>
      </c>
      <c r="U1543" t="s">
        <v>483</v>
      </c>
      <c r="V1543">
        <v>1200</v>
      </c>
      <c r="W1543" t="s">
        <v>14859</v>
      </c>
      <c r="X1543" t="s">
        <v>14863</v>
      </c>
      <c r="Z1543" t="s">
        <v>16288</v>
      </c>
      <c r="AA1543" t="s">
        <v>11465</v>
      </c>
      <c r="AB1543" t="s">
        <v>21359</v>
      </c>
      <c r="AC1543">
        <v>1092</v>
      </c>
      <c r="AD1543" t="s">
        <v>24596</v>
      </c>
      <c r="AE1543" t="s">
        <v>24610</v>
      </c>
      <c r="AF1543">
        <v>22</v>
      </c>
      <c r="AG1543">
        <v>2</v>
      </c>
      <c r="AH1543">
        <v>0</v>
      </c>
      <c r="AI1543">
        <v>198.7</v>
      </c>
      <c r="AL1543" t="s">
        <v>5011</v>
      </c>
      <c r="AM1543">
        <v>33600</v>
      </c>
      <c r="AS1543">
        <v>2</v>
      </c>
      <c r="AT1543" t="s">
        <v>477</v>
      </c>
      <c r="AU1543" t="s">
        <v>66</v>
      </c>
      <c r="AV1543" t="s">
        <v>25335</v>
      </c>
      <c r="AW1543" t="s">
        <v>11447</v>
      </c>
    </row>
    <row r="1544" spans="1:49">
      <c r="A1544" s="1">
        <f>HYPERLINK("https://lsnyc.legalserver.org/matter/dynamic-profile/view/1913394","19-1913394")</f>
        <v>0</v>
      </c>
      <c r="B1544" t="s">
        <v>55</v>
      </c>
      <c r="C1544" t="s">
        <v>483</v>
      </c>
      <c r="E1544" t="s">
        <v>1672</v>
      </c>
      <c r="F1544" t="s">
        <v>3547</v>
      </c>
      <c r="G1544" t="s">
        <v>7484</v>
      </c>
      <c r="H1544">
        <v>42</v>
      </c>
      <c r="I1544" t="s">
        <v>11386</v>
      </c>
      <c r="J1544">
        <v>10034</v>
      </c>
      <c r="K1544" t="s">
        <v>11446</v>
      </c>
      <c r="M1544" t="s">
        <v>14762</v>
      </c>
      <c r="N1544" t="s">
        <v>14783</v>
      </c>
      <c r="P1544" t="s">
        <v>14797</v>
      </c>
      <c r="Q1544" t="s">
        <v>11446</v>
      </c>
      <c r="S1544" t="s">
        <v>14827</v>
      </c>
      <c r="U1544" t="s">
        <v>483</v>
      </c>
      <c r="V1544">
        <v>937.48</v>
      </c>
      <c r="W1544" t="s">
        <v>14860</v>
      </c>
      <c r="X1544" t="s">
        <v>14868</v>
      </c>
      <c r="Z1544" t="s">
        <v>16289</v>
      </c>
      <c r="AB1544" t="s">
        <v>21360</v>
      </c>
      <c r="AC1544">
        <v>0</v>
      </c>
      <c r="AD1544" t="s">
        <v>24595</v>
      </c>
      <c r="AE1544" t="s">
        <v>11459</v>
      </c>
      <c r="AF1544">
        <v>45</v>
      </c>
      <c r="AG1544">
        <v>1</v>
      </c>
      <c r="AH1544">
        <v>0</v>
      </c>
      <c r="AI1544">
        <v>291.43</v>
      </c>
      <c r="AL1544" t="s">
        <v>5011</v>
      </c>
      <c r="AM1544">
        <v>36400</v>
      </c>
      <c r="AS1544">
        <v>30.25</v>
      </c>
      <c r="AT1544" t="s">
        <v>495</v>
      </c>
      <c r="AU1544" t="s">
        <v>137</v>
      </c>
      <c r="AV1544" t="s">
        <v>25335</v>
      </c>
      <c r="AW1544" t="s">
        <v>11447</v>
      </c>
    </row>
    <row r="1545" spans="1:49">
      <c r="A1545" s="1">
        <f>HYPERLINK("https://lsnyc.legalserver.org/matter/dynamic-profile/view/1898235","19-1898235")</f>
        <v>0</v>
      </c>
      <c r="B1545" t="s">
        <v>102</v>
      </c>
      <c r="C1545" t="s">
        <v>510</v>
      </c>
      <c r="E1545" t="s">
        <v>1404</v>
      </c>
      <c r="F1545" t="s">
        <v>4490</v>
      </c>
      <c r="G1545" t="s">
        <v>7486</v>
      </c>
      <c r="H1545" t="s">
        <v>10509</v>
      </c>
      <c r="I1545" t="s">
        <v>11383</v>
      </c>
      <c r="J1545">
        <v>10467</v>
      </c>
      <c r="K1545" t="s">
        <v>11446</v>
      </c>
      <c r="M1545" t="s">
        <v>14745</v>
      </c>
      <c r="N1545" t="s">
        <v>14780</v>
      </c>
      <c r="P1545" t="s">
        <v>14797</v>
      </c>
      <c r="Q1545" t="s">
        <v>11446</v>
      </c>
      <c r="S1545" t="s">
        <v>14827</v>
      </c>
      <c r="U1545" t="s">
        <v>483</v>
      </c>
      <c r="V1545">
        <v>752</v>
      </c>
      <c r="W1545" t="s">
        <v>14858</v>
      </c>
      <c r="X1545" t="s">
        <v>14868</v>
      </c>
      <c r="Z1545" t="s">
        <v>16290</v>
      </c>
      <c r="AB1545" t="s">
        <v>21361</v>
      </c>
      <c r="AC1545">
        <v>59</v>
      </c>
      <c r="AD1545" t="s">
        <v>24595</v>
      </c>
      <c r="AE1545" t="s">
        <v>11459</v>
      </c>
      <c r="AF1545">
        <v>19</v>
      </c>
      <c r="AG1545">
        <v>1</v>
      </c>
      <c r="AH1545">
        <v>0</v>
      </c>
      <c r="AI1545">
        <v>340.27</v>
      </c>
      <c r="AL1545" t="s">
        <v>5011</v>
      </c>
      <c r="AM1545">
        <v>42500</v>
      </c>
      <c r="AN1545" t="s">
        <v>24776</v>
      </c>
      <c r="AS1545">
        <v>0</v>
      </c>
      <c r="AU1545" t="s">
        <v>25242</v>
      </c>
      <c r="AV1545" t="s">
        <v>25335</v>
      </c>
      <c r="AW1545" t="s">
        <v>11446</v>
      </c>
    </row>
    <row r="1546" spans="1:49">
      <c r="A1546" s="1">
        <f>HYPERLINK("https://lsnyc.legalserver.org/matter/dynamic-profile/view/1887832","19-1887832")</f>
        <v>0</v>
      </c>
      <c r="B1546" t="s">
        <v>102</v>
      </c>
      <c r="C1546" t="s">
        <v>664</v>
      </c>
      <c r="E1546" t="s">
        <v>1404</v>
      </c>
      <c r="F1546" t="s">
        <v>4490</v>
      </c>
      <c r="G1546" t="s">
        <v>7486</v>
      </c>
      <c r="H1546" t="s">
        <v>10509</v>
      </c>
      <c r="I1546" t="s">
        <v>11383</v>
      </c>
      <c r="J1546">
        <v>10467</v>
      </c>
      <c r="K1546" t="s">
        <v>11446</v>
      </c>
      <c r="L1546" t="s">
        <v>11970</v>
      </c>
      <c r="M1546" t="s">
        <v>14746</v>
      </c>
      <c r="N1546" t="s">
        <v>14781</v>
      </c>
      <c r="P1546" t="s">
        <v>14797</v>
      </c>
      <c r="Q1546" t="s">
        <v>11446</v>
      </c>
      <c r="S1546" t="s">
        <v>14827</v>
      </c>
      <c r="U1546" t="s">
        <v>483</v>
      </c>
      <c r="V1546">
        <v>752</v>
      </c>
      <c r="W1546" t="s">
        <v>14858</v>
      </c>
      <c r="X1546" t="s">
        <v>14871</v>
      </c>
      <c r="Z1546" t="s">
        <v>16290</v>
      </c>
      <c r="AB1546" t="s">
        <v>21361</v>
      </c>
      <c r="AC1546">
        <v>59</v>
      </c>
      <c r="AD1546" t="s">
        <v>24595</v>
      </c>
      <c r="AE1546" t="s">
        <v>11459</v>
      </c>
      <c r="AF1546">
        <v>19</v>
      </c>
      <c r="AG1546">
        <v>1</v>
      </c>
      <c r="AH1546">
        <v>0</v>
      </c>
      <c r="AI1546">
        <v>350.08</v>
      </c>
      <c r="AJ1546" t="s">
        <v>491</v>
      </c>
      <c r="AK1546" t="s">
        <v>24629</v>
      </c>
      <c r="AL1546" t="s">
        <v>5011</v>
      </c>
      <c r="AM1546">
        <v>42500</v>
      </c>
      <c r="AS1546">
        <v>1.6</v>
      </c>
      <c r="AT1546" t="s">
        <v>519</v>
      </c>
      <c r="AU1546" t="s">
        <v>57</v>
      </c>
      <c r="AV1546" t="s">
        <v>25335</v>
      </c>
      <c r="AW1546" t="s">
        <v>11446</v>
      </c>
    </row>
    <row r="1547" spans="1:49">
      <c r="A1547" s="1">
        <f>HYPERLINK("https://lsnyc.legalserver.org/matter/dynamic-profile/view/1912810","19-1912810")</f>
        <v>0</v>
      </c>
      <c r="B1547" t="s">
        <v>184</v>
      </c>
      <c r="C1547" t="s">
        <v>470</v>
      </c>
      <c r="E1547" t="s">
        <v>1963</v>
      </c>
      <c r="F1547" t="s">
        <v>4491</v>
      </c>
      <c r="G1547" t="s">
        <v>7487</v>
      </c>
      <c r="I1547" t="s">
        <v>11383</v>
      </c>
      <c r="J1547">
        <v>10457</v>
      </c>
      <c r="K1547" t="s">
        <v>11446</v>
      </c>
      <c r="M1547" t="s">
        <v>11601</v>
      </c>
      <c r="N1547" t="s">
        <v>14778</v>
      </c>
      <c r="P1547" t="s">
        <v>14797</v>
      </c>
      <c r="Q1547" t="s">
        <v>11448</v>
      </c>
      <c r="S1547" t="s">
        <v>14827</v>
      </c>
      <c r="U1547" t="s">
        <v>483</v>
      </c>
      <c r="V1547">
        <v>1350</v>
      </c>
      <c r="W1547" t="s">
        <v>14858</v>
      </c>
      <c r="X1547" t="s">
        <v>14864</v>
      </c>
      <c r="Z1547" t="s">
        <v>16291</v>
      </c>
      <c r="AB1547" t="s">
        <v>21362</v>
      </c>
      <c r="AC1547">
        <v>0</v>
      </c>
      <c r="AE1547" t="s">
        <v>11459</v>
      </c>
      <c r="AF1547">
        <v>3</v>
      </c>
      <c r="AG1547">
        <v>1</v>
      </c>
      <c r="AH1547">
        <v>1</v>
      </c>
      <c r="AI1547">
        <v>354.82</v>
      </c>
      <c r="AL1547" t="s">
        <v>24632</v>
      </c>
      <c r="AM1547">
        <v>60000</v>
      </c>
      <c r="AS1547">
        <v>2.1</v>
      </c>
      <c r="AT1547" t="s">
        <v>490</v>
      </c>
      <c r="AU1547" t="s">
        <v>184</v>
      </c>
      <c r="AV1547" t="s">
        <v>25335</v>
      </c>
      <c r="AW1547" t="s">
        <v>11447</v>
      </c>
    </row>
    <row r="1548" spans="1:49">
      <c r="A1548" s="1">
        <f>HYPERLINK("https://lsnyc.legalserver.org/matter/dynamic-profile/view/1913712","19-1913712")</f>
        <v>0</v>
      </c>
      <c r="B1548" t="s">
        <v>170</v>
      </c>
      <c r="C1548" t="s">
        <v>476</v>
      </c>
      <c r="E1548" t="s">
        <v>1964</v>
      </c>
      <c r="F1548" t="s">
        <v>4492</v>
      </c>
      <c r="G1548" t="s">
        <v>7488</v>
      </c>
      <c r="H1548" t="s">
        <v>10464</v>
      </c>
      <c r="I1548" t="s">
        <v>11386</v>
      </c>
      <c r="J1548">
        <v>10035</v>
      </c>
      <c r="K1548" t="s">
        <v>11446</v>
      </c>
      <c r="M1548" t="s">
        <v>11601</v>
      </c>
      <c r="N1548" t="s">
        <v>14780</v>
      </c>
      <c r="P1548" t="s">
        <v>14797</v>
      </c>
      <c r="Q1548" t="s">
        <v>11448</v>
      </c>
      <c r="S1548" t="s">
        <v>14827</v>
      </c>
      <c r="T1548" t="s">
        <v>14832</v>
      </c>
      <c r="U1548" t="s">
        <v>483</v>
      </c>
      <c r="V1548">
        <v>0</v>
      </c>
      <c r="W1548" t="s">
        <v>14860</v>
      </c>
      <c r="X1548" t="s">
        <v>14870</v>
      </c>
      <c r="Z1548" t="s">
        <v>16292</v>
      </c>
      <c r="AB1548" t="s">
        <v>21363</v>
      </c>
      <c r="AC1548">
        <v>35</v>
      </c>
      <c r="AD1548" t="s">
        <v>24595</v>
      </c>
      <c r="AE1548" t="s">
        <v>11459</v>
      </c>
      <c r="AF1548">
        <v>2</v>
      </c>
      <c r="AG1548">
        <v>2</v>
      </c>
      <c r="AH1548">
        <v>0</v>
      </c>
      <c r="AI1548">
        <v>591.37</v>
      </c>
      <c r="AL1548" t="s">
        <v>5011</v>
      </c>
      <c r="AM1548">
        <v>100000</v>
      </c>
      <c r="AS1548">
        <v>3.5</v>
      </c>
      <c r="AT1548" t="s">
        <v>483</v>
      </c>
      <c r="AU1548" t="s">
        <v>25266</v>
      </c>
      <c r="AV1548" t="s">
        <v>25335</v>
      </c>
      <c r="AW1548" t="s">
        <v>11447</v>
      </c>
    </row>
    <row r="1549" spans="1:49">
      <c r="A1549" s="1">
        <f>HYPERLINK("https://lsnyc.legalserver.org/matter/dynamic-profile/view/1913476","19-1913476")</f>
        <v>0</v>
      </c>
      <c r="B1549" t="s">
        <v>196</v>
      </c>
      <c r="C1549" t="s">
        <v>484</v>
      </c>
      <c r="E1549" t="s">
        <v>1965</v>
      </c>
      <c r="F1549" t="s">
        <v>4493</v>
      </c>
      <c r="G1549" t="s">
        <v>7365</v>
      </c>
      <c r="H1549">
        <v>42</v>
      </c>
      <c r="I1549" t="s">
        <v>11385</v>
      </c>
      <c r="J1549">
        <v>11213</v>
      </c>
      <c r="K1549" t="s">
        <v>11446</v>
      </c>
      <c r="L1549" t="s">
        <v>11459</v>
      </c>
      <c r="M1549" t="s">
        <v>11601</v>
      </c>
      <c r="N1549" t="s">
        <v>14779</v>
      </c>
      <c r="P1549" t="s">
        <v>14797</v>
      </c>
      <c r="Q1549" t="s">
        <v>11448</v>
      </c>
      <c r="S1549" t="s">
        <v>14827</v>
      </c>
      <c r="T1549" t="s">
        <v>14832</v>
      </c>
      <c r="U1549" t="s">
        <v>484</v>
      </c>
      <c r="V1549">
        <v>950</v>
      </c>
      <c r="W1549" t="s">
        <v>14859</v>
      </c>
      <c r="X1549" t="s">
        <v>14864</v>
      </c>
      <c r="Z1549" t="s">
        <v>16293</v>
      </c>
      <c r="AA1549" t="s">
        <v>11459</v>
      </c>
      <c r="AB1549" t="s">
        <v>21364</v>
      </c>
      <c r="AC1549">
        <v>31</v>
      </c>
      <c r="AD1549" t="s">
        <v>24595</v>
      </c>
      <c r="AE1549" t="s">
        <v>11459</v>
      </c>
      <c r="AF1549">
        <v>18</v>
      </c>
      <c r="AG1549">
        <v>3</v>
      </c>
      <c r="AH1549">
        <v>1</v>
      </c>
      <c r="AI1549">
        <v>100.97</v>
      </c>
      <c r="AL1549" t="s">
        <v>5011</v>
      </c>
      <c r="AM1549">
        <v>26000</v>
      </c>
      <c r="AS1549">
        <v>1.5</v>
      </c>
      <c r="AT1549" t="s">
        <v>484</v>
      </c>
      <c r="AU1549" t="s">
        <v>66</v>
      </c>
      <c r="AV1549" t="s">
        <v>25335</v>
      </c>
      <c r="AW1549" t="s">
        <v>11447</v>
      </c>
    </row>
    <row r="1550" spans="1:49">
      <c r="A1550" s="1">
        <f>HYPERLINK("https://lsnyc.legalserver.org/matter/dynamic-profile/view/1913492","19-1913492")</f>
        <v>0</v>
      </c>
      <c r="B1550" t="s">
        <v>211</v>
      </c>
      <c r="C1550" t="s">
        <v>484</v>
      </c>
      <c r="E1550" t="s">
        <v>1966</v>
      </c>
      <c r="F1550" t="s">
        <v>4494</v>
      </c>
      <c r="G1550" t="s">
        <v>7365</v>
      </c>
      <c r="H1550">
        <v>34</v>
      </c>
      <c r="I1550" t="s">
        <v>11385</v>
      </c>
      <c r="J1550">
        <v>11213</v>
      </c>
      <c r="K1550" t="s">
        <v>11446</v>
      </c>
      <c r="L1550" t="s">
        <v>11971</v>
      </c>
      <c r="M1550" t="s">
        <v>11601</v>
      </c>
      <c r="N1550" t="s">
        <v>14779</v>
      </c>
      <c r="P1550" t="s">
        <v>14797</v>
      </c>
      <c r="Q1550" t="s">
        <v>11448</v>
      </c>
      <c r="S1550" t="s">
        <v>14827</v>
      </c>
      <c r="T1550" t="s">
        <v>14832</v>
      </c>
      <c r="U1550" t="s">
        <v>484</v>
      </c>
      <c r="V1550">
        <v>881.67</v>
      </c>
      <c r="W1550" t="s">
        <v>14859</v>
      </c>
      <c r="X1550" t="s">
        <v>14868</v>
      </c>
      <c r="Z1550" t="s">
        <v>16294</v>
      </c>
      <c r="AA1550" t="s">
        <v>11459</v>
      </c>
      <c r="AB1550" t="s">
        <v>21365</v>
      </c>
      <c r="AC1550">
        <v>31</v>
      </c>
      <c r="AD1550" t="s">
        <v>24595</v>
      </c>
      <c r="AE1550" t="s">
        <v>24613</v>
      </c>
      <c r="AF1550">
        <v>17</v>
      </c>
      <c r="AG1550">
        <v>2</v>
      </c>
      <c r="AH1550">
        <v>2</v>
      </c>
      <c r="AI1550">
        <v>124.75</v>
      </c>
      <c r="AL1550" t="s">
        <v>5011</v>
      </c>
      <c r="AM1550">
        <v>32124</v>
      </c>
      <c r="AS1550">
        <v>0.2</v>
      </c>
      <c r="AT1550" t="s">
        <v>484</v>
      </c>
      <c r="AU1550" t="s">
        <v>211</v>
      </c>
      <c r="AV1550" t="s">
        <v>25335</v>
      </c>
      <c r="AW1550" t="s">
        <v>11447</v>
      </c>
    </row>
    <row r="1551" spans="1:49">
      <c r="A1551" s="1">
        <f>HYPERLINK("https://lsnyc.legalserver.org/matter/dynamic-profile/view/1904878","19-1904878")</f>
        <v>0</v>
      </c>
      <c r="B1551" t="s">
        <v>140</v>
      </c>
      <c r="C1551" t="s">
        <v>345</v>
      </c>
      <c r="E1551" t="s">
        <v>1967</v>
      </c>
      <c r="F1551" t="s">
        <v>3709</v>
      </c>
      <c r="G1551" t="s">
        <v>7489</v>
      </c>
      <c r="H1551" t="s">
        <v>10844</v>
      </c>
      <c r="I1551" t="s">
        <v>11383</v>
      </c>
      <c r="J1551">
        <v>10459</v>
      </c>
      <c r="K1551" t="s">
        <v>11446</v>
      </c>
      <c r="L1551" t="s">
        <v>11972</v>
      </c>
      <c r="M1551" t="s">
        <v>14758</v>
      </c>
      <c r="N1551" t="s">
        <v>14781</v>
      </c>
      <c r="P1551" t="s">
        <v>14797</v>
      </c>
      <c r="Q1551" t="s">
        <v>11448</v>
      </c>
      <c r="S1551" t="s">
        <v>14830</v>
      </c>
      <c r="U1551" t="s">
        <v>484</v>
      </c>
      <c r="V1551">
        <v>1720</v>
      </c>
      <c r="W1551" t="s">
        <v>14858</v>
      </c>
      <c r="Z1551" t="s">
        <v>16295</v>
      </c>
      <c r="AB1551" t="s">
        <v>21366</v>
      </c>
      <c r="AC1551">
        <v>128</v>
      </c>
      <c r="AD1551" t="s">
        <v>24595</v>
      </c>
      <c r="AE1551" t="s">
        <v>11459</v>
      </c>
      <c r="AF1551">
        <v>11</v>
      </c>
      <c r="AG1551">
        <v>2</v>
      </c>
      <c r="AH1551">
        <v>2</v>
      </c>
      <c r="AI1551">
        <v>131.11</v>
      </c>
      <c r="AL1551" t="s">
        <v>5011</v>
      </c>
      <c r="AM1551">
        <v>33760</v>
      </c>
      <c r="AS1551">
        <v>2.7</v>
      </c>
      <c r="AT1551" t="s">
        <v>505</v>
      </c>
      <c r="AU1551" t="s">
        <v>237</v>
      </c>
      <c r="AV1551" t="s">
        <v>25335</v>
      </c>
      <c r="AW1551" t="s">
        <v>11447</v>
      </c>
    </row>
    <row r="1552" spans="1:49">
      <c r="A1552" s="1">
        <f>HYPERLINK("https://lsnyc.legalserver.org/matter/dynamic-profile/view/1914113","19-1914113")</f>
        <v>0</v>
      </c>
      <c r="B1552" t="s">
        <v>183</v>
      </c>
      <c r="C1552" t="s">
        <v>580</v>
      </c>
      <c r="E1552" t="s">
        <v>1043</v>
      </c>
      <c r="F1552" t="s">
        <v>4495</v>
      </c>
      <c r="G1552" t="s">
        <v>7490</v>
      </c>
      <c r="H1552" t="s">
        <v>10845</v>
      </c>
      <c r="I1552" t="s">
        <v>11385</v>
      </c>
      <c r="J1552">
        <v>11239</v>
      </c>
      <c r="K1552" t="s">
        <v>11446</v>
      </c>
      <c r="M1552" t="s">
        <v>14763</v>
      </c>
      <c r="N1552" t="s">
        <v>14781</v>
      </c>
      <c r="P1552" t="s">
        <v>14797</v>
      </c>
      <c r="Q1552" t="s">
        <v>11448</v>
      </c>
      <c r="S1552" t="s">
        <v>14827</v>
      </c>
      <c r="T1552" t="s">
        <v>14832</v>
      </c>
      <c r="U1552" t="s">
        <v>484</v>
      </c>
      <c r="V1552">
        <v>434</v>
      </c>
      <c r="W1552" t="s">
        <v>14859</v>
      </c>
      <c r="X1552" t="s">
        <v>14873</v>
      </c>
      <c r="Z1552" t="s">
        <v>16296</v>
      </c>
      <c r="AA1552" t="s">
        <v>11459</v>
      </c>
      <c r="AB1552" t="s">
        <v>21367</v>
      </c>
      <c r="AC1552">
        <v>132</v>
      </c>
      <c r="AD1552" t="s">
        <v>24605</v>
      </c>
      <c r="AE1552" t="s">
        <v>14755</v>
      </c>
      <c r="AF1552">
        <v>4</v>
      </c>
      <c r="AG1552">
        <v>1</v>
      </c>
      <c r="AH1552">
        <v>0</v>
      </c>
      <c r="AI1552">
        <v>144.12</v>
      </c>
      <c r="AL1552" t="s">
        <v>5011</v>
      </c>
      <c r="AM1552">
        <v>18000</v>
      </c>
      <c r="AN1552" t="s">
        <v>24777</v>
      </c>
      <c r="AS1552">
        <v>0</v>
      </c>
      <c r="AU1552" t="s">
        <v>120</v>
      </c>
      <c r="AV1552" t="s">
        <v>25335</v>
      </c>
      <c r="AW1552" t="s">
        <v>11447</v>
      </c>
    </row>
    <row r="1553" spans="1:49">
      <c r="A1553" s="1">
        <f>HYPERLINK("https://lsnyc.legalserver.org/matter/dynamic-profile/view/1908611","19-1908611")</f>
        <v>0</v>
      </c>
      <c r="B1553" t="s">
        <v>183</v>
      </c>
      <c r="C1553" t="s">
        <v>497</v>
      </c>
      <c r="E1553" t="s">
        <v>1043</v>
      </c>
      <c r="F1553" t="s">
        <v>4495</v>
      </c>
      <c r="G1553" t="s">
        <v>7490</v>
      </c>
      <c r="H1553" t="s">
        <v>10845</v>
      </c>
      <c r="I1553" t="s">
        <v>11385</v>
      </c>
      <c r="J1553">
        <v>11239</v>
      </c>
      <c r="K1553" t="s">
        <v>11446</v>
      </c>
      <c r="L1553" t="s">
        <v>11973</v>
      </c>
      <c r="M1553" t="s">
        <v>14743</v>
      </c>
      <c r="N1553" t="s">
        <v>14781</v>
      </c>
      <c r="P1553" t="s">
        <v>14797</v>
      </c>
      <c r="Q1553" t="s">
        <v>11448</v>
      </c>
      <c r="S1553" t="s">
        <v>14827</v>
      </c>
      <c r="T1553" t="s">
        <v>14832</v>
      </c>
      <c r="U1553" t="s">
        <v>484</v>
      </c>
      <c r="V1553">
        <v>434</v>
      </c>
      <c r="W1553" t="s">
        <v>14859</v>
      </c>
      <c r="X1553" t="s">
        <v>14873</v>
      </c>
      <c r="Z1553" t="s">
        <v>16296</v>
      </c>
      <c r="AA1553" t="s">
        <v>11459</v>
      </c>
      <c r="AB1553" t="s">
        <v>21367</v>
      </c>
      <c r="AC1553">
        <v>132</v>
      </c>
      <c r="AD1553" t="s">
        <v>24605</v>
      </c>
      <c r="AE1553" t="s">
        <v>14755</v>
      </c>
      <c r="AF1553">
        <v>4</v>
      </c>
      <c r="AG1553">
        <v>1</v>
      </c>
      <c r="AH1553">
        <v>0</v>
      </c>
      <c r="AI1553">
        <v>144.12</v>
      </c>
      <c r="AL1553" t="s">
        <v>5011</v>
      </c>
      <c r="AM1553">
        <v>18000</v>
      </c>
      <c r="AS1553">
        <v>9.1</v>
      </c>
      <c r="AT1553" t="s">
        <v>484</v>
      </c>
      <c r="AU1553" t="s">
        <v>25225</v>
      </c>
      <c r="AV1553" t="s">
        <v>25335</v>
      </c>
      <c r="AW1553" t="s">
        <v>11447</v>
      </c>
    </row>
    <row r="1554" spans="1:49">
      <c r="A1554" s="1">
        <f>HYPERLINK("https://lsnyc.legalserver.org/matter/dynamic-profile/view/1913104","19-1913104")</f>
        <v>0</v>
      </c>
      <c r="B1554" t="s">
        <v>224</v>
      </c>
      <c r="C1554" t="s">
        <v>571</v>
      </c>
      <c r="E1554" t="s">
        <v>1968</v>
      </c>
      <c r="F1554" t="s">
        <v>4496</v>
      </c>
      <c r="G1554" t="s">
        <v>7491</v>
      </c>
      <c r="H1554">
        <v>6</v>
      </c>
      <c r="I1554" t="s">
        <v>11385</v>
      </c>
      <c r="J1554">
        <v>11213</v>
      </c>
      <c r="K1554" t="s">
        <v>11446</v>
      </c>
      <c r="L1554" t="s">
        <v>11601</v>
      </c>
      <c r="M1554" t="s">
        <v>11601</v>
      </c>
      <c r="N1554" t="s">
        <v>14779</v>
      </c>
      <c r="P1554" t="s">
        <v>14797</v>
      </c>
      <c r="Q1554" t="s">
        <v>11446</v>
      </c>
      <c r="S1554" t="s">
        <v>14827</v>
      </c>
      <c r="T1554" t="s">
        <v>14832</v>
      </c>
      <c r="U1554" t="s">
        <v>484</v>
      </c>
      <c r="V1554">
        <v>998.03</v>
      </c>
      <c r="W1554" t="s">
        <v>14859</v>
      </c>
      <c r="X1554" t="s">
        <v>14864</v>
      </c>
      <c r="Z1554" t="s">
        <v>16297</v>
      </c>
      <c r="AB1554" t="s">
        <v>21368</v>
      </c>
      <c r="AC1554">
        <v>31</v>
      </c>
      <c r="AD1554" t="s">
        <v>24595</v>
      </c>
      <c r="AE1554" t="s">
        <v>11459</v>
      </c>
      <c r="AF1554">
        <v>15</v>
      </c>
      <c r="AG1554">
        <v>3</v>
      </c>
      <c r="AH1554">
        <v>0</v>
      </c>
      <c r="AI1554">
        <v>173.28</v>
      </c>
      <c r="AL1554" t="s">
        <v>24646</v>
      </c>
      <c r="AM1554">
        <v>36960</v>
      </c>
      <c r="AS1554">
        <v>1.2</v>
      </c>
      <c r="AT1554" t="s">
        <v>571</v>
      </c>
      <c r="AU1554" t="s">
        <v>120</v>
      </c>
      <c r="AV1554" t="s">
        <v>25335</v>
      </c>
      <c r="AW1554" t="s">
        <v>11447</v>
      </c>
    </row>
    <row r="1555" spans="1:49">
      <c r="A1555" s="1">
        <f>HYPERLINK("https://lsnyc.legalserver.org/matter/dynamic-profile/view/1913059","19-1913059")</f>
        <v>0</v>
      </c>
      <c r="B1555" t="s">
        <v>174</v>
      </c>
      <c r="C1555" t="s">
        <v>603</v>
      </c>
      <c r="E1555" t="s">
        <v>1339</v>
      </c>
      <c r="F1555" t="s">
        <v>3623</v>
      </c>
      <c r="G1555" t="s">
        <v>7492</v>
      </c>
      <c r="H1555" t="s">
        <v>10460</v>
      </c>
      <c r="I1555" t="s">
        <v>11385</v>
      </c>
      <c r="J1555">
        <v>11206</v>
      </c>
      <c r="K1555" t="s">
        <v>11446</v>
      </c>
      <c r="L1555" t="s">
        <v>11465</v>
      </c>
      <c r="M1555" t="s">
        <v>14745</v>
      </c>
      <c r="N1555" t="s">
        <v>14779</v>
      </c>
      <c r="P1555" t="s">
        <v>14797</v>
      </c>
      <c r="Q1555" t="s">
        <v>11446</v>
      </c>
      <c r="S1555" t="s">
        <v>14827</v>
      </c>
      <c r="T1555" t="s">
        <v>14832</v>
      </c>
      <c r="U1555" t="s">
        <v>484</v>
      </c>
      <c r="V1555">
        <v>1200</v>
      </c>
      <c r="W1555" t="s">
        <v>14859</v>
      </c>
      <c r="X1555" t="s">
        <v>14864</v>
      </c>
      <c r="Z1555" t="s">
        <v>16298</v>
      </c>
      <c r="AA1555" t="s">
        <v>11465</v>
      </c>
      <c r="AB1555" t="s">
        <v>21369</v>
      </c>
      <c r="AC1555">
        <v>16</v>
      </c>
      <c r="AD1555" t="s">
        <v>24595</v>
      </c>
      <c r="AE1555" t="s">
        <v>11459</v>
      </c>
      <c r="AF1555">
        <v>8</v>
      </c>
      <c r="AG1555">
        <v>1</v>
      </c>
      <c r="AH1555">
        <v>0</v>
      </c>
      <c r="AI1555">
        <v>199.84</v>
      </c>
      <c r="AL1555" t="s">
        <v>5011</v>
      </c>
      <c r="AM1555">
        <v>24960</v>
      </c>
      <c r="AS1555">
        <v>0</v>
      </c>
      <c r="AU1555" t="s">
        <v>66</v>
      </c>
      <c r="AV1555" t="s">
        <v>25335</v>
      </c>
      <c r="AW1555" t="s">
        <v>11447</v>
      </c>
    </row>
    <row r="1556" spans="1:49">
      <c r="A1556" s="1">
        <f>HYPERLINK("https://lsnyc.legalserver.org/matter/dynamic-profile/view/1913565","19-1913565")</f>
        <v>0</v>
      </c>
      <c r="B1556" t="s">
        <v>105</v>
      </c>
      <c r="C1556" t="s">
        <v>477</v>
      </c>
      <c r="E1556" t="s">
        <v>1969</v>
      </c>
      <c r="F1556" t="s">
        <v>4497</v>
      </c>
      <c r="G1556" t="s">
        <v>7493</v>
      </c>
      <c r="H1556" t="s">
        <v>10568</v>
      </c>
      <c r="I1556" t="s">
        <v>11386</v>
      </c>
      <c r="J1556">
        <v>10034</v>
      </c>
      <c r="K1556" t="s">
        <v>11446</v>
      </c>
      <c r="N1556" t="s">
        <v>14782</v>
      </c>
      <c r="P1556" t="s">
        <v>14797</v>
      </c>
      <c r="Q1556" t="s">
        <v>11448</v>
      </c>
      <c r="S1556" t="s">
        <v>14827</v>
      </c>
      <c r="U1556" t="s">
        <v>477</v>
      </c>
      <c r="V1556">
        <v>0</v>
      </c>
      <c r="W1556" t="s">
        <v>14860</v>
      </c>
      <c r="X1556" t="s">
        <v>14868</v>
      </c>
      <c r="Z1556" t="s">
        <v>16299</v>
      </c>
      <c r="AB1556" t="s">
        <v>21370</v>
      </c>
      <c r="AC1556">
        <v>85</v>
      </c>
      <c r="AD1556" t="s">
        <v>24595</v>
      </c>
      <c r="AE1556" t="s">
        <v>11459</v>
      </c>
      <c r="AF1556">
        <v>32</v>
      </c>
      <c r="AG1556">
        <v>1</v>
      </c>
      <c r="AH1556">
        <v>0</v>
      </c>
      <c r="AI1556">
        <v>34.11</v>
      </c>
      <c r="AL1556" t="s">
        <v>5011</v>
      </c>
      <c r="AM1556">
        <v>4260</v>
      </c>
      <c r="AS1556">
        <v>2.5</v>
      </c>
      <c r="AT1556" t="s">
        <v>533</v>
      </c>
      <c r="AU1556" t="s">
        <v>137</v>
      </c>
      <c r="AV1556" t="s">
        <v>25335</v>
      </c>
      <c r="AW1556" t="s">
        <v>11447</v>
      </c>
    </row>
    <row r="1557" spans="1:49">
      <c r="A1557" s="1">
        <f>HYPERLINK("https://lsnyc.legalserver.org/matter/dynamic-profile/view/1907560","19-1907560")</f>
        <v>0</v>
      </c>
      <c r="B1557" t="s">
        <v>92</v>
      </c>
      <c r="C1557" t="s">
        <v>630</v>
      </c>
      <c r="E1557" t="s">
        <v>1970</v>
      </c>
      <c r="F1557" t="s">
        <v>3675</v>
      </c>
      <c r="G1557" t="s">
        <v>7494</v>
      </c>
      <c r="H1557" t="s">
        <v>10464</v>
      </c>
      <c r="I1557" t="s">
        <v>11383</v>
      </c>
      <c r="J1557">
        <v>10460</v>
      </c>
      <c r="K1557" t="s">
        <v>11446</v>
      </c>
      <c r="L1557" t="s">
        <v>11974</v>
      </c>
      <c r="M1557" t="s">
        <v>14744</v>
      </c>
      <c r="N1557" t="s">
        <v>14778</v>
      </c>
      <c r="P1557" t="s">
        <v>14797</v>
      </c>
      <c r="Q1557" t="s">
        <v>11448</v>
      </c>
      <c r="S1557" t="s">
        <v>14829</v>
      </c>
      <c r="U1557" t="s">
        <v>477</v>
      </c>
      <c r="V1557">
        <v>1600</v>
      </c>
      <c r="W1557" t="s">
        <v>14858</v>
      </c>
      <c r="Z1557" t="s">
        <v>16300</v>
      </c>
      <c r="AB1557" t="s">
        <v>21371</v>
      </c>
      <c r="AC1557">
        <v>297</v>
      </c>
      <c r="AE1557" t="s">
        <v>24610</v>
      </c>
      <c r="AF1557">
        <v>3</v>
      </c>
      <c r="AG1557">
        <v>2</v>
      </c>
      <c r="AH1557">
        <v>0</v>
      </c>
      <c r="AI1557">
        <v>61.45</v>
      </c>
      <c r="AL1557" t="s">
        <v>5011</v>
      </c>
      <c r="AM1557">
        <v>10392</v>
      </c>
      <c r="AS1557">
        <v>2.3</v>
      </c>
      <c r="AT1557" t="s">
        <v>477</v>
      </c>
      <c r="AU1557" t="s">
        <v>25237</v>
      </c>
      <c r="AV1557" t="s">
        <v>25335</v>
      </c>
      <c r="AW1557" t="s">
        <v>11447</v>
      </c>
    </row>
    <row r="1558" spans="1:49">
      <c r="A1558" s="1">
        <f>HYPERLINK("https://lsnyc.legalserver.org/matter/dynamic-profile/view/1913581","19-1913581")</f>
        <v>0</v>
      </c>
      <c r="B1558" t="s">
        <v>224</v>
      </c>
      <c r="C1558" t="s">
        <v>477</v>
      </c>
      <c r="E1558" t="s">
        <v>1971</v>
      </c>
      <c r="F1558" t="s">
        <v>4498</v>
      </c>
      <c r="G1558" t="s">
        <v>7365</v>
      </c>
      <c r="H1558">
        <v>5</v>
      </c>
      <c r="I1558" t="s">
        <v>11385</v>
      </c>
      <c r="J1558">
        <v>11213</v>
      </c>
      <c r="K1558" t="s">
        <v>11446</v>
      </c>
      <c r="L1558" t="s">
        <v>11459</v>
      </c>
      <c r="M1558" t="s">
        <v>11601</v>
      </c>
      <c r="N1558" t="s">
        <v>14779</v>
      </c>
      <c r="P1558" t="s">
        <v>14797</v>
      </c>
      <c r="Q1558" t="s">
        <v>11446</v>
      </c>
      <c r="S1558" t="s">
        <v>14827</v>
      </c>
      <c r="U1558" t="s">
        <v>477</v>
      </c>
      <c r="V1558">
        <v>785.95</v>
      </c>
      <c r="W1558" t="s">
        <v>14859</v>
      </c>
      <c r="X1558" t="s">
        <v>14876</v>
      </c>
      <c r="Z1558" t="s">
        <v>16301</v>
      </c>
      <c r="AB1558" t="s">
        <v>19344</v>
      </c>
      <c r="AC1558">
        <v>31</v>
      </c>
      <c r="AD1558" t="s">
        <v>24595</v>
      </c>
      <c r="AF1558">
        <v>23</v>
      </c>
      <c r="AG1558">
        <v>2</v>
      </c>
      <c r="AH1558">
        <v>1</v>
      </c>
      <c r="AI1558">
        <v>67.51000000000001</v>
      </c>
      <c r="AL1558" t="s">
        <v>5011</v>
      </c>
      <c r="AM1558">
        <v>14400</v>
      </c>
      <c r="AS1558">
        <v>1.5</v>
      </c>
      <c r="AT1558" t="s">
        <v>477</v>
      </c>
      <c r="AU1558" t="s">
        <v>224</v>
      </c>
      <c r="AV1558" t="s">
        <v>25335</v>
      </c>
      <c r="AW1558" t="s">
        <v>11447</v>
      </c>
    </row>
    <row r="1559" spans="1:49">
      <c r="A1559" s="1">
        <f>HYPERLINK("https://lsnyc.legalserver.org/matter/dynamic-profile/view/1913622","19-1913622")</f>
        <v>0</v>
      </c>
      <c r="B1559" t="s">
        <v>187</v>
      </c>
      <c r="C1559" t="s">
        <v>477</v>
      </c>
      <c r="E1559" t="s">
        <v>1081</v>
      </c>
      <c r="F1559" t="s">
        <v>3901</v>
      </c>
      <c r="G1559" t="s">
        <v>7294</v>
      </c>
      <c r="H1559" t="s">
        <v>10460</v>
      </c>
      <c r="I1559" t="s">
        <v>11385</v>
      </c>
      <c r="J1559">
        <v>11238</v>
      </c>
      <c r="K1559" t="s">
        <v>11446</v>
      </c>
      <c r="L1559" t="s">
        <v>11601</v>
      </c>
      <c r="M1559" t="s">
        <v>14745</v>
      </c>
      <c r="N1559" t="s">
        <v>14779</v>
      </c>
      <c r="P1559" t="s">
        <v>14797</v>
      </c>
      <c r="Q1559" t="s">
        <v>11446</v>
      </c>
      <c r="S1559" t="s">
        <v>14827</v>
      </c>
      <c r="T1559" t="s">
        <v>14832</v>
      </c>
      <c r="U1559" t="s">
        <v>477</v>
      </c>
      <c r="V1559">
        <v>983.4400000000001</v>
      </c>
      <c r="W1559" t="s">
        <v>14859</v>
      </c>
      <c r="X1559" t="s">
        <v>14755</v>
      </c>
      <c r="Z1559" t="s">
        <v>16302</v>
      </c>
      <c r="AA1559" t="s">
        <v>11459</v>
      </c>
      <c r="AB1559" t="s">
        <v>21372</v>
      </c>
      <c r="AC1559">
        <v>16</v>
      </c>
      <c r="AD1559" t="s">
        <v>24595</v>
      </c>
      <c r="AE1559" t="s">
        <v>11459</v>
      </c>
      <c r="AF1559">
        <v>13</v>
      </c>
      <c r="AG1559">
        <v>2</v>
      </c>
      <c r="AH1559">
        <v>2</v>
      </c>
      <c r="AI1559">
        <v>182.52</v>
      </c>
      <c r="AL1559" t="s">
        <v>5011</v>
      </c>
      <c r="AM1559">
        <v>47000</v>
      </c>
      <c r="AN1559" t="s">
        <v>24774</v>
      </c>
      <c r="AS1559">
        <v>0</v>
      </c>
      <c r="AU1559" t="s">
        <v>120</v>
      </c>
      <c r="AV1559" t="s">
        <v>25335</v>
      </c>
      <c r="AW1559" t="s">
        <v>11447</v>
      </c>
    </row>
    <row r="1560" spans="1:49">
      <c r="A1560" s="1">
        <f>HYPERLINK("https://lsnyc.legalserver.org/matter/dynamic-profile/view/1913806","19-1913806")</f>
        <v>0</v>
      </c>
      <c r="B1560" t="s">
        <v>170</v>
      </c>
      <c r="C1560" t="s">
        <v>533</v>
      </c>
      <c r="E1560" t="s">
        <v>1972</v>
      </c>
      <c r="F1560" t="s">
        <v>3614</v>
      </c>
      <c r="G1560" t="s">
        <v>7495</v>
      </c>
      <c r="H1560">
        <v>411</v>
      </c>
      <c r="I1560" t="s">
        <v>11386</v>
      </c>
      <c r="J1560">
        <v>10029</v>
      </c>
      <c r="K1560" t="s">
        <v>11446</v>
      </c>
      <c r="M1560" t="s">
        <v>11601</v>
      </c>
      <c r="N1560" t="s">
        <v>14779</v>
      </c>
      <c r="P1560" t="s">
        <v>14797</v>
      </c>
      <c r="Q1560" t="s">
        <v>11446</v>
      </c>
      <c r="S1560" t="s">
        <v>14827</v>
      </c>
      <c r="T1560" t="s">
        <v>14832</v>
      </c>
      <c r="U1560" t="s">
        <v>476</v>
      </c>
      <c r="V1560">
        <v>138</v>
      </c>
      <c r="W1560" t="s">
        <v>14860</v>
      </c>
      <c r="X1560" t="s">
        <v>14876</v>
      </c>
      <c r="Z1560" t="s">
        <v>16303</v>
      </c>
      <c r="AC1560">
        <v>135</v>
      </c>
      <c r="AD1560" t="s">
        <v>24595</v>
      </c>
      <c r="AE1560" t="s">
        <v>24610</v>
      </c>
      <c r="AF1560">
        <v>36</v>
      </c>
      <c r="AG1560">
        <v>2</v>
      </c>
      <c r="AH1560">
        <v>0</v>
      </c>
      <c r="AI1560">
        <v>70.54000000000001</v>
      </c>
      <c r="AL1560" t="s">
        <v>24632</v>
      </c>
      <c r="AM1560">
        <v>11928</v>
      </c>
      <c r="AS1560">
        <v>12.75</v>
      </c>
      <c r="AT1560" t="s">
        <v>495</v>
      </c>
      <c r="AU1560" t="s">
        <v>25266</v>
      </c>
      <c r="AV1560" t="s">
        <v>25335</v>
      </c>
      <c r="AW1560" t="s">
        <v>11447</v>
      </c>
    </row>
    <row r="1561" spans="1:49">
      <c r="A1561" s="1">
        <f>HYPERLINK("https://lsnyc.legalserver.org/matter/dynamic-profile/view/1914288","19-1914288")</f>
        <v>0</v>
      </c>
      <c r="B1561" t="s">
        <v>236</v>
      </c>
      <c r="C1561" t="s">
        <v>539</v>
      </c>
      <c r="E1561" t="s">
        <v>1973</v>
      </c>
      <c r="F1561" t="s">
        <v>1839</v>
      </c>
      <c r="G1561" t="s">
        <v>7365</v>
      </c>
      <c r="H1561">
        <v>41</v>
      </c>
      <c r="I1561" t="s">
        <v>11385</v>
      </c>
      <c r="J1561">
        <v>11213</v>
      </c>
      <c r="K1561" t="s">
        <v>11446</v>
      </c>
      <c r="L1561" t="s">
        <v>11459</v>
      </c>
      <c r="M1561" t="s">
        <v>11601</v>
      </c>
      <c r="N1561" t="s">
        <v>14779</v>
      </c>
      <c r="P1561" t="s">
        <v>14797</v>
      </c>
      <c r="Q1561" t="s">
        <v>11446</v>
      </c>
      <c r="S1561" t="s">
        <v>14827</v>
      </c>
      <c r="T1561" t="s">
        <v>14832</v>
      </c>
      <c r="U1561" t="s">
        <v>476</v>
      </c>
      <c r="V1561">
        <v>739.64</v>
      </c>
      <c r="W1561" t="s">
        <v>14859</v>
      </c>
      <c r="X1561" t="s">
        <v>14876</v>
      </c>
      <c r="Z1561" t="s">
        <v>16304</v>
      </c>
      <c r="AA1561">
        <v>109154905</v>
      </c>
      <c r="AB1561" t="s">
        <v>21373</v>
      </c>
      <c r="AC1561">
        <v>31</v>
      </c>
      <c r="AD1561" t="s">
        <v>24595</v>
      </c>
      <c r="AE1561" t="s">
        <v>11459</v>
      </c>
      <c r="AF1561">
        <v>35</v>
      </c>
      <c r="AG1561">
        <v>2</v>
      </c>
      <c r="AH1561">
        <v>0</v>
      </c>
      <c r="AI1561">
        <v>80.76000000000001</v>
      </c>
      <c r="AL1561" t="s">
        <v>5011</v>
      </c>
      <c r="AM1561">
        <v>13656</v>
      </c>
      <c r="AN1561" t="s">
        <v>24778</v>
      </c>
      <c r="AS1561">
        <v>0</v>
      </c>
      <c r="AU1561" t="s">
        <v>66</v>
      </c>
      <c r="AV1561" t="s">
        <v>25335</v>
      </c>
      <c r="AW1561" t="s">
        <v>11447</v>
      </c>
    </row>
    <row r="1562" spans="1:49">
      <c r="A1562" s="1">
        <f>HYPERLINK("https://lsnyc.legalserver.org/matter/dynamic-profile/view/1913749","19-1913749")</f>
        <v>0</v>
      </c>
      <c r="B1562" t="s">
        <v>231</v>
      </c>
      <c r="C1562" t="s">
        <v>476</v>
      </c>
      <c r="E1562" t="s">
        <v>1321</v>
      </c>
      <c r="F1562" t="s">
        <v>4345</v>
      </c>
      <c r="G1562" t="s">
        <v>7327</v>
      </c>
      <c r="H1562" t="s">
        <v>10541</v>
      </c>
      <c r="I1562" t="s">
        <v>11386</v>
      </c>
      <c r="J1562">
        <v>10027</v>
      </c>
      <c r="K1562" t="s">
        <v>11446</v>
      </c>
      <c r="M1562" t="s">
        <v>14748</v>
      </c>
      <c r="N1562" t="s">
        <v>14779</v>
      </c>
      <c r="P1562" t="s">
        <v>14797</v>
      </c>
      <c r="Q1562" t="s">
        <v>11448</v>
      </c>
      <c r="S1562" t="s">
        <v>14827</v>
      </c>
      <c r="U1562" t="s">
        <v>476</v>
      </c>
      <c r="V1562">
        <v>433.33</v>
      </c>
      <c r="W1562" t="s">
        <v>14860</v>
      </c>
      <c r="X1562" t="s">
        <v>14868</v>
      </c>
      <c r="Z1562" t="s">
        <v>16045</v>
      </c>
      <c r="AB1562" t="s">
        <v>21131</v>
      </c>
      <c r="AC1562">
        <v>23</v>
      </c>
      <c r="AD1562" t="s">
        <v>24595</v>
      </c>
      <c r="AE1562" t="s">
        <v>24613</v>
      </c>
      <c r="AF1562">
        <v>0</v>
      </c>
      <c r="AG1562">
        <v>1</v>
      </c>
      <c r="AH1562">
        <v>0</v>
      </c>
      <c r="AI1562">
        <v>113.07</v>
      </c>
      <c r="AM1562">
        <v>14122.8</v>
      </c>
      <c r="AS1562">
        <v>3.8</v>
      </c>
      <c r="AT1562" t="s">
        <v>654</v>
      </c>
      <c r="AU1562" t="s">
        <v>137</v>
      </c>
      <c r="AV1562" t="s">
        <v>25335</v>
      </c>
      <c r="AW1562" t="s">
        <v>11447</v>
      </c>
    </row>
    <row r="1563" spans="1:49">
      <c r="A1563" s="1">
        <f>HYPERLINK("https://lsnyc.legalserver.org/matter/dynamic-profile/view/1913787","19-1913787")</f>
        <v>0</v>
      </c>
      <c r="B1563" t="s">
        <v>170</v>
      </c>
      <c r="C1563" t="s">
        <v>533</v>
      </c>
      <c r="E1563" t="s">
        <v>1025</v>
      </c>
      <c r="F1563" t="s">
        <v>4499</v>
      </c>
      <c r="G1563" t="s">
        <v>7496</v>
      </c>
      <c r="H1563">
        <v>610</v>
      </c>
      <c r="I1563" t="s">
        <v>11386</v>
      </c>
      <c r="J1563">
        <v>10029</v>
      </c>
      <c r="K1563" t="s">
        <v>11446</v>
      </c>
      <c r="M1563" t="s">
        <v>11601</v>
      </c>
      <c r="N1563" t="s">
        <v>14779</v>
      </c>
      <c r="P1563" t="s">
        <v>14797</v>
      </c>
      <c r="Q1563" t="s">
        <v>11446</v>
      </c>
      <c r="S1563" t="s">
        <v>14827</v>
      </c>
      <c r="T1563" t="s">
        <v>14832</v>
      </c>
      <c r="U1563" t="s">
        <v>476</v>
      </c>
      <c r="V1563">
        <v>713</v>
      </c>
      <c r="W1563" t="s">
        <v>14860</v>
      </c>
      <c r="X1563" t="s">
        <v>14876</v>
      </c>
      <c r="Z1563" t="s">
        <v>16305</v>
      </c>
      <c r="AC1563">
        <v>135</v>
      </c>
      <c r="AD1563" t="s">
        <v>24599</v>
      </c>
      <c r="AE1563" t="s">
        <v>11459</v>
      </c>
      <c r="AF1563">
        <v>36</v>
      </c>
      <c r="AG1563">
        <v>2</v>
      </c>
      <c r="AH1563">
        <v>2</v>
      </c>
      <c r="AI1563">
        <v>143.07</v>
      </c>
      <c r="AL1563" t="s">
        <v>24632</v>
      </c>
      <c r="AM1563">
        <v>36840</v>
      </c>
      <c r="AS1563">
        <v>3</v>
      </c>
      <c r="AT1563" t="s">
        <v>506</v>
      </c>
      <c r="AU1563" t="s">
        <v>25266</v>
      </c>
      <c r="AV1563" t="s">
        <v>25335</v>
      </c>
      <c r="AW1563" t="s">
        <v>11447</v>
      </c>
    </row>
    <row r="1564" spans="1:49">
      <c r="A1564" s="1">
        <f>HYPERLINK("https://lsnyc.legalserver.org/matter/dynamic-profile/view/1913840","19-1913840")</f>
        <v>0</v>
      </c>
      <c r="B1564" t="s">
        <v>170</v>
      </c>
      <c r="C1564" t="s">
        <v>533</v>
      </c>
      <c r="E1564" t="s">
        <v>1974</v>
      </c>
      <c r="F1564" t="s">
        <v>4500</v>
      </c>
      <c r="G1564" t="s">
        <v>7496</v>
      </c>
      <c r="H1564" t="s">
        <v>10533</v>
      </c>
      <c r="I1564" t="s">
        <v>11386</v>
      </c>
      <c r="J1564">
        <v>10029</v>
      </c>
      <c r="K1564" t="s">
        <v>11446</v>
      </c>
      <c r="M1564" t="s">
        <v>11601</v>
      </c>
      <c r="N1564" t="s">
        <v>14779</v>
      </c>
      <c r="P1564" t="s">
        <v>14797</v>
      </c>
      <c r="Q1564" t="s">
        <v>11446</v>
      </c>
      <c r="S1564" t="s">
        <v>14827</v>
      </c>
      <c r="T1564" t="s">
        <v>14832</v>
      </c>
      <c r="U1564" t="s">
        <v>476</v>
      </c>
      <c r="V1564">
        <v>875</v>
      </c>
      <c r="W1564" t="s">
        <v>14860</v>
      </c>
      <c r="X1564" t="s">
        <v>14876</v>
      </c>
      <c r="Z1564" t="s">
        <v>16306</v>
      </c>
      <c r="AB1564" t="s">
        <v>21374</v>
      </c>
      <c r="AC1564">
        <v>135</v>
      </c>
      <c r="AD1564" t="s">
        <v>24595</v>
      </c>
      <c r="AE1564" t="s">
        <v>11459</v>
      </c>
      <c r="AF1564">
        <v>36</v>
      </c>
      <c r="AG1564">
        <v>3</v>
      </c>
      <c r="AH1564">
        <v>0</v>
      </c>
      <c r="AI1564">
        <v>178.15</v>
      </c>
      <c r="AL1564" t="s">
        <v>24632</v>
      </c>
      <c r="AM1564">
        <v>38000</v>
      </c>
      <c r="AS1564">
        <v>4</v>
      </c>
      <c r="AT1564" t="s">
        <v>506</v>
      </c>
      <c r="AU1564" t="s">
        <v>25266</v>
      </c>
      <c r="AV1564" t="s">
        <v>25335</v>
      </c>
      <c r="AW1564" t="s">
        <v>11447</v>
      </c>
    </row>
    <row r="1565" spans="1:49">
      <c r="A1565" s="1">
        <f>HYPERLINK("https://lsnyc.legalserver.org/matter/dynamic-profile/view/1914645","19-1914645")</f>
        <v>0</v>
      </c>
      <c r="B1565" t="s">
        <v>170</v>
      </c>
      <c r="C1565" t="s">
        <v>491</v>
      </c>
      <c r="E1565" t="s">
        <v>1176</v>
      </c>
      <c r="F1565" t="s">
        <v>4501</v>
      </c>
      <c r="G1565" t="s">
        <v>7497</v>
      </c>
      <c r="H1565" t="s">
        <v>10569</v>
      </c>
      <c r="I1565" t="s">
        <v>11386</v>
      </c>
      <c r="J1565">
        <v>10035</v>
      </c>
      <c r="K1565" t="s">
        <v>11446</v>
      </c>
      <c r="M1565" t="s">
        <v>14746</v>
      </c>
      <c r="N1565" t="s">
        <v>14782</v>
      </c>
      <c r="P1565" t="s">
        <v>14797</v>
      </c>
      <c r="Q1565" t="s">
        <v>11446</v>
      </c>
      <c r="S1565" t="s">
        <v>14827</v>
      </c>
      <c r="T1565" t="s">
        <v>14832</v>
      </c>
      <c r="U1565" t="s">
        <v>476</v>
      </c>
      <c r="V1565">
        <v>2100</v>
      </c>
      <c r="W1565" t="s">
        <v>14860</v>
      </c>
      <c r="X1565" t="s">
        <v>14876</v>
      </c>
      <c r="Z1565" t="s">
        <v>16307</v>
      </c>
      <c r="AC1565">
        <v>33</v>
      </c>
      <c r="AD1565" t="s">
        <v>24595</v>
      </c>
      <c r="AE1565" t="s">
        <v>11459</v>
      </c>
      <c r="AF1565">
        <v>2</v>
      </c>
      <c r="AG1565">
        <v>1</v>
      </c>
      <c r="AH1565">
        <v>0</v>
      </c>
      <c r="AI1565">
        <v>920.74</v>
      </c>
      <c r="AL1565" t="s">
        <v>5011</v>
      </c>
      <c r="AM1565">
        <v>115000</v>
      </c>
      <c r="AS1565">
        <v>1.5</v>
      </c>
      <c r="AT1565" t="s">
        <v>515</v>
      </c>
      <c r="AU1565" t="s">
        <v>25266</v>
      </c>
      <c r="AV1565" t="s">
        <v>25335</v>
      </c>
      <c r="AW1565" t="s">
        <v>11447</v>
      </c>
    </row>
    <row r="1566" spans="1:49">
      <c r="A1566" s="1">
        <f>HYPERLINK("https://lsnyc.legalserver.org/matter/dynamic-profile/view/1913813","19-1913813")</f>
        <v>0</v>
      </c>
      <c r="B1566" t="s">
        <v>126</v>
      </c>
      <c r="C1566" t="s">
        <v>533</v>
      </c>
      <c r="E1566" t="s">
        <v>1975</v>
      </c>
      <c r="F1566" t="s">
        <v>2111</v>
      </c>
      <c r="G1566" t="s">
        <v>7498</v>
      </c>
      <c r="H1566" t="s">
        <v>10522</v>
      </c>
      <c r="I1566" t="s">
        <v>11383</v>
      </c>
      <c r="J1566">
        <v>10453</v>
      </c>
      <c r="K1566" t="s">
        <v>11446</v>
      </c>
      <c r="N1566" t="s">
        <v>14778</v>
      </c>
      <c r="P1566" t="s">
        <v>14797</v>
      </c>
      <c r="Q1566" t="s">
        <v>11448</v>
      </c>
      <c r="S1566" t="s">
        <v>14827</v>
      </c>
      <c r="U1566" t="s">
        <v>533</v>
      </c>
      <c r="V1566">
        <v>1120</v>
      </c>
      <c r="W1566" t="s">
        <v>14858</v>
      </c>
      <c r="X1566" t="s">
        <v>14864</v>
      </c>
      <c r="Z1566" t="s">
        <v>16308</v>
      </c>
      <c r="AB1566" t="s">
        <v>21375</v>
      </c>
      <c r="AC1566">
        <v>31</v>
      </c>
      <c r="AF1566">
        <v>35</v>
      </c>
      <c r="AG1566">
        <v>2</v>
      </c>
      <c r="AH1566">
        <v>0</v>
      </c>
      <c r="AI1566">
        <v>4.73</v>
      </c>
      <c r="AL1566" t="s">
        <v>24632</v>
      </c>
      <c r="AM1566">
        <v>800</v>
      </c>
      <c r="AS1566">
        <v>1.8</v>
      </c>
      <c r="AT1566" t="s">
        <v>533</v>
      </c>
      <c r="AU1566" t="s">
        <v>126</v>
      </c>
      <c r="AW1566" t="s">
        <v>11447</v>
      </c>
    </row>
    <row r="1567" spans="1:49">
      <c r="A1567" s="1">
        <f>HYPERLINK("https://lsnyc.legalserver.org/matter/dynamic-profile/view/1914323","19-1914323")</f>
        <v>0</v>
      </c>
      <c r="B1567" t="s">
        <v>214</v>
      </c>
      <c r="C1567" t="s">
        <v>539</v>
      </c>
      <c r="E1567" t="s">
        <v>1610</v>
      </c>
      <c r="F1567" t="s">
        <v>3901</v>
      </c>
      <c r="G1567" t="s">
        <v>7370</v>
      </c>
      <c r="H1567">
        <v>461</v>
      </c>
      <c r="I1567" t="s">
        <v>11385</v>
      </c>
      <c r="J1567">
        <v>11208</v>
      </c>
      <c r="K1567" t="s">
        <v>11446</v>
      </c>
      <c r="L1567" t="s">
        <v>11975</v>
      </c>
      <c r="M1567" t="s">
        <v>14744</v>
      </c>
      <c r="P1567" t="s">
        <v>14797</v>
      </c>
      <c r="Q1567" t="s">
        <v>11448</v>
      </c>
      <c r="S1567" t="s">
        <v>14827</v>
      </c>
      <c r="T1567" t="s">
        <v>14833</v>
      </c>
      <c r="U1567" t="s">
        <v>533</v>
      </c>
      <c r="V1567">
        <v>1667</v>
      </c>
      <c r="W1567" t="s">
        <v>14859</v>
      </c>
      <c r="X1567" t="s">
        <v>14863</v>
      </c>
      <c r="Z1567" t="s">
        <v>16309</v>
      </c>
      <c r="AA1567" t="s">
        <v>19457</v>
      </c>
      <c r="AB1567" t="s">
        <v>21376</v>
      </c>
      <c r="AC1567">
        <v>266</v>
      </c>
      <c r="AD1567" t="s">
        <v>24595</v>
      </c>
      <c r="AE1567" t="s">
        <v>24610</v>
      </c>
      <c r="AF1567">
        <v>15</v>
      </c>
      <c r="AG1567">
        <v>2</v>
      </c>
      <c r="AH1567">
        <v>1</v>
      </c>
      <c r="AI1567">
        <v>11.25</v>
      </c>
      <c r="AL1567" t="s">
        <v>5011</v>
      </c>
      <c r="AM1567">
        <v>2400</v>
      </c>
      <c r="AS1567">
        <v>0</v>
      </c>
      <c r="AU1567" t="s">
        <v>66</v>
      </c>
      <c r="AV1567" t="s">
        <v>25334</v>
      </c>
      <c r="AW1567" t="s">
        <v>11447</v>
      </c>
    </row>
    <row r="1568" spans="1:49">
      <c r="A1568" s="1">
        <f>HYPERLINK("https://lsnyc.legalserver.org/matter/dynamic-profile/view/1912815","19-1912815")</f>
        <v>0</v>
      </c>
      <c r="B1568" t="s">
        <v>56</v>
      </c>
      <c r="C1568" t="s">
        <v>470</v>
      </c>
      <c r="E1568" t="s">
        <v>1185</v>
      </c>
      <c r="F1568" t="s">
        <v>4038</v>
      </c>
      <c r="G1568" t="s">
        <v>7499</v>
      </c>
      <c r="H1568" t="s">
        <v>10448</v>
      </c>
      <c r="I1568" t="s">
        <v>11385</v>
      </c>
      <c r="J1568">
        <v>11233</v>
      </c>
      <c r="K1568" t="s">
        <v>11446</v>
      </c>
      <c r="L1568" t="s">
        <v>11976</v>
      </c>
      <c r="M1568" t="s">
        <v>14744</v>
      </c>
      <c r="N1568" t="s">
        <v>14782</v>
      </c>
      <c r="P1568" t="s">
        <v>14797</v>
      </c>
      <c r="Q1568" t="s">
        <v>11448</v>
      </c>
      <c r="S1568" t="s">
        <v>14827</v>
      </c>
      <c r="U1568" t="s">
        <v>533</v>
      </c>
      <c r="V1568">
        <v>520</v>
      </c>
      <c r="W1568" t="s">
        <v>14859</v>
      </c>
      <c r="X1568" t="s">
        <v>14755</v>
      </c>
      <c r="Z1568" t="s">
        <v>16310</v>
      </c>
      <c r="AB1568" t="s">
        <v>21377</v>
      </c>
      <c r="AC1568">
        <v>112</v>
      </c>
      <c r="AD1568" t="s">
        <v>24604</v>
      </c>
      <c r="AE1568" t="s">
        <v>14755</v>
      </c>
      <c r="AF1568">
        <v>12</v>
      </c>
      <c r="AG1568">
        <v>4</v>
      </c>
      <c r="AH1568">
        <v>0</v>
      </c>
      <c r="AI1568">
        <v>15.15</v>
      </c>
      <c r="AL1568" t="s">
        <v>24632</v>
      </c>
      <c r="AM1568">
        <v>3900</v>
      </c>
      <c r="AS1568">
        <v>2.6</v>
      </c>
      <c r="AT1568" t="s">
        <v>506</v>
      </c>
      <c r="AU1568" t="s">
        <v>25249</v>
      </c>
      <c r="AV1568" t="s">
        <v>25335</v>
      </c>
      <c r="AW1568" t="s">
        <v>11447</v>
      </c>
    </row>
    <row r="1569" spans="1:49">
      <c r="A1569" s="1">
        <f>HYPERLINK("https://lsnyc.legalserver.org/matter/dynamic-profile/view/1912770","19-1912770")</f>
        <v>0</v>
      </c>
      <c r="B1569" t="s">
        <v>205</v>
      </c>
      <c r="C1569" t="s">
        <v>470</v>
      </c>
      <c r="E1569" t="s">
        <v>1976</v>
      </c>
      <c r="F1569" t="s">
        <v>3972</v>
      </c>
      <c r="G1569" t="s">
        <v>7500</v>
      </c>
      <c r="H1569">
        <v>26</v>
      </c>
      <c r="I1569" t="s">
        <v>11386</v>
      </c>
      <c r="J1569">
        <v>10029</v>
      </c>
      <c r="K1569" t="s">
        <v>11446</v>
      </c>
      <c r="L1569" t="s">
        <v>11977</v>
      </c>
      <c r="M1569" t="s">
        <v>14743</v>
      </c>
      <c r="N1569" t="s">
        <v>14782</v>
      </c>
      <c r="P1569" t="s">
        <v>14797</v>
      </c>
      <c r="Q1569" t="s">
        <v>11448</v>
      </c>
      <c r="S1569" t="s">
        <v>14827</v>
      </c>
      <c r="T1569" t="s">
        <v>14832</v>
      </c>
      <c r="U1569" t="s">
        <v>533</v>
      </c>
      <c r="V1569">
        <v>1600</v>
      </c>
      <c r="W1569" t="s">
        <v>14860</v>
      </c>
      <c r="X1569" t="s">
        <v>14863</v>
      </c>
      <c r="Z1569" t="s">
        <v>16311</v>
      </c>
      <c r="AB1569" t="s">
        <v>21378</v>
      </c>
      <c r="AC1569">
        <v>36</v>
      </c>
      <c r="AD1569" t="s">
        <v>24595</v>
      </c>
      <c r="AE1569" t="s">
        <v>24610</v>
      </c>
      <c r="AF1569">
        <v>10</v>
      </c>
      <c r="AG1569">
        <v>1</v>
      </c>
      <c r="AH1569">
        <v>3</v>
      </c>
      <c r="AI1569">
        <v>63.52</v>
      </c>
      <c r="AL1569" t="s">
        <v>5011</v>
      </c>
      <c r="AM1569">
        <v>16356</v>
      </c>
      <c r="AS1569">
        <v>1.5</v>
      </c>
      <c r="AT1569" t="s">
        <v>533</v>
      </c>
      <c r="AU1569" t="s">
        <v>25244</v>
      </c>
      <c r="AV1569" t="s">
        <v>25335</v>
      </c>
      <c r="AW1569" t="s">
        <v>11447</v>
      </c>
    </row>
    <row r="1570" spans="1:49">
      <c r="A1570" s="1">
        <f>HYPERLINK("https://lsnyc.legalserver.org/matter/dynamic-profile/view/1914147","19-1914147")</f>
        <v>0</v>
      </c>
      <c r="B1570" t="s">
        <v>170</v>
      </c>
      <c r="C1570" t="s">
        <v>580</v>
      </c>
      <c r="E1570" t="s">
        <v>1977</v>
      </c>
      <c r="F1570" t="s">
        <v>3797</v>
      </c>
      <c r="G1570" t="s">
        <v>7415</v>
      </c>
      <c r="H1570" t="s">
        <v>10846</v>
      </c>
      <c r="I1570" t="s">
        <v>11386</v>
      </c>
      <c r="J1570">
        <v>10037</v>
      </c>
      <c r="K1570" t="s">
        <v>11446</v>
      </c>
      <c r="M1570" t="s">
        <v>14746</v>
      </c>
      <c r="N1570" t="s">
        <v>14782</v>
      </c>
      <c r="P1570" t="s">
        <v>14797</v>
      </c>
      <c r="Q1570" t="s">
        <v>11446</v>
      </c>
      <c r="S1570" t="s">
        <v>14827</v>
      </c>
      <c r="T1570" t="s">
        <v>14832</v>
      </c>
      <c r="U1570" t="s">
        <v>533</v>
      </c>
      <c r="V1570">
        <v>1000</v>
      </c>
      <c r="W1570" t="s">
        <v>14860</v>
      </c>
      <c r="X1570" t="s">
        <v>14876</v>
      </c>
      <c r="Z1570" t="s">
        <v>16312</v>
      </c>
      <c r="AB1570" t="s">
        <v>21379</v>
      </c>
      <c r="AC1570">
        <v>259</v>
      </c>
      <c r="AD1570" t="s">
        <v>24595</v>
      </c>
      <c r="AE1570" t="s">
        <v>11459</v>
      </c>
      <c r="AF1570">
        <v>33</v>
      </c>
      <c r="AG1570">
        <v>2</v>
      </c>
      <c r="AH1570">
        <v>0</v>
      </c>
      <c r="AI1570">
        <v>113.54</v>
      </c>
      <c r="AL1570" t="s">
        <v>5011</v>
      </c>
      <c r="AM1570">
        <v>19200</v>
      </c>
      <c r="AS1570">
        <v>0</v>
      </c>
      <c r="AU1570" t="s">
        <v>25266</v>
      </c>
      <c r="AV1570" t="s">
        <v>25335</v>
      </c>
      <c r="AW1570" t="s">
        <v>11447</v>
      </c>
    </row>
    <row r="1571" spans="1:49">
      <c r="A1571" s="1">
        <f>HYPERLINK("https://lsnyc.legalserver.org/matter/dynamic-profile/view/1914254","19-1914254")</f>
        <v>0</v>
      </c>
      <c r="B1571" t="s">
        <v>170</v>
      </c>
      <c r="C1571" t="s">
        <v>539</v>
      </c>
      <c r="E1571" t="s">
        <v>1978</v>
      </c>
      <c r="F1571" t="s">
        <v>4502</v>
      </c>
      <c r="G1571" t="s">
        <v>7415</v>
      </c>
      <c r="I1571" t="s">
        <v>11386</v>
      </c>
      <c r="J1571">
        <v>10037</v>
      </c>
      <c r="K1571" t="s">
        <v>11446</v>
      </c>
      <c r="M1571" t="s">
        <v>14746</v>
      </c>
      <c r="N1571" t="s">
        <v>14781</v>
      </c>
      <c r="P1571" t="s">
        <v>14797</v>
      </c>
      <c r="Q1571" t="s">
        <v>11446</v>
      </c>
      <c r="S1571" t="s">
        <v>14827</v>
      </c>
      <c r="T1571" t="s">
        <v>14832</v>
      </c>
      <c r="U1571" t="s">
        <v>533</v>
      </c>
      <c r="V1571">
        <v>0</v>
      </c>
      <c r="W1571" t="s">
        <v>14860</v>
      </c>
      <c r="X1571" t="s">
        <v>14876</v>
      </c>
      <c r="Z1571" t="s">
        <v>16313</v>
      </c>
      <c r="AB1571" t="s">
        <v>21380</v>
      </c>
      <c r="AC1571">
        <v>259</v>
      </c>
      <c r="AE1571" t="s">
        <v>11459</v>
      </c>
      <c r="AF1571">
        <v>3</v>
      </c>
      <c r="AG1571">
        <v>1</v>
      </c>
      <c r="AH1571">
        <v>2</v>
      </c>
      <c r="AI1571">
        <v>117.21</v>
      </c>
      <c r="AL1571" t="s">
        <v>5011</v>
      </c>
      <c r="AM1571">
        <v>25000</v>
      </c>
      <c r="AS1571">
        <v>0</v>
      </c>
      <c r="AU1571" t="s">
        <v>25266</v>
      </c>
      <c r="AV1571" t="s">
        <v>25335</v>
      </c>
      <c r="AW1571" t="s">
        <v>11447</v>
      </c>
    </row>
    <row r="1572" spans="1:49">
      <c r="A1572" s="1">
        <f>HYPERLINK("https://lsnyc.legalserver.org/matter/dynamic-profile/view/1913860","19-1913860")</f>
        <v>0</v>
      </c>
      <c r="B1572" t="s">
        <v>224</v>
      </c>
      <c r="C1572" t="s">
        <v>533</v>
      </c>
      <c r="E1572" t="s">
        <v>1867</v>
      </c>
      <c r="F1572" t="s">
        <v>4390</v>
      </c>
      <c r="G1572" t="s">
        <v>7365</v>
      </c>
      <c r="H1572">
        <v>37</v>
      </c>
      <c r="I1572" t="s">
        <v>11385</v>
      </c>
      <c r="J1572">
        <v>11213</v>
      </c>
      <c r="K1572" t="s">
        <v>11446</v>
      </c>
      <c r="L1572" t="s">
        <v>11456</v>
      </c>
      <c r="M1572" t="s">
        <v>11601</v>
      </c>
      <c r="N1572" t="s">
        <v>14779</v>
      </c>
      <c r="P1572" t="s">
        <v>14797</v>
      </c>
      <c r="Q1572" t="s">
        <v>11446</v>
      </c>
      <c r="S1572" t="s">
        <v>14827</v>
      </c>
      <c r="T1572" t="s">
        <v>14832</v>
      </c>
      <c r="U1572" t="s">
        <v>533</v>
      </c>
      <c r="V1572">
        <v>798.41</v>
      </c>
      <c r="W1572" t="s">
        <v>14859</v>
      </c>
      <c r="X1572" t="s">
        <v>14755</v>
      </c>
      <c r="Z1572" t="s">
        <v>16105</v>
      </c>
      <c r="AA1572" t="s">
        <v>11459</v>
      </c>
      <c r="AB1572" t="s">
        <v>21188</v>
      </c>
      <c r="AC1572">
        <v>31</v>
      </c>
      <c r="AD1572" t="s">
        <v>24595</v>
      </c>
      <c r="AE1572" t="s">
        <v>24613</v>
      </c>
      <c r="AF1572">
        <v>41</v>
      </c>
      <c r="AG1572">
        <v>2</v>
      </c>
      <c r="AH1572">
        <v>0</v>
      </c>
      <c r="AI1572">
        <v>146.08</v>
      </c>
      <c r="AL1572" t="s">
        <v>5011</v>
      </c>
      <c r="AM1572">
        <v>24702</v>
      </c>
      <c r="AS1572">
        <v>0</v>
      </c>
      <c r="AU1572" t="s">
        <v>66</v>
      </c>
      <c r="AV1572" t="s">
        <v>25335</v>
      </c>
      <c r="AW1572" t="s">
        <v>11447</v>
      </c>
    </row>
    <row r="1573" spans="1:49">
      <c r="A1573" s="1">
        <f>HYPERLINK("https://lsnyc.legalserver.org/matter/dynamic-profile/view/1914230","19-1914230")</f>
        <v>0</v>
      </c>
      <c r="B1573" t="s">
        <v>170</v>
      </c>
      <c r="C1573" t="s">
        <v>539</v>
      </c>
      <c r="E1573" t="s">
        <v>1979</v>
      </c>
      <c r="F1573" t="s">
        <v>4503</v>
      </c>
      <c r="G1573" t="s">
        <v>6711</v>
      </c>
      <c r="H1573" t="s">
        <v>10847</v>
      </c>
      <c r="I1573" t="s">
        <v>11386</v>
      </c>
      <c r="J1573">
        <v>10037</v>
      </c>
      <c r="K1573" t="s">
        <v>11446</v>
      </c>
      <c r="M1573" t="s">
        <v>14746</v>
      </c>
      <c r="N1573" t="s">
        <v>14782</v>
      </c>
      <c r="P1573" t="s">
        <v>14797</v>
      </c>
      <c r="Q1573" t="s">
        <v>11446</v>
      </c>
      <c r="S1573" t="s">
        <v>14827</v>
      </c>
      <c r="T1573" t="s">
        <v>14832</v>
      </c>
      <c r="U1573" t="s">
        <v>533</v>
      </c>
      <c r="V1573">
        <v>849.86</v>
      </c>
      <c r="W1573" t="s">
        <v>14860</v>
      </c>
      <c r="X1573" t="s">
        <v>14876</v>
      </c>
      <c r="Z1573" t="s">
        <v>16314</v>
      </c>
      <c r="AB1573" t="s">
        <v>21381</v>
      </c>
      <c r="AC1573">
        <v>259</v>
      </c>
      <c r="AD1573" t="s">
        <v>24595</v>
      </c>
      <c r="AE1573" t="s">
        <v>24613</v>
      </c>
      <c r="AF1573">
        <v>12</v>
      </c>
      <c r="AG1573">
        <v>1</v>
      </c>
      <c r="AH1573">
        <v>0</v>
      </c>
      <c r="AI1573">
        <v>153.72</v>
      </c>
      <c r="AL1573" t="s">
        <v>5011</v>
      </c>
      <c r="AM1573">
        <v>19200</v>
      </c>
      <c r="AS1573">
        <v>0</v>
      </c>
      <c r="AU1573" t="s">
        <v>25266</v>
      </c>
      <c r="AV1573" t="s">
        <v>25335</v>
      </c>
      <c r="AW1573" t="s">
        <v>11447</v>
      </c>
    </row>
    <row r="1574" spans="1:49">
      <c r="A1574" s="1">
        <f>HYPERLINK("https://lsnyc.legalserver.org/matter/dynamic-profile/view/1911206","19-1911206")</f>
        <v>0</v>
      </c>
      <c r="B1574" t="s">
        <v>59</v>
      </c>
      <c r="C1574" t="s">
        <v>475</v>
      </c>
      <c r="E1574" t="s">
        <v>1980</v>
      </c>
      <c r="F1574" t="s">
        <v>4504</v>
      </c>
      <c r="G1574" t="s">
        <v>7501</v>
      </c>
      <c r="H1574" t="s">
        <v>10848</v>
      </c>
      <c r="I1574" t="s">
        <v>11422</v>
      </c>
      <c r="J1574">
        <v>11413</v>
      </c>
      <c r="K1574" t="s">
        <v>11446</v>
      </c>
      <c r="L1574" t="s">
        <v>11978</v>
      </c>
      <c r="M1574" t="s">
        <v>14743</v>
      </c>
      <c r="N1574" t="s">
        <v>14781</v>
      </c>
      <c r="P1574" t="s">
        <v>14797</v>
      </c>
      <c r="Q1574" t="s">
        <v>11448</v>
      </c>
      <c r="S1574" t="s">
        <v>14827</v>
      </c>
      <c r="T1574" t="s">
        <v>14832</v>
      </c>
      <c r="U1574" t="s">
        <v>533</v>
      </c>
      <c r="V1574">
        <v>1000</v>
      </c>
      <c r="W1574" t="s">
        <v>14861</v>
      </c>
      <c r="X1574" t="s">
        <v>14863</v>
      </c>
      <c r="Z1574" t="s">
        <v>16315</v>
      </c>
      <c r="AB1574" t="s">
        <v>21382</v>
      </c>
      <c r="AC1574">
        <v>2</v>
      </c>
      <c r="AD1574" t="s">
        <v>24600</v>
      </c>
      <c r="AE1574" t="s">
        <v>11459</v>
      </c>
      <c r="AF1574">
        <v>1</v>
      </c>
      <c r="AG1574">
        <v>2</v>
      </c>
      <c r="AH1574">
        <v>0</v>
      </c>
      <c r="AI1574">
        <v>176.56</v>
      </c>
      <c r="AL1574" t="s">
        <v>5011</v>
      </c>
      <c r="AM1574">
        <v>29856</v>
      </c>
      <c r="AS1574">
        <v>18.85</v>
      </c>
      <c r="AT1574" t="s">
        <v>491</v>
      </c>
      <c r="AU1574" t="s">
        <v>99</v>
      </c>
      <c r="AV1574" t="s">
        <v>25335</v>
      </c>
      <c r="AW1574" t="s">
        <v>11447</v>
      </c>
    </row>
    <row r="1575" spans="1:49">
      <c r="A1575" s="1">
        <f>HYPERLINK("https://lsnyc.legalserver.org/matter/dynamic-profile/view/1914156","19-1914156")</f>
        <v>0</v>
      </c>
      <c r="B1575" t="s">
        <v>170</v>
      </c>
      <c r="C1575" t="s">
        <v>580</v>
      </c>
      <c r="E1575" t="s">
        <v>1302</v>
      </c>
      <c r="F1575" t="s">
        <v>4505</v>
      </c>
      <c r="G1575" t="s">
        <v>7415</v>
      </c>
      <c r="H1575" t="s">
        <v>10849</v>
      </c>
      <c r="I1575" t="s">
        <v>11386</v>
      </c>
      <c r="J1575">
        <v>10037</v>
      </c>
      <c r="K1575" t="s">
        <v>11446</v>
      </c>
      <c r="M1575" t="s">
        <v>14746</v>
      </c>
      <c r="N1575" t="s">
        <v>14782</v>
      </c>
      <c r="P1575" t="s">
        <v>14797</v>
      </c>
      <c r="Q1575" t="s">
        <v>11446</v>
      </c>
      <c r="S1575" t="s">
        <v>14827</v>
      </c>
      <c r="T1575" t="s">
        <v>14832</v>
      </c>
      <c r="U1575" t="s">
        <v>533</v>
      </c>
      <c r="V1575">
        <v>1691</v>
      </c>
      <c r="W1575" t="s">
        <v>14860</v>
      </c>
      <c r="X1575" t="s">
        <v>14876</v>
      </c>
      <c r="Z1575" t="s">
        <v>16316</v>
      </c>
      <c r="AB1575" t="s">
        <v>21383</v>
      </c>
      <c r="AC1575">
        <v>259</v>
      </c>
      <c r="AD1575" t="s">
        <v>24595</v>
      </c>
      <c r="AE1575" t="s">
        <v>11459</v>
      </c>
      <c r="AF1575">
        <v>2</v>
      </c>
      <c r="AG1575">
        <v>1</v>
      </c>
      <c r="AH1575">
        <v>0</v>
      </c>
      <c r="AI1575">
        <v>180.27</v>
      </c>
      <c r="AL1575" t="s">
        <v>5011</v>
      </c>
      <c r="AM1575">
        <v>22516</v>
      </c>
      <c r="AS1575">
        <v>0</v>
      </c>
      <c r="AU1575" t="s">
        <v>25266</v>
      </c>
      <c r="AV1575" t="s">
        <v>25335</v>
      </c>
      <c r="AW1575" t="s">
        <v>11447</v>
      </c>
    </row>
    <row r="1576" spans="1:49">
      <c r="A1576" s="1">
        <f>HYPERLINK("https://lsnyc.legalserver.org/matter/dynamic-profile/view/1914043","19-1914043")</f>
        <v>0</v>
      </c>
      <c r="B1576" t="s">
        <v>104</v>
      </c>
      <c r="C1576" t="s">
        <v>580</v>
      </c>
      <c r="E1576" t="s">
        <v>1981</v>
      </c>
      <c r="F1576" t="s">
        <v>4506</v>
      </c>
      <c r="G1576" t="s">
        <v>7172</v>
      </c>
      <c r="H1576">
        <v>506</v>
      </c>
      <c r="I1576" t="s">
        <v>11386</v>
      </c>
      <c r="J1576">
        <v>10029</v>
      </c>
      <c r="K1576" t="s">
        <v>11446</v>
      </c>
      <c r="M1576" t="s">
        <v>11601</v>
      </c>
      <c r="N1576" t="s">
        <v>14782</v>
      </c>
      <c r="P1576" t="s">
        <v>14797</v>
      </c>
      <c r="Q1576" t="s">
        <v>11446</v>
      </c>
      <c r="S1576" t="s">
        <v>14827</v>
      </c>
      <c r="T1576" t="s">
        <v>14832</v>
      </c>
      <c r="U1576" t="s">
        <v>533</v>
      </c>
      <c r="V1576">
        <v>689</v>
      </c>
      <c r="W1576" t="s">
        <v>14860</v>
      </c>
      <c r="X1576" t="s">
        <v>14876</v>
      </c>
      <c r="Z1576" t="s">
        <v>16317</v>
      </c>
      <c r="AB1576" t="s">
        <v>21384</v>
      </c>
      <c r="AC1576">
        <v>108</v>
      </c>
      <c r="AD1576" t="s">
        <v>24595</v>
      </c>
      <c r="AE1576" t="s">
        <v>24610</v>
      </c>
      <c r="AF1576">
        <v>1</v>
      </c>
      <c r="AG1576">
        <v>1</v>
      </c>
      <c r="AH1576">
        <v>1</v>
      </c>
      <c r="AI1576">
        <v>189.24</v>
      </c>
      <c r="AL1576" t="s">
        <v>5011</v>
      </c>
      <c r="AM1576">
        <v>32000</v>
      </c>
      <c r="AS1576">
        <v>0</v>
      </c>
      <c r="AU1576" t="s">
        <v>25266</v>
      </c>
      <c r="AV1576" t="s">
        <v>25335</v>
      </c>
      <c r="AW1576" t="s">
        <v>11447</v>
      </c>
    </row>
    <row r="1577" spans="1:49">
      <c r="A1577" s="1">
        <f>HYPERLINK("https://lsnyc.legalserver.org/matter/dynamic-profile/view/1913818","19-1913818")</f>
        <v>0</v>
      </c>
      <c r="B1577" t="s">
        <v>167</v>
      </c>
      <c r="C1577" t="s">
        <v>533</v>
      </c>
      <c r="E1577" t="s">
        <v>1982</v>
      </c>
      <c r="F1577" t="s">
        <v>4507</v>
      </c>
      <c r="G1577" t="s">
        <v>7502</v>
      </c>
      <c r="H1577" t="s">
        <v>10678</v>
      </c>
      <c r="I1577" t="s">
        <v>11412</v>
      </c>
      <c r="J1577">
        <v>11101</v>
      </c>
      <c r="K1577" t="s">
        <v>11446</v>
      </c>
      <c r="L1577" t="s">
        <v>11979</v>
      </c>
      <c r="M1577" t="s">
        <v>14746</v>
      </c>
      <c r="N1577" t="s">
        <v>14779</v>
      </c>
      <c r="P1577" t="s">
        <v>14797</v>
      </c>
      <c r="Q1577" t="s">
        <v>11448</v>
      </c>
      <c r="S1577" t="s">
        <v>14827</v>
      </c>
      <c r="T1577" t="s">
        <v>14832</v>
      </c>
      <c r="U1577" t="s">
        <v>533</v>
      </c>
      <c r="V1577">
        <v>1540</v>
      </c>
      <c r="W1577" t="s">
        <v>14861</v>
      </c>
      <c r="X1577" t="s">
        <v>14864</v>
      </c>
      <c r="Z1577" t="s">
        <v>16318</v>
      </c>
      <c r="AB1577" t="s">
        <v>21385</v>
      </c>
      <c r="AC1577">
        <v>30</v>
      </c>
      <c r="AD1577" t="s">
        <v>24595</v>
      </c>
      <c r="AF1577">
        <v>11</v>
      </c>
      <c r="AG1577">
        <v>2</v>
      </c>
      <c r="AH1577">
        <v>1</v>
      </c>
      <c r="AI1577">
        <v>207.22</v>
      </c>
      <c r="AK1577" t="s">
        <v>24629</v>
      </c>
      <c r="AL1577" t="s">
        <v>24647</v>
      </c>
      <c r="AM1577">
        <v>44200</v>
      </c>
      <c r="AS1577">
        <v>3.2</v>
      </c>
      <c r="AT1577" t="s">
        <v>509</v>
      </c>
      <c r="AU1577" t="s">
        <v>167</v>
      </c>
      <c r="AW1577" t="s">
        <v>11447</v>
      </c>
    </row>
    <row r="1578" spans="1:49">
      <c r="A1578" s="1">
        <f>HYPERLINK("https://lsnyc.legalserver.org/matter/dynamic-profile/view/1912911","19-1912911")</f>
        <v>0</v>
      </c>
      <c r="B1578" t="s">
        <v>205</v>
      </c>
      <c r="C1578" t="s">
        <v>574</v>
      </c>
      <c r="E1578" t="s">
        <v>1983</v>
      </c>
      <c r="F1578" t="s">
        <v>1953</v>
      </c>
      <c r="G1578" t="s">
        <v>7503</v>
      </c>
      <c r="H1578" t="s">
        <v>10850</v>
      </c>
      <c r="I1578" t="s">
        <v>11386</v>
      </c>
      <c r="J1578">
        <v>10029</v>
      </c>
      <c r="K1578" t="s">
        <v>11446</v>
      </c>
      <c r="L1578" t="s">
        <v>11980</v>
      </c>
      <c r="M1578" t="s">
        <v>14743</v>
      </c>
      <c r="N1578" t="s">
        <v>14782</v>
      </c>
      <c r="P1578" t="s">
        <v>14797</v>
      </c>
      <c r="Q1578" t="s">
        <v>11448</v>
      </c>
      <c r="S1578" t="s">
        <v>14830</v>
      </c>
      <c r="T1578" t="s">
        <v>14832</v>
      </c>
      <c r="U1578" t="s">
        <v>533</v>
      </c>
      <c r="V1578">
        <v>2900</v>
      </c>
      <c r="W1578" t="s">
        <v>14860</v>
      </c>
      <c r="X1578" t="s">
        <v>14864</v>
      </c>
      <c r="Z1578" t="s">
        <v>16319</v>
      </c>
      <c r="AB1578" t="s">
        <v>21386</v>
      </c>
      <c r="AC1578">
        <v>15</v>
      </c>
      <c r="AD1578" t="s">
        <v>24603</v>
      </c>
      <c r="AE1578" t="s">
        <v>24610</v>
      </c>
      <c r="AF1578">
        <v>5</v>
      </c>
      <c r="AG1578">
        <v>2</v>
      </c>
      <c r="AH1578">
        <v>0</v>
      </c>
      <c r="AI1578">
        <v>218.21</v>
      </c>
      <c r="AL1578" t="s">
        <v>5011</v>
      </c>
      <c r="AM1578">
        <v>36900</v>
      </c>
      <c r="AS1578">
        <v>2.6</v>
      </c>
      <c r="AT1578" t="s">
        <v>495</v>
      </c>
      <c r="AU1578" t="s">
        <v>25244</v>
      </c>
      <c r="AV1578" t="s">
        <v>25335</v>
      </c>
      <c r="AW1578" t="s">
        <v>11447</v>
      </c>
    </row>
    <row r="1579" spans="1:49">
      <c r="A1579" s="1">
        <f>HYPERLINK("https://lsnyc.legalserver.org/matter/dynamic-profile/view/1913900","19-1913900")</f>
        <v>0</v>
      </c>
      <c r="B1579" t="s">
        <v>224</v>
      </c>
      <c r="C1579" t="s">
        <v>533</v>
      </c>
      <c r="E1579" t="s">
        <v>1852</v>
      </c>
      <c r="F1579" t="s">
        <v>1048</v>
      </c>
      <c r="G1579" t="s">
        <v>7365</v>
      </c>
      <c r="H1579">
        <v>25</v>
      </c>
      <c r="I1579" t="s">
        <v>11385</v>
      </c>
      <c r="J1579">
        <v>11213</v>
      </c>
      <c r="K1579" t="s">
        <v>11446</v>
      </c>
      <c r="L1579" t="s">
        <v>11601</v>
      </c>
      <c r="M1579" t="s">
        <v>11601</v>
      </c>
      <c r="N1579" t="s">
        <v>14779</v>
      </c>
      <c r="P1579" t="s">
        <v>14797</v>
      </c>
      <c r="Q1579" t="s">
        <v>11446</v>
      </c>
      <c r="S1579" t="s">
        <v>14827</v>
      </c>
      <c r="T1579" t="s">
        <v>14832</v>
      </c>
      <c r="U1579" t="s">
        <v>533</v>
      </c>
      <c r="V1579">
        <v>1103.14</v>
      </c>
      <c r="W1579" t="s">
        <v>14859</v>
      </c>
      <c r="X1579" t="s">
        <v>14876</v>
      </c>
      <c r="Z1579" t="s">
        <v>16320</v>
      </c>
      <c r="AB1579" t="s">
        <v>21387</v>
      </c>
      <c r="AC1579">
        <v>31</v>
      </c>
      <c r="AD1579" t="s">
        <v>24595</v>
      </c>
      <c r="AE1579" t="s">
        <v>11459</v>
      </c>
      <c r="AF1579">
        <v>26</v>
      </c>
      <c r="AG1579">
        <v>1</v>
      </c>
      <c r="AH1579">
        <v>0</v>
      </c>
      <c r="AI1579">
        <v>230.58</v>
      </c>
      <c r="AL1579" t="s">
        <v>5011</v>
      </c>
      <c r="AM1579">
        <v>28800</v>
      </c>
      <c r="AS1579">
        <v>1.5</v>
      </c>
      <c r="AT1579" t="s">
        <v>533</v>
      </c>
      <c r="AU1579" t="s">
        <v>224</v>
      </c>
      <c r="AV1579" t="s">
        <v>25335</v>
      </c>
      <c r="AW1579" t="s">
        <v>11447</v>
      </c>
    </row>
    <row r="1580" spans="1:49">
      <c r="A1580" s="1">
        <f>HYPERLINK("https://lsnyc.legalserver.org/matter/dynamic-profile/view/1914310","19-1914310")</f>
        <v>0</v>
      </c>
      <c r="B1580" t="s">
        <v>56</v>
      </c>
      <c r="C1580" t="s">
        <v>539</v>
      </c>
      <c r="E1580" t="s">
        <v>1984</v>
      </c>
      <c r="F1580" t="s">
        <v>3584</v>
      </c>
      <c r="G1580" t="s">
        <v>6576</v>
      </c>
      <c r="H1580" t="s">
        <v>10745</v>
      </c>
      <c r="I1580" t="s">
        <v>11385</v>
      </c>
      <c r="J1580">
        <v>11208</v>
      </c>
      <c r="K1580" t="s">
        <v>11446</v>
      </c>
      <c r="L1580" t="s">
        <v>11981</v>
      </c>
      <c r="M1580" t="s">
        <v>14743</v>
      </c>
      <c r="N1580" t="s">
        <v>14782</v>
      </c>
      <c r="P1580" t="s">
        <v>14797</v>
      </c>
      <c r="Q1580" t="s">
        <v>11448</v>
      </c>
      <c r="S1580" t="s">
        <v>14827</v>
      </c>
      <c r="U1580" t="s">
        <v>533</v>
      </c>
      <c r="V1580">
        <v>1641</v>
      </c>
      <c r="W1580" t="s">
        <v>14859</v>
      </c>
      <c r="X1580" t="s">
        <v>14865</v>
      </c>
      <c r="Z1580" t="s">
        <v>16321</v>
      </c>
      <c r="AB1580" t="s">
        <v>21388</v>
      </c>
      <c r="AC1580">
        <v>1275</v>
      </c>
      <c r="AD1580" t="s">
        <v>24595</v>
      </c>
      <c r="AE1580" t="s">
        <v>24610</v>
      </c>
      <c r="AF1580">
        <v>17</v>
      </c>
      <c r="AG1580">
        <v>2</v>
      </c>
      <c r="AH1580">
        <v>1</v>
      </c>
      <c r="AI1580">
        <v>257.85</v>
      </c>
      <c r="AL1580" t="s">
        <v>5011</v>
      </c>
      <c r="AM1580">
        <v>55000</v>
      </c>
      <c r="AS1580">
        <v>0</v>
      </c>
      <c r="AU1580" t="s">
        <v>120</v>
      </c>
      <c r="AV1580" t="s">
        <v>25335</v>
      </c>
      <c r="AW1580" t="s">
        <v>11447</v>
      </c>
    </row>
    <row r="1581" spans="1:49">
      <c r="A1581" s="1">
        <f>HYPERLINK("https://lsnyc.legalserver.org/matter/dynamic-profile/view/1913835","19-1913835")</f>
        <v>0</v>
      </c>
      <c r="B1581" t="s">
        <v>109</v>
      </c>
      <c r="C1581" t="s">
        <v>533</v>
      </c>
      <c r="E1581" t="s">
        <v>1897</v>
      </c>
      <c r="F1581" t="s">
        <v>3859</v>
      </c>
      <c r="G1581" t="s">
        <v>7295</v>
      </c>
      <c r="H1581" t="s">
        <v>10450</v>
      </c>
      <c r="I1581" t="s">
        <v>11385</v>
      </c>
      <c r="J1581">
        <v>11238</v>
      </c>
      <c r="K1581" t="s">
        <v>11446</v>
      </c>
      <c r="N1581" t="s">
        <v>14781</v>
      </c>
      <c r="P1581" t="s">
        <v>14797</v>
      </c>
      <c r="Q1581" t="s">
        <v>11446</v>
      </c>
      <c r="S1581" t="s">
        <v>14827</v>
      </c>
      <c r="U1581" t="s">
        <v>533</v>
      </c>
      <c r="V1581">
        <v>0</v>
      </c>
      <c r="W1581" t="s">
        <v>14859</v>
      </c>
      <c r="X1581" t="s">
        <v>14873</v>
      </c>
      <c r="Z1581" t="s">
        <v>16322</v>
      </c>
      <c r="AC1581">
        <v>29</v>
      </c>
      <c r="AD1581" t="s">
        <v>24595</v>
      </c>
      <c r="AF1581">
        <v>0</v>
      </c>
      <c r="AG1581">
        <v>2</v>
      </c>
      <c r="AH1581">
        <v>0</v>
      </c>
      <c r="AI1581">
        <v>313.42</v>
      </c>
      <c r="AL1581" t="s">
        <v>24632</v>
      </c>
      <c r="AM1581">
        <v>53000</v>
      </c>
      <c r="AS1581">
        <v>0.5</v>
      </c>
      <c r="AT1581" t="s">
        <v>533</v>
      </c>
      <c r="AU1581" t="s">
        <v>177</v>
      </c>
      <c r="AW1581" t="s">
        <v>11447</v>
      </c>
    </row>
    <row r="1582" spans="1:49">
      <c r="A1582" s="1">
        <f>HYPERLINK("https://lsnyc.legalserver.org/matter/dynamic-profile/view/1913897","19-1913897")</f>
        <v>0</v>
      </c>
      <c r="B1582" t="s">
        <v>210</v>
      </c>
      <c r="C1582" t="s">
        <v>533</v>
      </c>
      <c r="E1582" t="s">
        <v>1251</v>
      </c>
      <c r="F1582" t="s">
        <v>1839</v>
      </c>
      <c r="G1582" t="s">
        <v>7504</v>
      </c>
      <c r="H1582" t="s">
        <v>10589</v>
      </c>
      <c r="I1582" t="s">
        <v>11385</v>
      </c>
      <c r="J1582">
        <v>11213</v>
      </c>
      <c r="K1582" t="s">
        <v>11446</v>
      </c>
      <c r="N1582" t="s">
        <v>14781</v>
      </c>
      <c r="P1582" t="s">
        <v>14797</v>
      </c>
      <c r="S1582" t="s">
        <v>14827</v>
      </c>
      <c r="U1582" t="s">
        <v>533</v>
      </c>
      <c r="V1582">
        <v>1207.2</v>
      </c>
      <c r="W1582" t="s">
        <v>14859</v>
      </c>
      <c r="Z1582" t="s">
        <v>16323</v>
      </c>
      <c r="AB1582" t="s">
        <v>21389</v>
      </c>
      <c r="AC1582">
        <v>23</v>
      </c>
      <c r="AF1582">
        <v>21</v>
      </c>
      <c r="AG1582">
        <v>2</v>
      </c>
      <c r="AH1582">
        <v>0</v>
      </c>
      <c r="AI1582">
        <v>337.08</v>
      </c>
      <c r="AL1582" t="s">
        <v>5011</v>
      </c>
      <c r="AM1582">
        <v>57000</v>
      </c>
      <c r="AS1582">
        <v>0</v>
      </c>
      <c r="AU1582" t="s">
        <v>75</v>
      </c>
      <c r="AV1582" t="s">
        <v>25335</v>
      </c>
      <c r="AW1582" t="s">
        <v>11447</v>
      </c>
    </row>
    <row r="1583" spans="1:49">
      <c r="A1583" s="1">
        <f>HYPERLINK("https://lsnyc.legalserver.org/matter/dynamic-profile/view/1914246","19-1914246")</f>
        <v>0</v>
      </c>
      <c r="B1583" t="s">
        <v>170</v>
      </c>
      <c r="C1583" t="s">
        <v>539</v>
      </c>
      <c r="E1583" t="s">
        <v>1985</v>
      </c>
      <c r="F1583" t="s">
        <v>4508</v>
      </c>
      <c r="G1583" t="s">
        <v>7505</v>
      </c>
      <c r="H1583" t="s">
        <v>10625</v>
      </c>
      <c r="I1583" t="s">
        <v>11386</v>
      </c>
      <c r="J1583">
        <v>10037</v>
      </c>
      <c r="K1583" t="s">
        <v>11446</v>
      </c>
      <c r="M1583" t="s">
        <v>14746</v>
      </c>
      <c r="N1583" t="s">
        <v>14781</v>
      </c>
      <c r="P1583" t="s">
        <v>14797</v>
      </c>
      <c r="Q1583" t="s">
        <v>11446</v>
      </c>
      <c r="S1583" t="s">
        <v>14827</v>
      </c>
      <c r="T1583" t="s">
        <v>14832</v>
      </c>
      <c r="U1583" t="s">
        <v>533</v>
      </c>
      <c r="V1583">
        <v>2850</v>
      </c>
      <c r="W1583" t="s">
        <v>14860</v>
      </c>
      <c r="X1583" t="s">
        <v>14876</v>
      </c>
      <c r="Z1583" t="s">
        <v>16324</v>
      </c>
      <c r="AB1583" t="s">
        <v>21390</v>
      </c>
      <c r="AC1583">
        <v>259</v>
      </c>
      <c r="AD1583" t="s">
        <v>24595</v>
      </c>
      <c r="AE1583" t="s">
        <v>11459</v>
      </c>
      <c r="AF1583">
        <v>2</v>
      </c>
      <c r="AG1583">
        <v>2</v>
      </c>
      <c r="AH1583">
        <v>0</v>
      </c>
      <c r="AI1583">
        <v>532.23</v>
      </c>
      <c r="AL1583" t="s">
        <v>5011</v>
      </c>
      <c r="AM1583">
        <v>90000</v>
      </c>
      <c r="AS1583">
        <v>0</v>
      </c>
      <c r="AU1583" t="s">
        <v>25266</v>
      </c>
      <c r="AV1583" t="s">
        <v>25335</v>
      </c>
      <c r="AW1583" t="s">
        <v>11447</v>
      </c>
    </row>
    <row r="1584" spans="1:49">
      <c r="A1584" s="1">
        <f>HYPERLINK("https://lsnyc.legalserver.org/matter/dynamic-profile/view/1914160","19-1914160")</f>
        <v>0</v>
      </c>
      <c r="B1584" t="s">
        <v>170</v>
      </c>
      <c r="C1584" t="s">
        <v>580</v>
      </c>
      <c r="E1584" t="s">
        <v>1216</v>
      </c>
      <c r="F1584" t="s">
        <v>4509</v>
      </c>
      <c r="G1584" t="s">
        <v>7447</v>
      </c>
      <c r="H1584" t="s">
        <v>10574</v>
      </c>
      <c r="I1584" t="s">
        <v>11386</v>
      </c>
      <c r="J1584">
        <v>10037</v>
      </c>
      <c r="K1584" t="s">
        <v>11446</v>
      </c>
      <c r="M1584" t="s">
        <v>14746</v>
      </c>
      <c r="N1584" t="s">
        <v>14782</v>
      </c>
      <c r="P1584" t="s">
        <v>14797</v>
      </c>
      <c r="Q1584" t="s">
        <v>11446</v>
      </c>
      <c r="S1584" t="s">
        <v>14827</v>
      </c>
      <c r="T1584" t="s">
        <v>14832</v>
      </c>
      <c r="U1584" t="s">
        <v>533</v>
      </c>
      <c r="V1584">
        <v>1011.93</v>
      </c>
      <c r="W1584" t="s">
        <v>14860</v>
      </c>
      <c r="X1584" t="s">
        <v>14876</v>
      </c>
      <c r="Z1584" t="s">
        <v>16325</v>
      </c>
      <c r="AB1584" t="s">
        <v>21391</v>
      </c>
      <c r="AC1584">
        <v>259</v>
      </c>
      <c r="AD1584" t="s">
        <v>24595</v>
      </c>
      <c r="AE1584" t="s">
        <v>11459</v>
      </c>
      <c r="AF1584">
        <v>12</v>
      </c>
      <c r="AG1584">
        <v>1</v>
      </c>
      <c r="AH1584">
        <v>0</v>
      </c>
      <c r="AI1584">
        <v>608.49</v>
      </c>
      <c r="AL1584" t="s">
        <v>5011</v>
      </c>
      <c r="AM1584">
        <v>76000</v>
      </c>
      <c r="AS1584">
        <v>0</v>
      </c>
      <c r="AU1584" t="s">
        <v>25266</v>
      </c>
      <c r="AV1584" t="s">
        <v>25335</v>
      </c>
      <c r="AW1584" t="s">
        <v>11447</v>
      </c>
    </row>
    <row r="1585" spans="1:49">
      <c r="A1585" s="1">
        <f>HYPERLINK("https://lsnyc.legalserver.org/matter/dynamic-profile/view/1914166","19-1914166")</f>
        <v>0</v>
      </c>
      <c r="B1585" t="s">
        <v>170</v>
      </c>
      <c r="C1585" t="s">
        <v>580</v>
      </c>
      <c r="E1585" t="s">
        <v>1025</v>
      </c>
      <c r="F1585" t="s">
        <v>3569</v>
      </c>
      <c r="G1585" t="s">
        <v>7447</v>
      </c>
      <c r="H1585" t="s">
        <v>10810</v>
      </c>
      <c r="I1585" t="s">
        <v>11386</v>
      </c>
      <c r="J1585">
        <v>10037</v>
      </c>
      <c r="K1585" t="s">
        <v>11446</v>
      </c>
      <c r="M1585" t="s">
        <v>14746</v>
      </c>
      <c r="N1585" t="s">
        <v>14782</v>
      </c>
      <c r="P1585" t="s">
        <v>14797</v>
      </c>
      <c r="Q1585" t="s">
        <v>11446</v>
      </c>
      <c r="S1585" t="s">
        <v>14827</v>
      </c>
      <c r="T1585" t="s">
        <v>14832</v>
      </c>
      <c r="U1585" t="s">
        <v>533</v>
      </c>
      <c r="V1585">
        <v>2198</v>
      </c>
      <c r="W1585" t="s">
        <v>14860</v>
      </c>
      <c r="X1585" t="s">
        <v>14876</v>
      </c>
      <c r="Z1585" t="s">
        <v>16326</v>
      </c>
      <c r="AB1585" t="s">
        <v>21392</v>
      </c>
      <c r="AC1585">
        <v>259</v>
      </c>
      <c r="AD1585" t="s">
        <v>24595</v>
      </c>
      <c r="AE1585" t="s">
        <v>11459</v>
      </c>
      <c r="AF1585">
        <v>2</v>
      </c>
      <c r="AG1585">
        <v>2</v>
      </c>
      <c r="AH1585">
        <v>1</v>
      </c>
      <c r="AI1585">
        <v>632.91</v>
      </c>
      <c r="AL1585" t="s">
        <v>5011</v>
      </c>
      <c r="AM1585">
        <v>135000</v>
      </c>
      <c r="AS1585">
        <v>0</v>
      </c>
      <c r="AU1585" t="s">
        <v>25266</v>
      </c>
      <c r="AV1585" t="s">
        <v>25335</v>
      </c>
      <c r="AW1585" t="s">
        <v>11447</v>
      </c>
    </row>
    <row r="1586" spans="1:49">
      <c r="A1586" s="1">
        <f>HYPERLINK("https://lsnyc.legalserver.org/matter/dynamic-profile/view/1914226","19-1914226")</f>
        <v>0</v>
      </c>
      <c r="B1586" t="s">
        <v>170</v>
      </c>
      <c r="C1586" t="s">
        <v>539</v>
      </c>
      <c r="E1586" t="s">
        <v>1986</v>
      </c>
      <c r="F1586" t="s">
        <v>4510</v>
      </c>
      <c r="G1586" t="s">
        <v>7447</v>
      </c>
      <c r="H1586" t="s">
        <v>10851</v>
      </c>
      <c r="I1586" t="s">
        <v>11386</v>
      </c>
      <c r="J1586">
        <v>10037</v>
      </c>
      <c r="K1586" t="s">
        <v>11446</v>
      </c>
      <c r="M1586" t="s">
        <v>14746</v>
      </c>
      <c r="N1586" t="s">
        <v>14782</v>
      </c>
      <c r="P1586" t="s">
        <v>14797</v>
      </c>
      <c r="Q1586" t="s">
        <v>11446</v>
      </c>
      <c r="S1586" t="s">
        <v>14827</v>
      </c>
      <c r="T1586" t="s">
        <v>14832</v>
      </c>
      <c r="U1586" t="s">
        <v>533</v>
      </c>
      <c r="V1586">
        <v>1826</v>
      </c>
      <c r="W1586" t="s">
        <v>14860</v>
      </c>
      <c r="X1586" t="s">
        <v>14876</v>
      </c>
      <c r="Z1586" t="s">
        <v>16327</v>
      </c>
      <c r="AB1586" t="s">
        <v>21393</v>
      </c>
      <c r="AC1586">
        <v>259</v>
      </c>
      <c r="AD1586" t="s">
        <v>24595</v>
      </c>
      <c r="AF1586">
        <v>2</v>
      </c>
      <c r="AG1586">
        <v>1</v>
      </c>
      <c r="AH1586">
        <v>0</v>
      </c>
      <c r="AI1586">
        <v>720.58</v>
      </c>
      <c r="AL1586" t="s">
        <v>5011</v>
      </c>
      <c r="AM1586">
        <v>90000</v>
      </c>
      <c r="AS1586">
        <v>0</v>
      </c>
      <c r="AU1586" t="s">
        <v>25266</v>
      </c>
      <c r="AV1586" t="s">
        <v>25335</v>
      </c>
      <c r="AW1586" t="s">
        <v>11447</v>
      </c>
    </row>
    <row r="1587" spans="1:49">
      <c r="A1587" s="1">
        <f>HYPERLINK("https://lsnyc.legalserver.org/matter/dynamic-profile/view/1915095","19-1915095")</f>
        <v>0</v>
      </c>
      <c r="B1587" t="s">
        <v>108</v>
      </c>
      <c r="C1587" t="s">
        <v>521</v>
      </c>
      <c r="E1587" t="s">
        <v>1048</v>
      </c>
      <c r="F1587" t="s">
        <v>4511</v>
      </c>
      <c r="G1587" t="s">
        <v>7385</v>
      </c>
      <c r="H1587" t="s">
        <v>10527</v>
      </c>
      <c r="I1587" t="s">
        <v>11385</v>
      </c>
      <c r="J1587">
        <v>11217</v>
      </c>
      <c r="K1587" t="s">
        <v>11446</v>
      </c>
      <c r="P1587" t="s">
        <v>14797</v>
      </c>
      <c r="S1587" t="s">
        <v>14827</v>
      </c>
      <c r="U1587" t="s">
        <v>490</v>
      </c>
      <c r="V1587">
        <v>0</v>
      </c>
      <c r="W1587" t="s">
        <v>14859</v>
      </c>
      <c r="Z1587" t="s">
        <v>16328</v>
      </c>
      <c r="AB1587" t="s">
        <v>21394</v>
      </c>
      <c r="AC1587">
        <v>0</v>
      </c>
      <c r="AF1587">
        <v>0</v>
      </c>
      <c r="AG1587">
        <v>1</v>
      </c>
      <c r="AH1587">
        <v>0</v>
      </c>
      <c r="AI1587">
        <v>0</v>
      </c>
      <c r="AL1587" t="s">
        <v>5011</v>
      </c>
      <c r="AM1587">
        <v>0</v>
      </c>
      <c r="AS1587">
        <v>0.3</v>
      </c>
      <c r="AT1587" t="s">
        <v>521</v>
      </c>
      <c r="AU1587" t="s">
        <v>177</v>
      </c>
      <c r="AW1587" t="s">
        <v>11447</v>
      </c>
    </row>
    <row r="1588" spans="1:49">
      <c r="A1588" s="1">
        <f>HYPERLINK("https://lsnyc.legalserver.org/matter/dynamic-profile/view/1911035","19-1911035")</f>
        <v>0</v>
      </c>
      <c r="B1588" t="s">
        <v>183</v>
      </c>
      <c r="C1588" t="s">
        <v>460</v>
      </c>
      <c r="E1588" t="s">
        <v>1211</v>
      </c>
      <c r="F1588" t="s">
        <v>3682</v>
      </c>
      <c r="G1588" t="s">
        <v>7506</v>
      </c>
      <c r="H1588" t="s">
        <v>10522</v>
      </c>
      <c r="I1588" t="s">
        <v>11385</v>
      </c>
      <c r="J1588">
        <v>11207</v>
      </c>
      <c r="K1588" t="s">
        <v>11446</v>
      </c>
      <c r="L1588" t="s">
        <v>11982</v>
      </c>
      <c r="M1588" t="s">
        <v>14743</v>
      </c>
      <c r="N1588" t="s">
        <v>14781</v>
      </c>
      <c r="P1588" t="s">
        <v>14797</v>
      </c>
      <c r="Q1588" t="s">
        <v>11448</v>
      </c>
      <c r="R1588" t="s">
        <v>14823</v>
      </c>
      <c r="S1588" t="s">
        <v>14827</v>
      </c>
      <c r="T1588" t="s">
        <v>14832</v>
      </c>
      <c r="U1588" t="s">
        <v>490</v>
      </c>
      <c r="V1588">
        <v>600</v>
      </c>
      <c r="W1588" t="s">
        <v>14859</v>
      </c>
      <c r="Z1588" t="s">
        <v>16329</v>
      </c>
      <c r="AC1588">
        <v>2</v>
      </c>
      <c r="AD1588" t="s">
        <v>24606</v>
      </c>
      <c r="AF1588">
        <v>25</v>
      </c>
      <c r="AG1588">
        <v>1</v>
      </c>
      <c r="AH1588">
        <v>0</v>
      </c>
      <c r="AI1588">
        <v>43.71</v>
      </c>
      <c r="AL1588" t="s">
        <v>24632</v>
      </c>
      <c r="AM1588">
        <v>5460</v>
      </c>
      <c r="AS1588">
        <v>9.1</v>
      </c>
      <c r="AT1588" t="s">
        <v>490</v>
      </c>
      <c r="AU1588" t="s">
        <v>185</v>
      </c>
      <c r="AV1588" t="s">
        <v>25335</v>
      </c>
      <c r="AW1588" t="s">
        <v>11447</v>
      </c>
    </row>
    <row r="1589" spans="1:49">
      <c r="A1589" s="1">
        <f>HYPERLINK("https://lsnyc.legalserver.org/matter/dynamic-profile/view/1914831","19-1914831")</f>
        <v>0</v>
      </c>
      <c r="B1589" t="s">
        <v>136</v>
      </c>
      <c r="C1589" t="s">
        <v>537</v>
      </c>
      <c r="E1589" t="s">
        <v>1987</v>
      </c>
      <c r="F1589" t="s">
        <v>4512</v>
      </c>
      <c r="G1589" t="s">
        <v>7507</v>
      </c>
      <c r="H1589">
        <v>1</v>
      </c>
      <c r="I1589" t="s">
        <v>11384</v>
      </c>
      <c r="J1589">
        <v>10304</v>
      </c>
      <c r="K1589" t="s">
        <v>11446</v>
      </c>
      <c r="N1589" t="s">
        <v>14780</v>
      </c>
      <c r="P1589" t="s">
        <v>14797</v>
      </c>
      <c r="S1589" t="s">
        <v>14827</v>
      </c>
      <c r="U1589" t="s">
        <v>490</v>
      </c>
      <c r="V1589">
        <v>0</v>
      </c>
      <c r="W1589" t="s">
        <v>14859</v>
      </c>
      <c r="Z1589" t="s">
        <v>16330</v>
      </c>
      <c r="AB1589" t="s">
        <v>21395</v>
      </c>
      <c r="AC1589">
        <v>0</v>
      </c>
      <c r="AF1589">
        <v>0</v>
      </c>
      <c r="AG1589">
        <v>1</v>
      </c>
      <c r="AH1589">
        <v>0</v>
      </c>
      <c r="AI1589">
        <v>72.15000000000001</v>
      </c>
      <c r="AL1589" t="s">
        <v>5011</v>
      </c>
      <c r="AM1589">
        <v>9012</v>
      </c>
      <c r="AS1589">
        <v>0</v>
      </c>
      <c r="AU1589" t="s">
        <v>75</v>
      </c>
      <c r="AW1589" t="s">
        <v>11447</v>
      </c>
    </row>
    <row r="1590" spans="1:49">
      <c r="A1590" s="1">
        <f>HYPERLINK("https://lsnyc.legalserver.org/matter/dynamic-profile/view/1914720","19-1914720")</f>
        <v>0</v>
      </c>
      <c r="B1590" t="s">
        <v>170</v>
      </c>
      <c r="C1590" t="s">
        <v>592</v>
      </c>
      <c r="E1590" t="s">
        <v>1974</v>
      </c>
      <c r="F1590" t="s">
        <v>4500</v>
      </c>
      <c r="G1590" t="s">
        <v>7496</v>
      </c>
      <c r="H1590" t="s">
        <v>10533</v>
      </c>
      <c r="I1590" t="s">
        <v>11386</v>
      </c>
      <c r="J1590">
        <v>10029</v>
      </c>
      <c r="K1590" t="s">
        <v>11446</v>
      </c>
      <c r="L1590" t="s">
        <v>11983</v>
      </c>
      <c r="M1590" t="s">
        <v>14744</v>
      </c>
      <c r="N1590" t="s">
        <v>14781</v>
      </c>
      <c r="P1590" t="s">
        <v>14797</v>
      </c>
      <c r="Q1590" t="s">
        <v>11448</v>
      </c>
      <c r="S1590" t="s">
        <v>14827</v>
      </c>
      <c r="T1590" t="s">
        <v>14832</v>
      </c>
      <c r="U1590" t="s">
        <v>490</v>
      </c>
      <c r="V1590">
        <v>875</v>
      </c>
      <c r="W1590" t="s">
        <v>14860</v>
      </c>
      <c r="X1590" t="s">
        <v>14868</v>
      </c>
      <c r="Z1590" t="s">
        <v>16306</v>
      </c>
      <c r="AB1590" t="s">
        <v>21374</v>
      </c>
      <c r="AC1590">
        <v>135</v>
      </c>
      <c r="AD1590" t="s">
        <v>24595</v>
      </c>
      <c r="AE1590" t="s">
        <v>11459</v>
      </c>
      <c r="AF1590">
        <v>36</v>
      </c>
      <c r="AG1590">
        <v>3</v>
      </c>
      <c r="AH1590">
        <v>0</v>
      </c>
      <c r="AI1590">
        <v>178.15</v>
      </c>
      <c r="AL1590" t="s">
        <v>24632</v>
      </c>
      <c r="AM1590">
        <v>38000</v>
      </c>
      <c r="AS1590">
        <v>0</v>
      </c>
      <c r="AU1590" t="s">
        <v>25266</v>
      </c>
      <c r="AV1590" t="s">
        <v>25335</v>
      </c>
      <c r="AW1590" t="s">
        <v>11447</v>
      </c>
    </row>
    <row r="1591" spans="1:49">
      <c r="A1591" s="1">
        <f>HYPERLINK("https://lsnyc.legalserver.org/matter/dynamic-profile/view/1913899","19-1913899")</f>
        <v>0</v>
      </c>
      <c r="B1591" t="s">
        <v>63</v>
      </c>
      <c r="C1591" t="s">
        <v>533</v>
      </c>
      <c r="E1591" t="s">
        <v>1151</v>
      </c>
      <c r="F1591" t="s">
        <v>3623</v>
      </c>
      <c r="G1591" t="s">
        <v>7508</v>
      </c>
      <c r="H1591" t="s">
        <v>10852</v>
      </c>
      <c r="I1591" t="s">
        <v>11404</v>
      </c>
      <c r="J1591">
        <v>11102</v>
      </c>
      <c r="K1591" t="s">
        <v>11446</v>
      </c>
      <c r="L1591" t="s">
        <v>11984</v>
      </c>
      <c r="M1591" t="s">
        <v>14744</v>
      </c>
      <c r="N1591" t="s">
        <v>14781</v>
      </c>
      <c r="P1591" t="s">
        <v>14797</v>
      </c>
      <c r="Q1591" t="s">
        <v>11448</v>
      </c>
      <c r="S1591" t="s">
        <v>14827</v>
      </c>
      <c r="T1591" t="s">
        <v>14832</v>
      </c>
      <c r="U1591" t="s">
        <v>490</v>
      </c>
      <c r="V1591">
        <v>1600</v>
      </c>
      <c r="W1591" t="s">
        <v>14861</v>
      </c>
      <c r="X1591" t="s">
        <v>14871</v>
      </c>
      <c r="Z1591" t="s">
        <v>16239</v>
      </c>
      <c r="AB1591" t="s">
        <v>21396</v>
      </c>
      <c r="AC1591">
        <v>4</v>
      </c>
      <c r="AD1591" t="s">
        <v>24600</v>
      </c>
      <c r="AE1591" t="s">
        <v>11459</v>
      </c>
      <c r="AF1591">
        <v>8</v>
      </c>
      <c r="AG1591">
        <v>2</v>
      </c>
      <c r="AH1591">
        <v>0</v>
      </c>
      <c r="AI1591">
        <v>246.01</v>
      </c>
      <c r="AK1591" t="s">
        <v>24629</v>
      </c>
      <c r="AL1591" t="s">
        <v>24632</v>
      </c>
      <c r="AM1591">
        <v>41600</v>
      </c>
      <c r="AS1591">
        <v>1.65</v>
      </c>
      <c r="AT1591" t="s">
        <v>495</v>
      </c>
      <c r="AU1591" t="s">
        <v>63</v>
      </c>
      <c r="AV1591" t="s">
        <v>25335</v>
      </c>
      <c r="AW1591" t="s">
        <v>11447</v>
      </c>
    </row>
    <row r="1592" spans="1:49">
      <c r="A1592" s="1">
        <f>HYPERLINK("https://lsnyc.legalserver.org/matter/dynamic-profile/view/1914137","19-1914137")</f>
        <v>0</v>
      </c>
      <c r="B1592" t="s">
        <v>170</v>
      </c>
      <c r="C1592" t="s">
        <v>580</v>
      </c>
      <c r="E1592" t="s">
        <v>1299</v>
      </c>
      <c r="F1592" t="s">
        <v>3706</v>
      </c>
      <c r="G1592" t="s">
        <v>7509</v>
      </c>
      <c r="H1592" t="s">
        <v>10509</v>
      </c>
      <c r="I1592" t="s">
        <v>11386</v>
      </c>
      <c r="J1592">
        <v>10035</v>
      </c>
      <c r="K1592" t="s">
        <v>11446</v>
      </c>
      <c r="M1592" t="s">
        <v>11601</v>
      </c>
      <c r="N1592" t="s">
        <v>14780</v>
      </c>
      <c r="P1592" t="s">
        <v>14797</v>
      </c>
      <c r="Q1592" t="s">
        <v>11446</v>
      </c>
      <c r="S1592" t="s">
        <v>14827</v>
      </c>
      <c r="T1592" t="s">
        <v>14832</v>
      </c>
      <c r="U1592" t="s">
        <v>490</v>
      </c>
      <c r="V1592">
        <v>1625</v>
      </c>
      <c r="W1592" t="s">
        <v>14860</v>
      </c>
      <c r="X1592" t="s">
        <v>14876</v>
      </c>
      <c r="Z1592" t="s">
        <v>16331</v>
      </c>
      <c r="AB1592" t="s">
        <v>21397</v>
      </c>
      <c r="AC1592">
        <v>41</v>
      </c>
      <c r="AD1592" t="s">
        <v>24595</v>
      </c>
      <c r="AE1592" t="s">
        <v>11459</v>
      </c>
      <c r="AF1592">
        <v>5</v>
      </c>
      <c r="AG1592">
        <v>2</v>
      </c>
      <c r="AH1592">
        <v>0</v>
      </c>
      <c r="AI1592">
        <v>325.25</v>
      </c>
      <c r="AL1592" t="s">
        <v>5011</v>
      </c>
      <c r="AM1592">
        <v>55000</v>
      </c>
      <c r="AS1592">
        <v>2.25</v>
      </c>
      <c r="AT1592" t="s">
        <v>490</v>
      </c>
      <c r="AU1592" t="s">
        <v>25266</v>
      </c>
      <c r="AV1592" t="s">
        <v>25335</v>
      </c>
      <c r="AW1592" t="s">
        <v>11447</v>
      </c>
    </row>
    <row r="1593" spans="1:49">
      <c r="A1593" s="1">
        <f>HYPERLINK("https://lsnyc.legalserver.org/matter/dynamic-profile/view/1914022","19-1914022")</f>
        <v>0</v>
      </c>
      <c r="B1593" t="s">
        <v>210</v>
      </c>
      <c r="C1593" t="s">
        <v>490</v>
      </c>
      <c r="E1593" t="s">
        <v>1988</v>
      </c>
      <c r="F1593" t="s">
        <v>4513</v>
      </c>
      <c r="G1593" t="s">
        <v>7510</v>
      </c>
      <c r="H1593" t="s">
        <v>10547</v>
      </c>
      <c r="I1593" t="s">
        <v>11385</v>
      </c>
      <c r="J1593">
        <v>11210</v>
      </c>
      <c r="K1593" t="s">
        <v>11446</v>
      </c>
      <c r="N1593" t="s">
        <v>14780</v>
      </c>
      <c r="P1593" t="s">
        <v>14797</v>
      </c>
      <c r="Q1593" t="s">
        <v>11448</v>
      </c>
      <c r="S1593" t="s">
        <v>14827</v>
      </c>
      <c r="U1593" t="s">
        <v>490</v>
      </c>
      <c r="V1593">
        <v>0</v>
      </c>
      <c r="W1593" t="s">
        <v>14859</v>
      </c>
      <c r="Z1593" t="s">
        <v>16332</v>
      </c>
      <c r="AC1593">
        <v>336</v>
      </c>
      <c r="AF1593">
        <v>4</v>
      </c>
      <c r="AG1593">
        <v>3</v>
      </c>
      <c r="AH1593">
        <v>1</v>
      </c>
      <c r="AI1593">
        <v>368.16</v>
      </c>
      <c r="AL1593" t="s">
        <v>24641</v>
      </c>
      <c r="AM1593">
        <v>94800</v>
      </c>
      <c r="AS1593">
        <v>6.5</v>
      </c>
      <c r="AT1593" t="s">
        <v>509</v>
      </c>
      <c r="AU1593" t="s">
        <v>75</v>
      </c>
      <c r="AV1593" t="s">
        <v>25335</v>
      </c>
      <c r="AW1593" t="s">
        <v>11447</v>
      </c>
    </row>
    <row r="1594" spans="1:49">
      <c r="A1594" s="1">
        <f>HYPERLINK("https://lsnyc.legalserver.org/matter/dynamic-profile/view/1914092","19-1914092")</f>
        <v>0</v>
      </c>
      <c r="B1594" t="s">
        <v>170</v>
      </c>
      <c r="C1594" t="s">
        <v>580</v>
      </c>
      <c r="E1594" t="s">
        <v>1416</v>
      </c>
      <c r="F1594" t="s">
        <v>4514</v>
      </c>
      <c r="G1594" t="s">
        <v>7415</v>
      </c>
      <c r="H1594" t="s">
        <v>10853</v>
      </c>
      <c r="I1594" t="s">
        <v>11386</v>
      </c>
      <c r="J1594">
        <v>10037</v>
      </c>
      <c r="K1594" t="s">
        <v>11446</v>
      </c>
      <c r="M1594" t="s">
        <v>14746</v>
      </c>
      <c r="N1594" t="s">
        <v>14782</v>
      </c>
      <c r="P1594" t="s">
        <v>14797</v>
      </c>
      <c r="Q1594" t="s">
        <v>11446</v>
      </c>
      <c r="S1594" t="s">
        <v>14827</v>
      </c>
      <c r="T1594" t="s">
        <v>14832</v>
      </c>
      <c r="U1594" t="s">
        <v>490</v>
      </c>
      <c r="V1594">
        <v>2300</v>
      </c>
      <c r="W1594" t="s">
        <v>14860</v>
      </c>
      <c r="X1594" t="s">
        <v>14876</v>
      </c>
      <c r="Z1594" t="s">
        <v>16333</v>
      </c>
      <c r="AB1594" t="s">
        <v>21398</v>
      </c>
      <c r="AC1594">
        <v>259</v>
      </c>
      <c r="AD1594" t="s">
        <v>24595</v>
      </c>
      <c r="AE1594" t="s">
        <v>11459</v>
      </c>
      <c r="AF1594">
        <v>5</v>
      </c>
      <c r="AG1594">
        <v>3</v>
      </c>
      <c r="AH1594">
        <v>0</v>
      </c>
      <c r="AI1594">
        <v>445.38</v>
      </c>
      <c r="AL1594" t="s">
        <v>5011</v>
      </c>
      <c r="AM1594">
        <v>95000</v>
      </c>
      <c r="AS1594">
        <v>2.75</v>
      </c>
      <c r="AT1594" t="s">
        <v>490</v>
      </c>
      <c r="AU1594" t="s">
        <v>25266</v>
      </c>
      <c r="AV1594" t="s">
        <v>25335</v>
      </c>
      <c r="AW1594" t="s">
        <v>11447</v>
      </c>
    </row>
    <row r="1595" spans="1:49">
      <c r="A1595" s="1">
        <f>HYPERLINK("https://lsnyc.legalserver.org/matter/dynamic-profile/view/1914079","19-1914079")</f>
        <v>0</v>
      </c>
      <c r="B1595" t="s">
        <v>170</v>
      </c>
      <c r="C1595" t="s">
        <v>580</v>
      </c>
      <c r="E1595" t="s">
        <v>1056</v>
      </c>
      <c r="F1595" t="s">
        <v>4515</v>
      </c>
      <c r="G1595" t="s">
        <v>7497</v>
      </c>
      <c r="H1595" t="s">
        <v>10598</v>
      </c>
      <c r="I1595" t="s">
        <v>11386</v>
      </c>
      <c r="J1595">
        <v>10035</v>
      </c>
      <c r="K1595" t="s">
        <v>11446</v>
      </c>
      <c r="M1595" t="s">
        <v>11601</v>
      </c>
      <c r="N1595" t="s">
        <v>14780</v>
      </c>
      <c r="P1595" t="s">
        <v>14797</v>
      </c>
      <c r="Q1595" t="s">
        <v>11446</v>
      </c>
      <c r="S1595" t="s">
        <v>14827</v>
      </c>
      <c r="T1595" t="s">
        <v>14832</v>
      </c>
      <c r="U1595" t="s">
        <v>490</v>
      </c>
      <c r="V1595">
        <v>2025</v>
      </c>
      <c r="W1595" t="s">
        <v>14860</v>
      </c>
      <c r="X1595" t="s">
        <v>14876</v>
      </c>
      <c r="Z1595" t="s">
        <v>16334</v>
      </c>
      <c r="AB1595" t="s">
        <v>21399</v>
      </c>
      <c r="AC1595">
        <v>33</v>
      </c>
      <c r="AD1595" t="s">
        <v>24595</v>
      </c>
      <c r="AE1595" t="s">
        <v>11459</v>
      </c>
      <c r="AF1595">
        <v>5</v>
      </c>
      <c r="AG1595">
        <v>2</v>
      </c>
      <c r="AH1595">
        <v>0</v>
      </c>
      <c r="AI1595">
        <v>626.85</v>
      </c>
      <c r="AL1595" t="s">
        <v>5011</v>
      </c>
      <c r="AM1595">
        <v>106000</v>
      </c>
      <c r="AS1595">
        <v>2.75</v>
      </c>
      <c r="AT1595" t="s">
        <v>490</v>
      </c>
      <c r="AU1595" t="s">
        <v>25266</v>
      </c>
      <c r="AV1595" t="s">
        <v>25335</v>
      </c>
      <c r="AW1595" t="s">
        <v>11447</v>
      </c>
    </row>
    <row r="1596" spans="1:49">
      <c r="A1596" s="1">
        <f>HYPERLINK("https://lsnyc.legalserver.org/matter/dynamic-profile/view/1914053","19-1914053")</f>
        <v>0</v>
      </c>
      <c r="B1596" t="s">
        <v>104</v>
      </c>
      <c r="C1596" t="s">
        <v>580</v>
      </c>
      <c r="E1596" t="s">
        <v>1372</v>
      </c>
      <c r="F1596" t="s">
        <v>4516</v>
      </c>
      <c r="G1596" t="s">
        <v>7172</v>
      </c>
      <c r="H1596">
        <v>213</v>
      </c>
      <c r="I1596" t="s">
        <v>11386</v>
      </c>
      <c r="J1596">
        <v>10029</v>
      </c>
      <c r="K1596" t="s">
        <v>11446</v>
      </c>
      <c r="M1596" t="s">
        <v>14746</v>
      </c>
      <c r="N1596" t="s">
        <v>14782</v>
      </c>
      <c r="P1596" t="s">
        <v>14797</v>
      </c>
      <c r="Q1596" t="s">
        <v>11446</v>
      </c>
      <c r="S1596" t="s">
        <v>14827</v>
      </c>
      <c r="T1596" t="s">
        <v>14832</v>
      </c>
      <c r="U1596" t="s">
        <v>580</v>
      </c>
      <c r="V1596">
        <v>62</v>
      </c>
      <c r="W1596" t="s">
        <v>14860</v>
      </c>
      <c r="X1596" t="s">
        <v>14755</v>
      </c>
      <c r="Z1596" t="s">
        <v>16335</v>
      </c>
      <c r="AB1596" t="s">
        <v>21400</v>
      </c>
      <c r="AC1596">
        <v>108</v>
      </c>
      <c r="AD1596" t="s">
        <v>24595</v>
      </c>
      <c r="AE1596" t="s">
        <v>24610</v>
      </c>
      <c r="AF1596">
        <v>23</v>
      </c>
      <c r="AG1596">
        <v>1</v>
      </c>
      <c r="AH1596">
        <v>2</v>
      </c>
      <c r="AI1596">
        <v>43.38</v>
      </c>
      <c r="AL1596" t="s">
        <v>24632</v>
      </c>
      <c r="AM1596">
        <v>9252</v>
      </c>
      <c r="AS1596">
        <v>0</v>
      </c>
      <c r="AU1596" t="s">
        <v>25266</v>
      </c>
      <c r="AV1596" t="s">
        <v>25335</v>
      </c>
      <c r="AW1596" t="s">
        <v>11447</v>
      </c>
    </row>
    <row r="1597" spans="1:49">
      <c r="A1597" s="1">
        <f>HYPERLINK("https://lsnyc.legalserver.org/matter/dynamic-profile/view/1914134","19-1914134")</f>
        <v>0</v>
      </c>
      <c r="B1597" t="s">
        <v>190</v>
      </c>
      <c r="C1597" t="s">
        <v>580</v>
      </c>
      <c r="E1597" t="s">
        <v>1953</v>
      </c>
      <c r="F1597" t="s">
        <v>4517</v>
      </c>
      <c r="G1597" t="s">
        <v>7300</v>
      </c>
      <c r="H1597">
        <v>54</v>
      </c>
      <c r="I1597" t="s">
        <v>11386</v>
      </c>
      <c r="J1597">
        <v>10034</v>
      </c>
      <c r="K1597" t="s">
        <v>11446</v>
      </c>
      <c r="N1597" t="s">
        <v>14782</v>
      </c>
      <c r="P1597" t="s">
        <v>14797</v>
      </c>
      <c r="Q1597" t="s">
        <v>11448</v>
      </c>
      <c r="S1597" t="s">
        <v>14827</v>
      </c>
      <c r="U1597" t="s">
        <v>580</v>
      </c>
      <c r="V1597">
        <v>1840</v>
      </c>
      <c r="W1597" t="s">
        <v>14860</v>
      </c>
      <c r="X1597" t="s">
        <v>14867</v>
      </c>
      <c r="Z1597" t="s">
        <v>16336</v>
      </c>
      <c r="AB1597" t="s">
        <v>21401</v>
      </c>
      <c r="AC1597">
        <v>28</v>
      </c>
      <c r="AD1597" t="s">
        <v>24595</v>
      </c>
      <c r="AE1597" t="s">
        <v>11459</v>
      </c>
      <c r="AF1597">
        <v>8</v>
      </c>
      <c r="AG1597">
        <v>1</v>
      </c>
      <c r="AH1597">
        <v>0</v>
      </c>
      <c r="AI1597">
        <v>74.94</v>
      </c>
      <c r="AL1597" t="s">
        <v>5011</v>
      </c>
      <c r="AM1597">
        <v>9360</v>
      </c>
      <c r="AS1597">
        <v>1</v>
      </c>
      <c r="AT1597" t="s">
        <v>516</v>
      </c>
      <c r="AU1597" t="s">
        <v>137</v>
      </c>
      <c r="AV1597" t="s">
        <v>25335</v>
      </c>
      <c r="AW1597" t="s">
        <v>11447</v>
      </c>
    </row>
    <row r="1598" spans="1:49">
      <c r="A1598" s="1">
        <f>HYPERLINK("https://lsnyc.legalserver.org/matter/dynamic-profile/view/1914511","19-1914511")</f>
        <v>0</v>
      </c>
      <c r="B1598" t="s">
        <v>203</v>
      </c>
      <c r="C1598" t="s">
        <v>478</v>
      </c>
      <c r="E1598" t="s">
        <v>1989</v>
      </c>
      <c r="F1598" t="s">
        <v>4518</v>
      </c>
      <c r="G1598" t="s">
        <v>7511</v>
      </c>
      <c r="H1598">
        <v>3</v>
      </c>
      <c r="I1598" t="s">
        <v>11385</v>
      </c>
      <c r="J1598">
        <v>11208</v>
      </c>
      <c r="K1598" t="s">
        <v>11446</v>
      </c>
      <c r="L1598" t="s">
        <v>11465</v>
      </c>
      <c r="M1598" t="s">
        <v>11601</v>
      </c>
      <c r="P1598" t="s">
        <v>14797</v>
      </c>
      <c r="Q1598" t="s">
        <v>11448</v>
      </c>
      <c r="S1598" t="s">
        <v>14827</v>
      </c>
      <c r="T1598" t="s">
        <v>14832</v>
      </c>
      <c r="U1598" t="s">
        <v>580</v>
      </c>
      <c r="V1598">
        <v>0</v>
      </c>
      <c r="W1598" t="s">
        <v>14859</v>
      </c>
      <c r="Z1598" t="s">
        <v>16337</v>
      </c>
      <c r="AA1598" t="s">
        <v>11465</v>
      </c>
      <c r="AC1598">
        <v>3</v>
      </c>
      <c r="AD1598" t="s">
        <v>24600</v>
      </c>
      <c r="AE1598" t="s">
        <v>11459</v>
      </c>
      <c r="AF1598">
        <v>0</v>
      </c>
      <c r="AG1598">
        <v>2</v>
      </c>
      <c r="AH1598">
        <v>1</v>
      </c>
      <c r="AI1598">
        <v>90.01000000000001</v>
      </c>
      <c r="AL1598" t="s">
        <v>24632</v>
      </c>
      <c r="AM1598">
        <v>19200</v>
      </c>
      <c r="AN1598" t="s">
        <v>24779</v>
      </c>
      <c r="AS1598">
        <v>1</v>
      </c>
      <c r="AT1598" t="s">
        <v>580</v>
      </c>
      <c r="AU1598" t="s">
        <v>66</v>
      </c>
      <c r="AV1598" t="s">
        <v>25335</v>
      </c>
      <c r="AW1598" t="s">
        <v>11447</v>
      </c>
    </row>
    <row r="1599" spans="1:49">
      <c r="A1599" s="1">
        <f>HYPERLINK("https://lsnyc.legalserver.org/matter/dynamic-profile/view/1914154","19-1914154")</f>
        <v>0</v>
      </c>
      <c r="B1599" t="s">
        <v>216</v>
      </c>
      <c r="C1599" t="s">
        <v>580</v>
      </c>
      <c r="E1599" t="s">
        <v>1990</v>
      </c>
      <c r="F1599" t="s">
        <v>4519</v>
      </c>
      <c r="G1599" t="s">
        <v>7512</v>
      </c>
      <c r="H1599" t="s">
        <v>10474</v>
      </c>
      <c r="I1599" t="s">
        <v>11386</v>
      </c>
      <c r="J1599">
        <v>10034</v>
      </c>
      <c r="K1599" t="s">
        <v>11446</v>
      </c>
      <c r="N1599" t="s">
        <v>14782</v>
      </c>
      <c r="P1599" t="s">
        <v>14797</v>
      </c>
      <c r="Q1599" t="s">
        <v>11448</v>
      </c>
      <c r="S1599" t="s">
        <v>14827</v>
      </c>
      <c r="U1599" t="s">
        <v>580</v>
      </c>
      <c r="V1599">
        <v>1670</v>
      </c>
      <c r="W1599" t="s">
        <v>14860</v>
      </c>
      <c r="X1599" t="s">
        <v>14867</v>
      </c>
      <c r="Z1599" t="s">
        <v>16338</v>
      </c>
      <c r="AC1599">
        <v>61</v>
      </c>
      <c r="AD1599" t="s">
        <v>24595</v>
      </c>
      <c r="AE1599" t="s">
        <v>11459</v>
      </c>
      <c r="AF1599">
        <v>5</v>
      </c>
      <c r="AG1599">
        <v>1</v>
      </c>
      <c r="AH1599">
        <v>1</v>
      </c>
      <c r="AI1599">
        <v>92.25</v>
      </c>
      <c r="AL1599" t="s">
        <v>5011</v>
      </c>
      <c r="AM1599">
        <v>15600</v>
      </c>
      <c r="AS1599">
        <v>0</v>
      </c>
      <c r="AU1599" t="s">
        <v>137</v>
      </c>
      <c r="AV1599" t="s">
        <v>25335</v>
      </c>
      <c r="AW1599" t="s">
        <v>11447</v>
      </c>
    </row>
    <row r="1600" spans="1:49">
      <c r="A1600" s="1">
        <f>HYPERLINK("https://lsnyc.legalserver.org/matter/dynamic-profile/view/1914052","19-1914052")</f>
        <v>0</v>
      </c>
      <c r="B1600" t="s">
        <v>178</v>
      </c>
      <c r="C1600" t="s">
        <v>580</v>
      </c>
      <c r="E1600" t="s">
        <v>1991</v>
      </c>
      <c r="F1600" t="s">
        <v>4520</v>
      </c>
      <c r="G1600" t="s">
        <v>7513</v>
      </c>
      <c r="H1600">
        <v>48</v>
      </c>
      <c r="I1600" t="s">
        <v>11386</v>
      </c>
      <c r="J1600">
        <v>10034</v>
      </c>
      <c r="K1600" t="s">
        <v>11446</v>
      </c>
      <c r="N1600" t="s">
        <v>14782</v>
      </c>
      <c r="P1600" t="s">
        <v>14797</v>
      </c>
      <c r="S1600" t="s">
        <v>14827</v>
      </c>
      <c r="U1600" t="s">
        <v>580</v>
      </c>
      <c r="V1600">
        <v>1265.8</v>
      </c>
      <c r="W1600" t="s">
        <v>14860</v>
      </c>
      <c r="X1600" t="s">
        <v>14868</v>
      </c>
      <c r="Z1600" t="s">
        <v>16339</v>
      </c>
      <c r="AB1600" t="s">
        <v>21402</v>
      </c>
      <c r="AC1600">
        <v>41</v>
      </c>
      <c r="AD1600" t="s">
        <v>24595</v>
      </c>
      <c r="AE1600" t="s">
        <v>24613</v>
      </c>
      <c r="AF1600">
        <v>27</v>
      </c>
      <c r="AG1600">
        <v>1</v>
      </c>
      <c r="AH1600">
        <v>0</v>
      </c>
      <c r="AI1600">
        <v>101.07</v>
      </c>
      <c r="AL1600" t="s">
        <v>5011</v>
      </c>
      <c r="AM1600">
        <v>12624</v>
      </c>
      <c r="AS1600">
        <v>3</v>
      </c>
      <c r="AT1600" t="s">
        <v>539</v>
      </c>
      <c r="AU1600" t="s">
        <v>137</v>
      </c>
      <c r="AV1600" t="s">
        <v>25335</v>
      </c>
      <c r="AW1600" t="s">
        <v>11447</v>
      </c>
    </row>
    <row r="1601" spans="1:49">
      <c r="A1601" s="1">
        <f>HYPERLINK("https://lsnyc.legalserver.org/matter/dynamic-profile/view/1914180","19-1914180")</f>
        <v>0</v>
      </c>
      <c r="B1601" t="s">
        <v>190</v>
      </c>
      <c r="C1601" t="s">
        <v>580</v>
      </c>
      <c r="E1601" t="s">
        <v>1992</v>
      </c>
      <c r="F1601" t="s">
        <v>3714</v>
      </c>
      <c r="G1601" t="s">
        <v>7514</v>
      </c>
      <c r="H1601" t="s">
        <v>10854</v>
      </c>
      <c r="I1601" t="s">
        <v>11386</v>
      </c>
      <c r="J1601">
        <v>10033</v>
      </c>
      <c r="K1601" t="s">
        <v>11446</v>
      </c>
      <c r="M1601" t="s">
        <v>14744</v>
      </c>
      <c r="N1601" t="s">
        <v>14781</v>
      </c>
      <c r="P1601" t="s">
        <v>14797</v>
      </c>
      <c r="Q1601" t="s">
        <v>11448</v>
      </c>
      <c r="S1601" t="s">
        <v>14827</v>
      </c>
      <c r="U1601" t="s">
        <v>580</v>
      </c>
      <c r="V1601">
        <v>1200</v>
      </c>
      <c r="W1601" t="s">
        <v>14860</v>
      </c>
      <c r="X1601" t="s">
        <v>14867</v>
      </c>
      <c r="Z1601" t="s">
        <v>16340</v>
      </c>
      <c r="AB1601" t="s">
        <v>21403</v>
      </c>
      <c r="AC1601">
        <v>60</v>
      </c>
      <c r="AD1601" t="s">
        <v>24595</v>
      </c>
      <c r="AE1601" t="s">
        <v>11459</v>
      </c>
      <c r="AF1601">
        <v>4</v>
      </c>
      <c r="AG1601">
        <v>1</v>
      </c>
      <c r="AH1601">
        <v>0</v>
      </c>
      <c r="AI1601">
        <v>168.13</v>
      </c>
      <c r="AL1601" t="s">
        <v>5011</v>
      </c>
      <c r="AM1601">
        <v>21000</v>
      </c>
      <c r="AS1601">
        <v>4.35</v>
      </c>
      <c r="AT1601" t="s">
        <v>654</v>
      </c>
      <c r="AU1601" t="s">
        <v>137</v>
      </c>
      <c r="AV1601" t="s">
        <v>25335</v>
      </c>
      <c r="AW1601" t="s">
        <v>11447</v>
      </c>
    </row>
    <row r="1602" spans="1:49">
      <c r="A1602" s="1">
        <f>HYPERLINK("https://lsnyc.legalserver.org/matter/dynamic-profile/view/1914174","19-1914174")</f>
        <v>0</v>
      </c>
      <c r="B1602" t="s">
        <v>216</v>
      </c>
      <c r="C1602" t="s">
        <v>580</v>
      </c>
      <c r="E1602" t="s">
        <v>1720</v>
      </c>
      <c r="F1602" t="s">
        <v>4521</v>
      </c>
      <c r="G1602" t="s">
        <v>7515</v>
      </c>
      <c r="H1602" t="s">
        <v>10855</v>
      </c>
      <c r="I1602" t="s">
        <v>11386</v>
      </c>
      <c r="J1602">
        <v>10040</v>
      </c>
      <c r="K1602" t="s">
        <v>11446</v>
      </c>
      <c r="N1602" t="s">
        <v>14782</v>
      </c>
      <c r="P1602" t="s">
        <v>14797</v>
      </c>
      <c r="Q1602" t="s">
        <v>11448</v>
      </c>
      <c r="S1602" t="s">
        <v>14827</v>
      </c>
      <c r="U1602" t="s">
        <v>580</v>
      </c>
      <c r="V1602">
        <v>1231</v>
      </c>
      <c r="W1602" t="s">
        <v>14860</v>
      </c>
      <c r="X1602" t="s">
        <v>14867</v>
      </c>
      <c r="Z1602" t="s">
        <v>16341</v>
      </c>
      <c r="AC1602">
        <v>189</v>
      </c>
      <c r="AD1602" t="s">
        <v>24595</v>
      </c>
      <c r="AE1602" t="s">
        <v>11459</v>
      </c>
      <c r="AF1602">
        <v>1</v>
      </c>
      <c r="AG1602">
        <v>2</v>
      </c>
      <c r="AH1602">
        <v>0</v>
      </c>
      <c r="AI1602">
        <v>184.51</v>
      </c>
      <c r="AM1602">
        <v>31200</v>
      </c>
      <c r="AS1602">
        <v>0</v>
      </c>
      <c r="AU1602" t="s">
        <v>137</v>
      </c>
      <c r="AV1602" t="s">
        <v>25335</v>
      </c>
      <c r="AW1602" t="s">
        <v>11447</v>
      </c>
    </row>
    <row r="1603" spans="1:49">
      <c r="A1603" s="1">
        <f>HYPERLINK("https://lsnyc.legalserver.org/matter/dynamic-profile/view/1914241","19-1914241")</f>
        <v>0</v>
      </c>
      <c r="B1603" t="s">
        <v>216</v>
      </c>
      <c r="C1603" t="s">
        <v>539</v>
      </c>
      <c r="E1603" t="s">
        <v>1993</v>
      </c>
      <c r="F1603" t="s">
        <v>4134</v>
      </c>
      <c r="G1603" t="s">
        <v>7516</v>
      </c>
      <c r="H1603" t="s">
        <v>10856</v>
      </c>
      <c r="I1603" t="s">
        <v>11386</v>
      </c>
      <c r="J1603">
        <v>10034</v>
      </c>
      <c r="K1603" t="s">
        <v>11446</v>
      </c>
      <c r="L1603" t="s">
        <v>11985</v>
      </c>
      <c r="M1603" t="s">
        <v>14744</v>
      </c>
      <c r="N1603" t="s">
        <v>14782</v>
      </c>
      <c r="P1603" t="s">
        <v>14797</v>
      </c>
      <c r="Q1603" t="s">
        <v>11448</v>
      </c>
      <c r="S1603" t="s">
        <v>14827</v>
      </c>
      <c r="U1603" t="s">
        <v>539</v>
      </c>
      <c r="V1603">
        <v>664.25</v>
      </c>
      <c r="W1603" t="s">
        <v>14860</v>
      </c>
      <c r="X1603" t="s">
        <v>14868</v>
      </c>
      <c r="Z1603" t="s">
        <v>14926</v>
      </c>
      <c r="AB1603" t="s">
        <v>21404</v>
      </c>
      <c r="AC1603">
        <v>50</v>
      </c>
      <c r="AD1603" t="s">
        <v>24595</v>
      </c>
      <c r="AE1603" t="s">
        <v>11459</v>
      </c>
      <c r="AF1603">
        <v>25</v>
      </c>
      <c r="AG1603">
        <v>1</v>
      </c>
      <c r="AH1603">
        <v>0</v>
      </c>
      <c r="AI1603">
        <v>0</v>
      </c>
      <c r="AL1603" t="s">
        <v>5011</v>
      </c>
      <c r="AM1603">
        <v>0</v>
      </c>
      <c r="AS1603">
        <v>0</v>
      </c>
      <c r="AU1603" t="s">
        <v>137</v>
      </c>
      <c r="AV1603" t="s">
        <v>25335</v>
      </c>
      <c r="AW1603" t="s">
        <v>11447</v>
      </c>
    </row>
    <row r="1604" spans="1:49">
      <c r="A1604" s="1">
        <f>HYPERLINK("https://lsnyc.legalserver.org/matter/dynamic-profile/view/1914584","19-1914584")</f>
        <v>0</v>
      </c>
      <c r="B1604" t="s">
        <v>170</v>
      </c>
      <c r="C1604" t="s">
        <v>491</v>
      </c>
      <c r="E1604" t="s">
        <v>1994</v>
      </c>
      <c r="F1604" t="s">
        <v>4522</v>
      </c>
      <c r="G1604" t="s">
        <v>7495</v>
      </c>
      <c r="H1604">
        <v>602</v>
      </c>
      <c r="I1604" t="s">
        <v>11386</v>
      </c>
      <c r="J1604">
        <v>10029</v>
      </c>
      <c r="K1604" t="s">
        <v>11446</v>
      </c>
      <c r="M1604" t="s">
        <v>14746</v>
      </c>
      <c r="N1604" t="s">
        <v>14782</v>
      </c>
      <c r="P1604" t="s">
        <v>14797</v>
      </c>
      <c r="Q1604" t="s">
        <v>11446</v>
      </c>
      <c r="S1604" t="s">
        <v>14827</v>
      </c>
      <c r="T1604" t="s">
        <v>14832</v>
      </c>
      <c r="U1604" t="s">
        <v>539</v>
      </c>
      <c r="V1604">
        <v>309</v>
      </c>
      <c r="W1604" t="s">
        <v>14860</v>
      </c>
      <c r="X1604" t="s">
        <v>14876</v>
      </c>
      <c r="Z1604" t="s">
        <v>16342</v>
      </c>
      <c r="AB1604" t="s">
        <v>21405</v>
      </c>
      <c r="AC1604">
        <v>40</v>
      </c>
      <c r="AD1604" t="s">
        <v>24599</v>
      </c>
      <c r="AE1604" t="s">
        <v>11459</v>
      </c>
      <c r="AF1604">
        <v>7</v>
      </c>
      <c r="AG1604">
        <v>1</v>
      </c>
      <c r="AH1604">
        <v>0</v>
      </c>
      <c r="AI1604">
        <v>30.74</v>
      </c>
      <c r="AL1604" t="s">
        <v>24632</v>
      </c>
      <c r="AM1604">
        <v>3840</v>
      </c>
      <c r="AS1604">
        <v>0</v>
      </c>
      <c r="AU1604" t="s">
        <v>25266</v>
      </c>
      <c r="AV1604" t="s">
        <v>25335</v>
      </c>
      <c r="AW1604" t="s">
        <v>11447</v>
      </c>
    </row>
    <row r="1605" spans="1:49">
      <c r="A1605" s="1">
        <f>HYPERLINK("https://lsnyc.legalserver.org/matter/dynamic-profile/view/1914271","19-1914271")</f>
        <v>0</v>
      </c>
      <c r="B1605" t="s">
        <v>107</v>
      </c>
      <c r="C1605" t="s">
        <v>539</v>
      </c>
      <c r="E1605" t="s">
        <v>1762</v>
      </c>
      <c r="F1605" t="s">
        <v>3867</v>
      </c>
      <c r="G1605" t="s">
        <v>7517</v>
      </c>
      <c r="H1605" t="s">
        <v>10575</v>
      </c>
      <c r="I1605" t="s">
        <v>11385</v>
      </c>
      <c r="J1605">
        <v>11212</v>
      </c>
      <c r="K1605" t="s">
        <v>11446</v>
      </c>
      <c r="L1605" t="s">
        <v>11601</v>
      </c>
      <c r="N1605" t="s">
        <v>14782</v>
      </c>
      <c r="P1605" t="s">
        <v>14797</v>
      </c>
      <c r="Q1605" t="s">
        <v>11446</v>
      </c>
      <c r="S1605" t="s">
        <v>14827</v>
      </c>
      <c r="U1605" t="s">
        <v>539</v>
      </c>
      <c r="V1605">
        <v>281</v>
      </c>
      <c r="W1605" t="s">
        <v>14859</v>
      </c>
      <c r="X1605" t="s">
        <v>14864</v>
      </c>
      <c r="Z1605" t="s">
        <v>16343</v>
      </c>
      <c r="AB1605" t="s">
        <v>21406</v>
      </c>
      <c r="AC1605">
        <v>10</v>
      </c>
      <c r="AD1605" t="s">
        <v>24595</v>
      </c>
      <c r="AE1605" t="s">
        <v>24610</v>
      </c>
      <c r="AF1605">
        <v>21</v>
      </c>
      <c r="AG1605">
        <v>3</v>
      </c>
      <c r="AH1605">
        <v>2</v>
      </c>
      <c r="AI1605">
        <v>31.58</v>
      </c>
      <c r="AL1605" t="s">
        <v>5011</v>
      </c>
      <c r="AM1605">
        <v>9528</v>
      </c>
      <c r="AS1605">
        <v>0</v>
      </c>
      <c r="AU1605" t="s">
        <v>120</v>
      </c>
      <c r="AV1605" t="s">
        <v>25335</v>
      </c>
      <c r="AW1605" t="s">
        <v>11447</v>
      </c>
    </row>
    <row r="1606" spans="1:49">
      <c r="A1606" s="1">
        <f>HYPERLINK("https://lsnyc.legalserver.org/matter/dynamic-profile/view/1914227","19-1914227")</f>
        <v>0</v>
      </c>
      <c r="B1606" t="s">
        <v>231</v>
      </c>
      <c r="C1606" t="s">
        <v>539</v>
      </c>
      <c r="E1606" t="s">
        <v>1354</v>
      </c>
      <c r="F1606" t="s">
        <v>4523</v>
      </c>
      <c r="G1606" t="s">
        <v>7300</v>
      </c>
      <c r="H1606">
        <v>46</v>
      </c>
      <c r="I1606" t="s">
        <v>11386</v>
      </c>
      <c r="J1606">
        <v>10034</v>
      </c>
      <c r="K1606" t="s">
        <v>11446</v>
      </c>
      <c r="M1606" t="s">
        <v>14748</v>
      </c>
      <c r="N1606" t="s">
        <v>14779</v>
      </c>
      <c r="P1606" t="s">
        <v>14797</v>
      </c>
      <c r="Q1606" t="s">
        <v>11448</v>
      </c>
      <c r="S1606" t="s">
        <v>14827</v>
      </c>
      <c r="U1606" t="s">
        <v>539</v>
      </c>
      <c r="V1606">
        <v>867.85</v>
      </c>
      <c r="W1606" t="s">
        <v>14860</v>
      </c>
      <c r="X1606" t="s">
        <v>14868</v>
      </c>
      <c r="Z1606" t="s">
        <v>16344</v>
      </c>
      <c r="AB1606" t="s">
        <v>21407</v>
      </c>
      <c r="AC1606">
        <v>28</v>
      </c>
      <c r="AD1606" t="s">
        <v>24595</v>
      </c>
      <c r="AE1606" t="s">
        <v>24613</v>
      </c>
      <c r="AF1606">
        <v>24</v>
      </c>
      <c r="AG1606">
        <v>2</v>
      </c>
      <c r="AH1606">
        <v>0</v>
      </c>
      <c r="AI1606">
        <v>79.98</v>
      </c>
      <c r="AL1606" t="s">
        <v>24632</v>
      </c>
      <c r="AM1606">
        <v>13524</v>
      </c>
      <c r="AS1606">
        <v>1.2</v>
      </c>
      <c r="AT1606" t="s">
        <v>580</v>
      </c>
      <c r="AU1606" t="s">
        <v>137</v>
      </c>
      <c r="AV1606" t="s">
        <v>25335</v>
      </c>
      <c r="AW1606" t="s">
        <v>11447</v>
      </c>
    </row>
    <row r="1607" spans="1:49">
      <c r="A1607" s="1">
        <f>HYPERLINK("https://lsnyc.legalserver.org/matter/dynamic-profile/view/1914384","19-1914384")</f>
        <v>0</v>
      </c>
      <c r="B1607" t="s">
        <v>177</v>
      </c>
      <c r="C1607" t="s">
        <v>506</v>
      </c>
      <c r="E1607" t="s">
        <v>1995</v>
      </c>
      <c r="F1607" t="s">
        <v>4524</v>
      </c>
      <c r="G1607" t="s">
        <v>7518</v>
      </c>
      <c r="H1607" t="s">
        <v>10473</v>
      </c>
      <c r="I1607" t="s">
        <v>11385</v>
      </c>
      <c r="J1607">
        <v>11231</v>
      </c>
      <c r="K1607" t="s">
        <v>11446</v>
      </c>
      <c r="P1607" t="s">
        <v>14797</v>
      </c>
      <c r="S1607" t="s">
        <v>14827</v>
      </c>
      <c r="U1607" t="s">
        <v>539</v>
      </c>
      <c r="V1607">
        <v>0</v>
      </c>
      <c r="W1607" t="s">
        <v>14859</v>
      </c>
      <c r="Z1607" t="s">
        <v>16345</v>
      </c>
      <c r="AC1607">
        <v>8</v>
      </c>
      <c r="AF1607">
        <v>0</v>
      </c>
      <c r="AG1607">
        <v>1</v>
      </c>
      <c r="AH1607">
        <v>0</v>
      </c>
      <c r="AI1607">
        <v>89.09999999999999</v>
      </c>
      <c r="AL1607" t="s">
        <v>5011</v>
      </c>
      <c r="AM1607">
        <v>11128</v>
      </c>
      <c r="AS1607">
        <v>2.8</v>
      </c>
      <c r="AT1607" t="s">
        <v>506</v>
      </c>
      <c r="AU1607" t="s">
        <v>177</v>
      </c>
      <c r="AW1607" t="s">
        <v>11447</v>
      </c>
    </row>
    <row r="1608" spans="1:49">
      <c r="A1608" s="1">
        <f>HYPERLINK("https://lsnyc.legalserver.org/matter/dynamic-profile/view/1914640","19-1914640")</f>
        <v>0</v>
      </c>
      <c r="B1608" t="s">
        <v>170</v>
      </c>
      <c r="C1608" t="s">
        <v>491</v>
      </c>
      <c r="E1608" t="s">
        <v>1258</v>
      </c>
      <c r="F1608" t="s">
        <v>4525</v>
      </c>
      <c r="G1608" t="s">
        <v>7495</v>
      </c>
      <c r="H1608">
        <v>407</v>
      </c>
      <c r="I1608" t="s">
        <v>11386</v>
      </c>
      <c r="J1608">
        <v>10029</v>
      </c>
      <c r="K1608" t="s">
        <v>11446</v>
      </c>
      <c r="M1608" t="s">
        <v>14746</v>
      </c>
      <c r="N1608" t="s">
        <v>14782</v>
      </c>
      <c r="P1608" t="s">
        <v>14797</v>
      </c>
      <c r="Q1608" t="s">
        <v>11446</v>
      </c>
      <c r="S1608" t="s">
        <v>14827</v>
      </c>
      <c r="T1608" t="s">
        <v>14832</v>
      </c>
      <c r="U1608" t="s">
        <v>539</v>
      </c>
      <c r="V1608">
        <v>424</v>
      </c>
      <c r="W1608" t="s">
        <v>14860</v>
      </c>
      <c r="X1608" t="s">
        <v>14876</v>
      </c>
      <c r="Z1608" t="s">
        <v>16346</v>
      </c>
      <c r="AC1608">
        <v>40</v>
      </c>
      <c r="AD1608" t="s">
        <v>24595</v>
      </c>
      <c r="AE1608" t="s">
        <v>11459</v>
      </c>
      <c r="AF1608">
        <v>36</v>
      </c>
      <c r="AG1608">
        <v>1</v>
      </c>
      <c r="AH1608">
        <v>0</v>
      </c>
      <c r="AI1608">
        <v>129.9</v>
      </c>
      <c r="AL1608" t="s">
        <v>5011</v>
      </c>
      <c r="AM1608">
        <v>16224</v>
      </c>
      <c r="AS1608">
        <v>0</v>
      </c>
      <c r="AU1608" t="s">
        <v>25266</v>
      </c>
      <c r="AV1608" t="s">
        <v>25335</v>
      </c>
      <c r="AW1608" t="s">
        <v>11447</v>
      </c>
    </row>
    <row r="1609" spans="1:49">
      <c r="A1609" s="1">
        <f>HYPERLINK("https://lsnyc.legalserver.org/matter/dynamic-profile/view/1914604","19-1914604")</f>
        <v>0</v>
      </c>
      <c r="B1609" t="s">
        <v>170</v>
      </c>
      <c r="C1609" t="s">
        <v>491</v>
      </c>
      <c r="E1609" t="s">
        <v>1130</v>
      </c>
      <c r="F1609" t="s">
        <v>2719</v>
      </c>
      <c r="G1609" t="s">
        <v>7495</v>
      </c>
      <c r="H1609">
        <v>412</v>
      </c>
      <c r="I1609" t="s">
        <v>11386</v>
      </c>
      <c r="J1609">
        <v>10029</v>
      </c>
      <c r="K1609" t="s">
        <v>11446</v>
      </c>
      <c r="M1609" t="s">
        <v>14746</v>
      </c>
      <c r="N1609" t="s">
        <v>14782</v>
      </c>
      <c r="P1609" t="s">
        <v>14797</v>
      </c>
      <c r="Q1609" t="s">
        <v>11446</v>
      </c>
      <c r="S1609" t="s">
        <v>14827</v>
      </c>
      <c r="T1609" t="s">
        <v>14832</v>
      </c>
      <c r="U1609" t="s">
        <v>539</v>
      </c>
      <c r="V1609">
        <v>463</v>
      </c>
      <c r="W1609" t="s">
        <v>14860</v>
      </c>
      <c r="X1609" t="s">
        <v>14876</v>
      </c>
      <c r="Z1609" t="s">
        <v>16347</v>
      </c>
      <c r="AB1609" t="s">
        <v>21408</v>
      </c>
      <c r="AC1609">
        <v>40</v>
      </c>
      <c r="AD1609" t="s">
        <v>24595</v>
      </c>
      <c r="AE1609" t="s">
        <v>11459</v>
      </c>
      <c r="AF1609">
        <v>35</v>
      </c>
      <c r="AG1609">
        <v>4</v>
      </c>
      <c r="AH1609">
        <v>0</v>
      </c>
      <c r="AI1609">
        <v>151.46</v>
      </c>
      <c r="AL1609" t="s">
        <v>5011</v>
      </c>
      <c r="AM1609">
        <v>39000</v>
      </c>
      <c r="AS1609">
        <v>0</v>
      </c>
      <c r="AU1609" t="s">
        <v>25266</v>
      </c>
      <c r="AV1609" t="s">
        <v>25335</v>
      </c>
      <c r="AW1609" t="s">
        <v>11447</v>
      </c>
    </row>
    <row r="1610" spans="1:49">
      <c r="A1610" s="1">
        <f>HYPERLINK("https://lsnyc.legalserver.org/matter/dynamic-profile/view/1914283","19-1914283")</f>
        <v>0</v>
      </c>
      <c r="B1610" t="s">
        <v>205</v>
      </c>
      <c r="C1610" t="s">
        <v>539</v>
      </c>
      <c r="E1610" t="s">
        <v>1144</v>
      </c>
      <c r="F1610" t="s">
        <v>3571</v>
      </c>
      <c r="G1610" t="s">
        <v>7348</v>
      </c>
      <c r="H1610" t="s">
        <v>10498</v>
      </c>
      <c r="I1610" t="s">
        <v>11386</v>
      </c>
      <c r="J1610">
        <v>10035</v>
      </c>
      <c r="K1610" t="s">
        <v>11446</v>
      </c>
      <c r="L1610" t="s">
        <v>11986</v>
      </c>
      <c r="M1610" t="s">
        <v>14746</v>
      </c>
      <c r="N1610" t="s">
        <v>14781</v>
      </c>
      <c r="P1610" t="s">
        <v>14797</v>
      </c>
      <c r="Q1610" t="s">
        <v>11446</v>
      </c>
      <c r="S1610" t="s">
        <v>14827</v>
      </c>
      <c r="T1610" t="s">
        <v>14832</v>
      </c>
      <c r="U1610" t="s">
        <v>539</v>
      </c>
      <c r="V1610">
        <v>1116</v>
      </c>
      <c r="W1610" t="s">
        <v>14860</v>
      </c>
      <c r="X1610" t="s">
        <v>14876</v>
      </c>
      <c r="Z1610" t="s">
        <v>15074</v>
      </c>
      <c r="AC1610">
        <v>60</v>
      </c>
      <c r="AD1610" t="s">
        <v>24595</v>
      </c>
      <c r="AE1610" t="s">
        <v>11459</v>
      </c>
      <c r="AF1610">
        <v>18</v>
      </c>
      <c r="AG1610">
        <v>2</v>
      </c>
      <c r="AH1610">
        <v>2</v>
      </c>
      <c r="AI1610">
        <v>233.01</v>
      </c>
      <c r="AL1610" t="s">
        <v>5011</v>
      </c>
      <c r="AM1610">
        <v>60000</v>
      </c>
      <c r="AS1610">
        <v>0</v>
      </c>
      <c r="AU1610" t="s">
        <v>25266</v>
      </c>
      <c r="AV1610" t="s">
        <v>25335</v>
      </c>
      <c r="AW1610" t="s">
        <v>11447</v>
      </c>
    </row>
    <row r="1611" spans="1:49">
      <c r="A1611" s="1">
        <f>HYPERLINK("https://lsnyc.legalserver.org/matter/dynamic-profile/view/1914220","19-1914220")</f>
        <v>0</v>
      </c>
      <c r="B1611" t="s">
        <v>231</v>
      </c>
      <c r="C1611" t="s">
        <v>539</v>
      </c>
      <c r="E1611" t="s">
        <v>1996</v>
      </c>
      <c r="F1611" t="s">
        <v>3714</v>
      </c>
      <c r="G1611" t="s">
        <v>7519</v>
      </c>
      <c r="H1611">
        <v>31</v>
      </c>
      <c r="I1611" t="s">
        <v>11386</v>
      </c>
      <c r="J1611">
        <v>10034</v>
      </c>
      <c r="K1611" t="s">
        <v>11446</v>
      </c>
      <c r="N1611" t="s">
        <v>14782</v>
      </c>
      <c r="P1611" t="s">
        <v>14797</v>
      </c>
      <c r="Q1611" t="s">
        <v>11448</v>
      </c>
      <c r="S1611" t="s">
        <v>14827</v>
      </c>
      <c r="U1611" t="s">
        <v>539</v>
      </c>
      <c r="V1611">
        <v>1159.32</v>
      </c>
      <c r="W1611" t="s">
        <v>14860</v>
      </c>
      <c r="X1611" t="s">
        <v>14867</v>
      </c>
      <c r="Z1611" t="s">
        <v>16348</v>
      </c>
      <c r="AC1611">
        <v>26</v>
      </c>
      <c r="AD1611" t="s">
        <v>24595</v>
      </c>
      <c r="AE1611" t="s">
        <v>11459</v>
      </c>
      <c r="AF1611">
        <v>22</v>
      </c>
      <c r="AG1611">
        <v>2</v>
      </c>
      <c r="AH1611">
        <v>0</v>
      </c>
      <c r="AI1611">
        <v>413.96</v>
      </c>
      <c r="AL1611" t="s">
        <v>24632</v>
      </c>
      <c r="AM1611">
        <v>70000</v>
      </c>
      <c r="AS1611">
        <v>1</v>
      </c>
      <c r="AT1611" t="s">
        <v>580</v>
      </c>
      <c r="AU1611" t="s">
        <v>137</v>
      </c>
      <c r="AV1611" t="s">
        <v>25335</v>
      </c>
      <c r="AW1611" t="s">
        <v>11447</v>
      </c>
    </row>
    <row r="1612" spans="1:49">
      <c r="A1612" s="1">
        <f>HYPERLINK("https://lsnyc.legalserver.org/matter/dynamic-profile/view/1914453","19-1914453")</f>
        <v>0</v>
      </c>
      <c r="B1612" t="s">
        <v>167</v>
      </c>
      <c r="C1612" t="s">
        <v>506</v>
      </c>
      <c r="E1612" t="s">
        <v>1319</v>
      </c>
      <c r="F1612" t="s">
        <v>4526</v>
      </c>
      <c r="G1612" t="s">
        <v>7520</v>
      </c>
      <c r="I1612" t="s">
        <v>11399</v>
      </c>
      <c r="J1612">
        <v>11421</v>
      </c>
      <c r="K1612" t="s">
        <v>11446</v>
      </c>
      <c r="L1612" t="s">
        <v>11987</v>
      </c>
      <c r="M1612" t="s">
        <v>14743</v>
      </c>
      <c r="N1612" t="s">
        <v>14778</v>
      </c>
      <c r="P1612" t="s">
        <v>14797</v>
      </c>
      <c r="Q1612" t="s">
        <v>11448</v>
      </c>
      <c r="S1612" t="s">
        <v>14827</v>
      </c>
      <c r="T1612" t="s">
        <v>14834</v>
      </c>
      <c r="U1612" t="s">
        <v>506</v>
      </c>
      <c r="V1612">
        <v>2400</v>
      </c>
      <c r="W1612" t="s">
        <v>14861</v>
      </c>
      <c r="X1612" t="s">
        <v>14865</v>
      </c>
      <c r="Z1612" t="s">
        <v>16349</v>
      </c>
      <c r="AB1612" t="s">
        <v>21409</v>
      </c>
      <c r="AC1612">
        <v>2</v>
      </c>
      <c r="AD1612" t="s">
        <v>24600</v>
      </c>
      <c r="AF1612">
        <v>2</v>
      </c>
      <c r="AG1612">
        <v>2</v>
      </c>
      <c r="AH1612">
        <v>2</v>
      </c>
      <c r="AI1612">
        <v>86.70999999999999</v>
      </c>
      <c r="AM1612">
        <v>22329</v>
      </c>
      <c r="AS1612">
        <v>2.75</v>
      </c>
      <c r="AT1612" t="s">
        <v>516</v>
      </c>
      <c r="AU1612" t="s">
        <v>99</v>
      </c>
      <c r="AW1612" t="s">
        <v>11447</v>
      </c>
    </row>
    <row r="1613" spans="1:49">
      <c r="A1613" s="1">
        <f>HYPERLINK("https://lsnyc.legalserver.org/matter/dynamic-profile/view/1914573","19-1914573")</f>
        <v>0</v>
      </c>
      <c r="B1613" t="s">
        <v>103</v>
      </c>
      <c r="C1613" t="s">
        <v>478</v>
      </c>
      <c r="E1613" t="s">
        <v>1997</v>
      </c>
      <c r="F1613" t="s">
        <v>4026</v>
      </c>
      <c r="G1613" t="s">
        <v>7521</v>
      </c>
      <c r="H1613" t="s">
        <v>10513</v>
      </c>
      <c r="I1613" t="s">
        <v>11385</v>
      </c>
      <c r="J1613">
        <v>11208</v>
      </c>
      <c r="K1613" t="s">
        <v>11446</v>
      </c>
      <c r="L1613" t="s">
        <v>11988</v>
      </c>
      <c r="M1613" t="s">
        <v>14744</v>
      </c>
      <c r="P1613" t="s">
        <v>14797</v>
      </c>
      <c r="Q1613" t="s">
        <v>11448</v>
      </c>
      <c r="S1613" t="s">
        <v>14827</v>
      </c>
      <c r="T1613" t="s">
        <v>14832</v>
      </c>
      <c r="U1613" t="s">
        <v>506</v>
      </c>
      <c r="V1613">
        <v>2850</v>
      </c>
      <c r="W1613" t="s">
        <v>14859</v>
      </c>
      <c r="X1613" t="s">
        <v>14881</v>
      </c>
      <c r="Z1613" t="s">
        <v>16350</v>
      </c>
      <c r="AA1613" t="s">
        <v>11479</v>
      </c>
      <c r="AB1613" t="s">
        <v>21410</v>
      </c>
      <c r="AC1613">
        <v>6</v>
      </c>
      <c r="AD1613" t="s">
        <v>24595</v>
      </c>
      <c r="AE1613" t="s">
        <v>14755</v>
      </c>
      <c r="AF1613">
        <v>2</v>
      </c>
      <c r="AG1613">
        <v>4</v>
      </c>
      <c r="AH1613">
        <v>0</v>
      </c>
      <c r="AI1613">
        <v>121.17</v>
      </c>
      <c r="AL1613" t="s">
        <v>5011</v>
      </c>
      <c r="AM1613">
        <v>31200</v>
      </c>
      <c r="AS1613">
        <v>0</v>
      </c>
      <c r="AU1613" t="s">
        <v>66</v>
      </c>
      <c r="AV1613" t="s">
        <v>25335</v>
      </c>
      <c r="AW1613" t="s">
        <v>11447</v>
      </c>
    </row>
    <row r="1614" spans="1:49">
      <c r="A1614" s="1">
        <f>HYPERLINK("https://lsnyc.legalserver.org/matter/dynamic-profile/view/1913928","19-1913928")</f>
        <v>0</v>
      </c>
      <c r="B1614" t="s">
        <v>75</v>
      </c>
      <c r="C1614" t="s">
        <v>490</v>
      </c>
      <c r="E1614" t="s">
        <v>1998</v>
      </c>
      <c r="F1614" t="s">
        <v>4527</v>
      </c>
      <c r="G1614" t="s">
        <v>7522</v>
      </c>
      <c r="H1614" t="s">
        <v>10582</v>
      </c>
      <c r="I1614" t="s">
        <v>11385</v>
      </c>
      <c r="J1614">
        <v>11203</v>
      </c>
      <c r="K1614" t="s">
        <v>11446</v>
      </c>
      <c r="N1614" t="s">
        <v>14780</v>
      </c>
      <c r="P1614" t="s">
        <v>14797</v>
      </c>
      <c r="S1614" t="s">
        <v>14827</v>
      </c>
      <c r="U1614" t="s">
        <v>506</v>
      </c>
      <c r="V1614">
        <v>658</v>
      </c>
      <c r="W1614" t="s">
        <v>14859</v>
      </c>
      <c r="X1614" t="s">
        <v>14872</v>
      </c>
      <c r="Z1614" t="s">
        <v>16351</v>
      </c>
      <c r="AB1614" t="s">
        <v>21411</v>
      </c>
      <c r="AC1614">
        <v>66</v>
      </c>
      <c r="AF1614">
        <v>22</v>
      </c>
      <c r="AG1614">
        <v>1</v>
      </c>
      <c r="AH1614">
        <v>0</v>
      </c>
      <c r="AI1614">
        <v>309.46</v>
      </c>
      <c r="AL1614" t="s">
        <v>5011</v>
      </c>
      <c r="AM1614">
        <v>38651</v>
      </c>
      <c r="AS1614">
        <v>0.95</v>
      </c>
      <c r="AT1614" t="s">
        <v>580</v>
      </c>
      <c r="AU1614" t="s">
        <v>25253</v>
      </c>
      <c r="AW1614" t="s">
        <v>11447</v>
      </c>
    </row>
    <row r="1615" spans="1:49">
      <c r="A1615" s="1">
        <f>HYPERLINK("https://lsnyc.legalserver.org/matter/dynamic-profile/view/1914570","19-1914570")</f>
        <v>0</v>
      </c>
      <c r="B1615" t="s">
        <v>170</v>
      </c>
      <c r="C1615" t="s">
        <v>478</v>
      </c>
      <c r="E1615" t="s">
        <v>1032</v>
      </c>
      <c r="F1615" t="s">
        <v>4305</v>
      </c>
      <c r="G1615" t="s">
        <v>7523</v>
      </c>
      <c r="H1615" t="s">
        <v>10581</v>
      </c>
      <c r="I1615" t="s">
        <v>11386</v>
      </c>
      <c r="J1615">
        <v>10029</v>
      </c>
      <c r="K1615" t="s">
        <v>11446</v>
      </c>
      <c r="M1615" t="s">
        <v>11601</v>
      </c>
      <c r="N1615" t="s">
        <v>14782</v>
      </c>
      <c r="P1615" t="s">
        <v>14797</v>
      </c>
      <c r="Q1615" t="s">
        <v>11448</v>
      </c>
      <c r="S1615" t="s">
        <v>14827</v>
      </c>
      <c r="T1615" t="s">
        <v>14832</v>
      </c>
      <c r="U1615" t="s">
        <v>478</v>
      </c>
      <c r="V1615">
        <v>1500</v>
      </c>
      <c r="W1615" t="s">
        <v>14860</v>
      </c>
      <c r="X1615" t="s">
        <v>14755</v>
      </c>
      <c r="Z1615" t="s">
        <v>16352</v>
      </c>
      <c r="AB1615" t="s">
        <v>19344</v>
      </c>
      <c r="AC1615">
        <v>20</v>
      </c>
      <c r="AD1615" t="s">
        <v>24603</v>
      </c>
      <c r="AF1615">
        <v>6</v>
      </c>
      <c r="AG1615">
        <v>1</v>
      </c>
      <c r="AH1615">
        <v>0</v>
      </c>
      <c r="AI1615">
        <v>88.39</v>
      </c>
      <c r="AL1615" t="s">
        <v>5011</v>
      </c>
      <c r="AM1615">
        <v>11040</v>
      </c>
      <c r="AS1615">
        <v>0.75</v>
      </c>
      <c r="AT1615" t="s">
        <v>478</v>
      </c>
      <c r="AU1615" t="s">
        <v>25249</v>
      </c>
      <c r="AV1615" t="s">
        <v>25335</v>
      </c>
      <c r="AW1615" t="s">
        <v>11447</v>
      </c>
    </row>
    <row r="1616" spans="1:49">
      <c r="A1616" s="1">
        <f>HYPERLINK("https://lsnyc.legalserver.org/matter/dynamic-profile/view/1914579","19-1914579")</f>
        <v>0</v>
      </c>
      <c r="B1616" t="s">
        <v>170</v>
      </c>
      <c r="C1616" t="s">
        <v>491</v>
      </c>
      <c r="E1616" t="s">
        <v>1999</v>
      </c>
      <c r="F1616" t="s">
        <v>4528</v>
      </c>
      <c r="G1616" t="s">
        <v>7497</v>
      </c>
      <c r="H1616" t="s">
        <v>10464</v>
      </c>
      <c r="I1616" t="s">
        <v>11386</v>
      </c>
      <c r="J1616">
        <v>10035</v>
      </c>
      <c r="K1616" t="s">
        <v>11446</v>
      </c>
      <c r="M1616" t="s">
        <v>11601</v>
      </c>
      <c r="N1616" t="s">
        <v>14779</v>
      </c>
      <c r="P1616" t="s">
        <v>14797</v>
      </c>
      <c r="Q1616" t="s">
        <v>11446</v>
      </c>
      <c r="S1616" t="s">
        <v>14827</v>
      </c>
      <c r="T1616" t="s">
        <v>14832</v>
      </c>
      <c r="U1616" t="s">
        <v>478</v>
      </c>
      <c r="V1616">
        <v>2675</v>
      </c>
      <c r="W1616" t="s">
        <v>14860</v>
      </c>
      <c r="X1616" t="s">
        <v>14876</v>
      </c>
      <c r="Z1616" t="s">
        <v>16353</v>
      </c>
      <c r="AB1616" t="s">
        <v>21412</v>
      </c>
      <c r="AC1616">
        <v>33</v>
      </c>
      <c r="AD1616" t="s">
        <v>24595</v>
      </c>
      <c r="AE1616" t="s">
        <v>24610</v>
      </c>
      <c r="AF1616">
        <v>2</v>
      </c>
      <c r="AG1616">
        <v>3</v>
      </c>
      <c r="AH1616">
        <v>0</v>
      </c>
      <c r="AI1616">
        <v>97.52</v>
      </c>
      <c r="AL1616" t="s">
        <v>5011</v>
      </c>
      <c r="AM1616">
        <v>20800</v>
      </c>
      <c r="AS1616">
        <v>3.5</v>
      </c>
      <c r="AT1616" t="s">
        <v>537</v>
      </c>
      <c r="AU1616" t="s">
        <v>25266</v>
      </c>
      <c r="AV1616" t="s">
        <v>25335</v>
      </c>
      <c r="AW1616" t="s">
        <v>11447</v>
      </c>
    </row>
    <row r="1617" spans="1:49">
      <c r="A1617" s="1">
        <f>HYPERLINK("https://lsnyc.legalserver.org/matter/dynamic-profile/view/1914616","19-1914616")</f>
        <v>0</v>
      </c>
      <c r="B1617" t="s">
        <v>107</v>
      </c>
      <c r="C1617" t="s">
        <v>491</v>
      </c>
      <c r="E1617" t="s">
        <v>1966</v>
      </c>
      <c r="F1617" t="s">
        <v>4494</v>
      </c>
      <c r="G1617" t="s">
        <v>7365</v>
      </c>
      <c r="H1617">
        <v>34</v>
      </c>
      <c r="I1617" t="s">
        <v>11385</v>
      </c>
      <c r="J1617">
        <v>11213</v>
      </c>
      <c r="K1617" t="s">
        <v>11446</v>
      </c>
      <c r="L1617" t="s">
        <v>11465</v>
      </c>
      <c r="M1617" t="s">
        <v>14762</v>
      </c>
      <c r="N1617" t="s">
        <v>14783</v>
      </c>
      <c r="P1617" t="s">
        <v>14797</v>
      </c>
      <c r="Q1617" t="s">
        <v>11446</v>
      </c>
      <c r="S1617" t="s">
        <v>14827</v>
      </c>
      <c r="T1617" t="s">
        <v>14832</v>
      </c>
      <c r="U1617" t="s">
        <v>478</v>
      </c>
      <c r="V1617">
        <v>881.67</v>
      </c>
      <c r="W1617" t="s">
        <v>14859</v>
      </c>
      <c r="X1617" t="s">
        <v>14864</v>
      </c>
      <c r="Z1617" t="s">
        <v>16294</v>
      </c>
      <c r="AA1617" t="s">
        <v>11465</v>
      </c>
      <c r="AB1617" t="s">
        <v>21365</v>
      </c>
      <c r="AC1617">
        <v>31</v>
      </c>
      <c r="AD1617" t="s">
        <v>24595</v>
      </c>
      <c r="AE1617" t="s">
        <v>11459</v>
      </c>
      <c r="AF1617">
        <v>17</v>
      </c>
      <c r="AG1617">
        <v>2</v>
      </c>
      <c r="AH1617">
        <v>2</v>
      </c>
      <c r="AI1617">
        <v>124.75</v>
      </c>
      <c r="AL1617" t="s">
        <v>5011</v>
      </c>
      <c r="AM1617">
        <v>32124</v>
      </c>
      <c r="AS1617">
        <v>0</v>
      </c>
      <c r="AU1617" t="s">
        <v>66</v>
      </c>
      <c r="AV1617" t="s">
        <v>25335</v>
      </c>
      <c r="AW1617" t="s">
        <v>11447</v>
      </c>
    </row>
    <row r="1618" spans="1:49">
      <c r="A1618" s="1">
        <f>HYPERLINK("https://lsnyc.legalserver.org/matter/dynamic-profile/view/1901281","19-1901281")</f>
        <v>0</v>
      </c>
      <c r="B1618" t="s">
        <v>144</v>
      </c>
      <c r="C1618" t="s">
        <v>665</v>
      </c>
      <c r="E1618" t="s">
        <v>1025</v>
      </c>
      <c r="F1618" t="s">
        <v>4529</v>
      </c>
      <c r="G1618" t="s">
        <v>7524</v>
      </c>
      <c r="H1618">
        <v>516</v>
      </c>
      <c r="I1618" t="s">
        <v>11389</v>
      </c>
      <c r="J1618">
        <v>11355</v>
      </c>
      <c r="K1618" t="s">
        <v>11446</v>
      </c>
      <c r="L1618" t="s">
        <v>11989</v>
      </c>
      <c r="M1618" t="s">
        <v>14743</v>
      </c>
      <c r="N1618" t="s">
        <v>14781</v>
      </c>
      <c r="P1618" t="s">
        <v>14797</v>
      </c>
      <c r="Q1618" t="s">
        <v>11448</v>
      </c>
      <c r="S1618" t="s">
        <v>14827</v>
      </c>
      <c r="T1618" t="s">
        <v>14832</v>
      </c>
      <c r="U1618" t="s">
        <v>478</v>
      </c>
      <c r="V1618">
        <v>1378.85</v>
      </c>
      <c r="W1618" t="s">
        <v>14861</v>
      </c>
      <c r="X1618" t="s">
        <v>14865</v>
      </c>
      <c r="Z1618" t="s">
        <v>16354</v>
      </c>
      <c r="AB1618" t="s">
        <v>21413</v>
      </c>
      <c r="AC1618">
        <v>50</v>
      </c>
      <c r="AD1618" t="s">
        <v>24595</v>
      </c>
      <c r="AE1618" t="s">
        <v>11459</v>
      </c>
      <c r="AF1618">
        <v>11</v>
      </c>
      <c r="AG1618">
        <v>4</v>
      </c>
      <c r="AH1618">
        <v>0</v>
      </c>
      <c r="AI1618">
        <v>132.04</v>
      </c>
      <c r="AL1618" t="s">
        <v>5011</v>
      </c>
      <c r="AM1618">
        <v>34000</v>
      </c>
      <c r="AS1618">
        <v>10.9</v>
      </c>
      <c r="AT1618" t="s">
        <v>478</v>
      </c>
      <c r="AU1618" t="s">
        <v>209</v>
      </c>
      <c r="AV1618" t="s">
        <v>25335</v>
      </c>
      <c r="AW1618" t="s">
        <v>11447</v>
      </c>
    </row>
    <row r="1619" spans="1:49">
      <c r="A1619" s="1">
        <f>HYPERLINK("https://lsnyc.legalserver.org/matter/dynamic-profile/view/1914636","19-1914636")</f>
        <v>0</v>
      </c>
      <c r="B1619" t="s">
        <v>107</v>
      </c>
      <c r="C1619" t="s">
        <v>491</v>
      </c>
      <c r="E1619" t="s">
        <v>1867</v>
      </c>
      <c r="F1619" t="s">
        <v>4390</v>
      </c>
      <c r="G1619" t="s">
        <v>7365</v>
      </c>
      <c r="H1619">
        <v>37</v>
      </c>
      <c r="I1619" t="s">
        <v>11385</v>
      </c>
      <c r="J1619">
        <v>11213</v>
      </c>
      <c r="K1619" t="s">
        <v>11446</v>
      </c>
      <c r="L1619" t="s">
        <v>11707</v>
      </c>
      <c r="M1619" t="s">
        <v>14762</v>
      </c>
      <c r="N1619" t="s">
        <v>14783</v>
      </c>
      <c r="P1619" t="s">
        <v>14797</v>
      </c>
      <c r="Q1619" t="s">
        <v>11446</v>
      </c>
      <c r="S1619" t="s">
        <v>14827</v>
      </c>
      <c r="T1619" t="s">
        <v>14832</v>
      </c>
      <c r="U1619" t="s">
        <v>478</v>
      </c>
      <c r="V1619">
        <v>798.41</v>
      </c>
      <c r="W1619" t="s">
        <v>14859</v>
      </c>
      <c r="X1619" t="s">
        <v>14864</v>
      </c>
      <c r="Z1619" t="s">
        <v>16105</v>
      </c>
      <c r="AA1619" t="s">
        <v>11465</v>
      </c>
      <c r="AB1619" t="s">
        <v>21188</v>
      </c>
      <c r="AC1619">
        <v>31</v>
      </c>
      <c r="AD1619" t="s">
        <v>24595</v>
      </c>
      <c r="AE1619" t="s">
        <v>24613</v>
      </c>
      <c r="AF1619">
        <v>41</v>
      </c>
      <c r="AG1619">
        <v>2</v>
      </c>
      <c r="AH1619">
        <v>0</v>
      </c>
      <c r="AI1619">
        <v>146.08</v>
      </c>
      <c r="AL1619" t="s">
        <v>5011</v>
      </c>
      <c r="AM1619">
        <v>24702</v>
      </c>
      <c r="AS1619">
        <v>0</v>
      </c>
      <c r="AU1619" t="s">
        <v>66</v>
      </c>
      <c r="AV1619" t="s">
        <v>25335</v>
      </c>
      <c r="AW1619" t="s">
        <v>11447</v>
      </c>
    </row>
    <row r="1620" spans="1:49">
      <c r="A1620" s="1">
        <f>HYPERLINK("https://lsnyc.legalserver.org/matter/dynamic-profile/view/1907313","19-1907313")</f>
        <v>0</v>
      </c>
      <c r="B1620" t="s">
        <v>144</v>
      </c>
      <c r="C1620" t="s">
        <v>366</v>
      </c>
      <c r="E1620" t="s">
        <v>2000</v>
      </c>
      <c r="F1620" t="s">
        <v>4530</v>
      </c>
      <c r="G1620" t="s">
        <v>7525</v>
      </c>
      <c r="H1620" t="s">
        <v>10450</v>
      </c>
      <c r="I1620" t="s">
        <v>11404</v>
      </c>
      <c r="J1620">
        <v>11105</v>
      </c>
      <c r="K1620" t="s">
        <v>11446</v>
      </c>
      <c r="L1620" t="s">
        <v>11990</v>
      </c>
      <c r="M1620" t="s">
        <v>14744</v>
      </c>
      <c r="N1620" t="s">
        <v>14781</v>
      </c>
      <c r="P1620" t="s">
        <v>14797</v>
      </c>
      <c r="Q1620" t="s">
        <v>11448</v>
      </c>
      <c r="S1620" t="s">
        <v>14827</v>
      </c>
      <c r="T1620" t="s">
        <v>14834</v>
      </c>
      <c r="U1620" t="s">
        <v>478</v>
      </c>
      <c r="V1620">
        <v>2135</v>
      </c>
      <c r="W1620" t="s">
        <v>14861</v>
      </c>
      <c r="X1620" t="s">
        <v>14865</v>
      </c>
      <c r="Z1620" t="s">
        <v>16355</v>
      </c>
      <c r="AB1620" t="s">
        <v>21414</v>
      </c>
      <c r="AC1620">
        <v>9</v>
      </c>
      <c r="AD1620" t="s">
        <v>24595</v>
      </c>
      <c r="AE1620" t="s">
        <v>11459</v>
      </c>
      <c r="AF1620">
        <v>2</v>
      </c>
      <c r="AG1620">
        <v>2</v>
      </c>
      <c r="AH1620">
        <v>2</v>
      </c>
      <c r="AI1620">
        <v>186.41</v>
      </c>
      <c r="AL1620" t="s">
        <v>24649</v>
      </c>
      <c r="AM1620">
        <v>48000</v>
      </c>
      <c r="AS1620">
        <v>8.800000000000001</v>
      </c>
      <c r="AT1620" t="s">
        <v>509</v>
      </c>
      <c r="AU1620" t="s">
        <v>25233</v>
      </c>
      <c r="AV1620" t="s">
        <v>25335</v>
      </c>
      <c r="AW1620" t="s">
        <v>11447</v>
      </c>
    </row>
    <row r="1621" spans="1:49">
      <c r="A1621" s="1">
        <f>HYPERLINK("https://lsnyc.legalserver.org/matter/dynamic-profile/view/1913067","19-1913067")</f>
        <v>0</v>
      </c>
      <c r="B1621" t="s">
        <v>171</v>
      </c>
      <c r="C1621" t="s">
        <v>478</v>
      </c>
      <c r="E1621" t="s">
        <v>2001</v>
      </c>
      <c r="F1621" t="s">
        <v>4531</v>
      </c>
      <c r="G1621" t="s">
        <v>7526</v>
      </c>
      <c r="H1621" t="s">
        <v>10857</v>
      </c>
      <c r="I1621" t="s">
        <v>11390</v>
      </c>
      <c r="J1621">
        <v>11368</v>
      </c>
      <c r="K1621" t="s">
        <v>11446</v>
      </c>
      <c r="M1621" t="s">
        <v>14747</v>
      </c>
      <c r="N1621" t="s">
        <v>14779</v>
      </c>
      <c r="P1621" t="s">
        <v>14797</v>
      </c>
      <c r="Q1621" t="s">
        <v>11446</v>
      </c>
      <c r="S1621" t="s">
        <v>14827</v>
      </c>
      <c r="U1621" t="s">
        <v>478</v>
      </c>
      <c r="V1621">
        <v>2275</v>
      </c>
      <c r="W1621" t="s">
        <v>14861</v>
      </c>
      <c r="X1621" t="s">
        <v>14876</v>
      </c>
      <c r="Z1621" t="s">
        <v>15464</v>
      </c>
      <c r="AB1621" t="s">
        <v>19344</v>
      </c>
      <c r="AC1621">
        <v>232</v>
      </c>
      <c r="AD1621" t="s">
        <v>24595</v>
      </c>
      <c r="AE1621" t="s">
        <v>11459</v>
      </c>
      <c r="AF1621">
        <v>1</v>
      </c>
      <c r="AG1621">
        <v>4</v>
      </c>
      <c r="AH1621">
        <v>0</v>
      </c>
      <c r="AI1621">
        <v>272.62</v>
      </c>
      <c r="AL1621" t="s">
        <v>24632</v>
      </c>
      <c r="AM1621">
        <v>70200</v>
      </c>
      <c r="AS1621">
        <v>0.4</v>
      </c>
      <c r="AT1621" t="s">
        <v>478</v>
      </c>
      <c r="AU1621" t="s">
        <v>292</v>
      </c>
      <c r="AV1621" t="s">
        <v>25335</v>
      </c>
      <c r="AW1621" t="s">
        <v>11447</v>
      </c>
    </row>
    <row r="1622" spans="1:49">
      <c r="A1622" s="1">
        <f>HYPERLINK("https://lsnyc.legalserver.org/matter/dynamic-profile/view/1914520","19-1914520")</f>
        <v>0</v>
      </c>
      <c r="B1622" t="s">
        <v>63</v>
      </c>
      <c r="C1622" t="s">
        <v>478</v>
      </c>
      <c r="E1622" t="s">
        <v>2001</v>
      </c>
      <c r="F1622" t="s">
        <v>4531</v>
      </c>
      <c r="G1622" t="s">
        <v>7526</v>
      </c>
      <c r="H1622" t="s">
        <v>10857</v>
      </c>
      <c r="I1622" t="s">
        <v>11390</v>
      </c>
      <c r="J1622">
        <v>11368</v>
      </c>
      <c r="K1622" t="s">
        <v>11446</v>
      </c>
      <c r="M1622" t="s">
        <v>14747</v>
      </c>
      <c r="N1622" t="s">
        <v>14779</v>
      </c>
      <c r="P1622" t="s">
        <v>14797</v>
      </c>
      <c r="Q1622" t="s">
        <v>11446</v>
      </c>
      <c r="S1622" t="s">
        <v>14827</v>
      </c>
      <c r="U1622" t="s">
        <v>478</v>
      </c>
      <c r="V1622">
        <v>2275</v>
      </c>
      <c r="W1622" t="s">
        <v>14861</v>
      </c>
      <c r="X1622" t="s">
        <v>14876</v>
      </c>
      <c r="Z1622" t="s">
        <v>15464</v>
      </c>
      <c r="AB1622" t="s">
        <v>19344</v>
      </c>
      <c r="AC1622">
        <v>232</v>
      </c>
      <c r="AD1622" t="s">
        <v>24595</v>
      </c>
      <c r="AE1622" t="s">
        <v>11459</v>
      </c>
      <c r="AF1622">
        <v>0</v>
      </c>
      <c r="AG1622">
        <v>4</v>
      </c>
      <c r="AH1622">
        <v>0</v>
      </c>
      <c r="AI1622">
        <v>272.62</v>
      </c>
      <c r="AL1622" t="s">
        <v>24632</v>
      </c>
      <c r="AM1622">
        <v>70200</v>
      </c>
      <c r="AS1622">
        <v>0.5</v>
      </c>
      <c r="AT1622" t="s">
        <v>478</v>
      </c>
      <c r="AU1622" t="s">
        <v>292</v>
      </c>
      <c r="AV1622" t="s">
        <v>25335</v>
      </c>
      <c r="AW1622" t="s">
        <v>11447</v>
      </c>
    </row>
    <row r="1623" spans="1:49">
      <c r="A1623" s="1">
        <f>HYPERLINK("https://lsnyc.legalserver.org/matter/dynamic-profile/view/1914502","19-1914502")</f>
        <v>0</v>
      </c>
      <c r="B1623" t="s">
        <v>188</v>
      </c>
      <c r="C1623" t="s">
        <v>478</v>
      </c>
      <c r="E1623" t="s">
        <v>1392</v>
      </c>
      <c r="F1623" t="s">
        <v>3262</v>
      </c>
      <c r="G1623" t="s">
        <v>7527</v>
      </c>
      <c r="H1623" t="s">
        <v>10542</v>
      </c>
      <c r="I1623" t="s">
        <v>11386</v>
      </c>
      <c r="J1623">
        <v>10039</v>
      </c>
      <c r="K1623" t="s">
        <v>11446</v>
      </c>
      <c r="M1623" t="s">
        <v>14744</v>
      </c>
      <c r="N1623" t="s">
        <v>14782</v>
      </c>
      <c r="P1623" t="s">
        <v>14797</v>
      </c>
      <c r="Q1623" t="s">
        <v>11448</v>
      </c>
      <c r="S1623" t="s">
        <v>14827</v>
      </c>
      <c r="T1623" t="s">
        <v>14832</v>
      </c>
      <c r="U1623" t="s">
        <v>478</v>
      </c>
      <c r="V1623">
        <v>1257.77</v>
      </c>
      <c r="W1623" t="s">
        <v>14860</v>
      </c>
      <c r="X1623" t="s">
        <v>14864</v>
      </c>
      <c r="Z1623" t="s">
        <v>15437</v>
      </c>
      <c r="AB1623" t="s">
        <v>21415</v>
      </c>
      <c r="AC1623">
        <v>96</v>
      </c>
      <c r="AD1623" t="s">
        <v>24595</v>
      </c>
      <c r="AE1623" t="s">
        <v>24613</v>
      </c>
      <c r="AF1623">
        <v>13</v>
      </c>
      <c r="AG1623">
        <v>1</v>
      </c>
      <c r="AH1623">
        <v>0</v>
      </c>
      <c r="AI1623">
        <v>281.18</v>
      </c>
      <c r="AL1623" t="s">
        <v>5011</v>
      </c>
      <c r="AM1623">
        <v>35120</v>
      </c>
      <c r="AS1623">
        <v>0</v>
      </c>
      <c r="AU1623" t="s">
        <v>25266</v>
      </c>
      <c r="AV1623" t="s">
        <v>25335</v>
      </c>
      <c r="AW1623" t="s">
        <v>11447</v>
      </c>
    </row>
    <row r="1624" spans="1:49">
      <c r="A1624" s="1">
        <f>HYPERLINK("https://lsnyc.legalserver.org/matter/dynamic-profile/view/1914600","19-1914600")</f>
        <v>0</v>
      </c>
      <c r="B1624" t="s">
        <v>211</v>
      </c>
      <c r="C1624" t="s">
        <v>491</v>
      </c>
      <c r="E1624" t="s">
        <v>2002</v>
      </c>
      <c r="F1624" t="s">
        <v>3621</v>
      </c>
      <c r="G1624" t="s">
        <v>7365</v>
      </c>
      <c r="H1624">
        <v>28</v>
      </c>
      <c r="I1624" t="s">
        <v>11385</v>
      </c>
      <c r="J1624">
        <v>11213</v>
      </c>
      <c r="K1624" t="s">
        <v>11446</v>
      </c>
      <c r="L1624" t="s">
        <v>11707</v>
      </c>
      <c r="M1624" t="s">
        <v>14762</v>
      </c>
      <c r="N1624" t="s">
        <v>14783</v>
      </c>
      <c r="P1624" t="s">
        <v>14797</v>
      </c>
      <c r="Q1624" t="s">
        <v>11446</v>
      </c>
      <c r="S1624" t="s">
        <v>14827</v>
      </c>
      <c r="T1624" t="s">
        <v>14832</v>
      </c>
      <c r="U1624" t="s">
        <v>478</v>
      </c>
      <c r="V1624">
        <v>1326</v>
      </c>
      <c r="W1624" t="s">
        <v>14859</v>
      </c>
      <c r="X1624" t="s">
        <v>14864</v>
      </c>
      <c r="Z1624" t="s">
        <v>16356</v>
      </c>
      <c r="AA1624" t="s">
        <v>19458</v>
      </c>
      <c r="AB1624" t="s">
        <v>21416</v>
      </c>
      <c r="AC1624">
        <v>31</v>
      </c>
      <c r="AD1624" t="s">
        <v>24595</v>
      </c>
      <c r="AE1624" t="s">
        <v>11459</v>
      </c>
      <c r="AF1624">
        <v>2</v>
      </c>
      <c r="AG1624">
        <v>2</v>
      </c>
      <c r="AH1624">
        <v>0</v>
      </c>
      <c r="AI1624">
        <v>372.56</v>
      </c>
      <c r="AL1624" t="s">
        <v>5011</v>
      </c>
      <c r="AM1624">
        <v>63000</v>
      </c>
      <c r="AN1624" t="s">
        <v>24780</v>
      </c>
      <c r="AS1624">
        <v>0</v>
      </c>
      <c r="AU1624" t="s">
        <v>66</v>
      </c>
      <c r="AV1624" t="s">
        <v>25335</v>
      </c>
      <c r="AW1624" t="s">
        <v>11447</v>
      </c>
    </row>
    <row r="1625" spans="1:49">
      <c r="A1625" s="1">
        <f>HYPERLINK("https://lsnyc.legalserver.org/matter/dynamic-profile/view/1912877","19-1912877")</f>
        <v>0</v>
      </c>
      <c r="B1625" t="s">
        <v>63</v>
      </c>
      <c r="C1625" t="s">
        <v>470</v>
      </c>
      <c r="E1625" t="s">
        <v>1249</v>
      </c>
      <c r="F1625" t="s">
        <v>4532</v>
      </c>
      <c r="G1625" t="s">
        <v>7528</v>
      </c>
      <c r="H1625" t="s">
        <v>10547</v>
      </c>
      <c r="I1625" t="s">
        <v>11389</v>
      </c>
      <c r="J1625">
        <v>11358</v>
      </c>
      <c r="K1625" t="s">
        <v>11446</v>
      </c>
      <c r="M1625" t="s">
        <v>14747</v>
      </c>
      <c r="N1625" t="s">
        <v>14779</v>
      </c>
      <c r="P1625" t="s">
        <v>14797</v>
      </c>
      <c r="Q1625" t="s">
        <v>11448</v>
      </c>
      <c r="S1625" t="s">
        <v>14827</v>
      </c>
      <c r="T1625" t="s">
        <v>14832</v>
      </c>
      <c r="U1625" t="s">
        <v>14845</v>
      </c>
      <c r="V1625">
        <v>1483</v>
      </c>
      <c r="W1625" t="s">
        <v>14861</v>
      </c>
      <c r="X1625" t="s">
        <v>14870</v>
      </c>
      <c r="Z1625" t="s">
        <v>16357</v>
      </c>
      <c r="AB1625" t="s">
        <v>21417</v>
      </c>
      <c r="AC1625">
        <v>4</v>
      </c>
      <c r="AD1625" t="s">
        <v>24595</v>
      </c>
      <c r="AE1625" t="s">
        <v>11459</v>
      </c>
      <c r="AF1625">
        <v>11</v>
      </c>
      <c r="AG1625">
        <v>2</v>
      </c>
      <c r="AH1625">
        <v>2</v>
      </c>
      <c r="AI1625">
        <v>60.58</v>
      </c>
      <c r="AL1625" t="s">
        <v>5011</v>
      </c>
      <c r="AM1625">
        <v>15600</v>
      </c>
      <c r="AS1625">
        <v>3.1</v>
      </c>
      <c r="AT1625" t="s">
        <v>495</v>
      </c>
      <c r="AU1625" t="s">
        <v>25226</v>
      </c>
      <c r="AW1625" t="s">
        <v>11447</v>
      </c>
    </row>
    <row r="1626" spans="1:49">
      <c r="A1626" s="1">
        <f>HYPERLINK("https://lsnyc.legalserver.org/matter/dynamic-profile/view/1913332","19-1913332")</f>
        <v>0</v>
      </c>
      <c r="B1626" t="s">
        <v>167</v>
      </c>
      <c r="C1626" t="s">
        <v>483</v>
      </c>
      <c r="E1626" t="s">
        <v>2003</v>
      </c>
      <c r="F1626" t="s">
        <v>3699</v>
      </c>
      <c r="G1626" t="s">
        <v>7529</v>
      </c>
      <c r="H1626" t="s">
        <v>10858</v>
      </c>
      <c r="I1626" t="s">
        <v>11409</v>
      </c>
      <c r="J1626">
        <v>11377</v>
      </c>
      <c r="K1626" t="s">
        <v>11446</v>
      </c>
      <c r="L1626" t="s">
        <v>11991</v>
      </c>
      <c r="M1626" t="s">
        <v>14743</v>
      </c>
      <c r="N1626" t="s">
        <v>14779</v>
      </c>
      <c r="P1626" t="s">
        <v>14797</v>
      </c>
      <c r="Q1626" t="s">
        <v>11448</v>
      </c>
      <c r="S1626" t="s">
        <v>14827</v>
      </c>
      <c r="T1626" t="s">
        <v>14832</v>
      </c>
      <c r="U1626" t="s">
        <v>491</v>
      </c>
      <c r="V1626">
        <v>600</v>
      </c>
      <c r="W1626" t="s">
        <v>14861</v>
      </c>
      <c r="X1626" t="s">
        <v>14865</v>
      </c>
      <c r="Z1626" t="s">
        <v>16358</v>
      </c>
      <c r="AB1626" t="s">
        <v>21418</v>
      </c>
      <c r="AC1626">
        <v>150</v>
      </c>
      <c r="AD1626" t="s">
        <v>24600</v>
      </c>
      <c r="AE1626" t="s">
        <v>11459</v>
      </c>
      <c r="AF1626">
        <v>-1</v>
      </c>
      <c r="AG1626">
        <v>1</v>
      </c>
      <c r="AH1626">
        <v>0</v>
      </c>
      <c r="AI1626">
        <v>20.66</v>
      </c>
      <c r="AL1626" t="s">
        <v>24632</v>
      </c>
      <c r="AM1626">
        <v>2580</v>
      </c>
      <c r="AS1626">
        <v>3.28</v>
      </c>
      <c r="AT1626" t="s">
        <v>537</v>
      </c>
      <c r="AU1626" t="s">
        <v>25233</v>
      </c>
      <c r="AV1626" t="s">
        <v>25335</v>
      </c>
      <c r="AW1626" t="s">
        <v>11447</v>
      </c>
    </row>
    <row r="1627" spans="1:49">
      <c r="A1627" s="1">
        <f>HYPERLINK("https://lsnyc.legalserver.org/matter/dynamic-profile/view/1913348","19-1913348")</f>
        <v>0</v>
      </c>
      <c r="B1627" t="s">
        <v>167</v>
      </c>
      <c r="C1627" t="s">
        <v>483</v>
      </c>
      <c r="E1627" t="s">
        <v>2004</v>
      </c>
      <c r="F1627" t="s">
        <v>4533</v>
      </c>
      <c r="G1627" t="s">
        <v>7530</v>
      </c>
      <c r="H1627" t="s">
        <v>10509</v>
      </c>
      <c r="I1627" t="s">
        <v>11390</v>
      </c>
      <c r="J1627">
        <v>11368</v>
      </c>
      <c r="K1627" t="s">
        <v>11446</v>
      </c>
      <c r="L1627" t="s">
        <v>11992</v>
      </c>
      <c r="M1627" t="s">
        <v>14743</v>
      </c>
      <c r="N1627" t="s">
        <v>14779</v>
      </c>
      <c r="P1627" t="s">
        <v>14797</v>
      </c>
      <c r="Q1627" t="s">
        <v>11448</v>
      </c>
      <c r="S1627" t="s">
        <v>14827</v>
      </c>
      <c r="T1627" t="s">
        <v>14832</v>
      </c>
      <c r="U1627" t="s">
        <v>491</v>
      </c>
      <c r="V1627">
        <v>1155</v>
      </c>
      <c r="W1627" t="s">
        <v>14861</v>
      </c>
      <c r="X1627" t="s">
        <v>14865</v>
      </c>
      <c r="Z1627" t="s">
        <v>16359</v>
      </c>
      <c r="AB1627" t="s">
        <v>21419</v>
      </c>
      <c r="AC1627">
        <v>8</v>
      </c>
      <c r="AD1627" t="s">
        <v>24595</v>
      </c>
      <c r="AE1627" t="s">
        <v>11459</v>
      </c>
      <c r="AF1627">
        <v>5</v>
      </c>
      <c r="AG1627">
        <v>2</v>
      </c>
      <c r="AH1627">
        <v>0</v>
      </c>
      <c r="AI1627">
        <v>106.45</v>
      </c>
      <c r="AL1627" t="s">
        <v>5011</v>
      </c>
      <c r="AM1627">
        <v>18000</v>
      </c>
      <c r="AS1627">
        <v>1.28</v>
      </c>
      <c r="AT1627" t="s">
        <v>491</v>
      </c>
      <c r="AU1627" t="s">
        <v>25233</v>
      </c>
      <c r="AV1627" t="s">
        <v>25335</v>
      </c>
      <c r="AW1627" t="s">
        <v>11447</v>
      </c>
    </row>
    <row r="1628" spans="1:49">
      <c r="A1628" s="1">
        <f>HYPERLINK("https://lsnyc.legalserver.org/matter/dynamic-profile/view/1914714","19-1914714")</f>
        <v>0</v>
      </c>
      <c r="B1628" t="s">
        <v>170</v>
      </c>
      <c r="C1628" t="s">
        <v>592</v>
      </c>
      <c r="E1628" t="s">
        <v>1025</v>
      </c>
      <c r="F1628" t="s">
        <v>4499</v>
      </c>
      <c r="G1628" t="s">
        <v>7496</v>
      </c>
      <c r="H1628">
        <v>610</v>
      </c>
      <c r="I1628" t="s">
        <v>11386</v>
      </c>
      <c r="J1628">
        <v>10029</v>
      </c>
      <c r="K1628" t="s">
        <v>11446</v>
      </c>
      <c r="L1628" t="s">
        <v>11993</v>
      </c>
      <c r="M1628" t="s">
        <v>14744</v>
      </c>
      <c r="N1628" t="s">
        <v>14781</v>
      </c>
      <c r="P1628" t="s">
        <v>14797</v>
      </c>
      <c r="Q1628" t="s">
        <v>11448</v>
      </c>
      <c r="S1628" t="s">
        <v>14827</v>
      </c>
      <c r="T1628" t="s">
        <v>14832</v>
      </c>
      <c r="U1628" t="s">
        <v>491</v>
      </c>
      <c r="V1628">
        <v>713</v>
      </c>
      <c r="W1628" t="s">
        <v>14860</v>
      </c>
      <c r="X1628" t="s">
        <v>14868</v>
      </c>
      <c r="Z1628" t="s">
        <v>16305</v>
      </c>
      <c r="AC1628">
        <v>135</v>
      </c>
      <c r="AD1628" t="s">
        <v>24599</v>
      </c>
      <c r="AE1628" t="s">
        <v>11459</v>
      </c>
      <c r="AF1628">
        <v>36</v>
      </c>
      <c r="AG1628">
        <v>2</v>
      </c>
      <c r="AH1628">
        <v>2</v>
      </c>
      <c r="AI1628">
        <v>143.07</v>
      </c>
      <c r="AL1628" t="s">
        <v>24632</v>
      </c>
      <c r="AM1628">
        <v>36840</v>
      </c>
      <c r="AS1628">
        <v>0</v>
      </c>
      <c r="AU1628" t="s">
        <v>25266</v>
      </c>
      <c r="AV1628" t="s">
        <v>25335</v>
      </c>
      <c r="AW1628" t="s">
        <v>11447</v>
      </c>
    </row>
    <row r="1629" spans="1:49">
      <c r="A1629" s="1">
        <f>HYPERLINK("https://lsnyc.legalserver.org/matter/dynamic-profile/view/1914674","19-1914674")</f>
        <v>0</v>
      </c>
      <c r="B1629" t="s">
        <v>108</v>
      </c>
      <c r="C1629" t="s">
        <v>491</v>
      </c>
      <c r="E1629" t="s">
        <v>1048</v>
      </c>
      <c r="F1629" t="s">
        <v>4534</v>
      </c>
      <c r="G1629" t="s">
        <v>7531</v>
      </c>
      <c r="H1629">
        <v>24</v>
      </c>
      <c r="I1629" t="s">
        <v>11385</v>
      </c>
      <c r="J1629">
        <v>11230</v>
      </c>
      <c r="K1629" t="s">
        <v>11446</v>
      </c>
      <c r="N1629" t="s">
        <v>14781</v>
      </c>
      <c r="P1629" t="s">
        <v>14797</v>
      </c>
      <c r="S1629" t="s">
        <v>14827</v>
      </c>
      <c r="U1629" t="s">
        <v>491</v>
      </c>
      <c r="V1629">
        <v>830</v>
      </c>
      <c r="W1629" t="s">
        <v>14859</v>
      </c>
      <c r="Z1629" t="s">
        <v>16360</v>
      </c>
      <c r="AB1629" t="s">
        <v>21420</v>
      </c>
      <c r="AC1629">
        <v>0</v>
      </c>
      <c r="AF1629">
        <v>40</v>
      </c>
      <c r="AG1629">
        <v>2</v>
      </c>
      <c r="AH1629">
        <v>0</v>
      </c>
      <c r="AI1629">
        <v>146.19</v>
      </c>
      <c r="AL1629" t="s">
        <v>5011</v>
      </c>
      <c r="AM1629">
        <v>24720</v>
      </c>
      <c r="AS1629">
        <v>0</v>
      </c>
      <c r="AU1629" t="s">
        <v>75</v>
      </c>
      <c r="AV1629" t="s">
        <v>25335</v>
      </c>
      <c r="AW1629" t="s">
        <v>11447</v>
      </c>
    </row>
    <row r="1630" spans="1:49">
      <c r="A1630" s="1">
        <f>HYPERLINK("https://lsnyc.legalserver.org/matter/dynamic-profile/view/1914738","19-1914738")</f>
        <v>0</v>
      </c>
      <c r="B1630" t="s">
        <v>170</v>
      </c>
      <c r="C1630" t="s">
        <v>592</v>
      </c>
      <c r="E1630" t="s">
        <v>1249</v>
      </c>
      <c r="F1630" t="s">
        <v>4184</v>
      </c>
      <c r="G1630" t="s">
        <v>7532</v>
      </c>
      <c r="H1630" t="s">
        <v>10476</v>
      </c>
      <c r="I1630" t="s">
        <v>11386</v>
      </c>
      <c r="J1630">
        <v>10029</v>
      </c>
      <c r="K1630" t="s">
        <v>11446</v>
      </c>
      <c r="L1630" t="s">
        <v>11994</v>
      </c>
      <c r="M1630" t="s">
        <v>14744</v>
      </c>
      <c r="N1630" t="s">
        <v>14781</v>
      </c>
      <c r="P1630" t="s">
        <v>14797</v>
      </c>
      <c r="Q1630" t="s">
        <v>11448</v>
      </c>
      <c r="S1630" t="s">
        <v>14827</v>
      </c>
      <c r="T1630" t="s">
        <v>14832</v>
      </c>
      <c r="U1630" t="s">
        <v>491</v>
      </c>
      <c r="V1630">
        <v>2100</v>
      </c>
      <c r="W1630" t="s">
        <v>14860</v>
      </c>
      <c r="Z1630" t="s">
        <v>16361</v>
      </c>
      <c r="AB1630" t="s">
        <v>21421</v>
      </c>
      <c r="AC1630">
        <v>10</v>
      </c>
      <c r="AD1630" t="s">
        <v>24600</v>
      </c>
      <c r="AE1630" t="s">
        <v>11459</v>
      </c>
      <c r="AF1630">
        <v>14</v>
      </c>
      <c r="AG1630">
        <v>1</v>
      </c>
      <c r="AH1630">
        <v>0</v>
      </c>
      <c r="AI1630">
        <v>168.13</v>
      </c>
      <c r="AL1630" t="s">
        <v>5011</v>
      </c>
      <c r="AM1630">
        <v>21000</v>
      </c>
      <c r="AS1630">
        <v>0</v>
      </c>
      <c r="AU1630" t="s">
        <v>25266</v>
      </c>
      <c r="AV1630" t="s">
        <v>25335</v>
      </c>
      <c r="AW1630" t="s">
        <v>11447</v>
      </c>
    </row>
    <row r="1631" spans="1:49">
      <c r="A1631" s="1">
        <f>HYPERLINK("https://lsnyc.legalserver.org/matter/dynamic-profile/view/1914730","19-1914730")</f>
        <v>0</v>
      </c>
      <c r="B1631" t="s">
        <v>149</v>
      </c>
      <c r="C1631" t="s">
        <v>592</v>
      </c>
      <c r="E1631" t="s">
        <v>1145</v>
      </c>
      <c r="F1631" t="s">
        <v>4535</v>
      </c>
      <c r="G1631" t="s">
        <v>7533</v>
      </c>
      <c r="H1631" t="s">
        <v>10497</v>
      </c>
      <c r="I1631" t="s">
        <v>11385</v>
      </c>
      <c r="J1631">
        <v>11236</v>
      </c>
      <c r="K1631" t="s">
        <v>11446</v>
      </c>
      <c r="L1631" t="s">
        <v>11995</v>
      </c>
      <c r="M1631" t="s">
        <v>14744</v>
      </c>
      <c r="N1631" t="s">
        <v>14782</v>
      </c>
      <c r="P1631" t="s">
        <v>14797</v>
      </c>
      <c r="Q1631" t="s">
        <v>11448</v>
      </c>
      <c r="S1631" t="s">
        <v>14827</v>
      </c>
      <c r="U1631" t="s">
        <v>592</v>
      </c>
      <c r="V1631">
        <v>1400</v>
      </c>
      <c r="W1631" t="s">
        <v>14859</v>
      </c>
      <c r="X1631" t="s">
        <v>14755</v>
      </c>
      <c r="Z1631" t="s">
        <v>16362</v>
      </c>
      <c r="AB1631" t="s">
        <v>21422</v>
      </c>
      <c r="AC1631">
        <v>0</v>
      </c>
      <c r="AD1631" t="s">
        <v>24597</v>
      </c>
      <c r="AE1631" t="s">
        <v>11459</v>
      </c>
      <c r="AF1631">
        <v>22</v>
      </c>
      <c r="AG1631">
        <v>2</v>
      </c>
      <c r="AH1631">
        <v>0</v>
      </c>
      <c r="AI1631">
        <v>28.39</v>
      </c>
      <c r="AL1631" t="s">
        <v>5011</v>
      </c>
      <c r="AM1631">
        <v>4800</v>
      </c>
      <c r="AS1631">
        <v>2.2</v>
      </c>
      <c r="AT1631" t="s">
        <v>509</v>
      </c>
      <c r="AU1631" t="s">
        <v>120</v>
      </c>
      <c r="AV1631" t="s">
        <v>25335</v>
      </c>
      <c r="AW1631" t="s">
        <v>11447</v>
      </c>
    </row>
    <row r="1632" spans="1:49">
      <c r="A1632" s="1">
        <f>HYPERLINK("https://lsnyc.legalserver.org/matter/dynamic-profile/view/1914829","19-1914829")</f>
        <v>0</v>
      </c>
      <c r="B1632" t="s">
        <v>211</v>
      </c>
      <c r="C1632" t="s">
        <v>537</v>
      </c>
      <c r="E1632" t="s">
        <v>1176</v>
      </c>
      <c r="F1632" t="s">
        <v>4536</v>
      </c>
      <c r="G1632" t="s">
        <v>7463</v>
      </c>
      <c r="H1632" t="s">
        <v>10562</v>
      </c>
      <c r="I1632" t="s">
        <v>11385</v>
      </c>
      <c r="J1632">
        <v>11207</v>
      </c>
      <c r="K1632" t="s">
        <v>11446</v>
      </c>
      <c r="M1632" t="s">
        <v>11601</v>
      </c>
      <c r="N1632" t="s">
        <v>14779</v>
      </c>
      <c r="P1632" t="s">
        <v>14797</v>
      </c>
      <c r="Q1632" t="s">
        <v>11448</v>
      </c>
      <c r="S1632" t="s">
        <v>14827</v>
      </c>
      <c r="U1632" t="s">
        <v>592</v>
      </c>
      <c r="V1632">
        <v>960</v>
      </c>
      <c r="W1632" t="s">
        <v>14859</v>
      </c>
      <c r="X1632" t="s">
        <v>14868</v>
      </c>
      <c r="Z1632" t="s">
        <v>16363</v>
      </c>
      <c r="AC1632">
        <v>6</v>
      </c>
      <c r="AD1632" t="s">
        <v>24595</v>
      </c>
      <c r="AF1632">
        <v>8</v>
      </c>
      <c r="AG1632">
        <v>1</v>
      </c>
      <c r="AH1632">
        <v>3</v>
      </c>
      <c r="AI1632">
        <v>58.36</v>
      </c>
      <c r="AL1632" t="s">
        <v>5011</v>
      </c>
      <c r="AM1632">
        <v>15026.96</v>
      </c>
      <c r="AS1632">
        <v>0.6</v>
      </c>
      <c r="AT1632" t="s">
        <v>521</v>
      </c>
      <c r="AU1632" t="s">
        <v>211</v>
      </c>
      <c r="AV1632" t="s">
        <v>25335</v>
      </c>
      <c r="AW1632" t="s">
        <v>11447</v>
      </c>
    </row>
    <row r="1633" spans="1:49">
      <c r="A1633" s="1">
        <f>HYPERLINK("https://lsnyc.legalserver.org/matter/dynamic-profile/view/1914873","19-1914873")</f>
        <v>0</v>
      </c>
      <c r="B1633" t="s">
        <v>205</v>
      </c>
      <c r="C1633" t="s">
        <v>537</v>
      </c>
      <c r="E1633" t="s">
        <v>2005</v>
      </c>
      <c r="F1633" t="s">
        <v>4537</v>
      </c>
      <c r="G1633" t="s">
        <v>7348</v>
      </c>
      <c r="H1633" t="s">
        <v>10510</v>
      </c>
      <c r="I1633" t="s">
        <v>11386</v>
      </c>
      <c r="J1633">
        <v>10035</v>
      </c>
      <c r="K1633" t="s">
        <v>11446</v>
      </c>
      <c r="M1633" t="s">
        <v>14746</v>
      </c>
      <c r="N1633" t="s">
        <v>14781</v>
      </c>
      <c r="P1633" t="s">
        <v>14797</v>
      </c>
      <c r="Q1633" t="s">
        <v>11446</v>
      </c>
      <c r="S1633" t="s">
        <v>14827</v>
      </c>
      <c r="T1633" t="s">
        <v>14832</v>
      </c>
      <c r="U1633" t="s">
        <v>592</v>
      </c>
      <c r="V1633">
        <v>1350</v>
      </c>
      <c r="W1633" t="s">
        <v>14860</v>
      </c>
      <c r="X1633" t="s">
        <v>14868</v>
      </c>
      <c r="Z1633" t="s">
        <v>16364</v>
      </c>
      <c r="AB1633" t="s">
        <v>21423</v>
      </c>
      <c r="AC1633">
        <v>60</v>
      </c>
      <c r="AD1633" t="s">
        <v>24595</v>
      </c>
      <c r="AE1633" t="s">
        <v>11459</v>
      </c>
      <c r="AF1633">
        <v>7</v>
      </c>
      <c r="AG1633">
        <v>2</v>
      </c>
      <c r="AH1633">
        <v>4</v>
      </c>
      <c r="AI1633">
        <v>65.05</v>
      </c>
      <c r="AL1633" t="s">
        <v>5011</v>
      </c>
      <c r="AM1633">
        <v>22500</v>
      </c>
      <c r="AS1633">
        <v>0</v>
      </c>
      <c r="AU1633" t="s">
        <v>25266</v>
      </c>
      <c r="AV1633" t="s">
        <v>25335</v>
      </c>
      <c r="AW1633" t="s">
        <v>11447</v>
      </c>
    </row>
    <row r="1634" spans="1:49">
      <c r="A1634" s="1">
        <f>HYPERLINK("https://lsnyc.legalserver.org/matter/dynamic-profile/view/1914818","19-1914818")</f>
        <v>0</v>
      </c>
      <c r="B1634" t="s">
        <v>205</v>
      </c>
      <c r="C1634" t="s">
        <v>537</v>
      </c>
      <c r="E1634" t="s">
        <v>2006</v>
      </c>
      <c r="F1634" t="s">
        <v>4538</v>
      </c>
      <c r="G1634" t="s">
        <v>7348</v>
      </c>
      <c r="H1634" t="s">
        <v>10593</v>
      </c>
      <c r="I1634" t="s">
        <v>11386</v>
      </c>
      <c r="J1634">
        <v>10035</v>
      </c>
      <c r="K1634" t="s">
        <v>11446</v>
      </c>
      <c r="M1634" t="s">
        <v>14746</v>
      </c>
      <c r="N1634" t="s">
        <v>14781</v>
      </c>
      <c r="P1634" t="s">
        <v>14797</v>
      </c>
      <c r="Q1634" t="s">
        <v>11446</v>
      </c>
      <c r="S1634" t="s">
        <v>14827</v>
      </c>
      <c r="T1634" t="s">
        <v>14832</v>
      </c>
      <c r="U1634" t="s">
        <v>592</v>
      </c>
      <c r="V1634">
        <v>2500</v>
      </c>
      <c r="W1634" t="s">
        <v>14860</v>
      </c>
      <c r="X1634" t="s">
        <v>14868</v>
      </c>
      <c r="Z1634" t="s">
        <v>16365</v>
      </c>
      <c r="AB1634" t="s">
        <v>21424</v>
      </c>
      <c r="AC1634">
        <v>60</v>
      </c>
      <c r="AD1634" t="s">
        <v>24595</v>
      </c>
      <c r="AE1634" t="s">
        <v>24610</v>
      </c>
      <c r="AF1634">
        <v>14</v>
      </c>
      <c r="AG1634">
        <v>1</v>
      </c>
      <c r="AH1634">
        <v>0</v>
      </c>
      <c r="AI1634">
        <v>80.8</v>
      </c>
      <c r="AL1634" t="s">
        <v>24632</v>
      </c>
      <c r="AM1634">
        <v>10092</v>
      </c>
      <c r="AS1634">
        <v>0</v>
      </c>
      <c r="AU1634" t="s">
        <v>25266</v>
      </c>
      <c r="AV1634" t="s">
        <v>11459</v>
      </c>
      <c r="AW1634" t="s">
        <v>11447</v>
      </c>
    </row>
    <row r="1635" spans="1:49">
      <c r="A1635" s="1">
        <f>HYPERLINK("https://lsnyc.legalserver.org/matter/dynamic-profile/view/1914861","19-1914861")</f>
        <v>0</v>
      </c>
      <c r="B1635" t="s">
        <v>205</v>
      </c>
      <c r="C1635" t="s">
        <v>537</v>
      </c>
      <c r="E1635" t="s">
        <v>1426</v>
      </c>
      <c r="F1635" t="s">
        <v>4539</v>
      </c>
      <c r="G1635" t="s">
        <v>7534</v>
      </c>
      <c r="H1635" t="s">
        <v>10471</v>
      </c>
      <c r="I1635" t="s">
        <v>11386</v>
      </c>
      <c r="J1635">
        <v>10035</v>
      </c>
      <c r="K1635" t="s">
        <v>11446</v>
      </c>
      <c r="M1635" t="s">
        <v>14746</v>
      </c>
      <c r="N1635" t="s">
        <v>14781</v>
      </c>
      <c r="P1635" t="s">
        <v>14797</v>
      </c>
      <c r="Q1635" t="s">
        <v>11446</v>
      </c>
      <c r="S1635" t="s">
        <v>14827</v>
      </c>
      <c r="T1635" t="s">
        <v>14832</v>
      </c>
      <c r="U1635" t="s">
        <v>592</v>
      </c>
      <c r="V1635">
        <v>1483.36</v>
      </c>
      <c r="W1635" t="s">
        <v>14860</v>
      </c>
      <c r="X1635" t="s">
        <v>14868</v>
      </c>
      <c r="Z1635" t="s">
        <v>16366</v>
      </c>
      <c r="AB1635" t="s">
        <v>21425</v>
      </c>
      <c r="AC1635">
        <v>30</v>
      </c>
      <c r="AD1635" t="s">
        <v>24595</v>
      </c>
      <c r="AE1635" t="s">
        <v>24610</v>
      </c>
      <c r="AF1635">
        <v>16</v>
      </c>
      <c r="AG1635">
        <v>1</v>
      </c>
      <c r="AH1635">
        <v>0</v>
      </c>
      <c r="AI1635">
        <v>83.68000000000001</v>
      </c>
      <c r="AL1635" t="s">
        <v>5011</v>
      </c>
      <c r="AM1635">
        <v>10452</v>
      </c>
      <c r="AS1635">
        <v>0</v>
      </c>
      <c r="AU1635" t="s">
        <v>25266</v>
      </c>
      <c r="AV1635" t="s">
        <v>25335</v>
      </c>
      <c r="AW1635" t="s">
        <v>11447</v>
      </c>
    </row>
    <row r="1636" spans="1:49">
      <c r="A1636" s="1">
        <f>HYPERLINK("https://lsnyc.legalserver.org/matter/dynamic-profile/view/1913088","19-1913088")</f>
        <v>0</v>
      </c>
      <c r="B1636" t="s">
        <v>172</v>
      </c>
      <c r="C1636" t="s">
        <v>603</v>
      </c>
      <c r="E1636" t="s">
        <v>1065</v>
      </c>
      <c r="F1636" t="s">
        <v>4540</v>
      </c>
      <c r="G1636" t="s">
        <v>7535</v>
      </c>
      <c r="I1636" t="s">
        <v>11386</v>
      </c>
      <c r="J1636">
        <v>10040</v>
      </c>
      <c r="K1636" t="s">
        <v>11446</v>
      </c>
      <c r="M1636" t="s">
        <v>11601</v>
      </c>
      <c r="N1636" t="s">
        <v>14782</v>
      </c>
      <c r="P1636" t="s">
        <v>14797</v>
      </c>
      <c r="Q1636" t="s">
        <v>11448</v>
      </c>
      <c r="S1636" t="s">
        <v>14827</v>
      </c>
      <c r="U1636" t="s">
        <v>592</v>
      </c>
      <c r="V1636">
        <v>511</v>
      </c>
      <c r="W1636" t="s">
        <v>14860</v>
      </c>
      <c r="Z1636" t="s">
        <v>16367</v>
      </c>
      <c r="AB1636" t="s">
        <v>21426</v>
      </c>
      <c r="AC1636">
        <v>4</v>
      </c>
      <c r="AD1636" t="s">
        <v>24595</v>
      </c>
      <c r="AE1636" t="s">
        <v>11459</v>
      </c>
      <c r="AF1636">
        <v>52</v>
      </c>
      <c r="AG1636">
        <v>1</v>
      </c>
      <c r="AH1636">
        <v>0</v>
      </c>
      <c r="AI1636">
        <v>85.51000000000001</v>
      </c>
      <c r="AL1636" t="s">
        <v>24651</v>
      </c>
      <c r="AM1636">
        <v>10680</v>
      </c>
      <c r="AS1636">
        <v>2</v>
      </c>
      <c r="AT1636" t="s">
        <v>592</v>
      </c>
      <c r="AU1636" t="s">
        <v>25231</v>
      </c>
      <c r="AV1636" t="s">
        <v>25335</v>
      </c>
      <c r="AW1636" t="s">
        <v>11447</v>
      </c>
    </row>
    <row r="1637" spans="1:49">
      <c r="A1637" s="1">
        <f>HYPERLINK("https://lsnyc.legalserver.org/matter/dynamic-profile/view/1914816","19-1914816")</f>
        <v>0</v>
      </c>
      <c r="B1637" t="s">
        <v>205</v>
      </c>
      <c r="C1637" t="s">
        <v>537</v>
      </c>
      <c r="E1637" t="s">
        <v>2007</v>
      </c>
      <c r="F1637" t="s">
        <v>4541</v>
      </c>
      <c r="G1637" t="s">
        <v>7348</v>
      </c>
      <c r="H1637" t="s">
        <v>10476</v>
      </c>
      <c r="I1637" t="s">
        <v>11386</v>
      </c>
      <c r="J1637">
        <v>10035</v>
      </c>
      <c r="K1637" t="s">
        <v>11446</v>
      </c>
      <c r="M1637" t="s">
        <v>14746</v>
      </c>
      <c r="N1637" t="s">
        <v>14781</v>
      </c>
      <c r="P1637" t="s">
        <v>14797</v>
      </c>
      <c r="Q1637" t="s">
        <v>11446</v>
      </c>
      <c r="S1637" t="s">
        <v>14827</v>
      </c>
      <c r="T1637" t="s">
        <v>14832</v>
      </c>
      <c r="U1637" t="s">
        <v>592</v>
      </c>
      <c r="V1637">
        <v>258</v>
      </c>
      <c r="W1637" t="s">
        <v>14860</v>
      </c>
      <c r="X1637" t="s">
        <v>14868</v>
      </c>
      <c r="Z1637" t="s">
        <v>16368</v>
      </c>
      <c r="AC1637">
        <v>60</v>
      </c>
      <c r="AD1637" t="s">
        <v>24595</v>
      </c>
      <c r="AE1637" t="s">
        <v>24618</v>
      </c>
      <c r="AF1637">
        <v>14</v>
      </c>
      <c r="AG1637">
        <v>1</v>
      </c>
      <c r="AH1637">
        <v>0</v>
      </c>
      <c r="AI1637">
        <v>93.67</v>
      </c>
      <c r="AL1637" t="s">
        <v>5011</v>
      </c>
      <c r="AM1637">
        <v>11700</v>
      </c>
      <c r="AS1637">
        <v>0</v>
      </c>
      <c r="AU1637" t="s">
        <v>25266</v>
      </c>
      <c r="AV1637" t="s">
        <v>25335</v>
      </c>
      <c r="AW1637" t="s">
        <v>11447</v>
      </c>
    </row>
    <row r="1638" spans="1:49">
      <c r="A1638" s="1">
        <f>HYPERLINK("https://lsnyc.legalserver.org/matter/dynamic-profile/view/1911734","19-1911734")</f>
        <v>0</v>
      </c>
      <c r="B1638" t="s">
        <v>172</v>
      </c>
      <c r="C1638" t="s">
        <v>505</v>
      </c>
      <c r="E1638" t="s">
        <v>2008</v>
      </c>
      <c r="F1638" t="s">
        <v>4542</v>
      </c>
      <c r="G1638" t="s">
        <v>7536</v>
      </c>
      <c r="H1638" t="s">
        <v>10575</v>
      </c>
      <c r="I1638" t="s">
        <v>11386</v>
      </c>
      <c r="J1638">
        <v>10034</v>
      </c>
      <c r="K1638" t="s">
        <v>11446</v>
      </c>
      <c r="N1638" t="s">
        <v>14782</v>
      </c>
      <c r="P1638" t="s">
        <v>14797</v>
      </c>
      <c r="S1638" t="s">
        <v>14829</v>
      </c>
      <c r="U1638" t="s">
        <v>592</v>
      </c>
      <c r="V1638">
        <v>829.75</v>
      </c>
      <c r="W1638" t="s">
        <v>14860</v>
      </c>
      <c r="X1638" t="s">
        <v>14867</v>
      </c>
      <c r="Z1638" t="s">
        <v>16369</v>
      </c>
      <c r="AB1638" t="s">
        <v>21427</v>
      </c>
      <c r="AC1638">
        <v>120</v>
      </c>
      <c r="AD1638" t="s">
        <v>24595</v>
      </c>
      <c r="AE1638" t="s">
        <v>11459</v>
      </c>
      <c r="AF1638">
        <v>3</v>
      </c>
      <c r="AG1638">
        <v>2</v>
      </c>
      <c r="AH1638">
        <v>0</v>
      </c>
      <c r="AI1638">
        <v>93.94</v>
      </c>
      <c r="AL1638" t="s">
        <v>5011</v>
      </c>
      <c r="AM1638">
        <v>15886</v>
      </c>
      <c r="AS1638">
        <v>2.25</v>
      </c>
      <c r="AT1638" t="s">
        <v>592</v>
      </c>
      <c r="AU1638" t="s">
        <v>25237</v>
      </c>
      <c r="AV1638" t="s">
        <v>25335</v>
      </c>
      <c r="AW1638" t="s">
        <v>11447</v>
      </c>
    </row>
    <row r="1639" spans="1:49">
      <c r="A1639" s="1">
        <f>HYPERLINK("https://lsnyc.legalserver.org/matter/dynamic-profile/view/1914815","19-1914815")</f>
        <v>0</v>
      </c>
      <c r="B1639" t="s">
        <v>205</v>
      </c>
      <c r="C1639" t="s">
        <v>537</v>
      </c>
      <c r="E1639" t="s">
        <v>1307</v>
      </c>
      <c r="F1639" t="s">
        <v>4543</v>
      </c>
      <c r="G1639" t="s">
        <v>7348</v>
      </c>
      <c r="H1639" t="s">
        <v>10727</v>
      </c>
      <c r="I1639" t="s">
        <v>11386</v>
      </c>
      <c r="J1639">
        <v>10035</v>
      </c>
      <c r="K1639" t="s">
        <v>11446</v>
      </c>
      <c r="M1639" t="s">
        <v>14746</v>
      </c>
      <c r="N1639" t="s">
        <v>14781</v>
      </c>
      <c r="P1639" t="s">
        <v>14797</v>
      </c>
      <c r="Q1639" t="s">
        <v>11446</v>
      </c>
      <c r="S1639" t="s">
        <v>14827</v>
      </c>
      <c r="T1639" t="s">
        <v>14832</v>
      </c>
      <c r="U1639" t="s">
        <v>592</v>
      </c>
      <c r="V1639">
        <v>1104.42</v>
      </c>
      <c r="W1639" t="s">
        <v>14860</v>
      </c>
      <c r="X1639" t="s">
        <v>14868</v>
      </c>
      <c r="Z1639" t="s">
        <v>16370</v>
      </c>
      <c r="AB1639" t="s">
        <v>21428</v>
      </c>
      <c r="AC1639">
        <v>60</v>
      </c>
      <c r="AD1639" t="s">
        <v>24595</v>
      </c>
      <c r="AE1639" t="s">
        <v>11459</v>
      </c>
      <c r="AF1639">
        <v>7</v>
      </c>
      <c r="AG1639">
        <v>1</v>
      </c>
      <c r="AH1639">
        <v>0</v>
      </c>
      <c r="AI1639">
        <v>96.08</v>
      </c>
      <c r="AL1639" t="s">
        <v>24632</v>
      </c>
      <c r="AM1639">
        <v>12000</v>
      </c>
      <c r="AS1639">
        <v>0</v>
      </c>
      <c r="AU1639" t="s">
        <v>25266</v>
      </c>
      <c r="AV1639" t="s">
        <v>25335</v>
      </c>
      <c r="AW1639" t="s">
        <v>11447</v>
      </c>
    </row>
    <row r="1640" spans="1:49">
      <c r="A1640" s="1">
        <f>HYPERLINK("https://lsnyc.legalserver.org/matter/dynamic-profile/view/1914718","19-1914718")</f>
        <v>0</v>
      </c>
      <c r="B1640" t="s">
        <v>172</v>
      </c>
      <c r="C1640" t="s">
        <v>592</v>
      </c>
      <c r="E1640" t="s">
        <v>1328</v>
      </c>
      <c r="F1640" t="s">
        <v>4544</v>
      </c>
      <c r="G1640" t="s">
        <v>7537</v>
      </c>
      <c r="H1640" t="s">
        <v>10601</v>
      </c>
      <c r="I1640" t="s">
        <v>11386</v>
      </c>
      <c r="J1640">
        <v>10034</v>
      </c>
      <c r="K1640" t="s">
        <v>11446</v>
      </c>
      <c r="M1640" t="s">
        <v>11601</v>
      </c>
      <c r="N1640" t="s">
        <v>14782</v>
      </c>
      <c r="P1640" t="s">
        <v>14797</v>
      </c>
      <c r="Q1640" t="s">
        <v>11448</v>
      </c>
      <c r="S1640" t="s">
        <v>14827</v>
      </c>
      <c r="U1640" t="s">
        <v>592</v>
      </c>
      <c r="V1640">
        <v>1275.99</v>
      </c>
      <c r="W1640" t="s">
        <v>14860</v>
      </c>
      <c r="X1640" t="s">
        <v>14867</v>
      </c>
      <c r="Z1640" t="s">
        <v>16371</v>
      </c>
      <c r="AB1640" t="s">
        <v>21429</v>
      </c>
      <c r="AC1640">
        <v>73</v>
      </c>
      <c r="AD1640" t="s">
        <v>24595</v>
      </c>
      <c r="AE1640" t="s">
        <v>11459</v>
      </c>
      <c r="AF1640">
        <v>39</v>
      </c>
      <c r="AG1640">
        <v>1</v>
      </c>
      <c r="AH1640">
        <v>0</v>
      </c>
      <c r="AI1640">
        <v>139.31</v>
      </c>
      <c r="AL1640" t="s">
        <v>24632</v>
      </c>
      <c r="AM1640">
        <v>17400</v>
      </c>
      <c r="AS1640">
        <v>0.85</v>
      </c>
      <c r="AT1640" t="s">
        <v>592</v>
      </c>
      <c r="AU1640" t="s">
        <v>137</v>
      </c>
      <c r="AV1640" t="s">
        <v>25335</v>
      </c>
      <c r="AW1640" t="s">
        <v>11447</v>
      </c>
    </row>
    <row r="1641" spans="1:49">
      <c r="A1641" s="1">
        <f>HYPERLINK("https://lsnyc.legalserver.org/matter/dynamic-profile/view/1914769","19-1914769")</f>
        <v>0</v>
      </c>
      <c r="B1641" t="s">
        <v>205</v>
      </c>
      <c r="C1641" t="s">
        <v>592</v>
      </c>
      <c r="E1641" t="s">
        <v>1925</v>
      </c>
      <c r="F1641" t="s">
        <v>4451</v>
      </c>
      <c r="G1641" t="s">
        <v>7348</v>
      </c>
      <c r="H1641" t="s">
        <v>10555</v>
      </c>
      <c r="I1641" t="s">
        <v>11386</v>
      </c>
      <c r="J1641">
        <v>10035</v>
      </c>
      <c r="K1641" t="s">
        <v>11446</v>
      </c>
      <c r="M1641" t="s">
        <v>11601</v>
      </c>
      <c r="N1641" t="s">
        <v>14779</v>
      </c>
      <c r="P1641" t="s">
        <v>14797</v>
      </c>
      <c r="Q1641" t="s">
        <v>11446</v>
      </c>
      <c r="S1641" t="s">
        <v>14827</v>
      </c>
      <c r="T1641" t="s">
        <v>14832</v>
      </c>
      <c r="U1641" t="s">
        <v>592</v>
      </c>
      <c r="V1641">
        <v>1033.5</v>
      </c>
      <c r="W1641" t="s">
        <v>14860</v>
      </c>
      <c r="X1641" t="s">
        <v>14868</v>
      </c>
      <c r="Z1641" t="s">
        <v>16216</v>
      </c>
      <c r="AB1641" t="s">
        <v>21290</v>
      </c>
      <c r="AC1641">
        <v>60</v>
      </c>
      <c r="AD1641" t="s">
        <v>24595</v>
      </c>
      <c r="AE1641" t="s">
        <v>24610</v>
      </c>
      <c r="AF1641">
        <v>15</v>
      </c>
      <c r="AG1641">
        <v>3</v>
      </c>
      <c r="AH1641">
        <v>0</v>
      </c>
      <c r="AI1641">
        <v>140.65</v>
      </c>
      <c r="AL1641" t="s">
        <v>24632</v>
      </c>
      <c r="AM1641">
        <v>30000</v>
      </c>
      <c r="AS1641">
        <v>0</v>
      </c>
      <c r="AU1641" t="s">
        <v>25266</v>
      </c>
      <c r="AV1641" t="s">
        <v>25335</v>
      </c>
      <c r="AW1641" t="s">
        <v>11447</v>
      </c>
    </row>
    <row r="1642" spans="1:49">
      <c r="A1642" s="1">
        <f>HYPERLINK("https://lsnyc.legalserver.org/matter/dynamic-profile/view/1913365","19-1913365")</f>
        <v>0</v>
      </c>
      <c r="B1642" t="s">
        <v>172</v>
      </c>
      <c r="C1642" t="s">
        <v>483</v>
      </c>
      <c r="E1642" t="s">
        <v>1255</v>
      </c>
      <c r="F1642" t="s">
        <v>4545</v>
      </c>
      <c r="G1642" t="s">
        <v>7538</v>
      </c>
      <c r="H1642" t="s">
        <v>10594</v>
      </c>
      <c r="I1642" t="s">
        <v>11386</v>
      </c>
      <c r="J1642">
        <v>10034</v>
      </c>
      <c r="K1642" t="s">
        <v>11446</v>
      </c>
      <c r="N1642" t="s">
        <v>14778</v>
      </c>
      <c r="P1642" t="s">
        <v>14797</v>
      </c>
      <c r="Q1642" t="s">
        <v>11448</v>
      </c>
      <c r="S1642" t="s">
        <v>14827</v>
      </c>
      <c r="U1642" t="s">
        <v>592</v>
      </c>
      <c r="V1642">
        <v>1400</v>
      </c>
      <c r="W1642" t="s">
        <v>14860</v>
      </c>
      <c r="X1642" t="s">
        <v>14870</v>
      </c>
      <c r="Z1642" t="s">
        <v>16372</v>
      </c>
      <c r="AB1642" t="s">
        <v>21430</v>
      </c>
      <c r="AC1642">
        <v>60</v>
      </c>
      <c r="AD1642" t="s">
        <v>24595</v>
      </c>
      <c r="AE1642" t="s">
        <v>11459</v>
      </c>
      <c r="AF1642">
        <v>7</v>
      </c>
      <c r="AG1642">
        <v>1</v>
      </c>
      <c r="AH1642">
        <v>0</v>
      </c>
      <c r="AI1642">
        <v>145.72</v>
      </c>
      <c r="AL1642" t="s">
        <v>5011</v>
      </c>
      <c r="AM1642">
        <v>18200</v>
      </c>
      <c r="AS1642">
        <v>2</v>
      </c>
      <c r="AT1642" t="s">
        <v>592</v>
      </c>
      <c r="AU1642" t="s">
        <v>25226</v>
      </c>
      <c r="AV1642" t="s">
        <v>25335</v>
      </c>
      <c r="AW1642" t="s">
        <v>11447</v>
      </c>
    </row>
    <row r="1643" spans="1:49">
      <c r="A1643" s="1">
        <f>HYPERLINK("https://lsnyc.legalserver.org/matter/dynamic-profile/view/1914766","19-1914766")</f>
        <v>0</v>
      </c>
      <c r="B1643" t="s">
        <v>205</v>
      </c>
      <c r="C1643" t="s">
        <v>592</v>
      </c>
      <c r="E1643" t="s">
        <v>2009</v>
      </c>
      <c r="F1643" t="s">
        <v>2946</v>
      </c>
      <c r="G1643" t="s">
        <v>7348</v>
      </c>
      <c r="H1643" t="s">
        <v>10585</v>
      </c>
      <c r="I1643" t="s">
        <v>11386</v>
      </c>
      <c r="J1643">
        <v>10035</v>
      </c>
      <c r="K1643" t="s">
        <v>11446</v>
      </c>
      <c r="M1643" t="s">
        <v>14746</v>
      </c>
      <c r="N1643" t="s">
        <v>14781</v>
      </c>
      <c r="P1643" t="s">
        <v>14797</v>
      </c>
      <c r="Q1643" t="s">
        <v>11446</v>
      </c>
      <c r="S1643" t="s">
        <v>14827</v>
      </c>
      <c r="T1643" t="s">
        <v>14832</v>
      </c>
      <c r="U1643" t="s">
        <v>592</v>
      </c>
      <c r="V1643">
        <v>892</v>
      </c>
      <c r="W1643" t="s">
        <v>14860</v>
      </c>
      <c r="X1643" t="s">
        <v>14868</v>
      </c>
      <c r="Z1643" t="s">
        <v>16373</v>
      </c>
      <c r="AB1643" t="s">
        <v>21431</v>
      </c>
      <c r="AC1643">
        <v>0</v>
      </c>
      <c r="AD1643" t="s">
        <v>24595</v>
      </c>
      <c r="AE1643" t="s">
        <v>24610</v>
      </c>
      <c r="AF1643">
        <v>5</v>
      </c>
      <c r="AG1643">
        <v>2</v>
      </c>
      <c r="AH1643">
        <v>3</v>
      </c>
      <c r="AI1643">
        <v>145.84</v>
      </c>
      <c r="AL1643" t="s">
        <v>5011</v>
      </c>
      <c r="AM1643">
        <v>44000</v>
      </c>
      <c r="AS1643">
        <v>0</v>
      </c>
      <c r="AU1643" t="s">
        <v>25266</v>
      </c>
      <c r="AV1643" t="s">
        <v>25335</v>
      </c>
      <c r="AW1643" t="s">
        <v>11447</v>
      </c>
    </row>
    <row r="1644" spans="1:49">
      <c r="A1644" s="1">
        <f>HYPERLINK("https://lsnyc.legalserver.org/matter/dynamic-profile/view/1914750","19-1914750")</f>
        <v>0</v>
      </c>
      <c r="B1644" t="s">
        <v>205</v>
      </c>
      <c r="C1644" t="s">
        <v>592</v>
      </c>
      <c r="E1644" t="s">
        <v>1320</v>
      </c>
      <c r="F1644" t="s">
        <v>3823</v>
      </c>
      <c r="G1644" t="s">
        <v>7348</v>
      </c>
      <c r="H1644" t="s">
        <v>10478</v>
      </c>
      <c r="I1644" t="s">
        <v>11386</v>
      </c>
      <c r="J1644">
        <v>10035</v>
      </c>
      <c r="K1644" t="s">
        <v>11446</v>
      </c>
      <c r="M1644" t="s">
        <v>14746</v>
      </c>
      <c r="N1644" t="s">
        <v>14781</v>
      </c>
      <c r="P1644" t="s">
        <v>14797</v>
      </c>
      <c r="Q1644" t="s">
        <v>11446</v>
      </c>
      <c r="S1644" t="s">
        <v>14827</v>
      </c>
      <c r="T1644" t="s">
        <v>14832</v>
      </c>
      <c r="U1644" t="s">
        <v>592</v>
      </c>
      <c r="V1644">
        <v>552</v>
      </c>
      <c r="W1644" t="s">
        <v>14860</v>
      </c>
      <c r="X1644" t="s">
        <v>14868</v>
      </c>
      <c r="Z1644" t="s">
        <v>16374</v>
      </c>
      <c r="AC1644">
        <v>60</v>
      </c>
      <c r="AD1644" t="s">
        <v>24595</v>
      </c>
      <c r="AE1644" t="s">
        <v>24610</v>
      </c>
      <c r="AF1644">
        <v>14</v>
      </c>
      <c r="AG1644">
        <v>1</v>
      </c>
      <c r="AH1644">
        <v>0</v>
      </c>
      <c r="AI1644">
        <v>160.13</v>
      </c>
      <c r="AL1644" t="s">
        <v>5011</v>
      </c>
      <c r="AM1644">
        <v>20000</v>
      </c>
      <c r="AS1644">
        <v>0</v>
      </c>
      <c r="AU1644" t="s">
        <v>25266</v>
      </c>
      <c r="AV1644" t="s">
        <v>25335</v>
      </c>
      <c r="AW1644" t="s">
        <v>11447</v>
      </c>
    </row>
    <row r="1645" spans="1:49">
      <c r="A1645" s="1">
        <f>HYPERLINK("https://lsnyc.legalserver.org/matter/dynamic-profile/view/1914814","19-1914814")</f>
        <v>0</v>
      </c>
      <c r="B1645" t="s">
        <v>205</v>
      </c>
      <c r="C1645" t="s">
        <v>537</v>
      </c>
      <c r="E1645" t="s">
        <v>1282</v>
      </c>
      <c r="F1645" t="s">
        <v>3696</v>
      </c>
      <c r="G1645" t="s">
        <v>7348</v>
      </c>
      <c r="H1645" t="s">
        <v>10460</v>
      </c>
      <c r="I1645" t="s">
        <v>11386</v>
      </c>
      <c r="J1645">
        <v>10035</v>
      </c>
      <c r="K1645" t="s">
        <v>11446</v>
      </c>
      <c r="M1645" t="s">
        <v>14746</v>
      </c>
      <c r="N1645" t="s">
        <v>14781</v>
      </c>
      <c r="P1645" t="s">
        <v>14797</v>
      </c>
      <c r="Q1645" t="s">
        <v>11448</v>
      </c>
      <c r="S1645" t="s">
        <v>14827</v>
      </c>
      <c r="T1645" t="s">
        <v>14832</v>
      </c>
      <c r="U1645" t="s">
        <v>592</v>
      </c>
      <c r="V1645">
        <v>1051</v>
      </c>
      <c r="W1645" t="s">
        <v>14860</v>
      </c>
      <c r="X1645" t="s">
        <v>14868</v>
      </c>
      <c r="Z1645" t="s">
        <v>16375</v>
      </c>
      <c r="AB1645" t="s">
        <v>21432</v>
      </c>
      <c r="AC1645">
        <v>60</v>
      </c>
      <c r="AD1645" t="s">
        <v>24595</v>
      </c>
      <c r="AE1645" t="s">
        <v>11459</v>
      </c>
      <c r="AF1645">
        <v>14</v>
      </c>
      <c r="AG1645">
        <v>3</v>
      </c>
      <c r="AH1645">
        <v>1</v>
      </c>
      <c r="AI1645">
        <v>166.99</v>
      </c>
      <c r="AL1645" t="s">
        <v>5011</v>
      </c>
      <c r="AM1645">
        <v>43000</v>
      </c>
      <c r="AS1645">
        <v>0</v>
      </c>
      <c r="AU1645" t="s">
        <v>25266</v>
      </c>
      <c r="AV1645" t="s">
        <v>25335</v>
      </c>
      <c r="AW1645" t="s">
        <v>11447</v>
      </c>
    </row>
    <row r="1646" spans="1:49">
      <c r="A1646" s="1">
        <f>HYPERLINK("https://lsnyc.legalserver.org/matter/dynamic-profile/view/1914825","19-1914825")</f>
        <v>0</v>
      </c>
      <c r="B1646" t="s">
        <v>205</v>
      </c>
      <c r="C1646" t="s">
        <v>537</v>
      </c>
      <c r="E1646" t="s">
        <v>2010</v>
      </c>
      <c r="F1646" t="s">
        <v>3742</v>
      </c>
      <c r="G1646" t="s">
        <v>7348</v>
      </c>
      <c r="H1646" t="s">
        <v>10557</v>
      </c>
      <c r="I1646" t="s">
        <v>11386</v>
      </c>
      <c r="J1646">
        <v>10035</v>
      </c>
      <c r="K1646" t="s">
        <v>11446</v>
      </c>
      <c r="M1646" t="s">
        <v>14746</v>
      </c>
      <c r="N1646" t="s">
        <v>14781</v>
      </c>
      <c r="P1646" t="s">
        <v>14797</v>
      </c>
      <c r="Q1646" t="s">
        <v>11446</v>
      </c>
      <c r="S1646" t="s">
        <v>14827</v>
      </c>
      <c r="T1646" t="s">
        <v>14832</v>
      </c>
      <c r="U1646" t="s">
        <v>592</v>
      </c>
      <c r="V1646">
        <v>985</v>
      </c>
      <c r="W1646" t="s">
        <v>14860</v>
      </c>
      <c r="X1646" t="s">
        <v>14868</v>
      </c>
      <c r="Z1646" t="s">
        <v>16376</v>
      </c>
      <c r="AB1646" t="s">
        <v>21433</v>
      </c>
      <c r="AC1646">
        <v>60</v>
      </c>
      <c r="AD1646" t="s">
        <v>24595</v>
      </c>
      <c r="AE1646" t="s">
        <v>11459</v>
      </c>
      <c r="AF1646">
        <v>10</v>
      </c>
      <c r="AG1646">
        <v>3</v>
      </c>
      <c r="AH1646">
        <v>1</v>
      </c>
      <c r="AI1646">
        <v>205.83</v>
      </c>
      <c r="AL1646" t="s">
        <v>5011</v>
      </c>
      <c r="AM1646">
        <v>53000</v>
      </c>
      <c r="AS1646">
        <v>0</v>
      </c>
      <c r="AU1646" t="s">
        <v>25266</v>
      </c>
      <c r="AV1646" t="s">
        <v>25335</v>
      </c>
      <c r="AW1646" t="s">
        <v>11447</v>
      </c>
    </row>
    <row r="1647" spans="1:49">
      <c r="A1647" s="1">
        <f>HYPERLINK("https://lsnyc.legalserver.org/matter/dynamic-profile/view/1914840","19-1914840")</f>
        <v>0</v>
      </c>
      <c r="B1647" t="s">
        <v>205</v>
      </c>
      <c r="C1647" t="s">
        <v>537</v>
      </c>
      <c r="E1647" t="s">
        <v>1294</v>
      </c>
      <c r="F1647" t="s">
        <v>4546</v>
      </c>
      <c r="G1647" t="s">
        <v>7348</v>
      </c>
      <c r="H1647" t="s">
        <v>10758</v>
      </c>
      <c r="I1647" t="s">
        <v>11386</v>
      </c>
      <c r="J1647">
        <v>10035</v>
      </c>
      <c r="K1647" t="s">
        <v>11446</v>
      </c>
      <c r="M1647" t="s">
        <v>14746</v>
      </c>
      <c r="N1647" t="s">
        <v>14781</v>
      </c>
      <c r="P1647" t="s">
        <v>14797</v>
      </c>
      <c r="Q1647" t="s">
        <v>11446</v>
      </c>
      <c r="S1647" t="s">
        <v>14827</v>
      </c>
      <c r="T1647" t="s">
        <v>14832</v>
      </c>
      <c r="U1647" t="s">
        <v>592</v>
      </c>
      <c r="V1647">
        <v>900</v>
      </c>
      <c r="W1647" t="s">
        <v>14860</v>
      </c>
      <c r="X1647" t="s">
        <v>14868</v>
      </c>
      <c r="Z1647" t="s">
        <v>16377</v>
      </c>
      <c r="AC1647">
        <v>60</v>
      </c>
      <c r="AD1647" t="s">
        <v>24595</v>
      </c>
      <c r="AE1647" t="s">
        <v>11459</v>
      </c>
      <c r="AF1647">
        <v>15</v>
      </c>
      <c r="AG1647">
        <v>1</v>
      </c>
      <c r="AH1647">
        <v>1</v>
      </c>
      <c r="AI1647">
        <v>212.89</v>
      </c>
      <c r="AL1647" t="s">
        <v>5011</v>
      </c>
      <c r="AM1647">
        <v>36000</v>
      </c>
      <c r="AS1647">
        <v>0</v>
      </c>
      <c r="AU1647" t="s">
        <v>25266</v>
      </c>
      <c r="AV1647" t="s">
        <v>25335</v>
      </c>
      <c r="AW1647" t="s">
        <v>11447</v>
      </c>
    </row>
    <row r="1648" spans="1:49">
      <c r="A1648" s="1">
        <f>HYPERLINK("https://lsnyc.legalserver.org/matter/dynamic-profile/view/1915079","19-1915079")</f>
        <v>0</v>
      </c>
      <c r="B1648" t="s">
        <v>174</v>
      </c>
      <c r="C1648" t="s">
        <v>521</v>
      </c>
      <c r="E1648" t="s">
        <v>1256</v>
      </c>
      <c r="F1648" t="s">
        <v>4547</v>
      </c>
      <c r="G1648" t="s">
        <v>7539</v>
      </c>
      <c r="H1648" t="s">
        <v>10450</v>
      </c>
      <c r="I1648" t="s">
        <v>11385</v>
      </c>
      <c r="J1648">
        <v>11213</v>
      </c>
      <c r="K1648" t="s">
        <v>11446</v>
      </c>
      <c r="L1648" t="s">
        <v>11474</v>
      </c>
      <c r="M1648" t="s">
        <v>11601</v>
      </c>
      <c r="N1648" t="s">
        <v>14778</v>
      </c>
      <c r="P1648" t="s">
        <v>14797</v>
      </c>
      <c r="Q1648" t="s">
        <v>11448</v>
      </c>
      <c r="S1648" t="s">
        <v>14827</v>
      </c>
      <c r="T1648" t="s">
        <v>14832</v>
      </c>
      <c r="U1648" t="s">
        <v>592</v>
      </c>
      <c r="V1648">
        <v>0</v>
      </c>
      <c r="W1648" t="s">
        <v>14859</v>
      </c>
      <c r="X1648" t="s">
        <v>14876</v>
      </c>
      <c r="Z1648" t="s">
        <v>16378</v>
      </c>
      <c r="AA1648" t="s">
        <v>11465</v>
      </c>
      <c r="AB1648" t="s">
        <v>21434</v>
      </c>
      <c r="AC1648">
        <v>19</v>
      </c>
      <c r="AD1648" t="s">
        <v>24595</v>
      </c>
      <c r="AE1648" t="s">
        <v>11459</v>
      </c>
      <c r="AF1648">
        <v>0</v>
      </c>
      <c r="AG1648">
        <v>3</v>
      </c>
      <c r="AH1648">
        <v>2</v>
      </c>
      <c r="AI1648">
        <v>267.82</v>
      </c>
      <c r="AL1648" t="s">
        <v>5011</v>
      </c>
      <c r="AM1648">
        <v>80800</v>
      </c>
      <c r="AS1648">
        <v>1</v>
      </c>
      <c r="AT1648" t="s">
        <v>592</v>
      </c>
      <c r="AU1648" t="s">
        <v>66</v>
      </c>
      <c r="AV1648" t="s">
        <v>25335</v>
      </c>
      <c r="AW1648" t="s">
        <v>11447</v>
      </c>
    </row>
    <row r="1649" spans="1:49">
      <c r="A1649" s="1">
        <f>HYPERLINK("https://lsnyc.legalserver.org/matter/dynamic-profile/view/1914775","19-1914775")</f>
        <v>0</v>
      </c>
      <c r="B1649" t="s">
        <v>205</v>
      </c>
      <c r="C1649" t="s">
        <v>592</v>
      </c>
      <c r="E1649" t="s">
        <v>2011</v>
      </c>
      <c r="F1649" t="s">
        <v>4194</v>
      </c>
      <c r="G1649" t="s">
        <v>7540</v>
      </c>
      <c r="H1649" t="s">
        <v>10448</v>
      </c>
      <c r="I1649" t="s">
        <v>11386</v>
      </c>
      <c r="J1649">
        <v>10035</v>
      </c>
      <c r="K1649" t="s">
        <v>11446</v>
      </c>
      <c r="M1649" t="s">
        <v>14746</v>
      </c>
      <c r="N1649" t="s">
        <v>14781</v>
      </c>
      <c r="P1649" t="s">
        <v>14797</v>
      </c>
      <c r="Q1649" t="s">
        <v>11446</v>
      </c>
      <c r="S1649" t="s">
        <v>14827</v>
      </c>
      <c r="T1649" t="s">
        <v>14832</v>
      </c>
      <c r="U1649" t="s">
        <v>592</v>
      </c>
      <c r="V1649">
        <v>1065</v>
      </c>
      <c r="W1649" t="s">
        <v>14860</v>
      </c>
      <c r="X1649" t="s">
        <v>14868</v>
      </c>
      <c r="Z1649" t="s">
        <v>16379</v>
      </c>
      <c r="AC1649">
        <v>60</v>
      </c>
      <c r="AD1649" t="s">
        <v>24595</v>
      </c>
      <c r="AE1649" t="s">
        <v>11459</v>
      </c>
      <c r="AF1649">
        <v>14</v>
      </c>
      <c r="AG1649">
        <v>2</v>
      </c>
      <c r="AH1649">
        <v>0</v>
      </c>
      <c r="AI1649">
        <v>313.42</v>
      </c>
      <c r="AL1649" t="s">
        <v>5011</v>
      </c>
      <c r="AM1649">
        <v>53000</v>
      </c>
      <c r="AS1649">
        <v>0</v>
      </c>
      <c r="AU1649" t="s">
        <v>25266</v>
      </c>
      <c r="AV1649" t="s">
        <v>25335</v>
      </c>
      <c r="AW1649" t="s">
        <v>11447</v>
      </c>
    </row>
    <row r="1650" spans="1:49">
      <c r="A1650" s="1">
        <f>HYPERLINK("https://lsnyc.legalserver.org/matter/dynamic-profile/view/1914758","19-1914758")</f>
        <v>0</v>
      </c>
      <c r="B1650" t="s">
        <v>205</v>
      </c>
      <c r="C1650" t="s">
        <v>592</v>
      </c>
      <c r="E1650" t="s">
        <v>1044</v>
      </c>
      <c r="F1650" t="s">
        <v>1397</v>
      </c>
      <c r="G1650" t="s">
        <v>7348</v>
      </c>
      <c r="H1650" t="s">
        <v>10859</v>
      </c>
      <c r="I1650" t="s">
        <v>11386</v>
      </c>
      <c r="J1650">
        <v>10035</v>
      </c>
      <c r="K1650" t="s">
        <v>11446</v>
      </c>
      <c r="M1650" t="s">
        <v>14746</v>
      </c>
      <c r="N1650" t="s">
        <v>14781</v>
      </c>
      <c r="P1650" t="s">
        <v>14797</v>
      </c>
      <c r="Q1650" t="s">
        <v>11446</v>
      </c>
      <c r="S1650" t="s">
        <v>14827</v>
      </c>
      <c r="T1650" t="s">
        <v>14832</v>
      </c>
      <c r="U1650" t="s">
        <v>592</v>
      </c>
      <c r="V1650">
        <v>1230</v>
      </c>
      <c r="W1650" t="s">
        <v>14860</v>
      </c>
      <c r="X1650" t="s">
        <v>14868</v>
      </c>
      <c r="Z1650" t="s">
        <v>16380</v>
      </c>
      <c r="AB1650" t="s">
        <v>21435</v>
      </c>
      <c r="AC1650">
        <v>60</v>
      </c>
      <c r="AD1650" t="s">
        <v>24599</v>
      </c>
      <c r="AE1650" t="s">
        <v>11459</v>
      </c>
      <c r="AF1650">
        <v>8</v>
      </c>
      <c r="AG1650">
        <v>2</v>
      </c>
      <c r="AH1650">
        <v>0</v>
      </c>
      <c r="AI1650">
        <v>413.96</v>
      </c>
      <c r="AL1650" t="s">
        <v>5011</v>
      </c>
      <c r="AM1650">
        <v>70000</v>
      </c>
      <c r="AS1650">
        <v>0</v>
      </c>
      <c r="AU1650" t="s">
        <v>25266</v>
      </c>
      <c r="AV1650" t="s">
        <v>25335</v>
      </c>
      <c r="AW1650" t="s">
        <v>11447</v>
      </c>
    </row>
    <row r="1651" spans="1:49">
      <c r="A1651" s="1">
        <f>HYPERLINK("https://lsnyc.legalserver.org/matter/dynamic-profile/view/1915056","19-1915056")</f>
        <v>0</v>
      </c>
      <c r="B1651" t="s">
        <v>108</v>
      </c>
      <c r="C1651" t="s">
        <v>521</v>
      </c>
      <c r="E1651" t="s">
        <v>2012</v>
      </c>
      <c r="F1651" t="s">
        <v>4548</v>
      </c>
      <c r="G1651" t="s">
        <v>7385</v>
      </c>
      <c r="H1651" t="s">
        <v>10562</v>
      </c>
      <c r="I1651" t="s">
        <v>11385</v>
      </c>
      <c r="J1651">
        <v>11217</v>
      </c>
      <c r="K1651" t="s">
        <v>11446</v>
      </c>
      <c r="P1651" t="s">
        <v>14797</v>
      </c>
      <c r="S1651" t="s">
        <v>14827</v>
      </c>
      <c r="U1651" t="s">
        <v>537</v>
      </c>
      <c r="V1651">
        <v>0</v>
      </c>
      <c r="W1651" t="s">
        <v>14859</v>
      </c>
      <c r="Z1651" t="s">
        <v>16381</v>
      </c>
      <c r="AC1651">
        <v>0</v>
      </c>
      <c r="AF1651">
        <v>0</v>
      </c>
      <c r="AG1651">
        <v>2</v>
      </c>
      <c r="AH1651">
        <v>1</v>
      </c>
      <c r="AI1651">
        <v>0</v>
      </c>
      <c r="AL1651" t="s">
        <v>5011</v>
      </c>
      <c r="AM1651">
        <v>0</v>
      </c>
      <c r="AS1651">
        <v>0.4</v>
      </c>
      <c r="AT1651" t="s">
        <v>521</v>
      </c>
      <c r="AU1651" t="s">
        <v>177</v>
      </c>
      <c r="AW1651" t="s">
        <v>11447</v>
      </c>
    </row>
    <row r="1652" spans="1:49">
      <c r="A1652" s="1">
        <f>HYPERLINK("https://lsnyc.legalserver.org/matter/dynamic-profile/view/1914863","19-1914863")</f>
        <v>0</v>
      </c>
      <c r="B1652" t="s">
        <v>169</v>
      </c>
      <c r="C1652" t="s">
        <v>537</v>
      </c>
      <c r="E1652" t="s">
        <v>2013</v>
      </c>
      <c r="F1652" t="s">
        <v>4156</v>
      </c>
      <c r="G1652" t="s">
        <v>7541</v>
      </c>
      <c r="I1652" t="s">
        <v>11384</v>
      </c>
      <c r="J1652">
        <v>10301</v>
      </c>
      <c r="K1652" t="s">
        <v>11446</v>
      </c>
      <c r="L1652" t="s">
        <v>11996</v>
      </c>
      <c r="M1652" t="s">
        <v>14743</v>
      </c>
      <c r="N1652" t="s">
        <v>14781</v>
      </c>
      <c r="P1652" t="s">
        <v>14797</v>
      </c>
      <c r="Q1652" t="s">
        <v>11448</v>
      </c>
      <c r="S1652" t="s">
        <v>14827</v>
      </c>
      <c r="U1652" t="s">
        <v>537</v>
      </c>
      <c r="V1652">
        <v>1200</v>
      </c>
      <c r="W1652" t="s">
        <v>14862</v>
      </c>
      <c r="X1652" t="s">
        <v>14863</v>
      </c>
      <c r="Z1652" t="s">
        <v>15441</v>
      </c>
      <c r="AB1652" t="s">
        <v>21436</v>
      </c>
      <c r="AC1652">
        <v>2</v>
      </c>
      <c r="AD1652" t="s">
        <v>24600</v>
      </c>
      <c r="AE1652" t="s">
        <v>11459</v>
      </c>
      <c r="AF1652">
        <v>-1</v>
      </c>
      <c r="AG1652">
        <v>1</v>
      </c>
      <c r="AH1652">
        <v>2</v>
      </c>
      <c r="AI1652">
        <v>73.14</v>
      </c>
      <c r="AL1652" t="s">
        <v>24632</v>
      </c>
      <c r="AM1652">
        <v>15600</v>
      </c>
      <c r="AS1652">
        <v>0.2</v>
      </c>
      <c r="AT1652" t="s">
        <v>516</v>
      </c>
      <c r="AU1652" t="s">
        <v>25270</v>
      </c>
      <c r="AV1652" t="s">
        <v>25335</v>
      </c>
      <c r="AW1652" t="s">
        <v>11447</v>
      </c>
    </row>
    <row r="1653" spans="1:49">
      <c r="A1653" s="1">
        <f>HYPERLINK("https://lsnyc.legalserver.org/matter/dynamic-profile/view/1914876","19-1914876")</f>
        <v>0</v>
      </c>
      <c r="B1653" t="s">
        <v>178</v>
      </c>
      <c r="C1653" t="s">
        <v>537</v>
      </c>
      <c r="E1653" t="s">
        <v>2014</v>
      </c>
      <c r="F1653" t="s">
        <v>4549</v>
      </c>
      <c r="G1653" t="s">
        <v>7542</v>
      </c>
      <c r="H1653" t="s">
        <v>10620</v>
      </c>
      <c r="I1653" t="s">
        <v>11386</v>
      </c>
      <c r="J1653">
        <v>10040</v>
      </c>
      <c r="K1653" t="s">
        <v>11446</v>
      </c>
      <c r="N1653" t="s">
        <v>14779</v>
      </c>
      <c r="P1653" t="s">
        <v>14797</v>
      </c>
      <c r="Q1653" t="s">
        <v>11448</v>
      </c>
      <c r="S1653" t="s">
        <v>14827</v>
      </c>
      <c r="U1653" t="s">
        <v>537</v>
      </c>
      <c r="V1653">
        <v>1754.46</v>
      </c>
      <c r="W1653" t="s">
        <v>14860</v>
      </c>
      <c r="X1653" t="s">
        <v>14867</v>
      </c>
      <c r="Z1653" t="s">
        <v>16382</v>
      </c>
      <c r="AB1653" t="s">
        <v>21437</v>
      </c>
      <c r="AC1653">
        <v>48</v>
      </c>
      <c r="AD1653" t="s">
        <v>24595</v>
      </c>
      <c r="AE1653" t="s">
        <v>11459</v>
      </c>
      <c r="AF1653">
        <v>15</v>
      </c>
      <c r="AG1653">
        <v>2</v>
      </c>
      <c r="AH1653">
        <v>1</v>
      </c>
      <c r="AI1653">
        <v>122.87</v>
      </c>
      <c r="AL1653" t="s">
        <v>5011</v>
      </c>
      <c r="AM1653">
        <v>26208</v>
      </c>
      <c r="AS1653">
        <v>2</v>
      </c>
      <c r="AT1653" t="s">
        <v>491</v>
      </c>
      <c r="AU1653" t="s">
        <v>137</v>
      </c>
      <c r="AV1653" t="s">
        <v>25335</v>
      </c>
      <c r="AW1653" t="s">
        <v>11447</v>
      </c>
    </row>
    <row r="1654" spans="1:49">
      <c r="A1654" s="1">
        <f>HYPERLINK("https://lsnyc.legalserver.org/matter/dynamic-profile/view/1914866","19-1914866")</f>
        <v>0</v>
      </c>
      <c r="B1654" t="s">
        <v>231</v>
      </c>
      <c r="C1654" t="s">
        <v>537</v>
      </c>
      <c r="E1654" t="s">
        <v>2015</v>
      </c>
      <c r="F1654" t="s">
        <v>3840</v>
      </c>
      <c r="G1654" t="s">
        <v>7176</v>
      </c>
      <c r="H1654">
        <v>54</v>
      </c>
      <c r="I1654" t="s">
        <v>11386</v>
      </c>
      <c r="J1654">
        <v>10034</v>
      </c>
      <c r="K1654" t="s">
        <v>11446</v>
      </c>
      <c r="M1654" t="s">
        <v>14748</v>
      </c>
      <c r="N1654" t="s">
        <v>14779</v>
      </c>
      <c r="P1654" t="s">
        <v>14797</v>
      </c>
      <c r="Q1654" t="s">
        <v>11448</v>
      </c>
      <c r="S1654" t="s">
        <v>14827</v>
      </c>
      <c r="U1654" t="s">
        <v>537</v>
      </c>
      <c r="V1654">
        <v>932.5700000000001</v>
      </c>
      <c r="W1654" t="s">
        <v>14860</v>
      </c>
      <c r="X1654" t="s">
        <v>14868</v>
      </c>
      <c r="Z1654" t="s">
        <v>16383</v>
      </c>
      <c r="AB1654" t="s">
        <v>21438</v>
      </c>
      <c r="AC1654">
        <v>25</v>
      </c>
      <c r="AD1654" t="s">
        <v>24595</v>
      </c>
      <c r="AE1654" t="s">
        <v>24613</v>
      </c>
      <c r="AF1654">
        <v>37</v>
      </c>
      <c r="AG1654">
        <v>2</v>
      </c>
      <c r="AH1654">
        <v>0</v>
      </c>
      <c r="AI1654">
        <v>123.62</v>
      </c>
      <c r="AL1654" t="s">
        <v>24632</v>
      </c>
      <c r="AM1654">
        <v>20904</v>
      </c>
      <c r="AS1654">
        <v>2.9</v>
      </c>
      <c r="AT1654" t="s">
        <v>521</v>
      </c>
      <c r="AU1654" t="s">
        <v>137</v>
      </c>
      <c r="AV1654" t="s">
        <v>25335</v>
      </c>
      <c r="AW1654" t="s">
        <v>11447</v>
      </c>
    </row>
    <row r="1655" spans="1:49">
      <c r="A1655" s="1">
        <f>HYPERLINK("https://lsnyc.legalserver.org/matter/dynamic-profile/view/1914899","19-1914899")</f>
        <v>0</v>
      </c>
      <c r="B1655" t="s">
        <v>190</v>
      </c>
      <c r="C1655" t="s">
        <v>537</v>
      </c>
      <c r="E1655" t="s">
        <v>1992</v>
      </c>
      <c r="F1655" t="s">
        <v>3714</v>
      </c>
      <c r="G1655" t="s">
        <v>7514</v>
      </c>
      <c r="H1655" t="s">
        <v>10854</v>
      </c>
      <c r="I1655" t="s">
        <v>11386</v>
      </c>
      <c r="J1655">
        <v>10033</v>
      </c>
      <c r="K1655" t="s">
        <v>11446</v>
      </c>
      <c r="M1655" t="s">
        <v>14746</v>
      </c>
      <c r="N1655" t="s">
        <v>14781</v>
      </c>
      <c r="P1655" t="s">
        <v>14797</v>
      </c>
      <c r="Q1655" t="s">
        <v>11448</v>
      </c>
      <c r="S1655" t="s">
        <v>14827</v>
      </c>
      <c r="U1655" t="s">
        <v>537</v>
      </c>
      <c r="V1655">
        <v>1200</v>
      </c>
      <c r="W1655" t="s">
        <v>14860</v>
      </c>
      <c r="X1655" t="s">
        <v>14868</v>
      </c>
      <c r="Z1655" t="s">
        <v>16340</v>
      </c>
      <c r="AB1655" t="s">
        <v>21403</v>
      </c>
      <c r="AC1655">
        <v>60</v>
      </c>
      <c r="AD1655" t="s">
        <v>24595</v>
      </c>
      <c r="AE1655" t="s">
        <v>11459</v>
      </c>
      <c r="AF1655">
        <v>4</v>
      </c>
      <c r="AG1655">
        <v>1</v>
      </c>
      <c r="AH1655">
        <v>0</v>
      </c>
      <c r="AI1655">
        <v>168.13</v>
      </c>
      <c r="AL1655" t="s">
        <v>5011</v>
      </c>
      <c r="AM1655">
        <v>21000</v>
      </c>
      <c r="AS1655">
        <v>4.8</v>
      </c>
      <c r="AT1655" t="s">
        <v>521</v>
      </c>
      <c r="AU1655" t="s">
        <v>137</v>
      </c>
      <c r="AV1655" t="s">
        <v>25335</v>
      </c>
      <c r="AW1655" t="s">
        <v>11447</v>
      </c>
    </row>
    <row r="1656" spans="1:49">
      <c r="A1656" s="1">
        <f>HYPERLINK("https://lsnyc.legalserver.org/matter/dynamic-profile/view/1914931","19-1914931")</f>
        <v>0</v>
      </c>
      <c r="B1656" t="s">
        <v>232</v>
      </c>
      <c r="C1656" t="s">
        <v>537</v>
      </c>
      <c r="E1656" t="s">
        <v>1905</v>
      </c>
      <c r="F1656" t="s">
        <v>3885</v>
      </c>
      <c r="G1656" t="s">
        <v>7413</v>
      </c>
      <c r="H1656">
        <v>23</v>
      </c>
      <c r="I1656" t="s">
        <v>11386</v>
      </c>
      <c r="J1656">
        <v>10032</v>
      </c>
      <c r="K1656" t="s">
        <v>11446</v>
      </c>
      <c r="P1656" t="s">
        <v>14797</v>
      </c>
      <c r="Q1656" t="s">
        <v>11448</v>
      </c>
      <c r="S1656" t="s">
        <v>14827</v>
      </c>
      <c r="U1656" t="s">
        <v>537</v>
      </c>
      <c r="V1656">
        <v>1076</v>
      </c>
      <c r="W1656" t="s">
        <v>14860</v>
      </c>
      <c r="X1656" t="s">
        <v>14868</v>
      </c>
      <c r="Z1656" t="s">
        <v>16169</v>
      </c>
      <c r="AB1656" t="s">
        <v>21243</v>
      </c>
      <c r="AC1656">
        <v>28</v>
      </c>
      <c r="AD1656" t="s">
        <v>24595</v>
      </c>
      <c r="AE1656" t="s">
        <v>11459</v>
      </c>
      <c r="AF1656">
        <v>30</v>
      </c>
      <c r="AG1656">
        <v>2</v>
      </c>
      <c r="AH1656">
        <v>0</v>
      </c>
      <c r="AI1656">
        <v>176.82</v>
      </c>
      <c r="AL1656" t="s">
        <v>5011</v>
      </c>
      <c r="AM1656">
        <v>29900</v>
      </c>
      <c r="AS1656">
        <v>9.15</v>
      </c>
      <c r="AT1656" t="s">
        <v>491</v>
      </c>
      <c r="AU1656" t="s">
        <v>137</v>
      </c>
      <c r="AV1656" t="s">
        <v>25335</v>
      </c>
      <c r="AW1656" t="s">
        <v>11447</v>
      </c>
    </row>
    <row r="1657" spans="1:49">
      <c r="A1657" s="1">
        <f>HYPERLINK("https://lsnyc.legalserver.org/matter/dynamic-profile/view/1914976","19-1914976")</f>
        <v>0</v>
      </c>
      <c r="B1657" t="s">
        <v>55</v>
      </c>
      <c r="C1657" t="s">
        <v>521</v>
      </c>
      <c r="E1657" t="s">
        <v>2016</v>
      </c>
      <c r="F1657" t="s">
        <v>4550</v>
      </c>
      <c r="G1657" t="s">
        <v>7446</v>
      </c>
      <c r="H1657">
        <v>201</v>
      </c>
      <c r="I1657" t="s">
        <v>11386</v>
      </c>
      <c r="J1657">
        <v>10034</v>
      </c>
      <c r="K1657" t="s">
        <v>11446</v>
      </c>
      <c r="M1657" t="s">
        <v>14744</v>
      </c>
      <c r="N1657" t="s">
        <v>14781</v>
      </c>
      <c r="P1657" t="s">
        <v>14797</v>
      </c>
      <c r="Q1657" t="s">
        <v>11448</v>
      </c>
      <c r="S1657" t="s">
        <v>14827</v>
      </c>
      <c r="U1657" t="s">
        <v>521</v>
      </c>
      <c r="V1657">
        <v>1374</v>
      </c>
      <c r="W1657" t="s">
        <v>14860</v>
      </c>
      <c r="X1657" t="s">
        <v>14868</v>
      </c>
      <c r="Z1657" t="s">
        <v>16384</v>
      </c>
      <c r="AB1657" t="s">
        <v>21439</v>
      </c>
      <c r="AC1657">
        <v>0</v>
      </c>
      <c r="AD1657" t="s">
        <v>24595</v>
      </c>
      <c r="AF1657">
        <v>11</v>
      </c>
      <c r="AG1657">
        <v>1</v>
      </c>
      <c r="AH1657">
        <v>1</v>
      </c>
      <c r="AI1657">
        <v>0</v>
      </c>
      <c r="AL1657" t="s">
        <v>24632</v>
      </c>
      <c r="AM1657">
        <v>0</v>
      </c>
      <c r="AS1657">
        <v>0.5</v>
      </c>
      <c r="AT1657" t="s">
        <v>495</v>
      </c>
      <c r="AU1657" t="s">
        <v>137</v>
      </c>
      <c r="AV1657" t="s">
        <v>25335</v>
      </c>
      <c r="AW1657" t="s">
        <v>11447</v>
      </c>
    </row>
    <row r="1658" spans="1:49">
      <c r="A1658" s="1">
        <f>HYPERLINK("https://lsnyc.legalserver.org/matter/dynamic-profile/view/1913341","19-1913341")</f>
        <v>0</v>
      </c>
      <c r="B1658" t="s">
        <v>76</v>
      </c>
      <c r="C1658" t="s">
        <v>483</v>
      </c>
      <c r="E1658" t="s">
        <v>2017</v>
      </c>
      <c r="F1658" t="s">
        <v>4551</v>
      </c>
      <c r="G1658" t="s">
        <v>7543</v>
      </c>
      <c r="H1658">
        <v>2</v>
      </c>
      <c r="I1658" t="s">
        <v>11385</v>
      </c>
      <c r="J1658">
        <v>11233</v>
      </c>
      <c r="K1658" t="s">
        <v>11446</v>
      </c>
      <c r="L1658" t="s">
        <v>11997</v>
      </c>
      <c r="M1658" t="s">
        <v>14743</v>
      </c>
      <c r="N1658" t="s">
        <v>14782</v>
      </c>
      <c r="P1658" t="s">
        <v>14797</v>
      </c>
      <c r="Q1658" t="s">
        <v>11448</v>
      </c>
      <c r="S1658" t="s">
        <v>14827</v>
      </c>
      <c r="U1658" t="s">
        <v>521</v>
      </c>
      <c r="V1658">
        <v>1900</v>
      </c>
      <c r="W1658" t="s">
        <v>14859</v>
      </c>
      <c r="X1658" t="s">
        <v>14868</v>
      </c>
      <c r="Z1658" t="s">
        <v>16385</v>
      </c>
      <c r="AB1658" t="s">
        <v>21440</v>
      </c>
      <c r="AC1658">
        <v>3</v>
      </c>
      <c r="AD1658" t="s">
        <v>24600</v>
      </c>
      <c r="AE1658" t="s">
        <v>14755</v>
      </c>
      <c r="AF1658">
        <v>1</v>
      </c>
      <c r="AG1658">
        <v>2</v>
      </c>
      <c r="AH1658">
        <v>0</v>
      </c>
      <c r="AI1658">
        <v>60.82</v>
      </c>
      <c r="AL1658" t="s">
        <v>5011</v>
      </c>
      <c r="AM1658">
        <v>10284</v>
      </c>
      <c r="AS1658">
        <v>0.8</v>
      </c>
      <c r="AT1658" t="s">
        <v>521</v>
      </c>
      <c r="AU1658" t="s">
        <v>120</v>
      </c>
      <c r="AV1658" t="s">
        <v>25335</v>
      </c>
      <c r="AW1658" t="s">
        <v>11447</v>
      </c>
    </row>
    <row r="1659" spans="1:49">
      <c r="A1659" s="1">
        <f>HYPERLINK("https://lsnyc.legalserver.org/matter/dynamic-profile/view/1914971","19-1914971")</f>
        <v>0</v>
      </c>
      <c r="B1659" t="s">
        <v>104</v>
      </c>
      <c r="C1659" t="s">
        <v>521</v>
      </c>
      <c r="E1659" t="s">
        <v>2018</v>
      </c>
      <c r="F1659" t="s">
        <v>4552</v>
      </c>
      <c r="G1659" t="s">
        <v>7544</v>
      </c>
      <c r="H1659" t="s">
        <v>10509</v>
      </c>
      <c r="I1659" t="s">
        <v>11386</v>
      </c>
      <c r="J1659">
        <v>10035</v>
      </c>
      <c r="K1659" t="s">
        <v>11446</v>
      </c>
      <c r="M1659" t="s">
        <v>11601</v>
      </c>
      <c r="N1659" t="s">
        <v>14782</v>
      </c>
      <c r="P1659" t="s">
        <v>14797</v>
      </c>
      <c r="Q1659" t="s">
        <v>11448</v>
      </c>
      <c r="S1659" t="s">
        <v>14827</v>
      </c>
      <c r="T1659" t="s">
        <v>14832</v>
      </c>
      <c r="U1659" t="s">
        <v>521</v>
      </c>
      <c r="V1659">
        <v>399.05</v>
      </c>
      <c r="W1659" t="s">
        <v>14860</v>
      </c>
      <c r="X1659" t="s">
        <v>14868</v>
      </c>
      <c r="Z1659" t="s">
        <v>16386</v>
      </c>
      <c r="AB1659" t="s">
        <v>21441</v>
      </c>
      <c r="AC1659">
        <v>20</v>
      </c>
      <c r="AD1659" t="s">
        <v>24595</v>
      </c>
      <c r="AE1659" t="s">
        <v>11459</v>
      </c>
      <c r="AF1659">
        <v>41</v>
      </c>
      <c r="AG1659">
        <v>1</v>
      </c>
      <c r="AH1659">
        <v>0</v>
      </c>
      <c r="AI1659">
        <v>74.75</v>
      </c>
      <c r="AL1659" t="s">
        <v>5011</v>
      </c>
      <c r="AM1659">
        <v>9336</v>
      </c>
      <c r="AS1659">
        <v>1.5</v>
      </c>
      <c r="AT1659" t="s">
        <v>521</v>
      </c>
      <c r="AU1659" t="s">
        <v>25266</v>
      </c>
      <c r="AV1659" t="s">
        <v>25335</v>
      </c>
      <c r="AW1659" t="s">
        <v>11447</v>
      </c>
    </row>
    <row r="1660" spans="1:49">
      <c r="A1660" s="1">
        <f>HYPERLINK("https://lsnyc.legalserver.org/matter/dynamic-profile/view/1914295","19-1914295")</f>
        <v>0</v>
      </c>
      <c r="B1660" t="s">
        <v>87</v>
      </c>
      <c r="C1660" t="s">
        <v>521</v>
      </c>
      <c r="E1660" t="s">
        <v>1089</v>
      </c>
      <c r="F1660" t="s">
        <v>4252</v>
      </c>
      <c r="G1660" t="s">
        <v>7545</v>
      </c>
      <c r="H1660" t="s">
        <v>10486</v>
      </c>
      <c r="I1660" t="s">
        <v>11384</v>
      </c>
      <c r="J1660">
        <v>10301</v>
      </c>
      <c r="K1660" t="s">
        <v>11446</v>
      </c>
      <c r="L1660" t="s">
        <v>11456</v>
      </c>
      <c r="M1660" t="s">
        <v>11601</v>
      </c>
      <c r="N1660" t="s">
        <v>14778</v>
      </c>
      <c r="P1660" t="s">
        <v>14797</v>
      </c>
      <c r="Q1660" t="s">
        <v>11448</v>
      </c>
      <c r="R1660" t="s">
        <v>14797</v>
      </c>
      <c r="S1660" t="s">
        <v>14827</v>
      </c>
      <c r="T1660" t="s">
        <v>14832</v>
      </c>
      <c r="U1660" t="s">
        <v>521</v>
      </c>
      <c r="V1660">
        <v>2300</v>
      </c>
      <c r="W1660" t="s">
        <v>14862</v>
      </c>
      <c r="X1660" t="s">
        <v>14873</v>
      </c>
      <c r="Z1660" t="s">
        <v>16387</v>
      </c>
      <c r="AB1660" t="s">
        <v>21442</v>
      </c>
      <c r="AC1660">
        <v>2</v>
      </c>
      <c r="AD1660" t="s">
        <v>24600</v>
      </c>
      <c r="AE1660" t="s">
        <v>24610</v>
      </c>
      <c r="AF1660">
        <v>2</v>
      </c>
      <c r="AG1660">
        <v>4</v>
      </c>
      <c r="AH1660">
        <v>0</v>
      </c>
      <c r="AI1660">
        <v>89.8</v>
      </c>
      <c r="AL1660" t="s">
        <v>5011</v>
      </c>
      <c r="AM1660">
        <v>23124</v>
      </c>
      <c r="AP1660" t="s">
        <v>14755</v>
      </c>
      <c r="AQ1660" t="s">
        <v>24986</v>
      </c>
      <c r="AR1660" t="s">
        <v>25035</v>
      </c>
      <c r="AS1660">
        <v>1.25</v>
      </c>
      <c r="AT1660" t="s">
        <v>495</v>
      </c>
      <c r="AU1660" t="s">
        <v>25270</v>
      </c>
      <c r="AV1660" t="s">
        <v>25335</v>
      </c>
      <c r="AW1660" t="s">
        <v>11447</v>
      </c>
    </row>
    <row r="1661" spans="1:49">
      <c r="A1661" s="1">
        <f>HYPERLINK("https://lsnyc.legalserver.org/matter/dynamic-profile/view/1914987","19-1914987")</f>
        <v>0</v>
      </c>
      <c r="B1661" t="s">
        <v>104</v>
      </c>
      <c r="C1661" t="s">
        <v>521</v>
      </c>
      <c r="E1661" t="s">
        <v>2019</v>
      </c>
      <c r="F1661" t="s">
        <v>4223</v>
      </c>
      <c r="G1661" t="s">
        <v>7546</v>
      </c>
      <c r="H1661" t="s">
        <v>10589</v>
      </c>
      <c r="I1661" t="s">
        <v>11386</v>
      </c>
      <c r="J1661">
        <v>10022</v>
      </c>
      <c r="K1661" t="s">
        <v>11446</v>
      </c>
      <c r="M1661" t="s">
        <v>11601</v>
      </c>
      <c r="N1661" t="s">
        <v>14782</v>
      </c>
      <c r="P1661" t="s">
        <v>14797</v>
      </c>
      <c r="Q1661" t="s">
        <v>11448</v>
      </c>
      <c r="S1661" t="s">
        <v>14827</v>
      </c>
      <c r="T1661" t="s">
        <v>14832</v>
      </c>
      <c r="U1661" t="s">
        <v>521</v>
      </c>
      <c r="V1661">
        <v>878.24</v>
      </c>
      <c r="W1661" t="s">
        <v>14860</v>
      </c>
      <c r="X1661" t="s">
        <v>14755</v>
      </c>
      <c r="Z1661" t="s">
        <v>16388</v>
      </c>
      <c r="AB1661" t="s">
        <v>21443</v>
      </c>
      <c r="AC1661">
        <v>7</v>
      </c>
      <c r="AD1661" t="s">
        <v>24595</v>
      </c>
      <c r="AE1661" t="s">
        <v>11459</v>
      </c>
      <c r="AF1661">
        <v>18</v>
      </c>
      <c r="AG1661">
        <v>2</v>
      </c>
      <c r="AH1661">
        <v>0</v>
      </c>
      <c r="AI1661">
        <v>136.01</v>
      </c>
      <c r="AL1661" t="s">
        <v>5011</v>
      </c>
      <c r="AM1661">
        <v>23000</v>
      </c>
      <c r="AS1661">
        <v>1.5</v>
      </c>
      <c r="AT1661" t="s">
        <v>521</v>
      </c>
      <c r="AU1661" t="s">
        <v>25266</v>
      </c>
      <c r="AV1661" t="s">
        <v>25335</v>
      </c>
      <c r="AW1661" t="s">
        <v>11447</v>
      </c>
    </row>
    <row r="1662" spans="1:49">
      <c r="A1662" s="1">
        <f>HYPERLINK("https://lsnyc.legalserver.org/matter/dynamic-profile/view/1915053","19-1915053")</f>
        <v>0</v>
      </c>
      <c r="B1662" t="s">
        <v>205</v>
      </c>
      <c r="C1662" t="s">
        <v>521</v>
      </c>
      <c r="E1662" t="s">
        <v>1925</v>
      </c>
      <c r="F1662" t="s">
        <v>4451</v>
      </c>
      <c r="G1662" t="s">
        <v>7348</v>
      </c>
      <c r="H1662" t="s">
        <v>10555</v>
      </c>
      <c r="I1662" t="s">
        <v>11386</v>
      </c>
      <c r="J1662">
        <v>10035</v>
      </c>
      <c r="K1662" t="s">
        <v>11446</v>
      </c>
      <c r="M1662" t="s">
        <v>14762</v>
      </c>
      <c r="N1662" t="s">
        <v>14781</v>
      </c>
      <c r="P1662" t="s">
        <v>14797</v>
      </c>
      <c r="Q1662" t="s">
        <v>11446</v>
      </c>
      <c r="S1662" t="s">
        <v>14827</v>
      </c>
      <c r="T1662" t="s">
        <v>14832</v>
      </c>
      <c r="U1662" t="s">
        <v>521</v>
      </c>
      <c r="V1662">
        <v>1033.5</v>
      </c>
      <c r="W1662" t="s">
        <v>14860</v>
      </c>
      <c r="X1662" t="s">
        <v>14868</v>
      </c>
      <c r="Z1662" t="s">
        <v>16216</v>
      </c>
      <c r="AB1662" t="s">
        <v>21290</v>
      </c>
      <c r="AC1662">
        <v>60</v>
      </c>
      <c r="AD1662" t="s">
        <v>24595</v>
      </c>
      <c r="AE1662" t="s">
        <v>24610</v>
      </c>
      <c r="AF1662">
        <v>15</v>
      </c>
      <c r="AG1662">
        <v>3</v>
      </c>
      <c r="AH1662">
        <v>0</v>
      </c>
      <c r="AI1662">
        <v>140.65</v>
      </c>
      <c r="AL1662" t="s">
        <v>24632</v>
      </c>
      <c r="AM1662">
        <v>30000</v>
      </c>
      <c r="AS1662">
        <v>0</v>
      </c>
      <c r="AU1662" t="s">
        <v>25266</v>
      </c>
      <c r="AV1662" t="s">
        <v>25335</v>
      </c>
      <c r="AW1662" t="s">
        <v>11447</v>
      </c>
    </row>
    <row r="1663" spans="1:49">
      <c r="A1663" s="1">
        <f>HYPERLINK("https://lsnyc.legalserver.org/matter/dynamic-profile/view/1914982","19-1914982")</f>
        <v>0</v>
      </c>
      <c r="B1663" t="s">
        <v>231</v>
      </c>
      <c r="C1663" t="s">
        <v>521</v>
      </c>
      <c r="E1663" t="s">
        <v>1347</v>
      </c>
      <c r="F1663" t="s">
        <v>3577</v>
      </c>
      <c r="G1663" t="s">
        <v>7547</v>
      </c>
      <c r="H1663" t="s">
        <v>10450</v>
      </c>
      <c r="I1663" t="s">
        <v>11386</v>
      </c>
      <c r="J1663">
        <v>10040</v>
      </c>
      <c r="K1663" t="s">
        <v>11446</v>
      </c>
      <c r="M1663" t="s">
        <v>14748</v>
      </c>
      <c r="N1663" t="s">
        <v>14779</v>
      </c>
      <c r="P1663" t="s">
        <v>14797</v>
      </c>
      <c r="Q1663" t="s">
        <v>11448</v>
      </c>
      <c r="S1663" t="s">
        <v>14827</v>
      </c>
      <c r="U1663" t="s">
        <v>521</v>
      </c>
      <c r="V1663">
        <v>1353.72</v>
      </c>
      <c r="W1663" t="s">
        <v>14860</v>
      </c>
      <c r="X1663" t="s">
        <v>14868</v>
      </c>
      <c r="Z1663" t="s">
        <v>16389</v>
      </c>
      <c r="AB1663" t="s">
        <v>21444</v>
      </c>
      <c r="AC1663">
        <v>45</v>
      </c>
      <c r="AD1663" t="s">
        <v>24595</v>
      </c>
      <c r="AE1663" t="s">
        <v>24613</v>
      </c>
      <c r="AF1663">
        <v>34</v>
      </c>
      <c r="AG1663">
        <v>2</v>
      </c>
      <c r="AH1663">
        <v>0</v>
      </c>
      <c r="AI1663">
        <v>141.93</v>
      </c>
      <c r="AL1663" t="s">
        <v>24632</v>
      </c>
      <c r="AM1663">
        <v>24000</v>
      </c>
      <c r="AS1663">
        <v>2.9</v>
      </c>
      <c r="AT1663" t="s">
        <v>521</v>
      </c>
      <c r="AU1663" t="s">
        <v>137</v>
      </c>
      <c r="AV1663" t="s">
        <v>25335</v>
      </c>
      <c r="AW1663" t="s">
        <v>11447</v>
      </c>
    </row>
    <row r="1664" spans="1:49">
      <c r="A1664" s="1">
        <f>HYPERLINK("https://lsnyc.legalserver.org/matter/dynamic-profile/view/1915044","19-1915044")</f>
        <v>0</v>
      </c>
      <c r="B1664" t="s">
        <v>205</v>
      </c>
      <c r="C1664" t="s">
        <v>521</v>
      </c>
      <c r="E1664" t="s">
        <v>2009</v>
      </c>
      <c r="F1664" t="s">
        <v>2946</v>
      </c>
      <c r="G1664" t="s">
        <v>7348</v>
      </c>
      <c r="H1664" t="s">
        <v>10585</v>
      </c>
      <c r="I1664" t="s">
        <v>11386</v>
      </c>
      <c r="J1664">
        <v>10035</v>
      </c>
      <c r="K1664" t="s">
        <v>11446</v>
      </c>
      <c r="M1664" t="s">
        <v>14762</v>
      </c>
      <c r="N1664" t="s">
        <v>14781</v>
      </c>
      <c r="P1664" t="s">
        <v>14797</v>
      </c>
      <c r="Q1664" t="s">
        <v>11446</v>
      </c>
      <c r="S1664" t="s">
        <v>14827</v>
      </c>
      <c r="T1664" t="s">
        <v>14832</v>
      </c>
      <c r="U1664" t="s">
        <v>521</v>
      </c>
      <c r="V1664">
        <v>892</v>
      </c>
      <c r="W1664" t="s">
        <v>14860</v>
      </c>
      <c r="X1664" t="s">
        <v>14868</v>
      </c>
      <c r="Z1664" t="s">
        <v>16373</v>
      </c>
      <c r="AB1664" t="s">
        <v>21431</v>
      </c>
      <c r="AC1664">
        <v>60</v>
      </c>
      <c r="AD1664" t="s">
        <v>24595</v>
      </c>
      <c r="AE1664" t="s">
        <v>24610</v>
      </c>
      <c r="AF1664">
        <v>5</v>
      </c>
      <c r="AG1664">
        <v>2</v>
      </c>
      <c r="AH1664">
        <v>3</v>
      </c>
      <c r="AI1664">
        <v>145.84</v>
      </c>
      <c r="AL1664" t="s">
        <v>5011</v>
      </c>
      <c r="AM1664">
        <v>44000</v>
      </c>
      <c r="AS1664">
        <v>0</v>
      </c>
      <c r="AU1664" t="s">
        <v>25266</v>
      </c>
      <c r="AV1664" t="s">
        <v>25335</v>
      </c>
      <c r="AW1664" t="s">
        <v>11447</v>
      </c>
    </row>
    <row r="1665" spans="1:49">
      <c r="A1665" s="1">
        <f>HYPERLINK("https://lsnyc.legalserver.org/matter/dynamic-profile/view/1914967","19-1914967")</f>
        <v>0</v>
      </c>
      <c r="B1665" t="s">
        <v>205</v>
      </c>
      <c r="C1665" t="s">
        <v>521</v>
      </c>
      <c r="E1665" t="s">
        <v>1320</v>
      </c>
      <c r="F1665" t="s">
        <v>3823</v>
      </c>
      <c r="G1665" t="s">
        <v>7348</v>
      </c>
      <c r="H1665" t="s">
        <v>10478</v>
      </c>
      <c r="I1665" t="s">
        <v>11386</v>
      </c>
      <c r="J1665">
        <v>10035</v>
      </c>
      <c r="K1665" t="s">
        <v>11446</v>
      </c>
      <c r="M1665" t="s">
        <v>14762</v>
      </c>
      <c r="N1665" t="s">
        <v>14781</v>
      </c>
      <c r="P1665" t="s">
        <v>14797</v>
      </c>
      <c r="S1665" t="s">
        <v>14827</v>
      </c>
      <c r="T1665" t="s">
        <v>14832</v>
      </c>
      <c r="U1665" t="s">
        <v>521</v>
      </c>
      <c r="V1665">
        <v>552</v>
      </c>
      <c r="W1665" t="s">
        <v>14860</v>
      </c>
      <c r="X1665" t="s">
        <v>14868</v>
      </c>
      <c r="Z1665" t="s">
        <v>16374</v>
      </c>
      <c r="AC1665">
        <v>0</v>
      </c>
      <c r="AD1665" t="s">
        <v>24595</v>
      </c>
      <c r="AE1665" t="s">
        <v>24610</v>
      </c>
      <c r="AF1665">
        <v>14</v>
      </c>
      <c r="AG1665">
        <v>1</v>
      </c>
      <c r="AH1665">
        <v>0</v>
      </c>
      <c r="AI1665">
        <v>160.13</v>
      </c>
      <c r="AL1665" t="s">
        <v>5011</v>
      </c>
      <c r="AM1665">
        <v>20000</v>
      </c>
      <c r="AS1665">
        <v>0</v>
      </c>
      <c r="AU1665" t="s">
        <v>25266</v>
      </c>
      <c r="AV1665" t="s">
        <v>25335</v>
      </c>
      <c r="AW1665" t="s">
        <v>11447</v>
      </c>
    </row>
    <row r="1666" spans="1:49">
      <c r="A1666" s="1">
        <f>HYPERLINK("https://lsnyc.legalserver.org/matter/dynamic-profile/view/1915272","19-1915272")</f>
        <v>0</v>
      </c>
      <c r="B1666" t="s">
        <v>210</v>
      </c>
      <c r="C1666" t="s">
        <v>509</v>
      </c>
      <c r="E1666" t="s">
        <v>1854</v>
      </c>
      <c r="F1666" t="s">
        <v>4553</v>
      </c>
      <c r="G1666" t="s">
        <v>7548</v>
      </c>
      <c r="H1666" t="s">
        <v>10592</v>
      </c>
      <c r="I1666" t="s">
        <v>11385</v>
      </c>
      <c r="J1666">
        <v>11226</v>
      </c>
      <c r="K1666" t="s">
        <v>11446</v>
      </c>
      <c r="L1666" t="s">
        <v>11998</v>
      </c>
      <c r="N1666" t="s">
        <v>14780</v>
      </c>
      <c r="P1666" t="s">
        <v>14797</v>
      </c>
      <c r="Q1666" t="s">
        <v>11446</v>
      </c>
      <c r="S1666" t="s">
        <v>14827</v>
      </c>
      <c r="U1666" t="s">
        <v>521</v>
      </c>
      <c r="V1666">
        <v>1632</v>
      </c>
      <c r="W1666" t="s">
        <v>14859</v>
      </c>
      <c r="X1666" t="s">
        <v>14868</v>
      </c>
      <c r="Z1666" t="s">
        <v>16390</v>
      </c>
      <c r="AB1666" t="s">
        <v>21445</v>
      </c>
      <c r="AC1666">
        <v>0</v>
      </c>
      <c r="AD1666" t="s">
        <v>24595</v>
      </c>
      <c r="AF1666">
        <v>2</v>
      </c>
      <c r="AG1666">
        <v>2</v>
      </c>
      <c r="AH1666">
        <v>0</v>
      </c>
      <c r="AI1666">
        <v>284.45</v>
      </c>
      <c r="AL1666" t="s">
        <v>5011</v>
      </c>
      <c r="AM1666">
        <v>48100</v>
      </c>
      <c r="AS1666">
        <v>0</v>
      </c>
      <c r="AU1666" t="s">
        <v>75</v>
      </c>
      <c r="AV1666" t="s">
        <v>25335</v>
      </c>
      <c r="AW1666" t="s">
        <v>11447</v>
      </c>
    </row>
    <row r="1667" spans="1:49">
      <c r="A1667" s="1">
        <f>HYPERLINK("https://lsnyc.legalserver.org/matter/dynamic-profile/view/1915315","19-1915315")</f>
        <v>0</v>
      </c>
      <c r="B1667" t="s">
        <v>211</v>
      </c>
      <c r="C1667" t="s">
        <v>509</v>
      </c>
      <c r="E1667" t="s">
        <v>1118</v>
      </c>
      <c r="F1667" t="s">
        <v>1264</v>
      </c>
      <c r="G1667" t="s">
        <v>7365</v>
      </c>
      <c r="H1667">
        <v>38</v>
      </c>
      <c r="I1667" t="s">
        <v>11385</v>
      </c>
      <c r="J1667">
        <v>11213</v>
      </c>
      <c r="K1667" t="s">
        <v>11446</v>
      </c>
      <c r="L1667" t="s">
        <v>11999</v>
      </c>
      <c r="M1667" t="s">
        <v>14763</v>
      </c>
      <c r="N1667" t="s">
        <v>14781</v>
      </c>
      <c r="P1667" t="s">
        <v>14797</v>
      </c>
      <c r="Q1667" t="s">
        <v>11446</v>
      </c>
      <c r="S1667" t="s">
        <v>14827</v>
      </c>
      <c r="T1667" t="s">
        <v>14832</v>
      </c>
      <c r="U1667" t="s">
        <v>521</v>
      </c>
      <c r="V1667">
        <v>1161.8</v>
      </c>
      <c r="W1667" t="s">
        <v>14859</v>
      </c>
      <c r="X1667" t="s">
        <v>14876</v>
      </c>
      <c r="Z1667" t="s">
        <v>16391</v>
      </c>
      <c r="AA1667" t="s">
        <v>11465</v>
      </c>
      <c r="AC1667">
        <v>31</v>
      </c>
      <c r="AD1667" t="s">
        <v>24595</v>
      </c>
      <c r="AE1667" t="s">
        <v>11459</v>
      </c>
      <c r="AF1667">
        <v>8</v>
      </c>
      <c r="AG1667">
        <v>2</v>
      </c>
      <c r="AH1667">
        <v>0</v>
      </c>
      <c r="AI1667">
        <v>312.24</v>
      </c>
      <c r="AL1667" t="s">
        <v>5011</v>
      </c>
      <c r="AM1667">
        <v>52800</v>
      </c>
      <c r="AN1667" t="s">
        <v>24781</v>
      </c>
      <c r="AS1667">
        <v>0</v>
      </c>
      <c r="AU1667" t="s">
        <v>66</v>
      </c>
      <c r="AV1667" t="s">
        <v>25335</v>
      </c>
      <c r="AW1667" t="s">
        <v>11447</v>
      </c>
    </row>
    <row r="1668" spans="1:49">
      <c r="A1668" s="1">
        <f>HYPERLINK("https://lsnyc.legalserver.org/matter/dynamic-profile/view/1915317","19-1915317")</f>
        <v>0</v>
      </c>
      <c r="B1668" t="s">
        <v>224</v>
      </c>
      <c r="C1668" t="s">
        <v>509</v>
      </c>
      <c r="E1668" t="s">
        <v>1118</v>
      </c>
      <c r="F1668" t="s">
        <v>1264</v>
      </c>
      <c r="G1668" t="s">
        <v>7365</v>
      </c>
      <c r="H1668">
        <v>38</v>
      </c>
      <c r="I1668" t="s">
        <v>11385</v>
      </c>
      <c r="J1668">
        <v>11213</v>
      </c>
      <c r="K1668" t="s">
        <v>11446</v>
      </c>
      <c r="L1668" t="s">
        <v>11465</v>
      </c>
      <c r="M1668" t="s">
        <v>11601</v>
      </c>
      <c r="N1668" t="s">
        <v>14779</v>
      </c>
      <c r="P1668" t="s">
        <v>14797</v>
      </c>
      <c r="Q1668" t="s">
        <v>11446</v>
      </c>
      <c r="S1668" t="s">
        <v>14827</v>
      </c>
      <c r="T1668" t="s">
        <v>14832</v>
      </c>
      <c r="U1668" t="s">
        <v>521</v>
      </c>
      <c r="V1668">
        <v>1161.8</v>
      </c>
      <c r="W1668" t="s">
        <v>14859</v>
      </c>
      <c r="X1668" t="s">
        <v>14876</v>
      </c>
      <c r="Z1668" t="s">
        <v>16391</v>
      </c>
      <c r="AA1668" t="s">
        <v>11465</v>
      </c>
      <c r="AC1668">
        <v>31</v>
      </c>
      <c r="AD1668" t="s">
        <v>24595</v>
      </c>
      <c r="AE1668" t="s">
        <v>11459</v>
      </c>
      <c r="AF1668">
        <v>8</v>
      </c>
      <c r="AG1668">
        <v>2</v>
      </c>
      <c r="AH1668">
        <v>0</v>
      </c>
      <c r="AI1668">
        <v>312.24</v>
      </c>
      <c r="AL1668" t="s">
        <v>5011</v>
      </c>
      <c r="AM1668">
        <v>52800</v>
      </c>
      <c r="AN1668" t="s">
        <v>24781</v>
      </c>
      <c r="AS1668">
        <v>0</v>
      </c>
      <c r="AU1668" t="s">
        <v>66</v>
      </c>
      <c r="AV1668" t="s">
        <v>25335</v>
      </c>
      <c r="AW1668" t="s">
        <v>11447</v>
      </c>
    </row>
    <row r="1669" spans="1:49">
      <c r="A1669" s="1">
        <f>HYPERLINK("https://lsnyc.legalserver.org/matter/dynamic-profile/view/1915061","19-1915061")</f>
        <v>0</v>
      </c>
      <c r="B1669" t="s">
        <v>205</v>
      </c>
      <c r="C1669" t="s">
        <v>521</v>
      </c>
      <c r="E1669" t="s">
        <v>2011</v>
      </c>
      <c r="F1669" t="s">
        <v>4194</v>
      </c>
      <c r="G1669" t="s">
        <v>7540</v>
      </c>
      <c r="H1669" t="s">
        <v>10448</v>
      </c>
      <c r="I1669" t="s">
        <v>11386</v>
      </c>
      <c r="J1669">
        <v>10035</v>
      </c>
      <c r="K1669" t="s">
        <v>11446</v>
      </c>
      <c r="M1669" t="s">
        <v>14762</v>
      </c>
      <c r="N1669" t="s">
        <v>14781</v>
      </c>
      <c r="P1669" t="s">
        <v>14797</v>
      </c>
      <c r="Q1669" t="s">
        <v>11446</v>
      </c>
      <c r="S1669" t="s">
        <v>14827</v>
      </c>
      <c r="T1669" t="s">
        <v>14832</v>
      </c>
      <c r="U1669" t="s">
        <v>521</v>
      </c>
      <c r="V1669">
        <v>1065</v>
      </c>
      <c r="W1669" t="s">
        <v>14860</v>
      </c>
      <c r="X1669" t="s">
        <v>14868</v>
      </c>
      <c r="Z1669" t="s">
        <v>16379</v>
      </c>
      <c r="AC1669">
        <v>60</v>
      </c>
      <c r="AD1669" t="s">
        <v>24595</v>
      </c>
      <c r="AE1669" t="s">
        <v>11459</v>
      </c>
      <c r="AF1669">
        <v>14</v>
      </c>
      <c r="AG1669">
        <v>2</v>
      </c>
      <c r="AH1669">
        <v>0</v>
      </c>
      <c r="AI1669">
        <v>313.42</v>
      </c>
      <c r="AL1669" t="s">
        <v>5011</v>
      </c>
      <c r="AM1669">
        <v>53000</v>
      </c>
      <c r="AS1669">
        <v>0</v>
      </c>
      <c r="AU1669" t="s">
        <v>25266</v>
      </c>
      <c r="AV1669" t="s">
        <v>25335</v>
      </c>
      <c r="AW1669" t="s">
        <v>11447</v>
      </c>
    </row>
    <row r="1670" spans="1:49">
      <c r="A1670" s="1">
        <f>HYPERLINK("https://lsnyc.legalserver.org/matter/dynamic-profile/view/1915425","19-1915425")</f>
        <v>0</v>
      </c>
      <c r="B1670" t="s">
        <v>210</v>
      </c>
      <c r="C1670" t="s">
        <v>654</v>
      </c>
      <c r="E1670" t="s">
        <v>1352</v>
      </c>
      <c r="F1670" t="s">
        <v>4554</v>
      </c>
      <c r="G1670" t="s">
        <v>7548</v>
      </c>
      <c r="H1670" t="s">
        <v>10860</v>
      </c>
      <c r="I1670" t="s">
        <v>11385</v>
      </c>
      <c r="J1670">
        <v>11226</v>
      </c>
      <c r="K1670" t="s">
        <v>11446</v>
      </c>
      <c r="M1670" t="s">
        <v>14745</v>
      </c>
      <c r="N1670" t="s">
        <v>14780</v>
      </c>
      <c r="P1670" t="s">
        <v>14797</v>
      </c>
      <c r="S1670" t="s">
        <v>14827</v>
      </c>
      <c r="U1670" t="s">
        <v>521</v>
      </c>
      <c r="V1670">
        <v>1119.66</v>
      </c>
      <c r="W1670" t="s">
        <v>14859</v>
      </c>
      <c r="X1670" t="s">
        <v>14873</v>
      </c>
      <c r="Z1670" t="s">
        <v>16392</v>
      </c>
      <c r="AC1670">
        <v>6</v>
      </c>
      <c r="AD1670" t="s">
        <v>24595</v>
      </c>
      <c r="AF1670">
        <v>8</v>
      </c>
      <c r="AG1670">
        <v>1</v>
      </c>
      <c r="AH1670">
        <v>0</v>
      </c>
      <c r="AI1670">
        <v>392.31</v>
      </c>
      <c r="AL1670" t="s">
        <v>5011</v>
      </c>
      <c r="AM1670">
        <v>49000</v>
      </c>
      <c r="AS1670">
        <v>0</v>
      </c>
      <c r="AU1670" t="s">
        <v>75</v>
      </c>
      <c r="AW1670" t="s">
        <v>11447</v>
      </c>
    </row>
    <row r="1671" spans="1:49">
      <c r="A1671" s="1">
        <f>HYPERLINK("https://lsnyc.legalserver.org/matter/dynamic-profile/view/1915297","19-1915297")</f>
        <v>0</v>
      </c>
      <c r="B1671" t="s">
        <v>210</v>
      </c>
      <c r="C1671" t="s">
        <v>495</v>
      </c>
      <c r="E1671" t="s">
        <v>1882</v>
      </c>
      <c r="F1671" t="s">
        <v>4555</v>
      </c>
      <c r="G1671" t="s">
        <v>7548</v>
      </c>
      <c r="H1671" t="s">
        <v>10861</v>
      </c>
      <c r="I1671" t="s">
        <v>11385</v>
      </c>
      <c r="J1671">
        <v>11226</v>
      </c>
      <c r="K1671" t="s">
        <v>11446</v>
      </c>
      <c r="M1671" t="s">
        <v>14745</v>
      </c>
      <c r="N1671" t="s">
        <v>14780</v>
      </c>
      <c r="P1671" t="s">
        <v>14797</v>
      </c>
      <c r="Q1671" t="s">
        <v>11446</v>
      </c>
      <c r="S1671" t="s">
        <v>14827</v>
      </c>
      <c r="U1671" t="s">
        <v>521</v>
      </c>
      <c r="V1671">
        <v>1250</v>
      </c>
      <c r="W1671" t="s">
        <v>14859</v>
      </c>
      <c r="X1671" t="s">
        <v>14873</v>
      </c>
      <c r="Z1671" t="s">
        <v>16393</v>
      </c>
      <c r="AC1671">
        <v>6</v>
      </c>
      <c r="AD1671" t="s">
        <v>24595</v>
      </c>
      <c r="AF1671">
        <v>1</v>
      </c>
      <c r="AG1671">
        <v>1</v>
      </c>
      <c r="AH1671">
        <v>0</v>
      </c>
      <c r="AI1671">
        <v>408.33</v>
      </c>
      <c r="AL1671" t="s">
        <v>5011</v>
      </c>
      <c r="AM1671">
        <v>51000</v>
      </c>
      <c r="AS1671">
        <v>0</v>
      </c>
      <c r="AU1671" t="s">
        <v>75</v>
      </c>
      <c r="AV1671" t="s">
        <v>25335</v>
      </c>
      <c r="AW1671" t="s">
        <v>11447</v>
      </c>
    </row>
    <row r="1672" spans="1:49">
      <c r="A1672" s="1">
        <f>HYPERLINK("https://lsnyc.legalserver.org/matter/dynamic-profile/view/1915022","19-1915022")</f>
        <v>0</v>
      </c>
      <c r="B1672" t="s">
        <v>205</v>
      </c>
      <c r="C1672" t="s">
        <v>521</v>
      </c>
      <c r="E1672" t="s">
        <v>1044</v>
      </c>
      <c r="F1672" t="s">
        <v>1397</v>
      </c>
      <c r="G1672" t="s">
        <v>7348</v>
      </c>
      <c r="H1672" t="s">
        <v>10859</v>
      </c>
      <c r="I1672" t="s">
        <v>11386</v>
      </c>
      <c r="J1672">
        <v>10035</v>
      </c>
      <c r="K1672" t="s">
        <v>11446</v>
      </c>
      <c r="M1672" t="s">
        <v>14762</v>
      </c>
      <c r="N1672" t="s">
        <v>14781</v>
      </c>
      <c r="P1672" t="s">
        <v>14797</v>
      </c>
      <c r="Q1672" t="s">
        <v>11446</v>
      </c>
      <c r="S1672" t="s">
        <v>14827</v>
      </c>
      <c r="T1672" t="s">
        <v>14832</v>
      </c>
      <c r="U1672" t="s">
        <v>521</v>
      </c>
      <c r="V1672">
        <v>1230</v>
      </c>
      <c r="W1672" t="s">
        <v>14860</v>
      </c>
      <c r="X1672" t="s">
        <v>14868</v>
      </c>
      <c r="Z1672" t="s">
        <v>16380</v>
      </c>
      <c r="AB1672" t="s">
        <v>21435</v>
      </c>
      <c r="AC1672">
        <v>60</v>
      </c>
      <c r="AD1672" t="s">
        <v>24599</v>
      </c>
      <c r="AE1672" t="s">
        <v>11459</v>
      </c>
      <c r="AF1672">
        <v>8</v>
      </c>
      <c r="AG1672">
        <v>2</v>
      </c>
      <c r="AH1672">
        <v>0</v>
      </c>
      <c r="AI1672">
        <v>413.96</v>
      </c>
      <c r="AL1672" t="s">
        <v>5011</v>
      </c>
      <c r="AM1672">
        <v>70000</v>
      </c>
      <c r="AS1672">
        <v>0</v>
      </c>
      <c r="AU1672" t="s">
        <v>25266</v>
      </c>
      <c r="AV1672" t="s">
        <v>25335</v>
      </c>
      <c r="AW1672" t="s">
        <v>11447</v>
      </c>
    </row>
    <row r="1673" spans="1:49">
      <c r="A1673" s="1">
        <f>HYPERLINK("https://lsnyc.legalserver.org/matter/dynamic-profile/view/1915160","19-1915160")</f>
        <v>0</v>
      </c>
      <c r="B1673" t="s">
        <v>190</v>
      </c>
      <c r="C1673" t="s">
        <v>516</v>
      </c>
      <c r="E1673" t="s">
        <v>1320</v>
      </c>
      <c r="F1673" t="s">
        <v>4556</v>
      </c>
      <c r="G1673" t="s">
        <v>7549</v>
      </c>
      <c r="H1673" t="s">
        <v>10522</v>
      </c>
      <c r="I1673" t="s">
        <v>11386</v>
      </c>
      <c r="J1673">
        <v>10032</v>
      </c>
      <c r="K1673" t="s">
        <v>11446</v>
      </c>
      <c r="N1673" t="s">
        <v>14782</v>
      </c>
      <c r="P1673" t="s">
        <v>14797</v>
      </c>
      <c r="Q1673" t="s">
        <v>11448</v>
      </c>
      <c r="S1673" t="s">
        <v>14827</v>
      </c>
      <c r="U1673" t="s">
        <v>516</v>
      </c>
      <c r="V1673">
        <v>555</v>
      </c>
      <c r="W1673" t="s">
        <v>14860</v>
      </c>
      <c r="X1673" t="s">
        <v>14867</v>
      </c>
      <c r="Z1673" t="s">
        <v>16394</v>
      </c>
      <c r="AC1673">
        <v>22</v>
      </c>
      <c r="AD1673" t="s">
        <v>24606</v>
      </c>
      <c r="AE1673" t="s">
        <v>24610</v>
      </c>
      <c r="AF1673">
        <v>33</v>
      </c>
      <c r="AG1673">
        <v>1</v>
      </c>
      <c r="AH1673">
        <v>0</v>
      </c>
      <c r="AI1673">
        <v>88.06999999999999</v>
      </c>
      <c r="AL1673" t="s">
        <v>24632</v>
      </c>
      <c r="AM1673">
        <v>11000</v>
      </c>
      <c r="AS1673">
        <v>1.5</v>
      </c>
      <c r="AT1673" t="s">
        <v>516</v>
      </c>
      <c r="AU1673" t="s">
        <v>137</v>
      </c>
      <c r="AV1673" t="s">
        <v>25335</v>
      </c>
      <c r="AW1673" t="s">
        <v>11447</v>
      </c>
    </row>
    <row r="1674" spans="1:49">
      <c r="A1674" s="1">
        <f>HYPERLINK("https://lsnyc.legalserver.org/matter/dynamic-profile/view/1915146","19-1915146")</f>
        <v>0</v>
      </c>
      <c r="B1674" t="s">
        <v>227</v>
      </c>
      <c r="C1674" t="s">
        <v>516</v>
      </c>
      <c r="E1674" t="s">
        <v>2020</v>
      </c>
      <c r="F1674" t="s">
        <v>4557</v>
      </c>
      <c r="G1674" t="s">
        <v>7550</v>
      </c>
      <c r="H1674" t="s">
        <v>10862</v>
      </c>
      <c r="I1674" t="s">
        <v>11390</v>
      </c>
      <c r="J1674">
        <v>11368</v>
      </c>
      <c r="K1674" t="s">
        <v>11446</v>
      </c>
      <c r="L1674" t="s">
        <v>12000</v>
      </c>
      <c r="M1674" t="s">
        <v>14744</v>
      </c>
      <c r="N1674" t="s">
        <v>14782</v>
      </c>
      <c r="P1674" t="s">
        <v>14797</v>
      </c>
      <c r="Q1674" t="s">
        <v>11448</v>
      </c>
      <c r="S1674" t="s">
        <v>14827</v>
      </c>
      <c r="U1674" t="s">
        <v>516</v>
      </c>
      <c r="V1674">
        <v>1437</v>
      </c>
      <c r="W1674" t="s">
        <v>14861</v>
      </c>
      <c r="X1674" t="s">
        <v>14865</v>
      </c>
      <c r="Z1674" t="s">
        <v>16395</v>
      </c>
      <c r="AA1674" t="s">
        <v>19459</v>
      </c>
      <c r="AB1674" t="s">
        <v>21446</v>
      </c>
      <c r="AC1674">
        <v>0</v>
      </c>
      <c r="AD1674" t="s">
        <v>11479</v>
      </c>
      <c r="AE1674" t="s">
        <v>11459</v>
      </c>
      <c r="AF1674">
        <v>5</v>
      </c>
      <c r="AG1674">
        <v>1</v>
      </c>
      <c r="AH1674">
        <v>0</v>
      </c>
      <c r="AI1674">
        <v>115.29</v>
      </c>
      <c r="AL1674" t="s">
        <v>24636</v>
      </c>
      <c r="AM1674">
        <v>14400</v>
      </c>
      <c r="AS1674">
        <v>1.1</v>
      </c>
      <c r="AT1674" t="s">
        <v>509</v>
      </c>
      <c r="AU1674" t="s">
        <v>292</v>
      </c>
      <c r="AV1674" t="s">
        <v>25335</v>
      </c>
      <c r="AW1674" t="s">
        <v>11447</v>
      </c>
    </row>
    <row r="1675" spans="1:49">
      <c r="A1675" s="1">
        <f>HYPERLINK("https://lsnyc.legalserver.org/matter/dynamic-profile/view/1915137","19-1915137")</f>
        <v>0</v>
      </c>
      <c r="B1675" t="s">
        <v>144</v>
      </c>
      <c r="C1675" t="s">
        <v>516</v>
      </c>
      <c r="E1675" t="s">
        <v>1211</v>
      </c>
      <c r="F1675" t="s">
        <v>4558</v>
      </c>
      <c r="G1675" t="s">
        <v>7551</v>
      </c>
      <c r="I1675" t="s">
        <v>11394</v>
      </c>
      <c r="J1675">
        <v>11694</v>
      </c>
      <c r="K1675" t="s">
        <v>11446</v>
      </c>
      <c r="L1675" t="s">
        <v>12001</v>
      </c>
      <c r="M1675" t="s">
        <v>14743</v>
      </c>
      <c r="N1675" t="s">
        <v>14781</v>
      </c>
      <c r="P1675" t="s">
        <v>14797</v>
      </c>
      <c r="Q1675" t="s">
        <v>11448</v>
      </c>
      <c r="S1675" t="s">
        <v>14827</v>
      </c>
      <c r="T1675" t="s">
        <v>14832</v>
      </c>
      <c r="U1675" t="s">
        <v>516</v>
      </c>
      <c r="V1675">
        <v>1550</v>
      </c>
      <c r="W1675" t="s">
        <v>14861</v>
      </c>
      <c r="X1675" t="s">
        <v>14865</v>
      </c>
      <c r="Z1675" t="s">
        <v>16396</v>
      </c>
      <c r="AA1675" t="s">
        <v>19460</v>
      </c>
      <c r="AB1675" t="s">
        <v>21447</v>
      </c>
      <c r="AC1675">
        <v>3</v>
      </c>
      <c r="AD1675" t="s">
        <v>11479</v>
      </c>
      <c r="AE1675" t="s">
        <v>11459</v>
      </c>
      <c r="AF1675">
        <v>5</v>
      </c>
      <c r="AG1675">
        <v>3</v>
      </c>
      <c r="AH1675">
        <v>4</v>
      </c>
      <c r="AI1675">
        <v>152.58</v>
      </c>
      <c r="AL1675" t="s">
        <v>5011</v>
      </c>
      <c r="AM1675">
        <v>59520</v>
      </c>
      <c r="AS1675">
        <v>1.6</v>
      </c>
      <c r="AT1675" t="s">
        <v>509</v>
      </c>
      <c r="AU1675" t="s">
        <v>292</v>
      </c>
      <c r="AV1675" t="s">
        <v>25335</v>
      </c>
      <c r="AW1675" t="s">
        <v>11447</v>
      </c>
    </row>
    <row r="1676" spans="1:49">
      <c r="A1676" s="1">
        <f>HYPERLINK("https://lsnyc.legalserver.org/matter/dynamic-profile/view/1915158","19-1915158")</f>
        <v>0</v>
      </c>
      <c r="B1676" t="s">
        <v>190</v>
      </c>
      <c r="C1676" t="s">
        <v>516</v>
      </c>
      <c r="E1676" t="s">
        <v>2021</v>
      </c>
      <c r="F1676" t="s">
        <v>3622</v>
      </c>
      <c r="G1676" t="s">
        <v>7552</v>
      </c>
      <c r="H1676" t="s">
        <v>10581</v>
      </c>
      <c r="I1676" t="s">
        <v>11386</v>
      </c>
      <c r="J1676">
        <v>10034</v>
      </c>
      <c r="K1676" t="s">
        <v>11446</v>
      </c>
      <c r="M1676" t="s">
        <v>14747</v>
      </c>
      <c r="N1676" t="s">
        <v>14782</v>
      </c>
      <c r="P1676" t="s">
        <v>14797</v>
      </c>
      <c r="Q1676" t="s">
        <v>11448</v>
      </c>
      <c r="S1676" t="s">
        <v>14827</v>
      </c>
      <c r="U1676" t="s">
        <v>516</v>
      </c>
      <c r="V1676">
        <v>1421</v>
      </c>
      <c r="W1676" t="s">
        <v>14860</v>
      </c>
      <c r="X1676" t="s">
        <v>14867</v>
      </c>
      <c r="Z1676" t="s">
        <v>16397</v>
      </c>
      <c r="AB1676" t="s">
        <v>21448</v>
      </c>
      <c r="AC1676">
        <v>0</v>
      </c>
      <c r="AD1676" t="s">
        <v>24595</v>
      </c>
      <c r="AE1676" t="s">
        <v>11459</v>
      </c>
      <c r="AF1676">
        <v>3</v>
      </c>
      <c r="AG1676">
        <v>1</v>
      </c>
      <c r="AH1676">
        <v>0</v>
      </c>
      <c r="AI1676">
        <v>333.07</v>
      </c>
      <c r="AL1676" t="s">
        <v>5011</v>
      </c>
      <c r="AM1676">
        <v>41600</v>
      </c>
      <c r="AS1676">
        <v>1.5</v>
      </c>
      <c r="AT1676" t="s">
        <v>516</v>
      </c>
      <c r="AU1676" t="s">
        <v>137</v>
      </c>
      <c r="AV1676" t="s">
        <v>25335</v>
      </c>
      <c r="AW1676" t="s">
        <v>11447</v>
      </c>
    </row>
    <row r="1677" spans="1:49">
      <c r="A1677" s="1">
        <f>HYPERLINK("https://lsnyc.legalserver.org/matter/dynamic-profile/view/1915251","19-1915251")</f>
        <v>0</v>
      </c>
      <c r="B1677" t="s">
        <v>211</v>
      </c>
      <c r="C1677" t="s">
        <v>509</v>
      </c>
      <c r="E1677" t="s">
        <v>1501</v>
      </c>
      <c r="F1677" t="s">
        <v>4559</v>
      </c>
      <c r="G1677" t="s">
        <v>7152</v>
      </c>
      <c r="H1677" t="s">
        <v>10620</v>
      </c>
      <c r="I1677" t="s">
        <v>11385</v>
      </c>
      <c r="J1677">
        <v>11233</v>
      </c>
      <c r="K1677" t="s">
        <v>11446</v>
      </c>
      <c r="L1677" t="s">
        <v>12002</v>
      </c>
      <c r="M1677" t="s">
        <v>14762</v>
      </c>
      <c r="N1677" t="s">
        <v>14783</v>
      </c>
      <c r="P1677" t="s">
        <v>14797</v>
      </c>
      <c r="Q1677" t="s">
        <v>11446</v>
      </c>
      <c r="S1677" t="s">
        <v>14827</v>
      </c>
      <c r="T1677" t="s">
        <v>14832</v>
      </c>
      <c r="U1677" t="s">
        <v>509</v>
      </c>
      <c r="V1677">
        <v>1066.79</v>
      </c>
      <c r="W1677" t="s">
        <v>14859</v>
      </c>
      <c r="Z1677" t="s">
        <v>16398</v>
      </c>
      <c r="AA1677" t="s">
        <v>19418</v>
      </c>
      <c r="AC1677">
        <v>715</v>
      </c>
      <c r="AD1677" t="s">
        <v>24595</v>
      </c>
      <c r="AE1677" t="s">
        <v>11459</v>
      </c>
      <c r="AF1677">
        <v>33</v>
      </c>
      <c r="AG1677">
        <v>1</v>
      </c>
      <c r="AH1677">
        <v>0</v>
      </c>
      <c r="AI1677">
        <v>0</v>
      </c>
      <c r="AL1677" t="s">
        <v>5011</v>
      </c>
      <c r="AM1677">
        <v>0</v>
      </c>
      <c r="AN1677" t="s">
        <v>24782</v>
      </c>
      <c r="AS1677">
        <v>0</v>
      </c>
      <c r="AU1677" t="s">
        <v>66</v>
      </c>
      <c r="AV1677" t="s">
        <v>11459</v>
      </c>
      <c r="AW1677" t="s">
        <v>11447</v>
      </c>
    </row>
    <row r="1678" spans="1:49">
      <c r="A1678" s="1">
        <f>HYPERLINK("https://lsnyc.legalserver.org/matter/dynamic-profile/view/1910779","19-1910779")</f>
        <v>0</v>
      </c>
      <c r="B1678" t="s">
        <v>144</v>
      </c>
      <c r="C1678" t="s">
        <v>663</v>
      </c>
      <c r="E1678" t="s">
        <v>2022</v>
      </c>
      <c r="F1678" t="s">
        <v>4230</v>
      </c>
      <c r="G1678" t="s">
        <v>7553</v>
      </c>
      <c r="H1678" t="s">
        <v>10471</v>
      </c>
      <c r="I1678" t="s">
        <v>11420</v>
      </c>
      <c r="J1678">
        <v>11104</v>
      </c>
      <c r="K1678" t="s">
        <v>11446</v>
      </c>
      <c r="L1678" t="s">
        <v>12003</v>
      </c>
      <c r="M1678" t="s">
        <v>14744</v>
      </c>
      <c r="N1678" t="s">
        <v>14781</v>
      </c>
      <c r="P1678" t="s">
        <v>14797</v>
      </c>
      <c r="Q1678" t="s">
        <v>11448</v>
      </c>
      <c r="S1678" t="s">
        <v>14827</v>
      </c>
      <c r="T1678" t="s">
        <v>14832</v>
      </c>
      <c r="U1678" t="s">
        <v>509</v>
      </c>
      <c r="V1678">
        <v>1531</v>
      </c>
      <c r="W1678" t="s">
        <v>14861</v>
      </c>
      <c r="X1678" t="s">
        <v>14865</v>
      </c>
      <c r="Z1678" t="s">
        <v>16399</v>
      </c>
      <c r="AA1678" t="s">
        <v>19461</v>
      </c>
      <c r="AB1678" t="s">
        <v>21449</v>
      </c>
      <c r="AC1678">
        <v>96</v>
      </c>
      <c r="AD1678" t="s">
        <v>24595</v>
      </c>
      <c r="AE1678" t="s">
        <v>11459</v>
      </c>
      <c r="AF1678">
        <v>15</v>
      </c>
      <c r="AG1678">
        <v>1</v>
      </c>
      <c r="AH1678">
        <v>0</v>
      </c>
      <c r="AI1678">
        <v>17.58</v>
      </c>
      <c r="AL1678" t="s">
        <v>5011</v>
      </c>
      <c r="AM1678">
        <v>2196</v>
      </c>
      <c r="AS1678">
        <v>6.13</v>
      </c>
      <c r="AT1678" t="s">
        <v>509</v>
      </c>
      <c r="AU1678" t="s">
        <v>25233</v>
      </c>
      <c r="AV1678" t="s">
        <v>25335</v>
      </c>
      <c r="AW1678" t="s">
        <v>11447</v>
      </c>
    </row>
    <row r="1679" spans="1:49">
      <c r="A1679" s="1">
        <f>HYPERLINK("https://lsnyc.legalserver.org/matter/dynamic-profile/view/1915267","19-1915267")</f>
        <v>0</v>
      </c>
      <c r="B1679" t="s">
        <v>172</v>
      </c>
      <c r="C1679" t="s">
        <v>509</v>
      </c>
      <c r="E1679" t="s">
        <v>2023</v>
      </c>
      <c r="F1679" t="s">
        <v>1925</v>
      </c>
      <c r="G1679" t="s">
        <v>7554</v>
      </c>
      <c r="H1679" t="s">
        <v>10510</v>
      </c>
      <c r="I1679" t="s">
        <v>11386</v>
      </c>
      <c r="J1679">
        <v>10002</v>
      </c>
      <c r="K1679" t="s">
        <v>11446</v>
      </c>
      <c r="N1679" t="s">
        <v>14782</v>
      </c>
      <c r="P1679" t="s">
        <v>14797</v>
      </c>
      <c r="Q1679" t="s">
        <v>11448</v>
      </c>
      <c r="S1679" t="s">
        <v>14827</v>
      </c>
      <c r="U1679" t="s">
        <v>509</v>
      </c>
      <c r="V1679">
        <v>205</v>
      </c>
      <c r="W1679" t="s">
        <v>14860</v>
      </c>
      <c r="X1679" t="s">
        <v>14864</v>
      </c>
      <c r="Z1679" t="s">
        <v>16400</v>
      </c>
      <c r="AB1679" t="s">
        <v>21450</v>
      </c>
      <c r="AC1679">
        <v>0</v>
      </c>
      <c r="AD1679" t="s">
        <v>24595</v>
      </c>
      <c r="AE1679" t="s">
        <v>11459</v>
      </c>
      <c r="AF1679">
        <v>15</v>
      </c>
      <c r="AG1679">
        <v>1</v>
      </c>
      <c r="AH1679">
        <v>2</v>
      </c>
      <c r="AI1679">
        <v>43.32</v>
      </c>
      <c r="AL1679" t="s">
        <v>5011</v>
      </c>
      <c r="AM1679">
        <v>9240</v>
      </c>
      <c r="AS1679">
        <v>0</v>
      </c>
      <c r="AU1679" t="s">
        <v>137</v>
      </c>
      <c r="AV1679" t="s">
        <v>25335</v>
      </c>
      <c r="AW1679" t="s">
        <v>11447</v>
      </c>
    </row>
    <row r="1680" spans="1:49">
      <c r="A1680" s="1">
        <f>HYPERLINK("https://lsnyc.legalserver.org/matter/dynamic-profile/view/1915236","19-1915236")</f>
        <v>0</v>
      </c>
      <c r="B1680" t="s">
        <v>110</v>
      </c>
      <c r="C1680" t="s">
        <v>509</v>
      </c>
      <c r="E1680" t="s">
        <v>1938</v>
      </c>
      <c r="F1680" t="s">
        <v>3901</v>
      </c>
      <c r="G1680" t="s">
        <v>7453</v>
      </c>
      <c r="H1680" t="s">
        <v>10523</v>
      </c>
      <c r="I1680" t="s">
        <v>11391</v>
      </c>
      <c r="J1680">
        <v>11691</v>
      </c>
      <c r="K1680" t="s">
        <v>11446</v>
      </c>
      <c r="M1680" t="s">
        <v>14744</v>
      </c>
      <c r="N1680" t="s">
        <v>14781</v>
      </c>
      <c r="P1680" t="s">
        <v>14797</v>
      </c>
      <c r="Q1680" t="s">
        <v>11448</v>
      </c>
      <c r="S1680" t="s">
        <v>14827</v>
      </c>
      <c r="U1680" t="s">
        <v>509</v>
      </c>
      <c r="V1680">
        <v>819</v>
      </c>
      <c r="W1680" t="s">
        <v>14861</v>
      </c>
      <c r="X1680" t="s">
        <v>14876</v>
      </c>
      <c r="Z1680" t="s">
        <v>16240</v>
      </c>
      <c r="AB1680" t="s">
        <v>21316</v>
      </c>
      <c r="AC1680">
        <v>43</v>
      </c>
      <c r="AD1680" t="s">
        <v>24595</v>
      </c>
      <c r="AE1680" t="s">
        <v>11459</v>
      </c>
      <c r="AF1680">
        <v>11</v>
      </c>
      <c r="AG1680">
        <v>2</v>
      </c>
      <c r="AH1680">
        <v>1</v>
      </c>
      <c r="AI1680">
        <v>52.41</v>
      </c>
      <c r="AL1680" t="s">
        <v>5011</v>
      </c>
      <c r="AM1680">
        <v>11180</v>
      </c>
      <c r="AS1680">
        <v>0.5</v>
      </c>
      <c r="AT1680" t="s">
        <v>509</v>
      </c>
      <c r="AU1680" t="s">
        <v>292</v>
      </c>
      <c r="AV1680" t="s">
        <v>25335</v>
      </c>
      <c r="AW1680" t="s">
        <v>11447</v>
      </c>
    </row>
    <row r="1681" spans="1:49">
      <c r="A1681" s="1">
        <f>HYPERLINK("https://lsnyc.legalserver.org/matter/dynamic-profile/view/1915291","19-1915291")</f>
        <v>0</v>
      </c>
      <c r="B1681" t="s">
        <v>205</v>
      </c>
      <c r="C1681" t="s">
        <v>509</v>
      </c>
      <c r="E1681" t="s">
        <v>2006</v>
      </c>
      <c r="F1681" t="s">
        <v>4538</v>
      </c>
      <c r="G1681" t="s">
        <v>7348</v>
      </c>
      <c r="H1681" t="s">
        <v>10593</v>
      </c>
      <c r="I1681" t="s">
        <v>11386</v>
      </c>
      <c r="J1681">
        <v>10035</v>
      </c>
      <c r="K1681" t="s">
        <v>11446</v>
      </c>
      <c r="M1681" t="s">
        <v>14762</v>
      </c>
      <c r="N1681" t="s">
        <v>14781</v>
      </c>
      <c r="P1681" t="s">
        <v>14797</v>
      </c>
      <c r="Q1681" t="s">
        <v>11446</v>
      </c>
      <c r="S1681" t="s">
        <v>14827</v>
      </c>
      <c r="T1681" t="s">
        <v>14832</v>
      </c>
      <c r="U1681" t="s">
        <v>509</v>
      </c>
      <c r="V1681">
        <v>2500</v>
      </c>
      <c r="W1681" t="s">
        <v>14860</v>
      </c>
      <c r="X1681" t="s">
        <v>14868</v>
      </c>
      <c r="Z1681" t="s">
        <v>16365</v>
      </c>
      <c r="AB1681" t="s">
        <v>21424</v>
      </c>
      <c r="AC1681">
        <v>60</v>
      </c>
      <c r="AD1681" t="s">
        <v>24595</v>
      </c>
      <c r="AE1681" t="s">
        <v>24610</v>
      </c>
      <c r="AF1681">
        <v>14</v>
      </c>
      <c r="AG1681">
        <v>1</v>
      </c>
      <c r="AH1681">
        <v>0</v>
      </c>
      <c r="AI1681">
        <v>80.8</v>
      </c>
      <c r="AL1681" t="s">
        <v>24632</v>
      </c>
      <c r="AM1681">
        <v>10092</v>
      </c>
      <c r="AS1681">
        <v>0</v>
      </c>
      <c r="AU1681" t="s">
        <v>25266</v>
      </c>
      <c r="AV1681" t="s">
        <v>25335</v>
      </c>
      <c r="AW1681" t="s">
        <v>11447</v>
      </c>
    </row>
    <row r="1682" spans="1:49">
      <c r="A1682" s="1">
        <f>HYPERLINK("https://lsnyc.legalserver.org/matter/dynamic-profile/view/1915284","19-1915284")</f>
        <v>0</v>
      </c>
      <c r="B1682" t="s">
        <v>205</v>
      </c>
      <c r="C1682" t="s">
        <v>509</v>
      </c>
      <c r="E1682" t="s">
        <v>2007</v>
      </c>
      <c r="F1682" t="s">
        <v>4541</v>
      </c>
      <c r="G1682" t="s">
        <v>7348</v>
      </c>
      <c r="H1682" t="s">
        <v>10476</v>
      </c>
      <c r="I1682" t="s">
        <v>11386</v>
      </c>
      <c r="J1682">
        <v>10035</v>
      </c>
      <c r="K1682" t="s">
        <v>11446</v>
      </c>
      <c r="M1682" t="s">
        <v>14762</v>
      </c>
      <c r="N1682" t="s">
        <v>14781</v>
      </c>
      <c r="P1682" t="s">
        <v>14797</v>
      </c>
      <c r="Q1682" t="s">
        <v>11446</v>
      </c>
      <c r="S1682" t="s">
        <v>14827</v>
      </c>
      <c r="T1682" t="s">
        <v>14832</v>
      </c>
      <c r="U1682" t="s">
        <v>509</v>
      </c>
      <c r="V1682">
        <v>258</v>
      </c>
      <c r="W1682" t="s">
        <v>14860</v>
      </c>
      <c r="X1682" t="s">
        <v>14868</v>
      </c>
      <c r="Z1682" t="s">
        <v>16368</v>
      </c>
      <c r="AC1682">
        <v>60</v>
      </c>
      <c r="AD1682" t="s">
        <v>24595</v>
      </c>
      <c r="AE1682" t="s">
        <v>24618</v>
      </c>
      <c r="AF1682">
        <v>14</v>
      </c>
      <c r="AG1682">
        <v>1</v>
      </c>
      <c r="AH1682">
        <v>0</v>
      </c>
      <c r="AI1682">
        <v>93.67</v>
      </c>
      <c r="AL1682" t="s">
        <v>5011</v>
      </c>
      <c r="AM1682">
        <v>11700</v>
      </c>
      <c r="AS1682">
        <v>0</v>
      </c>
      <c r="AU1682" t="s">
        <v>25266</v>
      </c>
      <c r="AV1682" t="s">
        <v>25335</v>
      </c>
      <c r="AW1682" t="s">
        <v>11447</v>
      </c>
    </row>
    <row r="1683" spans="1:49">
      <c r="A1683" s="1">
        <f>HYPERLINK("https://lsnyc.legalserver.org/matter/dynamic-profile/view/1915277","19-1915277")</f>
        <v>0</v>
      </c>
      <c r="B1683" t="s">
        <v>205</v>
      </c>
      <c r="C1683" t="s">
        <v>509</v>
      </c>
      <c r="E1683" t="s">
        <v>1307</v>
      </c>
      <c r="F1683" t="s">
        <v>4543</v>
      </c>
      <c r="G1683" t="s">
        <v>7348</v>
      </c>
      <c r="H1683" t="s">
        <v>10727</v>
      </c>
      <c r="I1683" t="s">
        <v>11386</v>
      </c>
      <c r="J1683">
        <v>10035</v>
      </c>
      <c r="K1683" t="s">
        <v>11446</v>
      </c>
      <c r="M1683" t="s">
        <v>14762</v>
      </c>
      <c r="N1683" t="s">
        <v>14781</v>
      </c>
      <c r="P1683" t="s">
        <v>14797</v>
      </c>
      <c r="Q1683" t="s">
        <v>11446</v>
      </c>
      <c r="S1683" t="s">
        <v>14827</v>
      </c>
      <c r="T1683" t="s">
        <v>14832</v>
      </c>
      <c r="U1683" t="s">
        <v>509</v>
      </c>
      <c r="V1683">
        <v>1104.42</v>
      </c>
      <c r="W1683" t="s">
        <v>14860</v>
      </c>
      <c r="X1683" t="s">
        <v>14868</v>
      </c>
      <c r="Z1683" t="s">
        <v>16370</v>
      </c>
      <c r="AB1683" t="s">
        <v>21428</v>
      </c>
      <c r="AC1683">
        <v>60</v>
      </c>
      <c r="AD1683" t="s">
        <v>24595</v>
      </c>
      <c r="AE1683" t="s">
        <v>11459</v>
      </c>
      <c r="AF1683">
        <v>7</v>
      </c>
      <c r="AG1683">
        <v>1</v>
      </c>
      <c r="AH1683">
        <v>0</v>
      </c>
      <c r="AI1683">
        <v>96.08</v>
      </c>
      <c r="AL1683" t="s">
        <v>24632</v>
      </c>
      <c r="AM1683">
        <v>12000</v>
      </c>
      <c r="AS1683">
        <v>0</v>
      </c>
      <c r="AU1683" t="s">
        <v>25266</v>
      </c>
      <c r="AV1683" t="s">
        <v>25335</v>
      </c>
      <c r="AW1683" t="s">
        <v>11447</v>
      </c>
    </row>
    <row r="1684" spans="1:49">
      <c r="A1684" s="1">
        <f>HYPERLINK("https://lsnyc.legalserver.org/matter/dynamic-profile/view/1915268","19-1915268")</f>
        <v>0</v>
      </c>
      <c r="B1684" t="s">
        <v>104</v>
      </c>
      <c r="C1684" t="s">
        <v>509</v>
      </c>
      <c r="E1684" t="s">
        <v>1683</v>
      </c>
      <c r="F1684" t="s">
        <v>4560</v>
      </c>
      <c r="G1684" t="s">
        <v>7555</v>
      </c>
      <c r="H1684" t="s">
        <v>10450</v>
      </c>
      <c r="I1684" t="s">
        <v>11386</v>
      </c>
      <c r="J1684">
        <v>10029</v>
      </c>
      <c r="K1684" t="s">
        <v>11446</v>
      </c>
      <c r="M1684" t="s">
        <v>14746</v>
      </c>
      <c r="N1684" t="s">
        <v>14781</v>
      </c>
      <c r="P1684" t="s">
        <v>14797</v>
      </c>
      <c r="Q1684" t="s">
        <v>11448</v>
      </c>
      <c r="S1684" t="s">
        <v>14827</v>
      </c>
      <c r="T1684" t="s">
        <v>14832</v>
      </c>
      <c r="U1684" t="s">
        <v>509</v>
      </c>
      <c r="V1684">
        <v>1138</v>
      </c>
      <c r="W1684" t="s">
        <v>14860</v>
      </c>
      <c r="X1684" t="s">
        <v>14868</v>
      </c>
      <c r="Z1684" t="s">
        <v>16401</v>
      </c>
      <c r="AB1684" t="s">
        <v>21451</v>
      </c>
      <c r="AC1684">
        <v>10</v>
      </c>
      <c r="AD1684" t="s">
        <v>24595</v>
      </c>
      <c r="AE1684" t="s">
        <v>11459</v>
      </c>
      <c r="AF1684">
        <v>15</v>
      </c>
      <c r="AG1684">
        <v>1</v>
      </c>
      <c r="AH1684">
        <v>2</v>
      </c>
      <c r="AI1684">
        <v>124.89</v>
      </c>
      <c r="AL1684" t="s">
        <v>5011</v>
      </c>
      <c r="AM1684">
        <v>26640</v>
      </c>
      <c r="AQ1684" t="s">
        <v>24986</v>
      </c>
      <c r="AR1684" t="s">
        <v>25036</v>
      </c>
      <c r="AS1684">
        <v>0</v>
      </c>
      <c r="AU1684" t="s">
        <v>25266</v>
      </c>
      <c r="AV1684" t="s">
        <v>25335</v>
      </c>
      <c r="AW1684" t="s">
        <v>11447</v>
      </c>
    </row>
    <row r="1685" spans="1:49">
      <c r="A1685" s="1">
        <f>HYPERLINK("https://lsnyc.legalserver.org/matter/dynamic-profile/view/1901139","19-1901139")</f>
        <v>0</v>
      </c>
      <c r="B1685" t="s">
        <v>144</v>
      </c>
      <c r="C1685" t="s">
        <v>595</v>
      </c>
      <c r="E1685" t="s">
        <v>2024</v>
      </c>
      <c r="F1685" t="s">
        <v>2218</v>
      </c>
      <c r="G1685" t="s">
        <v>7556</v>
      </c>
      <c r="H1685" t="s">
        <v>10485</v>
      </c>
      <c r="I1685" t="s">
        <v>11389</v>
      </c>
      <c r="J1685">
        <v>11354</v>
      </c>
      <c r="K1685" t="s">
        <v>11446</v>
      </c>
      <c r="L1685" t="s">
        <v>12004</v>
      </c>
      <c r="M1685" t="s">
        <v>14744</v>
      </c>
      <c r="N1685" t="s">
        <v>14781</v>
      </c>
      <c r="P1685" t="s">
        <v>14797</v>
      </c>
      <c r="Q1685" t="s">
        <v>11446</v>
      </c>
      <c r="S1685" t="s">
        <v>14827</v>
      </c>
      <c r="T1685" t="s">
        <v>14832</v>
      </c>
      <c r="U1685" t="s">
        <v>509</v>
      </c>
      <c r="V1685">
        <v>1664.64</v>
      </c>
      <c r="W1685" t="s">
        <v>14861</v>
      </c>
      <c r="X1685" t="s">
        <v>14864</v>
      </c>
      <c r="Z1685" t="s">
        <v>16402</v>
      </c>
      <c r="AA1685" t="s">
        <v>19462</v>
      </c>
      <c r="AB1685" t="s">
        <v>21452</v>
      </c>
      <c r="AC1685">
        <v>72</v>
      </c>
      <c r="AD1685" t="s">
        <v>24595</v>
      </c>
      <c r="AE1685" t="s">
        <v>11459</v>
      </c>
      <c r="AF1685">
        <v>11</v>
      </c>
      <c r="AG1685">
        <v>3</v>
      </c>
      <c r="AH1685">
        <v>0</v>
      </c>
      <c r="AI1685">
        <v>131.27</v>
      </c>
      <c r="AL1685" t="s">
        <v>24638</v>
      </c>
      <c r="AM1685">
        <v>28000</v>
      </c>
      <c r="AS1685">
        <v>12.35</v>
      </c>
      <c r="AT1685" t="s">
        <v>509</v>
      </c>
      <c r="AU1685" t="s">
        <v>25255</v>
      </c>
      <c r="AV1685" t="s">
        <v>25335</v>
      </c>
      <c r="AW1685" t="s">
        <v>11447</v>
      </c>
    </row>
    <row r="1686" spans="1:49">
      <c r="A1686" s="1">
        <f>HYPERLINK("https://lsnyc.legalserver.org/matter/dynamic-profile/view/1915295","19-1915295")</f>
        <v>0</v>
      </c>
      <c r="B1686" t="s">
        <v>171</v>
      </c>
      <c r="C1686" t="s">
        <v>509</v>
      </c>
      <c r="E1686" t="s">
        <v>1047</v>
      </c>
      <c r="F1686" t="s">
        <v>3567</v>
      </c>
      <c r="G1686" t="s">
        <v>6298</v>
      </c>
      <c r="H1686" t="s">
        <v>10465</v>
      </c>
      <c r="I1686" t="s">
        <v>11389</v>
      </c>
      <c r="J1686">
        <v>11354</v>
      </c>
      <c r="K1686" t="s">
        <v>11446</v>
      </c>
      <c r="M1686" t="s">
        <v>14746</v>
      </c>
      <c r="N1686" t="s">
        <v>14781</v>
      </c>
      <c r="P1686" t="s">
        <v>14797</v>
      </c>
      <c r="Q1686" t="s">
        <v>11448</v>
      </c>
      <c r="S1686" t="s">
        <v>14827</v>
      </c>
      <c r="U1686" t="s">
        <v>509</v>
      </c>
      <c r="V1686">
        <v>923</v>
      </c>
      <c r="W1686" t="s">
        <v>14861</v>
      </c>
      <c r="X1686" t="s">
        <v>14868</v>
      </c>
      <c r="Z1686" t="s">
        <v>14924</v>
      </c>
      <c r="AB1686" t="s">
        <v>21343</v>
      </c>
      <c r="AC1686">
        <v>72</v>
      </c>
      <c r="AE1686" t="s">
        <v>11459</v>
      </c>
      <c r="AF1686">
        <v>42</v>
      </c>
      <c r="AG1686">
        <v>1</v>
      </c>
      <c r="AH1686">
        <v>0</v>
      </c>
      <c r="AI1686">
        <v>137.39</v>
      </c>
      <c r="AL1686" t="s">
        <v>5011</v>
      </c>
      <c r="AM1686">
        <v>17160</v>
      </c>
      <c r="AS1686">
        <v>0</v>
      </c>
      <c r="AU1686" t="s">
        <v>292</v>
      </c>
      <c r="AV1686" t="s">
        <v>25335</v>
      </c>
      <c r="AW1686" t="s">
        <v>11447</v>
      </c>
    </row>
    <row r="1687" spans="1:49">
      <c r="A1687" s="1">
        <f>HYPERLINK("https://lsnyc.legalserver.org/matter/dynamic-profile/view/1915213","19-1915213")</f>
        <v>0</v>
      </c>
      <c r="B1687" t="s">
        <v>110</v>
      </c>
      <c r="C1687" t="s">
        <v>509</v>
      </c>
      <c r="E1687" t="s">
        <v>1943</v>
      </c>
      <c r="F1687" t="s">
        <v>3965</v>
      </c>
      <c r="G1687" t="s">
        <v>7453</v>
      </c>
      <c r="H1687" t="s">
        <v>10464</v>
      </c>
      <c r="I1687" t="s">
        <v>11391</v>
      </c>
      <c r="J1687">
        <v>11691</v>
      </c>
      <c r="K1687" t="s">
        <v>11446</v>
      </c>
      <c r="M1687" t="s">
        <v>14744</v>
      </c>
      <c r="N1687" t="s">
        <v>14781</v>
      </c>
      <c r="P1687" t="s">
        <v>14797</v>
      </c>
      <c r="Q1687" t="s">
        <v>11448</v>
      </c>
      <c r="S1687" t="s">
        <v>14827</v>
      </c>
      <c r="U1687" t="s">
        <v>509</v>
      </c>
      <c r="V1687">
        <v>637</v>
      </c>
      <c r="W1687" t="s">
        <v>14861</v>
      </c>
      <c r="X1687" t="s">
        <v>14876</v>
      </c>
      <c r="Z1687" t="s">
        <v>16247</v>
      </c>
      <c r="AB1687" t="s">
        <v>21322</v>
      </c>
      <c r="AC1687">
        <v>48</v>
      </c>
      <c r="AE1687" t="s">
        <v>11459</v>
      </c>
      <c r="AF1687">
        <v>20</v>
      </c>
      <c r="AG1687">
        <v>1</v>
      </c>
      <c r="AH1687">
        <v>0</v>
      </c>
      <c r="AI1687">
        <v>166.53</v>
      </c>
      <c r="AL1687" t="s">
        <v>5011</v>
      </c>
      <c r="AM1687">
        <v>20800</v>
      </c>
      <c r="AS1687">
        <v>0.4</v>
      </c>
      <c r="AT1687" t="s">
        <v>509</v>
      </c>
      <c r="AU1687" t="s">
        <v>292</v>
      </c>
      <c r="AV1687" t="s">
        <v>25335</v>
      </c>
      <c r="AW1687" t="s">
        <v>11447</v>
      </c>
    </row>
    <row r="1688" spans="1:49">
      <c r="A1688" s="1">
        <f>HYPERLINK("https://lsnyc.legalserver.org/matter/dynamic-profile/view/1915275","19-1915275")</f>
        <v>0</v>
      </c>
      <c r="B1688" t="s">
        <v>205</v>
      </c>
      <c r="C1688" t="s">
        <v>509</v>
      </c>
      <c r="E1688" t="s">
        <v>1282</v>
      </c>
      <c r="F1688" t="s">
        <v>3696</v>
      </c>
      <c r="G1688" t="s">
        <v>7348</v>
      </c>
      <c r="H1688" t="s">
        <v>10460</v>
      </c>
      <c r="I1688" t="s">
        <v>11386</v>
      </c>
      <c r="J1688">
        <v>10035</v>
      </c>
      <c r="K1688" t="s">
        <v>11446</v>
      </c>
      <c r="M1688" t="s">
        <v>14762</v>
      </c>
      <c r="N1688" t="s">
        <v>14781</v>
      </c>
      <c r="P1688" t="s">
        <v>14797</v>
      </c>
      <c r="Q1688" t="s">
        <v>11446</v>
      </c>
      <c r="S1688" t="s">
        <v>14827</v>
      </c>
      <c r="T1688" t="s">
        <v>14832</v>
      </c>
      <c r="U1688" t="s">
        <v>509</v>
      </c>
      <c r="V1688">
        <v>1051</v>
      </c>
      <c r="W1688" t="s">
        <v>14860</v>
      </c>
      <c r="X1688" t="s">
        <v>14868</v>
      </c>
      <c r="Z1688" t="s">
        <v>16375</v>
      </c>
      <c r="AB1688" t="s">
        <v>21432</v>
      </c>
      <c r="AC1688">
        <v>60</v>
      </c>
      <c r="AD1688" t="s">
        <v>24595</v>
      </c>
      <c r="AE1688" t="s">
        <v>11459</v>
      </c>
      <c r="AF1688">
        <v>14</v>
      </c>
      <c r="AG1688">
        <v>3</v>
      </c>
      <c r="AH1688">
        <v>1</v>
      </c>
      <c r="AI1688">
        <v>166.99</v>
      </c>
      <c r="AL1688" t="s">
        <v>5011</v>
      </c>
      <c r="AM1688">
        <v>43000</v>
      </c>
      <c r="AS1688">
        <v>0</v>
      </c>
      <c r="AU1688" t="s">
        <v>25266</v>
      </c>
      <c r="AV1688" t="s">
        <v>25335</v>
      </c>
      <c r="AW1688" t="s">
        <v>11447</v>
      </c>
    </row>
    <row r="1689" spans="1:49">
      <c r="A1689" s="1">
        <f>HYPERLINK("https://lsnyc.legalserver.org/matter/dynamic-profile/view/1915245","19-1915245")</f>
        <v>0</v>
      </c>
      <c r="B1689" t="s">
        <v>110</v>
      </c>
      <c r="C1689" t="s">
        <v>509</v>
      </c>
      <c r="E1689" t="s">
        <v>1249</v>
      </c>
      <c r="F1689" t="s">
        <v>4471</v>
      </c>
      <c r="G1689" t="s">
        <v>7453</v>
      </c>
      <c r="H1689" t="s">
        <v>10450</v>
      </c>
      <c r="I1689" t="s">
        <v>11391</v>
      </c>
      <c r="J1689">
        <v>11691</v>
      </c>
      <c r="K1689" t="s">
        <v>11446</v>
      </c>
      <c r="M1689" t="s">
        <v>14744</v>
      </c>
      <c r="N1689" t="s">
        <v>14781</v>
      </c>
      <c r="P1689" t="s">
        <v>14797</v>
      </c>
      <c r="Q1689" t="s">
        <v>11448</v>
      </c>
      <c r="S1689" t="s">
        <v>14827</v>
      </c>
      <c r="U1689" t="s">
        <v>509</v>
      </c>
      <c r="V1689">
        <v>637</v>
      </c>
      <c r="W1689" t="s">
        <v>14861</v>
      </c>
      <c r="X1689" t="s">
        <v>14876</v>
      </c>
      <c r="Z1689" t="s">
        <v>16248</v>
      </c>
      <c r="AB1689" t="s">
        <v>21323</v>
      </c>
      <c r="AC1689">
        <v>43</v>
      </c>
      <c r="AD1689" t="s">
        <v>24595</v>
      </c>
      <c r="AE1689" t="s">
        <v>11459</v>
      </c>
      <c r="AF1689">
        <v>17</v>
      </c>
      <c r="AG1689">
        <v>2</v>
      </c>
      <c r="AH1689">
        <v>0</v>
      </c>
      <c r="AI1689">
        <v>215.26</v>
      </c>
      <c r="AL1689" t="s">
        <v>24632</v>
      </c>
      <c r="AM1689">
        <v>36400</v>
      </c>
      <c r="AS1689">
        <v>0.5</v>
      </c>
      <c r="AT1689" t="s">
        <v>509</v>
      </c>
      <c r="AU1689" t="s">
        <v>292</v>
      </c>
      <c r="AV1689" t="s">
        <v>25335</v>
      </c>
      <c r="AW1689" t="s">
        <v>11447</v>
      </c>
    </row>
    <row r="1690" spans="1:49">
      <c r="A1690" s="1">
        <f>HYPERLINK("https://lsnyc.legalserver.org/matter/dynamic-profile/view/1915255","19-1915255")</f>
        <v>0</v>
      </c>
      <c r="B1690" t="s">
        <v>76</v>
      </c>
      <c r="C1690" t="s">
        <v>509</v>
      </c>
      <c r="E1690" t="s">
        <v>1554</v>
      </c>
      <c r="F1690" t="s">
        <v>3752</v>
      </c>
      <c r="G1690" t="s">
        <v>7375</v>
      </c>
      <c r="H1690" t="s">
        <v>10638</v>
      </c>
      <c r="I1690" t="s">
        <v>11385</v>
      </c>
      <c r="J1690">
        <v>11233</v>
      </c>
      <c r="K1690" t="s">
        <v>11446</v>
      </c>
      <c r="L1690" t="s">
        <v>11999</v>
      </c>
      <c r="M1690" t="s">
        <v>14746</v>
      </c>
      <c r="P1690" t="s">
        <v>14797</v>
      </c>
      <c r="Q1690" t="s">
        <v>11448</v>
      </c>
      <c r="S1690" t="s">
        <v>14827</v>
      </c>
      <c r="T1690" t="s">
        <v>14832</v>
      </c>
      <c r="U1690" t="s">
        <v>509</v>
      </c>
      <c r="V1690">
        <v>1300</v>
      </c>
      <c r="W1690" t="s">
        <v>14859</v>
      </c>
      <c r="X1690" t="s">
        <v>14872</v>
      </c>
      <c r="Z1690" t="s">
        <v>16117</v>
      </c>
      <c r="AA1690" t="s">
        <v>19413</v>
      </c>
      <c r="AB1690" t="s">
        <v>21200</v>
      </c>
      <c r="AC1690">
        <v>9</v>
      </c>
      <c r="AD1690" t="s">
        <v>24595</v>
      </c>
      <c r="AE1690" t="s">
        <v>11459</v>
      </c>
      <c r="AF1690">
        <v>7</v>
      </c>
      <c r="AG1690">
        <v>1</v>
      </c>
      <c r="AH1690">
        <v>1</v>
      </c>
      <c r="AI1690">
        <v>222.02</v>
      </c>
      <c r="AL1690" t="s">
        <v>5011</v>
      </c>
      <c r="AM1690">
        <v>37544</v>
      </c>
      <c r="AS1690">
        <v>0</v>
      </c>
      <c r="AU1690" t="s">
        <v>66</v>
      </c>
      <c r="AV1690" t="s">
        <v>25335</v>
      </c>
      <c r="AW1690" t="s">
        <v>11447</v>
      </c>
    </row>
    <row r="1691" spans="1:49">
      <c r="A1691" s="1">
        <f>HYPERLINK("https://lsnyc.legalserver.org/matter/dynamic-profile/view/1915229","19-1915229")</f>
        <v>0</v>
      </c>
      <c r="B1691" t="s">
        <v>110</v>
      </c>
      <c r="C1691" t="s">
        <v>509</v>
      </c>
      <c r="E1691" t="s">
        <v>1936</v>
      </c>
      <c r="F1691" t="s">
        <v>3896</v>
      </c>
      <c r="G1691" t="s">
        <v>7453</v>
      </c>
      <c r="H1691" t="s">
        <v>10482</v>
      </c>
      <c r="I1691" t="s">
        <v>11391</v>
      </c>
      <c r="J1691">
        <v>11691</v>
      </c>
      <c r="K1691" t="s">
        <v>11446</v>
      </c>
      <c r="M1691" t="s">
        <v>14744</v>
      </c>
      <c r="N1691" t="s">
        <v>14781</v>
      </c>
      <c r="P1691" t="s">
        <v>14797</v>
      </c>
      <c r="Q1691" t="s">
        <v>11448</v>
      </c>
      <c r="S1691" t="s">
        <v>14827</v>
      </c>
      <c r="U1691" t="s">
        <v>509</v>
      </c>
      <c r="V1691">
        <v>637</v>
      </c>
      <c r="W1691" t="s">
        <v>14861</v>
      </c>
      <c r="X1691" t="s">
        <v>14876</v>
      </c>
      <c r="Z1691" t="s">
        <v>16237</v>
      </c>
      <c r="AB1691" t="s">
        <v>21453</v>
      </c>
      <c r="AC1691">
        <v>43</v>
      </c>
      <c r="AD1691" t="s">
        <v>24595</v>
      </c>
      <c r="AE1691" t="s">
        <v>11459</v>
      </c>
      <c r="AF1691">
        <v>28</v>
      </c>
      <c r="AG1691">
        <v>1</v>
      </c>
      <c r="AH1691">
        <v>0</v>
      </c>
      <c r="AI1691">
        <v>400.32</v>
      </c>
      <c r="AL1691" t="s">
        <v>5011</v>
      </c>
      <c r="AM1691">
        <v>50000</v>
      </c>
      <c r="AS1691">
        <v>0.5</v>
      </c>
      <c r="AT1691" t="s">
        <v>509</v>
      </c>
      <c r="AU1691" t="s">
        <v>292</v>
      </c>
      <c r="AV1691" t="s">
        <v>25335</v>
      </c>
      <c r="AW1691" t="s">
        <v>11447</v>
      </c>
    </row>
    <row r="1692" spans="1:49">
      <c r="A1692" s="1">
        <f>HYPERLINK("https://lsnyc.legalserver.org/matter/dynamic-profile/view/1915221","19-1915221")</f>
        <v>0</v>
      </c>
      <c r="B1692" t="s">
        <v>110</v>
      </c>
      <c r="C1692" t="s">
        <v>509</v>
      </c>
      <c r="E1692" t="s">
        <v>1692</v>
      </c>
      <c r="F1692" t="s">
        <v>3814</v>
      </c>
      <c r="G1692" t="s">
        <v>7453</v>
      </c>
      <c r="H1692" t="s">
        <v>10476</v>
      </c>
      <c r="I1692" t="s">
        <v>11391</v>
      </c>
      <c r="J1692">
        <v>11691</v>
      </c>
      <c r="K1692" t="s">
        <v>11446</v>
      </c>
      <c r="M1692" t="s">
        <v>14744</v>
      </c>
      <c r="N1692" t="s">
        <v>14781</v>
      </c>
      <c r="P1692" t="s">
        <v>14797</v>
      </c>
      <c r="Q1692" t="s">
        <v>11448</v>
      </c>
      <c r="S1692" t="s">
        <v>14827</v>
      </c>
      <c r="U1692" t="s">
        <v>509</v>
      </c>
      <c r="V1692">
        <v>660</v>
      </c>
      <c r="W1692" t="s">
        <v>14861</v>
      </c>
      <c r="X1692" t="s">
        <v>14876</v>
      </c>
      <c r="Z1692" t="s">
        <v>16403</v>
      </c>
      <c r="AB1692" t="s">
        <v>19344</v>
      </c>
      <c r="AC1692">
        <v>48</v>
      </c>
      <c r="AD1692" t="s">
        <v>24595</v>
      </c>
      <c r="AE1692" t="s">
        <v>11459</v>
      </c>
      <c r="AF1692">
        <v>10</v>
      </c>
      <c r="AG1692">
        <v>3</v>
      </c>
      <c r="AH1692">
        <v>0</v>
      </c>
      <c r="AI1692">
        <v>448.2</v>
      </c>
      <c r="AL1692" t="s">
        <v>5011</v>
      </c>
      <c r="AM1692">
        <v>95600</v>
      </c>
      <c r="AS1692">
        <v>0.5</v>
      </c>
      <c r="AT1692" t="s">
        <v>509</v>
      </c>
      <c r="AU1692" t="s">
        <v>292</v>
      </c>
      <c r="AV1692" t="s">
        <v>25335</v>
      </c>
      <c r="AW1692" t="s">
        <v>11447</v>
      </c>
    </row>
    <row r="1693" spans="1:49">
      <c r="A1693" s="1">
        <f>HYPERLINK("https://lsnyc.legalserver.org/matter/dynamic-profile/view/1915183","19-1915183")</f>
        <v>0</v>
      </c>
      <c r="B1693" t="s">
        <v>59</v>
      </c>
      <c r="C1693" t="s">
        <v>516</v>
      </c>
      <c r="E1693" t="s">
        <v>2025</v>
      </c>
      <c r="F1693" t="s">
        <v>3614</v>
      </c>
      <c r="G1693" t="s">
        <v>7557</v>
      </c>
      <c r="H1693" t="s">
        <v>10496</v>
      </c>
      <c r="I1693" t="s">
        <v>11415</v>
      </c>
      <c r="J1693">
        <v>11356</v>
      </c>
      <c r="K1693" t="s">
        <v>11446</v>
      </c>
      <c r="L1693" t="s">
        <v>12005</v>
      </c>
      <c r="M1693" t="s">
        <v>14744</v>
      </c>
      <c r="P1693" t="s">
        <v>14797</v>
      </c>
      <c r="Q1693" t="s">
        <v>11448</v>
      </c>
      <c r="S1693" t="s">
        <v>14827</v>
      </c>
      <c r="T1693" t="s">
        <v>14832</v>
      </c>
      <c r="U1693" t="s">
        <v>495</v>
      </c>
      <c r="V1693">
        <v>1500</v>
      </c>
      <c r="W1693" t="s">
        <v>14861</v>
      </c>
      <c r="X1693" t="s">
        <v>14865</v>
      </c>
      <c r="Z1693" t="s">
        <v>16404</v>
      </c>
      <c r="AB1693" t="s">
        <v>21454</v>
      </c>
      <c r="AC1693">
        <v>2</v>
      </c>
      <c r="AD1693" t="s">
        <v>24600</v>
      </c>
      <c r="AE1693" t="s">
        <v>11459</v>
      </c>
      <c r="AF1693">
        <v>6</v>
      </c>
      <c r="AG1693">
        <v>2</v>
      </c>
      <c r="AH1693">
        <v>0</v>
      </c>
      <c r="AI1693">
        <v>0</v>
      </c>
      <c r="AL1693" t="s">
        <v>5011</v>
      </c>
      <c r="AM1693">
        <v>0</v>
      </c>
      <c r="AS1693">
        <v>1.4</v>
      </c>
      <c r="AT1693" t="s">
        <v>495</v>
      </c>
      <c r="AU1693" t="s">
        <v>99</v>
      </c>
      <c r="AV1693" t="s">
        <v>25335</v>
      </c>
      <c r="AW1693" t="s">
        <v>11447</v>
      </c>
    </row>
    <row r="1694" spans="1:49">
      <c r="A1694" s="1">
        <f>HYPERLINK("https://lsnyc.legalserver.org/matter/dynamic-profile/view/1915402","19-1915402")</f>
        <v>0</v>
      </c>
      <c r="B1694" t="s">
        <v>55</v>
      </c>
      <c r="C1694" t="s">
        <v>495</v>
      </c>
      <c r="E1694" t="s">
        <v>1372</v>
      </c>
      <c r="F1694" t="s">
        <v>4561</v>
      </c>
      <c r="G1694" t="s">
        <v>7558</v>
      </c>
      <c r="H1694" t="s">
        <v>10623</v>
      </c>
      <c r="I1694" t="s">
        <v>11386</v>
      </c>
      <c r="J1694">
        <v>10040</v>
      </c>
      <c r="K1694" t="s">
        <v>11446</v>
      </c>
      <c r="N1694" t="s">
        <v>14782</v>
      </c>
      <c r="P1694" t="s">
        <v>14797</v>
      </c>
      <c r="Q1694" t="s">
        <v>11448</v>
      </c>
      <c r="S1694" t="s">
        <v>14827</v>
      </c>
      <c r="U1694" t="s">
        <v>495</v>
      </c>
      <c r="V1694">
        <v>833.99</v>
      </c>
      <c r="W1694" t="s">
        <v>14860</v>
      </c>
      <c r="X1694" t="s">
        <v>14868</v>
      </c>
      <c r="Z1694" t="s">
        <v>16405</v>
      </c>
      <c r="AB1694" t="s">
        <v>21455</v>
      </c>
      <c r="AC1694">
        <v>43</v>
      </c>
      <c r="AD1694" t="s">
        <v>24599</v>
      </c>
      <c r="AE1694" t="s">
        <v>11459</v>
      </c>
      <c r="AF1694">
        <v>33</v>
      </c>
      <c r="AG1694">
        <v>1</v>
      </c>
      <c r="AH1694">
        <v>0</v>
      </c>
      <c r="AI1694">
        <v>20.66</v>
      </c>
      <c r="AL1694" t="s">
        <v>24632</v>
      </c>
      <c r="AM1694">
        <v>2580</v>
      </c>
      <c r="AS1694">
        <v>1.5</v>
      </c>
      <c r="AT1694" t="s">
        <v>495</v>
      </c>
      <c r="AU1694" t="s">
        <v>137</v>
      </c>
      <c r="AV1694" t="s">
        <v>25335</v>
      </c>
      <c r="AW1694" t="s">
        <v>11447</v>
      </c>
    </row>
    <row r="1695" spans="1:49">
      <c r="A1695" s="1">
        <f>HYPERLINK("https://lsnyc.legalserver.org/matter/dynamic-profile/view/1915385","19-1915385")</f>
        <v>0</v>
      </c>
      <c r="B1695" t="s">
        <v>120</v>
      </c>
      <c r="C1695" t="s">
        <v>495</v>
      </c>
      <c r="E1695" t="s">
        <v>2026</v>
      </c>
      <c r="F1695" t="s">
        <v>1395</v>
      </c>
      <c r="G1695" t="s">
        <v>7559</v>
      </c>
      <c r="H1695" t="s">
        <v>10635</v>
      </c>
      <c r="I1695" t="s">
        <v>11385</v>
      </c>
      <c r="J1695">
        <v>11233</v>
      </c>
      <c r="K1695" t="s">
        <v>11446</v>
      </c>
      <c r="L1695" t="s">
        <v>12006</v>
      </c>
      <c r="M1695" t="s">
        <v>14744</v>
      </c>
      <c r="N1695" t="s">
        <v>14782</v>
      </c>
      <c r="P1695" t="s">
        <v>14797</v>
      </c>
      <c r="Q1695" t="s">
        <v>11448</v>
      </c>
      <c r="S1695" t="s">
        <v>14827</v>
      </c>
      <c r="U1695" t="s">
        <v>495</v>
      </c>
      <c r="V1695">
        <v>368</v>
      </c>
      <c r="W1695" t="s">
        <v>14859</v>
      </c>
      <c r="X1695" t="s">
        <v>14755</v>
      </c>
      <c r="Z1695" t="s">
        <v>16406</v>
      </c>
      <c r="AB1695" t="s">
        <v>21456</v>
      </c>
      <c r="AC1695">
        <v>0</v>
      </c>
      <c r="AD1695" t="s">
        <v>24603</v>
      </c>
      <c r="AE1695" t="s">
        <v>11459</v>
      </c>
      <c r="AF1695">
        <v>5</v>
      </c>
      <c r="AG1695">
        <v>1</v>
      </c>
      <c r="AH1695">
        <v>2</v>
      </c>
      <c r="AI1695">
        <v>23.65</v>
      </c>
      <c r="AL1695" t="s">
        <v>5011</v>
      </c>
      <c r="AM1695">
        <v>5044</v>
      </c>
      <c r="AS1695">
        <v>0</v>
      </c>
      <c r="AU1695" t="s">
        <v>120</v>
      </c>
      <c r="AV1695" t="s">
        <v>25335</v>
      </c>
      <c r="AW1695" t="s">
        <v>11447</v>
      </c>
    </row>
    <row r="1696" spans="1:49">
      <c r="A1696" s="1">
        <f>HYPERLINK("https://lsnyc.legalserver.org/matter/dynamic-profile/view/1904604","19-1904604")</f>
        <v>0</v>
      </c>
      <c r="B1696" t="s">
        <v>140</v>
      </c>
      <c r="C1696" t="s">
        <v>493</v>
      </c>
      <c r="E1696" t="s">
        <v>2027</v>
      </c>
      <c r="F1696" t="s">
        <v>4562</v>
      </c>
      <c r="G1696" t="s">
        <v>7560</v>
      </c>
      <c r="H1696">
        <v>7</v>
      </c>
      <c r="I1696" t="s">
        <v>11383</v>
      </c>
      <c r="J1696">
        <v>10460</v>
      </c>
      <c r="K1696" t="s">
        <v>11446</v>
      </c>
      <c r="L1696" t="s">
        <v>12007</v>
      </c>
      <c r="M1696" t="s">
        <v>14758</v>
      </c>
      <c r="N1696" t="s">
        <v>14781</v>
      </c>
      <c r="P1696" t="s">
        <v>14797</v>
      </c>
      <c r="Q1696" t="s">
        <v>11448</v>
      </c>
      <c r="S1696" t="s">
        <v>14827</v>
      </c>
      <c r="U1696" t="s">
        <v>495</v>
      </c>
      <c r="V1696">
        <v>0</v>
      </c>
      <c r="W1696" t="s">
        <v>14858</v>
      </c>
      <c r="X1696" t="s">
        <v>14868</v>
      </c>
      <c r="Z1696" t="s">
        <v>16407</v>
      </c>
      <c r="AA1696" t="s">
        <v>19463</v>
      </c>
      <c r="AB1696" t="s">
        <v>21457</v>
      </c>
      <c r="AC1696">
        <v>30</v>
      </c>
      <c r="AD1696" t="s">
        <v>24596</v>
      </c>
      <c r="AE1696" t="s">
        <v>24610</v>
      </c>
      <c r="AF1696">
        <v>0</v>
      </c>
      <c r="AG1696">
        <v>2</v>
      </c>
      <c r="AH1696">
        <v>1</v>
      </c>
      <c r="AI1696">
        <v>57.72</v>
      </c>
      <c r="AL1696" t="s">
        <v>5011</v>
      </c>
      <c r="AM1696">
        <v>12312</v>
      </c>
      <c r="AS1696">
        <v>0</v>
      </c>
      <c r="AU1696" t="s">
        <v>237</v>
      </c>
      <c r="AV1696" t="s">
        <v>25335</v>
      </c>
      <c r="AW1696" t="s">
        <v>11447</v>
      </c>
    </row>
    <row r="1697" spans="1:49">
      <c r="A1697" s="1">
        <f>HYPERLINK("https://lsnyc.legalserver.org/matter/dynamic-profile/view/1915411","19-1915411")</f>
        <v>0</v>
      </c>
      <c r="B1697" t="s">
        <v>170</v>
      </c>
      <c r="C1697" t="s">
        <v>495</v>
      </c>
      <c r="E1697" t="s">
        <v>1127</v>
      </c>
      <c r="F1697" t="s">
        <v>3623</v>
      </c>
      <c r="G1697" t="s">
        <v>7561</v>
      </c>
      <c r="H1697" t="s">
        <v>10838</v>
      </c>
      <c r="I1697" t="s">
        <v>11386</v>
      </c>
      <c r="J1697">
        <v>10029</v>
      </c>
      <c r="K1697" t="s">
        <v>11446</v>
      </c>
      <c r="M1697" t="s">
        <v>14762</v>
      </c>
      <c r="N1697" t="s">
        <v>14781</v>
      </c>
      <c r="P1697" t="s">
        <v>14797</v>
      </c>
      <c r="Q1697" t="s">
        <v>11446</v>
      </c>
      <c r="S1697" t="s">
        <v>14827</v>
      </c>
      <c r="T1697" t="s">
        <v>14832</v>
      </c>
      <c r="U1697" t="s">
        <v>495</v>
      </c>
      <c r="V1697">
        <v>1085</v>
      </c>
      <c r="W1697" t="s">
        <v>14860</v>
      </c>
      <c r="X1697" t="s">
        <v>14868</v>
      </c>
      <c r="Z1697" t="s">
        <v>16408</v>
      </c>
      <c r="AB1697" t="s">
        <v>19344</v>
      </c>
      <c r="AC1697">
        <v>10</v>
      </c>
      <c r="AD1697" t="s">
        <v>24595</v>
      </c>
      <c r="AE1697" t="s">
        <v>11459</v>
      </c>
      <c r="AF1697">
        <v>21</v>
      </c>
      <c r="AG1697">
        <v>4</v>
      </c>
      <c r="AH1697">
        <v>1</v>
      </c>
      <c r="AI1697">
        <v>68.94</v>
      </c>
      <c r="AL1697" t="s">
        <v>24632</v>
      </c>
      <c r="AM1697">
        <v>20800</v>
      </c>
      <c r="AS1697">
        <v>0</v>
      </c>
      <c r="AU1697" t="s">
        <v>25266</v>
      </c>
      <c r="AV1697" t="s">
        <v>25335</v>
      </c>
      <c r="AW1697" t="s">
        <v>11447</v>
      </c>
    </row>
    <row r="1698" spans="1:49">
      <c r="A1698" s="1">
        <f>HYPERLINK("https://lsnyc.legalserver.org/matter/dynamic-profile/view/1915418","19-1915418")</f>
        <v>0</v>
      </c>
      <c r="B1698" t="s">
        <v>170</v>
      </c>
      <c r="C1698" t="s">
        <v>495</v>
      </c>
      <c r="E1698" t="s">
        <v>1127</v>
      </c>
      <c r="F1698" t="s">
        <v>3623</v>
      </c>
      <c r="G1698" t="s">
        <v>7561</v>
      </c>
      <c r="H1698" t="s">
        <v>10838</v>
      </c>
      <c r="I1698" t="s">
        <v>11386</v>
      </c>
      <c r="J1698">
        <v>10029</v>
      </c>
      <c r="K1698" t="s">
        <v>11446</v>
      </c>
      <c r="M1698" t="s">
        <v>14762</v>
      </c>
      <c r="N1698" t="s">
        <v>14781</v>
      </c>
      <c r="P1698" t="s">
        <v>14797</v>
      </c>
      <c r="Q1698" t="s">
        <v>11446</v>
      </c>
      <c r="S1698" t="s">
        <v>14827</v>
      </c>
      <c r="U1698" t="s">
        <v>495</v>
      </c>
      <c r="V1698">
        <v>1085</v>
      </c>
      <c r="W1698" t="s">
        <v>14860</v>
      </c>
      <c r="X1698" t="s">
        <v>14868</v>
      </c>
      <c r="Z1698" t="s">
        <v>16408</v>
      </c>
      <c r="AB1698" t="s">
        <v>19344</v>
      </c>
      <c r="AC1698">
        <v>10</v>
      </c>
      <c r="AD1698" t="s">
        <v>24595</v>
      </c>
      <c r="AE1698" t="s">
        <v>11459</v>
      </c>
      <c r="AF1698">
        <v>21</v>
      </c>
      <c r="AG1698">
        <v>4</v>
      </c>
      <c r="AH1698">
        <v>1</v>
      </c>
      <c r="AI1698">
        <v>68.94</v>
      </c>
      <c r="AL1698" t="s">
        <v>24632</v>
      </c>
      <c r="AM1698">
        <v>20800</v>
      </c>
      <c r="AS1698">
        <v>0</v>
      </c>
      <c r="AU1698" t="s">
        <v>25266</v>
      </c>
      <c r="AV1698" t="s">
        <v>25335</v>
      </c>
      <c r="AW1698" t="s">
        <v>11447</v>
      </c>
    </row>
    <row r="1699" spans="1:49">
      <c r="A1699" s="1">
        <f>HYPERLINK("https://lsnyc.legalserver.org/matter/dynamic-profile/view/1915421","19-1915421")</f>
        <v>0</v>
      </c>
      <c r="B1699" t="s">
        <v>170</v>
      </c>
      <c r="C1699" t="s">
        <v>495</v>
      </c>
      <c r="E1699" t="s">
        <v>1127</v>
      </c>
      <c r="F1699" t="s">
        <v>3623</v>
      </c>
      <c r="G1699" t="s">
        <v>7561</v>
      </c>
      <c r="H1699" t="s">
        <v>10838</v>
      </c>
      <c r="I1699" t="s">
        <v>11386</v>
      </c>
      <c r="J1699">
        <v>10029</v>
      </c>
      <c r="K1699" t="s">
        <v>11446</v>
      </c>
      <c r="M1699" t="s">
        <v>14743</v>
      </c>
      <c r="N1699" t="s">
        <v>14779</v>
      </c>
      <c r="P1699" t="s">
        <v>14797</v>
      </c>
      <c r="Q1699" t="s">
        <v>11448</v>
      </c>
      <c r="S1699" t="s">
        <v>14827</v>
      </c>
      <c r="T1699" t="s">
        <v>14832</v>
      </c>
      <c r="U1699" t="s">
        <v>495</v>
      </c>
      <c r="V1699">
        <v>1085</v>
      </c>
      <c r="W1699" t="s">
        <v>14860</v>
      </c>
      <c r="X1699" t="s">
        <v>14868</v>
      </c>
      <c r="Z1699" t="s">
        <v>16408</v>
      </c>
      <c r="AB1699" t="s">
        <v>19344</v>
      </c>
      <c r="AC1699">
        <v>10</v>
      </c>
      <c r="AE1699" t="s">
        <v>11459</v>
      </c>
      <c r="AF1699">
        <v>21</v>
      </c>
      <c r="AG1699">
        <v>4</v>
      </c>
      <c r="AH1699">
        <v>1</v>
      </c>
      <c r="AI1699">
        <v>68.94</v>
      </c>
      <c r="AL1699" t="s">
        <v>24632</v>
      </c>
      <c r="AM1699">
        <v>20800</v>
      </c>
      <c r="AS1699">
        <v>0</v>
      </c>
      <c r="AU1699" t="s">
        <v>25266</v>
      </c>
      <c r="AV1699" t="s">
        <v>25335</v>
      </c>
      <c r="AW1699" t="s">
        <v>11447</v>
      </c>
    </row>
    <row r="1700" spans="1:49">
      <c r="A1700" s="1">
        <f>HYPERLINK("https://lsnyc.legalserver.org/matter/dynamic-profile/view/1915426","19-1915426")</f>
        <v>0</v>
      </c>
      <c r="B1700" t="s">
        <v>170</v>
      </c>
      <c r="C1700" t="s">
        <v>495</v>
      </c>
      <c r="E1700" t="s">
        <v>1972</v>
      </c>
      <c r="F1700" t="s">
        <v>3614</v>
      </c>
      <c r="G1700" t="s">
        <v>7495</v>
      </c>
      <c r="H1700">
        <v>411</v>
      </c>
      <c r="I1700" t="s">
        <v>11386</v>
      </c>
      <c r="J1700">
        <v>10029</v>
      </c>
      <c r="K1700" t="s">
        <v>11446</v>
      </c>
      <c r="M1700" t="s">
        <v>14746</v>
      </c>
      <c r="N1700" t="s">
        <v>14781</v>
      </c>
      <c r="P1700" t="s">
        <v>14797</v>
      </c>
      <c r="Q1700" t="s">
        <v>11446</v>
      </c>
      <c r="S1700" t="s">
        <v>14827</v>
      </c>
      <c r="T1700" t="s">
        <v>14832</v>
      </c>
      <c r="U1700" t="s">
        <v>495</v>
      </c>
      <c r="V1700">
        <v>138</v>
      </c>
      <c r="W1700" t="s">
        <v>14860</v>
      </c>
      <c r="X1700" t="s">
        <v>14868</v>
      </c>
      <c r="Z1700" t="s">
        <v>16303</v>
      </c>
      <c r="AC1700">
        <v>135</v>
      </c>
      <c r="AD1700" t="s">
        <v>24595</v>
      </c>
      <c r="AE1700" t="s">
        <v>24610</v>
      </c>
      <c r="AF1700">
        <v>36</v>
      </c>
      <c r="AG1700">
        <v>2</v>
      </c>
      <c r="AH1700">
        <v>0</v>
      </c>
      <c r="AI1700">
        <v>70.54000000000001</v>
      </c>
      <c r="AL1700" t="s">
        <v>24632</v>
      </c>
      <c r="AM1700">
        <v>11928</v>
      </c>
      <c r="AS1700">
        <v>0</v>
      </c>
      <c r="AU1700" t="s">
        <v>25266</v>
      </c>
      <c r="AV1700" t="s">
        <v>25335</v>
      </c>
      <c r="AW1700" t="s">
        <v>11447</v>
      </c>
    </row>
    <row r="1701" spans="1:49">
      <c r="A1701" s="1">
        <f>HYPERLINK("https://lsnyc.legalserver.org/matter/dynamic-profile/view/1915424","19-1915424")</f>
        <v>0</v>
      </c>
      <c r="B1701" t="s">
        <v>170</v>
      </c>
      <c r="C1701" t="s">
        <v>495</v>
      </c>
      <c r="E1701" t="s">
        <v>1972</v>
      </c>
      <c r="F1701" t="s">
        <v>3614</v>
      </c>
      <c r="G1701" t="s">
        <v>7495</v>
      </c>
      <c r="H1701">
        <v>411</v>
      </c>
      <c r="I1701" t="s">
        <v>11386</v>
      </c>
      <c r="J1701">
        <v>10029</v>
      </c>
      <c r="K1701" t="s">
        <v>11446</v>
      </c>
      <c r="M1701" t="s">
        <v>14744</v>
      </c>
      <c r="N1701" t="s">
        <v>14779</v>
      </c>
      <c r="P1701" t="s">
        <v>14797</v>
      </c>
      <c r="Q1701" t="s">
        <v>11448</v>
      </c>
      <c r="S1701" t="s">
        <v>14827</v>
      </c>
      <c r="T1701" t="s">
        <v>14832</v>
      </c>
      <c r="U1701" t="s">
        <v>495</v>
      </c>
      <c r="V1701">
        <v>138</v>
      </c>
      <c r="W1701" t="s">
        <v>14860</v>
      </c>
      <c r="X1701" t="s">
        <v>14868</v>
      </c>
      <c r="Z1701" t="s">
        <v>16303</v>
      </c>
      <c r="AC1701">
        <v>0</v>
      </c>
      <c r="AD1701" t="s">
        <v>24595</v>
      </c>
      <c r="AE1701" t="s">
        <v>24610</v>
      </c>
      <c r="AF1701">
        <v>36</v>
      </c>
      <c r="AG1701">
        <v>2</v>
      </c>
      <c r="AH1701">
        <v>0</v>
      </c>
      <c r="AI1701">
        <v>70.54000000000001</v>
      </c>
      <c r="AL1701" t="s">
        <v>24632</v>
      </c>
      <c r="AM1701">
        <v>11928</v>
      </c>
      <c r="AS1701">
        <v>0</v>
      </c>
      <c r="AU1701" t="s">
        <v>25266</v>
      </c>
      <c r="AV1701" t="s">
        <v>25335</v>
      </c>
      <c r="AW1701" t="s">
        <v>11447</v>
      </c>
    </row>
    <row r="1702" spans="1:49">
      <c r="A1702" s="1">
        <f>HYPERLINK("https://lsnyc.legalserver.org/matter/dynamic-profile/view/1915376","19-1915376")</f>
        <v>0</v>
      </c>
      <c r="B1702" t="s">
        <v>170</v>
      </c>
      <c r="C1702" t="s">
        <v>495</v>
      </c>
      <c r="E1702" t="s">
        <v>1032</v>
      </c>
      <c r="F1702" t="s">
        <v>4305</v>
      </c>
      <c r="G1702" t="s">
        <v>7523</v>
      </c>
      <c r="H1702" t="s">
        <v>10581</v>
      </c>
      <c r="I1702" t="s">
        <v>11386</v>
      </c>
      <c r="J1702">
        <v>10029</v>
      </c>
      <c r="K1702" t="s">
        <v>11446</v>
      </c>
      <c r="M1702" t="s">
        <v>11601</v>
      </c>
      <c r="N1702" t="s">
        <v>14779</v>
      </c>
      <c r="P1702" t="s">
        <v>14797</v>
      </c>
      <c r="Q1702" t="s">
        <v>11448</v>
      </c>
      <c r="S1702" t="s">
        <v>14827</v>
      </c>
      <c r="T1702" t="s">
        <v>14832</v>
      </c>
      <c r="U1702" t="s">
        <v>495</v>
      </c>
      <c r="V1702">
        <v>1500</v>
      </c>
      <c r="W1702" t="s">
        <v>14860</v>
      </c>
      <c r="X1702" t="s">
        <v>14755</v>
      </c>
      <c r="Z1702" t="s">
        <v>16352</v>
      </c>
      <c r="AB1702" t="s">
        <v>19344</v>
      </c>
      <c r="AC1702">
        <v>20</v>
      </c>
      <c r="AD1702" t="s">
        <v>24603</v>
      </c>
      <c r="AE1702" t="s">
        <v>24618</v>
      </c>
      <c r="AF1702">
        <v>6</v>
      </c>
      <c r="AG1702">
        <v>1</v>
      </c>
      <c r="AH1702">
        <v>0</v>
      </c>
      <c r="AI1702">
        <v>88.39</v>
      </c>
      <c r="AL1702" t="s">
        <v>5011</v>
      </c>
      <c r="AM1702">
        <v>11040</v>
      </c>
      <c r="AS1702">
        <v>0</v>
      </c>
      <c r="AU1702" t="s">
        <v>25266</v>
      </c>
      <c r="AV1702" t="s">
        <v>25335</v>
      </c>
      <c r="AW1702" t="s">
        <v>11447</v>
      </c>
    </row>
    <row r="1703" spans="1:49">
      <c r="A1703" s="1">
        <f>HYPERLINK("https://lsnyc.legalserver.org/matter/dynamic-profile/view/1915370","19-1915370")</f>
        <v>0</v>
      </c>
      <c r="B1703" t="s">
        <v>55</v>
      </c>
      <c r="C1703" t="s">
        <v>495</v>
      </c>
      <c r="E1703" t="s">
        <v>2028</v>
      </c>
      <c r="F1703" t="s">
        <v>4563</v>
      </c>
      <c r="G1703" t="s">
        <v>7562</v>
      </c>
      <c r="H1703" t="s">
        <v>10585</v>
      </c>
      <c r="I1703" t="s">
        <v>11383</v>
      </c>
      <c r="J1703">
        <v>10463</v>
      </c>
      <c r="K1703" t="s">
        <v>11446</v>
      </c>
      <c r="M1703" t="s">
        <v>14750</v>
      </c>
      <c r="N1703" t="s">
        <v>14782</v>
      </c>
      <c r="P1703" t="s">
        <v>14797</v>
      </c>
      <c r="Q1703" t="s">
        <v>11448</v>
      </c>
      <c r="S1703" t="s">
        <v>14827</v>
      </c>
      <c r="U1703" t="s">
        <v>495</v>
      </c>
      <c r="V1703">
        <v>399</v>
      </c>
      <c r="W1703" t="s">
        <v>14860</v>
      </c>
      <c r="X1703" t="s">
        <v>14877</v>
      </c>
      <c r="Z1703" t="s">
        <v>16409</v>
      </c>
      <c r="AB1703" t="s">
        <v>21458</v>
      </c>
      <c r="AC1703">
        <v>120</v>
      </c>
      <c r="AD1703" t="s">
        <v>24597</v>
      </c>
      <c r="AE1703" t="s">
        <v>11459</v>
      </c>
      <c r="AF1703">
        <v>51</v>
      </c>
      <c r="AG1703">
        <v>3</v>
      </c>
      <c r="AH1703">
        <v>1</v>
      </c>
      <c r="AI1703">
        <v>121.17</v>
      </c>
      <c r="AL1703" t="s">
        <v>5011</v>
      </c>
      <c r="AM1703">
        <v>31200</v>
      </c>
      <c r="AS1703">
        <v>1</v>
      </c>
      <c r="AT1703" t="s">
        <v>495</v>
      </c>
      <c r="AU1703" t="s">
        <v>137</v>
      </c>
      <c r="AV1703" t="s">
        <v>25335</v>
      </c>
      <c r="AW1703" t="s">
        <v>11447</v>
      </c>
    </row>
    <row r="1704" spans="1:49">
      <c r="A1704" s="1">
        <f>HYPERLINK("https://lsnyc.legalserver.org/matter/dynamic-profile/view/1915356","19-1915356")</f>
        <v>0</v>
      </c>
      <c r="B1704" t="s">
        <v>170</v>
      </c>
      <c r="C1704" t="s">
        <v>495</v>
      </c>
      <c r="E1704" t="s">
        <v>1025</v>
      </c>
      <c r="F1704" t="s">
        <v>4499</v>
      </c>
      <c r="G1704" t="s">
        <v>7496</v>
      </c>
      <c r="H1704">
        <v>610</v>
      </c>
      <c r="I1704" t="s">
        <v>11386</v>
      </c>
      <c r="J1704">
        <v>10029</v>
      </c>
      <c r="K1704" t="s">
        <v>11446</v>
      </c>
      <c r="M1704" t="s">
        <v>14746</v>
      </c>
      <c r="N1704" t="s">
        <v>14781</v>
      </c>
      <c r="P1704" t="s">
        <v>14797</v>
      </c>
      <c r="Q1704" t="s">
        <v>11446</v>
      </c>
      <c r="S1704" t="s">
        <v>14827</v>
      </c>
      <c r="T1704" t="s">
        <v>14832</v>
      </c>
      <c r="U1704" t="s">
        <v>495</v>
      </c>
      <c r="V1704">
        <v>713</v>
      </c>
      <c r="W1704" t="s">
        <v>14860</v>
      </c>
      <c r="X1704" t="s">
        <v>14868</v>
      </c>
      <c r="Z1704" t="s">
        <v>16305</v>
      </c>
      <c r="AC1704">
        <v>135</v>
      </c>
      <c r="AD1704" t="s">
        <v>24599</v>
      </c>
      <c r="AE1704" t="s">
        <v>11459</v>
      </c>
      <c r="AF1704">
        <v>36</v>
      </c>
      <c r="AG1704">
        <v>2</v>
      </c>
      <c r="AH1704">
        <v>2</v>
      </c>
      <c r="AI1704">
        <v>143.07</v>
      </c>
      <c r="AL1704" t="s">
        <v>24632</v>
      </c>
      <c r="AM1704">
        <v>36840</v>
      </c>
      <c r="AS1704">
        <v>0</v>
      </c>
      <c r="AU1704" t="s">
        <v>25266</v>
      </c>
      <c r="AV1704" t="s">
        <v>25335</v>
      </c>
      <c r="AW1704" t="s">
        <v>11447</v>
      </c>
    </row>
    <row r="1705" spans="1:49">
      <c r="A1705" s="1">
        <f>HYPERLINK("https://lsnyc.legalserver.org/matter/dynamic-profile/view/1914395","19-1914395")</f>
        <v>0</v>
      </c>
      <c r="B1705" t="s">
        <v>175</v>
      </c>
      <c r="C1705" t="s">
        <v>506</v>
      </c>
      <c r="E1705" t="s">
        <v>1025</v>
      </c>
      <c r="F1705" t="s">
        <v>4564</v>
      </c>
      <c r="G1705" t="s">
        <v>7143</v>
      </c>
      <c r="H1705">
        <v>2</v>
      </c>
      <c r="I1705" t="s">
        <v>11386</v>
      </c>
      <c r="J1705">
        <v>10034</v>
      </c>
      <c r="K1705" t="s">
        <v>11446</v>
      </c>
      <c r="N1705" t="s">
        <v>14781</v>
      </c>
      <c r="P1705" t="s">
        <v>14797</v>
      </c>
      <c r="Q1705" t="s">
        <v>11448</v>
      </c>
      <c r="S1705" t="s">
        <v>14827</v>
      </c>
      <c r="U1705" t="s">
        <v>495</v>
      </c>
      <c r="V1705">
        <v>312</v>
      </c>
      <c r="W1705" t="s">
        <v>14860</v>
      </c>
      <c r="X1705" t="s">
        <v>14868</v>
      </c>
      <c r="Z1705" t="s">
        <v>16410</v>
      </c>
      <c r="AB1705" t="s">
        <v>21459</v>
      </c>
      <c r="AC1705">
        <v>22</v>
      </c>
      <c r="AD1705" t="s">
        <v>24595</v>
      </c>
      <c r="AE1705" t="s">
        <v>24610</v>
      </c>
      <c r="AF1705">
        <v>39</v>
      </c>
      <c r="AG1705">
        <v>2</v>
      </c>
      <c r="AH1705">
        <v>0</v>
      </c>
      <c r="AI1705">
        <v>145.76</v>
      </c>
      <c r="AL1705" t="s">
        <v>5011</v>
      </c>
      <c r="AM1705">
        <v>24648</v>
      </c>
      <c r="AS1705">
        <v>1.5</v>
      </c>
      <c r="AT1705" t="s">
        <v>495</v>
      </c>
      <c r="AU1705" t="s">
        <v>137</v>
      </c>
      <c r="AV1705" t="s">
        <v>25335</v>
      </c>
      <c r="AW1705" t="s">
        <v>11447</v>
      </c>
    </row>
    <row r="1706" spans="1:49">
      <c r="A1706" s="1">
        <f>HYPERLINK("https://lsnyc.legalserver.org/matter/dynamic-profile/view/1915366","19-1915366")</f>
        <v>0</v>
      </c>
      <c r="B1706" t="s">
        <v>170</v>
      </c>
      <c r="C1706" t="s">
        <v>495</v>
      </c>
      <c r="E1706" t="s">
        <v>1316</v>
      </c>
      <c r="F1706" t="s">
        <v>4565</v>
      </c>
      <c r="G1706" t="s">
        <v>7561</v>
      </c>
      <c r="H1706" t="s">
        <v>10699</v>
      </c>
      <c r="I1706" t="s">
        <v>11386</v>
      </c>
      <c r="J1706">
        <v>10029</v>
      </c>
      <c r="K1706" t="s">
        <v>11446</v>
      </c>
      <c r="M1706" t="s">
        <v>14762</v>
      </c>
      <c r="N1706" t="s">
        <v>14781</v>
      </c>
      <c r="P1706" t="s">
        <v>14797</v>
      </c>
      <c r="Q1706" t="s">
        <v>11446</v>
      </c>
      <c r="S1706" t="s">
        <v>14827</v>
      </c>
      <c r="T1706" t="s">
        <v>14832</v>
      </c>
      <c r="U1706" t="s">
        <v>495</v>
      </c>
      <c r="V1706">
        <v>1160</v>
      </c>
      <c r="W1706" t="s">
        <v>14860</v>
      </c>
      <c r="X1706" t="s">
        <v>14868</v>
      </c>
      <c r="Z1706" t="s">
        <v>16411</v>
      </c>
      <c r="AB1706" t="s">
        <v>21460</v>
      </c>
      <c r="AC1706">
        <v>11</v>
      </c>
      <c r="AD1706" t="s">
        <v>24595</v>
      </c>
      <c r="AE1706" t="s">
        <v>11459</v>
      </c>
      <c r="AF1706">
        <v>22</v>
      </c>
      <c r="AG1706">
        <v>5</v>
      </c>
      <c r="AH1706">
        <v>0</v>
      </c>
      <c r="AI1706">
        <v>293.01</v>
      </c>
      <c r="AL1706" t="s">
        <v>5011</v>
      </c>
      <c r="AM1706">
        <v>88400</v>
      </c>
      <c r="AS1706">
        <v>0.25</v>
      </c>
      <c r="AT1706" t="s">
        <v>495</v>
      </c>
      <c r="AU1706" t="s">
        <v>25266</v>
      </c>
      <c r="AV1706" t="s">
        <v>25335</v>
      </c>
      <c r="AW1706" t="s">
        <v>11447</v>
      </c>
    </row>
    <row r="1707" spans="1:49">
      <c r="A1707" s="1">
        <f>HYPERLINK("https://lsnyc.legalserver.org/matter/dynamic-profile/view/1915481","19-1915481")</f>
        <v>0</v>
      </c>
      <c r="B1707" t="s">
        <v>172</v>
      </c>
      <c r="C1707" t="s">
        <v>654</v>
      </c>
      <c r="E1707" t="s">
        <v>1249</v>
      </c>
      <c r="F1707" t="s">
        <v>4566</v>
      </c>
      <c r="G1707" t="s">
        <v>7563</v>
      </c>
      <c r="H1707" t="s">
        <v>10703</v>
      </c>
      <c r="I1707" t="s">
        <v>11421</v>
      </c>
      <c r="J1707">
        <v>11427</v>
      </c>
      <c r="K1707" t="s">
        <v>11446</v>
      </c>
      <c r="N1707" t="s">
        <v>14782</v>
      </c>
      <c r="P1707" t="s">
        <v>14797</v>
      </c>
      <c r="Q1707" t="s">
        <v>11448</v>
      </c>
      <c r="S1707" t="s">
        <v>14827</v>
      </c>
      <c r="U1707" t="s">
        <v>654</v>
      </c>
      <c r="V1707">
        <v>800</v>
      </c>
      <c r="W1707" t="s">
        <v>14860</v>
      </c>
      <c r="X1707" t="s">
        <v>14876</v>
      </c>
      <c r="Z1707" t="s">
        <v>16412</v>
      </c>
      <c r="AB1707" t="s">
        <v>21461</v>
      </c>
      <c r="AC1707">
        <v>0</v>
      </c>
      <c r="AD1707" t="s">
        <v>24605</v>
      </c>
      <c r="AE1707" t="s">
        <v>11459</v>
      </c>
      <c r="AF1707">
        <v>4</v>
      </c>
      <c r="AG1707">
        <v>1</v>
      </c>
      <c r="AH1707">
        <v>0</v>
      </c>
      <c r="AI1707">
        <v>19.05</v>
      </c>
      <c r="AL1707" t="s">
        <v>24632</v>
      </c>
      <c r="AM1707">
        <v>2379</v>
      </c>
      <c r="AS1707">
        <v>0</v>
      </c>
      <c r="AU1707" t="s">
        <v>137</v>
      </c>
      <c r="AV1707" t="s">
        <v>25335</v>
      </c>
      <c r="AW1707" t="s">
        <v>11447</v>
      </c>
    </row>
    <row r="1708" spans="1:49">
      <c r="A1708" s="1">
        <f>HYPERLINK("https://lsnyc.legalserver.org/matter/dynamic-profile/view/1915469","19-1915469")</f>
        <v>0</v>
      </c>
      <c r="B1708" t="s">
        <v>104</v>
      </c>
      <c r="C1708" t="s">
        <v>654</v>
      </c>
      <c r="E1708" t="s">
        <v>2029</v>
      </c>
      <c r="F1708" t="s">
        <v>4567</v>
      </c>
      <c r="G1708" t="s">
        <v>7177</v>
      </c>
      <c r="H1708" t="s">
        <v>10522</v>
      </c>
      <c r="I1708" t="s">
        <v>11386</v>
      </c>
      <c r="J1708">
        <v>10034</v>
      </c>
      <c r="K1708" t="s">
        <v>11446</v>
      </c>
      <c r="L1708" t="s">
        <v>12008</v>
      </c>
      <c r="M1708" t="s">
        <v>14744</v>
      </c>
      <c r="N1708" t="s">
        <v>14781</v>
      </c>
      <c r="P1708" t="s">
        <v>14797</v>
      </c>
      <c r="Q1708" t="s">
        <v>11448</v>
      </c>
      <c r="S1708" t="s">
        <v>14827</v>
      </c>
      <c r="T1708" t="s">
        <v>14832</v>
      </c>
      <c r="U1708" t="s">
        <v>654</v>
      </c>
      <c r="V1708">
        <v>1300</v>
      </c>
      <c r="W1708" t="s">
        <v>14860</v>
      </c>
      <c r="X1708" t="s">
        <v>14868</v>
      </c>
      <c r="Z1708" t="s">
        <v>16413</v>
      </c>
      <c r="AB1708" t="s">
        <v>21462</v>
      </c>
      <c r="AC1708">
        <v>66</v>
      </c>
      <c r="AD1708" t="s">
        <v>24595</v>
      </c>
      <c r="AE1708" t="s">
        <v>11459</v>
      </c>
      <c r="AF1708">
        <v>3</v>
      </c>
      <c r="AG1708">
        <v>2</v>
      </c>
      <c r="AH1708">
        <v>0</v>
      </c>
      <c r="AI1708">
        <v>37.85</v>
      </c>
      <c r="AL1708" t="s">
        <v>5011</v>
      </c>
      <c r="AM1708">
        <v>6400</v>
      </c>
      <c r="AO1708" t="s">
        <v>24932</v>
      </c>
      <c r="AP1708" t="s">
        <v>24942</v>
      </c>
      <c r="AQ1708" t="s">
        <v>24986</v>
      </c>
      <c r="AR1708" t="s">
        <v>25037</v>
      </c>
      <c r="AS1708">
        <v>0.3</v>
      </c>
      <c r="AT1708" t="s">
        <v>654</v>
      </c>
      <c r="AU1708" t="s">
        <v>104</v>
      </c>
      <c r="AV1708" t="s">
        <v>25335</v>
      </c>
      <c r="AW1708" t="s">
        <v>11447</v>
      </c>
    </row>
    <row r="1709" spans="1:49">
      <c r="A1709" s="1">
        <f>HYPERLINK("https://lsnyc.legalserver.org/matter/dynamic-profile/view/1915483","19-1915483")</f>
        <v>0</v>
      </c>
      <c r="B1709" t="s">
        <v>172</v>
      </c>
      <c r="C1709" t="s">
        <v>654</v>
      </c>
      <c r="E1709" t="s">
        <v>1381</v>
      </c>
      <c r="F1709" t="s">
        <v>4568</v>
      </c>
      <c r="G1709" t="s">
        <v>7564</v>
      </c>
      <c r="H1709" t="s">
        <v>10484</v>
      </c>
      <c r="I1709" t="s">
        <v>11386</v>
      </c>
      <c r="J1709">
        <v>10002</v>
      </c>
      <c r="K1709" t="s">
        <v>11446</v>
      </c>
      <c r="N1709" t="s">
        <v>14782</v>
      </c>
      <c r="P1709" t="s">
        <v>14797</v>
      </c>
      <c r="Q1709" t="s">
        <v>11448</v>
      </c>
      <c r="S1709" t="s">
        <v>14827</v>
      </c>
      <c r="U1709" t="s">
        <v>654</v>
      </c>
      <c r="V1709">
        <v>0</v>
      </c>
      <c r="W1709" t="s">
        <v>14860</v>
      </c>
      <c r="X1709" t="s">
        <v>14876</v>
      </c>
      <c r="Z1709" t="s">
        <v>16414</v>
      </c>
      <c r="AC1709">
        <v>200</v>
      </c>
      <c r="AD1709" t="s">
        <v>11479</v>
      </c>
      <c r="AE1709" t="s">
        <v>24610</v>
      </c>
      <c r="AF1709">
        <v>40</v>
      </c>
      <c r="AG1709">
        <v>3</v>
      </c>
      <c r="AH1709">
        <v>0</v>
      </c>
      <c r="AI1709">
        <v>39.38</v>
      </c>
      <c r="AL1709" t="s">
        <v>5011</v>
      </c>
      <c r="AM1709">
        <v>8400</v>
      </c>
      <c r="AS1709">
        <v>0</v>
      </c>
      <c r="AU1709" t="s">
        <v>137</v>
      </c>
      <c r="AV1709" t="s">
        <v>25335</v>
      </c>
      <c r="AW1709" t="s">
        <v>11447</v>
      </c>
    </row>
    <row r="1710" spans="1:49">
      <c r="A1710" s="1">
        <f>HYPERLINK("https://lsnyc.legalserver.org/matter/dynamic-profile/view/1915454","19-1915454")</f>
        <v>0</v>
      </c>
      <c r="B1710" t="s">
        <v>172</v>
      </c>
      <c r="C1710" t="s">
        <v>654</v>
      </c>
      <c r="E1710" t="s">
        <v>1602</v>
      </c>
      <c r="F1710" t="s">
        <v>3769</v>
      </c>
      <c r="G1710" t="s">
        <v>7554</v>
      </c>
      <c r="H1710" t="s">
        <v>10523</v>
      </c>
      <c r="I1710" t="s">
        <v>11386</v>
      </c>
      <c r="J1710">
        <v>10002</v>
      </c>
      <c r="K1710" t="s">
        <v>11446</v>
      </c>
      <c r="M1710" t="s">
        <v>11601</v>
      </c>
      <c r="N1710" t="s">
        <v>14782</v>
      </c>
      <c r="P1710" t="s">
        <v>14797</v>
      </c>
      <c r="Q1710" t="s">
        <v>11448</v>
      </c>
      <c r="S1710" t="s">
        <v>14827</v>
      </c>
      <c r="U1710" t="s">
        <v>654</v>
      </c>
      <c r="V1710">
        <v>311.6</v>
      </c>
      <c r="W1710" t="s">
        <v>14860</v>
      </c>
      <c r="X1710" t="s">
        <v>14876</v>
      </c>
      <c r="Z1710" t="s">
        <v>16415</v>
      </c>
      <c r="AB1710" t="s">
        <v>21463</v>
      </c>
      <c r="AC1710">
        <v>141</v>
      </c>
      <c r="AD1710" t="s">
        <v>24595</v>
      </c>
      <c r="AE1710" t="s">
        <v>11459</v>
      </c>
      <c r="AF1710">
        <v>12</v>
      </c>
      <c r="AG1710">
        <v>1</v>
      </c>
      <c r="AH1710">
        <v>0</v>
      </c>
      <c r="AI1710">
        <v>96.27</v>
      </c>
      <c r="AL1710" t="s">
        <v>24632</v>
      </c>
      <c r="AM1710">
        <v>12024</v>
      </c>
      <c r="AS1710">
        <v>0</v>
      </c>
      <c r="AU1710" t="s">
        <v>137</v>
      </c>
      <c r="AV1710" t="s">
        <v>25335</v>
      </c>
      <c r="AW1710" t="s">
        <v>11447</v>
      </c>
    </row>
    <row r="1711" spans="1:49">
      <c r="A1711" s="1">
        <f>HYPERLINK("https://lsnyc.legalserver.org/matter/dynamic-profile/view/1915456","19-1915456")</f>
        <v>0</v>
      </c>
      <c r="B1711" t="s">
        <v>172</v>
      </c>
      <c r="C1711" t="s">
        <v>654</v>
      </c>
      <c r="E1711" t="s">
        <v>2030</v>
      </c>
      <c r="F1711" t="s">
        <v>3699</v>
      </c>
      <c r="G1711" t="s">
        <v>7565</v>
      </c>
      <c r="H1711" t="s">
        <v>10594</v>
      </c>
      <c r="I1711" t="s">
        <v>11386</v>
      </c>
      <c r="J1711">
        <v>10002</v>
      </c>
      <c r="K1711" t="s">
        <v>11446</v>
      </c>
      <c r="M1711" t="s">
        <v>14761</v>
      </c>
      <c r="N1711" t="s">
        <v>14782</v>
      </c>
      <c r="P1711" t="s">
        <v>14797</v>
      </c>
      <c r="Q1711" t="s">
        <v>11448</v>
      </c>
      <c r="S1711" t="s">
        <v>14827</v>
      </c>
      <c r="U1711" t="s">
        <v>654</v>
      </c>
      <c r="V1711">
        <v>477</v>
      </c>
      <c r="W1711" t="s">
        <v>14860</v>
      </c>
      <c r="X1711" t="s">
        <v>14876</v>
      </c>
      <c r="Z1711" t="s">
        <v>16416</v>
      </c>
      <c r="AB1711" t="s">
        <v>21464</v>
      </c>
      <c r="AC1711">
        <v>200</v>
      </c>
      <c r="AD1711" t="s">
        <v>24597</v>
      </c>
      <c r="AE1711" t="s">
        <v>11459</v>
      </c>
      <c r="AF1711">
        <v>10</v>
      </c>
      <c r="AG1711">
        <v>1</v>
      </c>
      <c r="AH1711">
        <v>1</v>
      </c>
      <c r="AI1711">
        <v>110.7</v>
      </c>
      <c r="AL1711" t="s">
        <v>5011</v>
      </c>
      <c r="AM1711">
        <v>18720</v>
      </c>
      <c r="AS1711">
        <v>0</v>
      </c>
      <c r="AU1711" t="s">
        <v>137</v>
      </c>
      <c r="AV1711" t="s">
        <v>25335</v>
      </c>
      <c r="AW1711" t="s">
        <v>11447</v>
      </c>
    </row>
    <row r="1712" spans="1:49">
      <c r="A1712" s="1">
        <f>HYPERLINK("https://lsnyc.legalserver.org/matter/dynamic-profile/view/1915479","19-1915479")</f>
        <v>0</v>
      </c>
      <c r="B1712" t="s">
        <v>172</v>
      </c>
      <c r="C1712" t="s">
        <v>654</v>
      </c>
      <c r="E1712" t="s">
        <v>2031</v>
      </c>
      <c r="F1712" t="s">
        <v>4569</v>
      </c>
      <c r="G1712" t="s">
        <v>7566</v>
      </c>
      <c r="H1712" t="s">
        <v>10509</v>
      </c>
      <c r="I1712" t="s">
        <v>11424</v>
      </c>
      <c r="J1712">
        <v>11372</v>
      </c>
      <c r="K1712" t="s">
        <v>11446</v>
      </c>
      <c r="N1712" t="s">
        <v>14782</v>
      </c>
      <c r="P1712" t="s">
        <v>14797</v>
      </c>
      <c r="Q1712" t="s">
        <v>11448</v>
      </c>
      <c r="S1712" t="s">
        <v>14827</v>
      </c>
      <c r="U1712" t="s">
        <v>654</v>
      </c>
      <c r="V1712">
        <v>1300</v>
      </c>
      <c r="W1712" t="s">
        <v>14860</v>
      </c>
      <c r="X1712" t="s">
        <v>14876</v>
      </c>
      <c r="Z1712" t="s">
        <v>14998</v>
      </c>
      <c r="AB1712" t="s">
        <v>21465</v>
      </c>
      <c r="AC1712">
        <v>0</v>
      </c>
      <c r="AD1712" t="s">
        <v>24600</v>
      </c>
      <c r="AE1712" t="s">
        <v>11459</v>
      </c>
      <c r="AF1712">
        <v>0</v>
      </c>
      <c r="AG1712">
        <v>1</v>
      </c>
      <c r="AH1712">
        <v>0</v>
      </c>
      <c r="AI1712">
        <v>166.53</v>
      </c>
      <c r="AL1712" t="s">
        <v>24650</v>
      </c>
      <c r="AM1712">
        <v>20800</v>
      </c>
      <c r="AS1712">
        <v>0</v>
      </c>
      <c r="AU1712" t="s">
        <v>137</v>
      </c>
      <c r="AV1712" t="s">
        <v>25335</v>
      </c>
      <c r="AW1712" t="s">
        <v>11447</v>
      </c>
    </row>
    <row r="1713" spans="1:49">
      <c r="A1713" s="1">
        <f>HYPERLINK("https://lsnyc.legalserver.org/matter/dynamic-profile/view/1913589","19-1913589")</f>
        <v>0</v>
      </c>
      <c r="B1713" t="s">
        <v>187</v>
      </c>
      <c r="C1713" t="s">
        <v>477</v>
      </c>
      <c r="E1713" t="s">
        <v>1804</v>
      </c>
      <c r="F1713" t="s">
        <v>4314</v>
      </c>
      <c r="G1713" t="s">
        <v>7294</v>
      </c>
      <c r="H1713" t="s">
        <v>10481</v>
      </c>
      <c r="I1713" t="s">
        <v>11385</v>
      </c>
      <c r="J1713">
        <v>11238</v>
      </c>
      <c r="K1713" t="s">
        <v>11446</v>
      </c>
      <c r="M1713" t="s">
        <v>14762</v>
      </c>
      <c r="N1713" t="s">
        <v>14783</v>
      </c>
      <c r="P1713" t="s">
        <v>14797</v>
      </c>
      <c r="Q1713" t="s">
        <v>11446</v>
      </c>
      <c r="S1713" t="s">
        <v>14827</v>
      </c>
      <c r="T1713" t="s">
        <v>14832</v>
      </c>
      <c r="U1713" t="s">
        <v>14846</v>
      </c>
      <c r="V1713">
        <v>0</v>
      </c>
      <c r="W1713" t="s">
        <v>14859</v>
      </c>
      <c r="X1713" t="s">
        <v>14868</v>
      </c>
      <c r="Z1713" t="s">
        <v>15991</v>
      </c>
      <c r="AA1713" t="s">
        <v>19412</v>
      </c>
      <c r="AB1713" t="s">
        <v>21078</v>
      </c>
      <c r="AC1713">
        <v>16</v>
      </c>
      <c r="AD1713" t="s">
        <v>24595</v>
      </c>
      <c r="AE1713" t="s">
        <v>24616</v>
      </c>
      <c r="AF1713">
        <v>0</v>
      </c>
      <c r="AG1713">
        <v>1</v>
      </c>
      <c r="AH1713">
        <v>1</v>
      </c>
      <c r="AI1713">
        <v>40.73</v>
      </c>
      <c r="AL1713" t="s">
        <v>5011</v>
      </c>
      <c r="AM1713">
        <v>6888</v>
      </c>
      <c r="AN1713" t="s">
        <v>24783</v>
      </c>
      <c r="AS1713">
        <v>0</v>
      </c>
      <c r="AU1713" t="s">
        <v>120</v>
      </c>
      <c r="AV1713" t="s">
        <v>25335</v>
      </c>
      <c r="AW1713" t="s">
        <v>11447</v>
      </c>
    </row>
    <row r="1714" spans="1:49">
      <c r="A1714" s="1">
        <f>HYPERLINK("https://lsnyc.legalserver.org/matter/dynamic-profile/view/1913594","19-1913594")</f>
        <v>0</v>
      </c>
      <c r="B1714" t="s">
        <v>187</v>
      </c>
      <c r="C1714" t="s">
        <v>477</v>
      </c>
      <c r="E1714" t="s">
        <v>1804</v>
      </c>
      <c r="F1714" t="s">
        <v>4314</v>
      </c>
      <c r="G1714" t="s">
        <v>7294</v>
      </c>
      <c r="H1714" t="s">
        <v>10481</v>
      </c>
      <c r="I1714" t="s">
        <v>11385</v>
      </c>
      <c r="J1714">
        <v>11238</v>
      </c>
      <c r="K1714" t="s">
        <v>11446</v>
      </c>
      <c r="M1714" t="s">
        <v>14746</v>
      </c>
      <c r="N1714" t="s">
        <v>14781</v>
      </c>
      <c r="P1714" t="s">
        <v>14797</v>
      </c>
      <c r="Q1714" t="s">
        <v>11446</v>
      </c>
      <c r="S1714" t="s">
        <v>14827</v>
      </c>
      <c r="T1714" t="s">
        <v>14832</v>
      </c>
      <c r="U1714" t="s">
        <v>14846</v>
      </c>
      <c r="V1714">
        <v>0</v>
      </c>
      <c r="W1714" t="s">
        <v>14859</v>
      </c>
      <c r="X1714" t="s">
        <v>14868</v>
      </c>
      <c r="Z1714" t="s">
        <v>15991</v>
      </c>
      <c r="AA1714" t="s">
        <v>19412</v>
      </c>
      <c r="AB1714" t="s">
        <v>21078</v>
      </c>
      <c r="AC1714">
        <v>16</v>
      </c>
      <c r="AD1714" t="s">
        <v>24595</v>
      </c>
      <c r="AE1714" t="s">
        <v>24616</v>
      </c>
      <c r="AF1714">
        <v>0</v>
      </c>
      <c r="AG1714">
        <v>1</v>
      </c>
      <c r="AH1714">
        <v>1</v>
      </c>
      <c r="AI1714">
        <v>40.73</v>
      </c>
      <c r="AL1714" t="s">
        <v>5011</v>
      </c>
      <c r="AM1714">
        <v>6888</v>
      </c>
      <c r="AN1714" t="s">
        <v>24784</v>
      </c>
      <c r="AS1714">
        <v>0</v>
      </c>
      <c r="AU1714" t="s">
        <v>120</v>
      </c>
      <c r="AV1714" t="s">
        <v>25335</v>
      </c>
      <c r="AW1714" t="s">
        <v>11447</v>
      </c>
    </row>
    <row r="1715" spans="1:49">
      <c r="A1715" s="1">
        <f>HYPERLINK("https://lsnyc.legalserver.org/matter/dynamic-profile/view/1914702","19-1914702")</f>
        <v>0</v>
      </c>
      <c r="B1715" t="s">
        <v>224</v>
      </c>
      <c r="C1715" t="s">
        <v>491</v>
      </c>
      <c r="E1715" t="s">
        <v>1973</v>
      </c>
      <c r="F1715" t="s">
        <v>1839</v>
      </c>
      <c r="G1715" t="s">
        <v>7365</v>
      </c>
      <c r="H1715">
        <v>41</v>
      </c>
      <c r="I1715" t="s">
        <v>11385</v>
      </c>
      <c r="J1715">
        <v>11213</v>
      </c>
      <c r="K1715" t="s">
        <v>11446</v>
      </c>
      <c r="L1715" t="s">
        <v>11707</v>
      </c>
      <c r="M1715" t="s">
        <v>14763</v>
      </c>
      <c r="N1715" t="s">
        <v>14781</v>
      </c>
      <c r="P1715" t="s">
        <v>14797</v>
      </c>
      <c r="Q1715" t="s">
        <v>11446</v>
      </c>
      <c r="S1715" t="s">
        <v>14827</v>
      </c>
      <c r="T1715" t="s">
        <v>14832</v>
      </c>
      <c r="U1715" t="s">
        <v>14846</v>
      </c>
      <c r="V1715">
        <v>739.64</v>
      </c>
      <c r="W1715" t="s">
        <v>14859</v>
      </c>
      <c r="X1715" t="s">
        <v>14876</v>
      </c>
      <c r="Z1715" t="s">
        <v>16304</v>
      </c>
      <c r="AA1715">
        <v>109154905</v>
      </c>
      <c r="AB1715" t="s">
        <v>21373</v>
      </c>
      <c r="AC1715">
        <v>31</v>
      </c>
      <c r="AD1715" t="s">
        <v>24595</v>
      </c>
      <c r="AE1715" t="s">
        <v>11459</v>
      </c>
      <c r="AF1715">
        <v>35</v>
      </c>
      <c r="AG1715">
        <v>2</v>
      </c>
      <c r="AH1715">
        <v>0</v>
      </c>
      <c r="AI1715">
        <v>80.76000000000001</v>
      </c>
      <c r="AL1715" t="s">
        <v>5011</v>
      </c>
      <c r="AM1715">
        <v>13656</v>
      </c>
      <c r="AS1715">
        <v>0</v>
      </c>
      <c r="AU1715" t="s">
        <v>66</v>
      </c>
      <c r="AV1715" t="s">
        <v>25335</v>
      </c>
      <c r="AW1715" t="s">
        <v>11447</v>
      </c>
    </row>
    <row r="1716" spans="1:49">
      <c r="A1716" s="1">
        <f>HYPERLINK("https://lsnyc.legalserver.org/matter/dynamic-profile/view/1914921","19-1914921")</f>
        <v>0</v>
      </c>
      <c r="B1716" t="s">
        <v>224</v>
      </c>
      <c r="C1716" t="s">
        <v>537</v>
      </c>
      <c r="E1716" t="s">
        <v>1965</v>
      </c>
      <c r="F1716" t="s">
        <v>4493</v>
      </c>
      <c r="G1716" t="s">
        <v>7365</v>
      </c>
      <c r="H1716">
        <v>42</v>
      </c>
      <c r="I1716" t="s">
        <v>11385</v>
      </c>
      <c r="J1716">
        <v>11213</v>
      </c>
      <c r="K1716" t="s">
        <v>11446</v>
      </c>
      <c r="L1716" t="s">
        <v>12009</v>
      </c>
      <c r="M1716" t="s">
        <v>14763</v>
      </c>
      <c r="N1716" t="s">
        <v>14781</v>
      </c>
      <c r="P1716" t="s">
        <v>14797</v>
      </c>
      <c r="Q1716" t="s">
        <v>11446</v>
      </c>
      <c r="S1716" t="s">
        <v>14827</v>
      </c>
      <c r="T1716" t="s">
        <v>14832</v>
      </c>
      <c r="U1716" t="s">
        <v>14846</v>
      </c>
      <c r="V1716">
        <v>950</v>
      </c>
      <c r="W1716" t="s">
        <v>14859</v>
      </c>
      <c r="X1716" t="s">
        <v>14864</v>
      </c>
      <c r="Z1716" t="s">
        <v>16293</v>
      </c>
      <c r="AA1716" t="s">
        <v>11459</v>
      </c>
      <c r="AB1716" t="s">
        <v>21364</v>
      </c>
      <c r="AC1716">
        <v>31</v>
      </c>
      <c r="AD1716" t="s">
        <v>24595</v>
      </c>
      <c r="AE1716" t="s">
        <v>11459</v>
      </c>
      <c r="AF1716">
        <v>18</v>
      </c>
      <c r="AG1716">
        <v>3</v>
      </c>
      <c r="AH1716">
        <v>1</v>
      </c>
      <c r="AI1716">
        <v>100.97</v>
      </c>
      <c r="AL1716" t="s">
        <v>5011</v>
      </c>
      <c r="AM1716">
        <v>26000</v>
      </c>
      <c r="AS1716">
        <v>0</v>
      </c>
      <c r="AU1716" t="s">
        <v>66</v>
      </c>
      <c r="AV1716" t="s">
        <v>25335</v>
      </c>
      <c r="AW1716" t="s">
        <v>11447</v>
      </c>
    </row>
    <row r="1717" spans="1:49">
      <c r="A1717" s="1">
        <f>HYPERLINK("https://lsnyc.legalserver.org/matter/dynamic-profile/view/1914793","19-1914793")</f>
        <v>0</v>
      </c>
      <c r="B1717" t="s">
        <v>224</v>
      </c>
      <c r="C1717" t="s">
        <v>592</v>
      </c>
      <c r="E1717" t="s">
        <v>1966</v>
      </c>
      <c r="F1717" t="s">
        <v>4494</v>
      </c>
      <c r="G1717" t="s">
        <v>7365</v>
      </c>
      <c r="H1717">
        <v>34</v>
      </c>
      <c r="I1717" t="s">
        <v>11385</v>
      </c>
      <c r="J1717">
        <v>11213</v>
      </c>
      <c r="K1717" t="s">
        <v>11446</v>
      </c>
      <c r="L1717" t="s">
        <v>12009</v>
      </c>
      <c r="M1717" t="s">
        <v>14763</v>
      </c>
      <c r="N1717" t="s">
        <v>14781</v>
      </c>
      <c r="P1717" t="s">
        <v>14797</v>
      </c>
      <c r="Q1717" t="s">
        <v>11446</v>
      </c>
      <c r="S1717" t="s">
        <v>14827</v>
      </c>
      <c r="T1717" t="s">
        <v>14832</v>
      </c>
      <c r="U1717" t="s">
        <v>14846</v>
      </c>
      <c r="V1717">
        <v>881.67</v>
      </c>
      <c r="W1717" t="s">
        <v>14859</v>
      </c>
      <c r="X1717" t="s">
        <v>14864</v>
      </c>
      <c r="Z1717" t="s">
        <v>16294</v>
      </c>
      <c r="AA1717" t="s">
        <v>11459</v>
      </c>
      <c r="AB1717" t="s">
        <v>21365</v>
      </c>
      <c r="AC1717">
        <v>31</v>
      </c>
      <c r="AD1717" t="s">
        <v>24595</v>
      </c>
      <c r="AE1717" t="s">
        <v>11459</v>
      </c>
      <c r="AF1717">
        <v>17</v>
      </c>
      <c r="AG1717">
        <v>2</v>
      </c>
      <c r="AH1717">
        <v>2</v>
      </c>
      <c r="AI1717">
        <v>124.75</v>
      </c>
      <c r="AL1717" t="s">
        <v>5011</v>
      </c>
      <c r="AM1717">
        <v>32124</v>
      </c>
      <c r="AS1717">
        <v>0</v>
      </c>
      <c r="AU1717" t="s">
        <v>66</v>
      </c>
      <c r="AV1717" t="s">
        <v>25335</v>
      </c>
      <c r="AW1717" t="s">
        <v>11447</v>
      </c>
    </row>
    <row r="1718" spans="1:49">
      <c r="A1718" s="1">
        <f>HYPERLINK("https://lsnyc.legalserver.org/matter/dynamic-profile/view/1914786","19-1914786")</f>
        <v>0</v>
      </c>
      <c r="B1718" t="s">
        <v>224</v>
      </c>
      <c r="C1718" t="s">
        <v>592</v>
      </c>
      <c r="E1718" t="s">
        <v>1867</v>
      </c>
      <c r="F1718" t="s">
        <v>4390</v>
      </c>
      <c r="G1718" t="s">
        <v>7365</v>
      </c>
      <c r="H1718">
        <v>37</v>
      </c>
      <c r="I1718" t="s">
        <v>11385</v>
      </c>
      <c r="J1718">
        <v>11213</v>
      </c>
      <c r="K1718" t="s">
        <v>11446</v>
      </c>
      <c r="L1718" t="s">
        <v>11707</v>
      </c>
      <c r="M1718" t="s">
        <v>14763</v>
      </c>
      <c r="N1718" t="s">
        <v>14781</v>
      </c>
      <c r="P1718" t="s">
        <v>14797</v>
      </c>
      <c r="Q1718" t="s">
        <v>11446</v>
      </c>
      <c r="S1718" t="s">
        <v>14827</v>
      </c>
      <c r="T1718" t="s">
        <v>14832</v>
      </c>
      <c r="U1718" t="s">
        <v>14846</v>
      </c>
      <c r="V1718">
        <v>798.41</v>
      </c>
      <c r="W1718" t="s">
        <v>14859</v>
      </c>
      <c r="X1718" t="s">
        <v>14755</v>
      </c>
      <c r="Z1718" t="s">
        <v>16105</v>
      </c>
      <c r="AA1718" t="s">
        <v>11459</v>
      </c>
      <c r="AB1718" t="s">
        <v>21188</v>
      </c>
      <c r="AC1718">
        <v>31</v>
      </c>
      <c r="AD1718" t="s">
        <v>24595</v>
      </c>
      <c r="AE1718" t="s">
        <v>24613</v>
      </c>
      <c r="AF1718">
        <v>41</v>
      </c>
      <c r="AG1718">
        <v>2</v>
      </c>
      <c r="AH1718">
        <v>0</v>
      </c>
      <c r="AI1718">
        <v>146.08</v>
      </c>
      <c r="AL1718" t="s">
        <v>5011</v>
      </c>
      <c r="AM1718">
        <v>24702</v>
      </c>
      <c r="AS1718">
        <v>0</v>
      </c>
      <c r="AU1718" t="s">
        <v>66</v>
      </c>
      <c r="AV1718" t="s">
        <v>25335</v>
      </c>
      <c r="AW1718" t="s">
        <v>11447</v>
      </c>
    </row>
    <row r="1719" spans="1:49">
      <c r="A1719" s="1">
        <f>HYPERLINK("https://lsnyc.legalserver.org/matter/dynamic-profile/view/1914905","19-1914905")</f>
        <v>0</v>
      </c>
      <c r="B1719" t="s">
        <v>224</v>
      </c>
      <c r="C1719" t="s">
        <v>537</v>
      </c>
      <c r="E1719" t="s">
        <v>1968</v>
      </c>
      <c r="F1719" t="s">
        <v>4496</v>
      </c>
      <c r="G1719" t="s">
        <v>7491</v>
      </c>
      <c r="H1719">
        <v>6</v>
      </c>
      <c r="I1719" t="s">
        <v>11385</v>
      </c>
      <c r="J1719">
        <v>11213</v>
      </c>
      <c r="K1719" t="s">
        <v>11446</v>
      </c>
      <c r="L1719" t="s">
        <v>12009</v>
      </c>
      <c r="M1719" t="s">
        <v>14763</v>
      </c>
      <c r="N1719" t="s">
        <v>14781</v>
      </c>
      <c r="P1719" t="s">
        <v>14797</v>
      </c>
      <c r="Q1719" t="s">
        <v>11446</v>
      </c>
      <c r="S1719" t="s">
        <v>14827</v>
      </c>
      <c r="T1719" t="s">
        <v>14832</v>
      </c>
      <c r="U1719" t="s">
        <v>14846</v>
      </c>
      <c r="V1719">
        <v>998.03</v>
      </c>
      <c r="W1719" t="s">
        <v>14859</v>
      </c>
      <c r="X1719" t="s">
        <v>14864</v>
      </c>
      <c r="Z1719" t="s">
        <v>16297</v>
      </c>
      <c r="AA1719" t="s">
        <v>11465</v>
      </c>
      <c r="AB1719" t="s">
        <v>21368</v>
      </c>
      <c r="AC1719">
        <v>31</v>
      </c>
      <c r="AD1719" t="s">
        <v>24595</v>
      </c>
      <c r="AE1719" t="s">
        <v>11459</v>
      </c>
      <c r="AF1719">
        <v>15</v>
      </c>
      <c r="AG1719">
        <v>3</v>
      </c>
      <c r="AH1719">
        <v>0</v>
      </c>
      <c r="AI1719">
        <v>173.28</v>
      </c>
      <c r="AL1719" t="s">
        <v>24646</v>
      </c>
      <c r="AM1719">
        <v>36960</v>
      </c>
      <c r="AS1719">
        <v>0</v>
      </c>
      <c r="AU1719" t="s">
        <v>66</v>
      </c>
      <c r="AV1719" t="s">
        <v>25335</v>
      </c>
      <c r="AW1719" t="s">
        <v>11447</v>
      </c>
    </row>
    <row r="1720" spans="1:49">
      <c r="A1720" s="1">
        <f>HYPERLINK("https://lsnyc.legalserver.org/matter/dynamic-profile/view/1913628","19-1913628")</f>
        <v>0</v>
      </c>
      <c r="B1720" t="s">
        <v>187</v>
      </c>
      <c r="C1720" t="s">
        <v>477</v>
      </c>
      <c r="E1720" t="s">
        <v>1081</v>
      </c>
      <c r="F1720" t="s">
        <v>3901</v>
      </c>
      <c r="G1720" t="s">
        <v>7294</v>
      </c>
      <c r="H1720" t="s">
        <v>10460</v>
      </c>
      <c r="I1720" t="s">
        <v>11385</v>
      </c>
      <c r="J1720">
        <v>11238</v>
      </c>
      <c r="K1720" t="s">
        <v>11446</v>
      </c>
      <c r="M1720" t="s">
        <v>14762</v>
      </c>
      <c r="N1720" t="s">
        <v>14783</v>
      </c>
      <c r="P1720" t="s">
        <v>14797</v>
      </c>
      <c r="Q1720" t="s">
        <v>11446</v>
      </c>
      <c r="S1720" t="s">
        <v>14827</v>
      </c>
      <c r="T1720" t="s">
        <v>14832</v>
      </c>
      <c r="U1720" t="s">
        <v>14846</v>
      </c>
      <c r="V1720">
        <v>983.4400000000001</v>
      </c>
      <c r="W1720" t="s">
        <v>14859</v>
      </c>
      <c r="X1720" t="s">
        <v>14755</v>
      </c>
      <c r="Z1720" t="s">
        <v>16302</v>
      </c>
      <c r="AA1720" t="s">
        <v>11459</v>
      </c>
      <c r="AB1720" t="s">
        <v>21372</v>
      </c>
      <c r="AC1720">
        <v>16</v>
      </c>
      <c r="AD1720" t="s">
        <v>24595</v>
      </c>
      <c r="AE1720" t="s">
        <v>11459</v>
      </c>
      <c r="AF1720">
        <v>13</v>
      </c>
      <c r="AG1720">
        <v>2</v>
      </c>
      <c r="AH1720">
        <v>2</v>
      </c>
      <c r="AI1720">
        <v>182.52</v>
      </c>
      <c r="AL1720" t="s">
        <v>5011</v>
      </c>
      <c r="AM1720">
        <v>47000</v>
      </c>
      <c r="AN1720" t="s">
        <v>24783</v>
      </c>
      <c r="AS1720">
        <v>0</v>
      </c>
      <c r="AU1720" t="s">
        <v>120</v>
      </c>
      <c r="AV1720" t="s">
        <v>25335</v>
      </c>
      <c r="AW1720" t="s">
        <v>11447</v>
      </c>
    </row>
    <row r="1721" spans="1:49">
      <c r="A1721" s="1">
        <f>HYPERLINK("https://lsnyc.legalserver.org/matter/dynamic-profile/view/1914799","19-1914799")</f>
        <v>0</v>
      </c>
      <c r="B1721" t="s">
        <v>224</v>
      </c>
      <c r="C1721" t="s">
        <v>592</v>
      </c>
      <c r="E1721" t="s">
        <v>2032</v>
      </c>
      <c r="F1721" t="s">
        <v>4070</v>
      </c>
      <c r="G1721" t="s">
        <v>7365</v>
      </c>
      <c r="H1721">
        <v>7</v>
      </c>
      <c r="I1721" t="s">
        <v>11385</v>
      </c>
      <c r="J1721">
        <v>11213</v>
      </c>
      <c r="K1721" t="s">
        <v>11446</v>
      </c>
      <c r="L1721" t="s">
        <v>12009</v>
      </c>
      <c r="M1721" t="s">
        <v>14763</v>
      </c>
      <c r="N1721" t="s">
        <v>14781</v>
      </c>
      <c r="P1721" t="s">
        <v>14797</v>
      </c>
      <c r="Q1721" t="s">
        <v>11446</v>
      </c>
      <c r="S1721" t="s">
        <v>14827</v>
      </c>
      <c r="T1721" t="s">
        <v>14832</v>
      </c>
      <c r="U1721" t="s">
        <v>14846</v>
      </c>
      <c r="V1721">
        <v>931.36</v>
      </c>
      <c r="W1721" t="s">
        <v>14859</v>
      </c>
      <c r="X1721" t="s">
        <v>14864</v>
      </c>
      <c r="Z1721" t="s">
        <v>16417</v>
      </c>
      <c r="AA1721" t="s">
        <v>11459</v>
      </c>
      <c r="AC1721">
        <v>31</v>
      </c>
      <c r="AD1721" t="s">
        <v>24595</v>
      </c>
      <c r="AE1721" t="s">
        <v>11459</v>
      </c>
      <c r="AF1721">
        <v>35</v>
      </c>
      <c r="AG1721">
        <v>2</v>
      </c>
      <c r="AH1721">
        <v>0</v>
      </c>
      <c r="AI1721">
        <v>189.24</v>
      </c>
      <c r="AL1721" t="s">
        <v>5011</v>
      </c>
      <c r="AM1721">
        <v>32000</v>
      </c>
      <c r="AS1721">
        <v>0</v>
      </c>
      <c r="AU1721" t="s">
        <v>66</v>
      </c>
      <c r="AV1721" t="s">
        <v>25335</v>
      </c>
      <c r="AW1721" t="s">
        <v>11447</v>
      </c>
    </row>
    <row r="1722" spans="1:49">
      <c r="A1722" s="1">
        <f>HYPERLINK("https://lsnyc.legalserver.org/matter/dynamic-profile/view/1913635","19-1913635")</f>
        <v>0</v>
      </c>
      <c r="B1722" t="s">
        <v>187</v>
      </c>
      <c r="C1722" t="s">
        <v>477</v>
      </c>
      <c r="E1722" t="s">
        <v>1081</v>
      </c>
      <c r="F1722" t="s">
        <v>3901</v>
      </c>
      <c r="G1722" t="s">
        <v>7294</v>
      </c>
      <c r="H1722" t="s">
        <v>10460</v>
      </c>
      <c r="I1722" t="s">
        <v>11385</v>
      </c>
      <c r="J1722">
        <v>11238</v>
      </c>
      <c r="K1722" t="s">
        <v>11446</v>
      </c>
      <c r="M1722" t="s">
        <v>14746</v>
      </c>
      <c r="N1722" t="s">
        <v>14781</v>
      </c>
      <c r="P1722" t="s">
        <v>14797</v>
      </c>
      <c r="Q1722" t="s">
        <v>11446</v>
      </c>
      <c r="S1722" t="s">
        <v>14827</v>
      </c>
      <c r="T1722" t="s">
        <v>14832</v>
      </c>
      <c r="U1722" t="s">
        <v>14846</v>
      </c>
      <c r="V1722">
        <v>983.4400000000001</v>
      </c>
      <c r="W1722" t="s">
        <v>14859</v>
      </c>
      <c r="X1722" t="s">
        <v>14755</v>
      </c>
      <c r="Z1722" t="s">
        <v>16302</v>
      </c>
      <c r="AA1722" t="s">
        <v>11459</v>
      </c>
      <c r="AB1722" t="s">
        <v>21372</v>
      </c>
      <c r="AC1722">
        <v>16</v>
      </c>
      <c r="AD1722" t="s">
        <v>24595</v>
      </c>
      <c r="AE1722" t="s">
        <v>11459</v>
      </c>
      <c r="AF1722">
        <v>13</v>
      </c>
      <c r="AG1722">
        <v>2</v>
      </c>
      <c r="AH1722">
        <v>2</v>
      </c>
      <c r="AI1722">
        <v>205.59</v>
      </c>
      <c r="AL1722" t="s">
        <v>5011</v>
      </c>
      <c r="AM1722">
        <v>52940</v>
      </c>
      <c r="AN1722" t="s">
        <v>24784</v>
      </c>
      <c r="AS1722">
        <v>0</v>
      </c>
      <c r="AU1722" t="s">
        <v>120</v>
      </c>
      <c r="AV1722" t="s">
        <v>25335</v>
      </c>
      <c r="AW1722" t="s">
        <v>11447</v>
      </c>
    </row>
    <row r="1723" spans="1:49">
      <c r="A1723" s="1">
        <f>HYPERLINK("https://lsnyc.legalserver.org/matter/dynamic-profile/view/1914809","19-1914809")</f>
        <v>0</v>
      </c>
      <c r="B1723" t="s">
        <v>224</v>
      </c>
      <c r="C1723" t="s">
        <v>592</v>
      </c>
      <c r="E1723" t="s">
        <v>1852</v>
      </c>
      <c r="F1723" t="s">
        <v>1048</v>
      </c>
      <c r="G1723" t="s">
        <v>7365</v>
      </c>
      <c r="H1723">
        <v>25</v>
      </c>
      <c r="I1723" t="s">
        <v>11385</v>
      </c>
      <c r="J1723">
        <v>11213</v>
      </c>
      <c r="K1723" t="s">
        <v>11446</v>
      </c>
      <c r="L1723" t="s">
        <v>12009</v>
      </c>
      <c r="M1723" t="s">
        <v>14763</v>
      </c>
      <c r="N1723" t="s">
        <v>14781</v>
      </c>
      <c r="P1723" t="s">
        <v>14797</v>
      </c>
      <c r="Q1723" t="s">
        <v>11446</v>
      </c>
      <c r="S1723" t="s">
        <v>14827</v>
      </c>
      <c r="T1723" t="s">
        <v>14832</v>
      </c>
      <c r="U1723" t="s">
        <v>14846</v>
      </c>
      <c r="V1723">
        <v>1103.14</v>
      </c>
      <c r="W1723" t="s">
        <v>14859</v>
      </c>
      <c r="X1723" t="s">
        <v>14876</v>
      </c>
      <c r="Z1723" t="s">
        <v>16320</v>
      </c>
      <c r="AA1723" t="s">
        <v>11465</v>
      </c>
      <c r="AB1723" t="s">
        <v>21387</v>
      </c>
      <c r="AC1723">
        <v>0</v>
      </c>
      <c r="AD1723" t="s">
        <v>24595</v>
      </c>
      <c r="AE1723" t="s">
        <v>11459</v>
      </c>
      <c r="AF1723">
        <v>26</v>
      </c>
      <c r="AG1723">
        <v>1</v>
      </c>
      <c r="AH1723">
        <v>0</v>
      </c>
      <c r="AI1723">
        <v>230.58</v>
      </c>
      <c r="AK1723" t="s">
        <v>24629</v>
      </c>
      <c r="AL1723" t="s">
        <v>5011</v>
      </c>
      <c r="AM1723">
        <v>28800</v>
      </c>
      <c r="AN1723" t="s">
        <v>24785</v>
      </c>
      <c r="AS1723">
        <v>0</v>
      </c>
      <c r="AU1723" t="s">
        <v>66</v>
      </c>
      <c r="AV1723" t="s">
        <v>25335</v>
      </c>
      <c r="AW1723" t="s">
        <v>11447</v>
      </c>
    </row>
    <row r="1724" spans="1:49">
      <c r="A1724" s="1">
        <f>HYPERLINK("https://lsnyc.legalserver.org/matter/dynamic-profile/view/1914898","19-1914898")</f>
        <v>0</v>
      </c>
      <c r="B1724" t="s">
        <v>224</v>
      </c>
      <c r="C1724" t="s">
        <v>537</v>
      </c>
      <c r="E1724" t="s">
        <v>1954</v>
      </c>
      <c r="F1724" t="s">
        <v>2951</v>
      </c>
      <c r="G1724" t="s">
        <v>7365</v>
      </c>
      <c r="H1724">
        <v>4</v>
      </c>
      <c r="I1724" t="s">
        <v>11385</v>
      </c>
      <c r="J1724">
        <v>11213</v>
      </c>
      <c r="K1724" t="s">
        <v>11446</v>
      </c>
      <c r="L1724" t="s">
        <v>11707</v>
      </c>
      <c r="M1724" t="s">
        <v>14763</v>
      </c>
      <c r="N1724" t="s">
        <v>14781</v>
      </c>
      <c r="P1724" t="s">
        <v>14797</v>
      </c>
      <c r="Q1724" t="s">
        <v>11446</v>
      </c>
      <c r="S1724" t="s">
        <v>14827</v>
      </c>
      <c r="T1724" t="s">
        <v>14832</v>
      </c>
      <c r="U1724" t="s">
        <v>14846</v>
      </c>
      <c r="V1724">
        <v>993</v>
      </c>
      <c r="W1724" t="s">
        <v>14859</v>
      </c>
      <c r="X1724" t="s">
        <v>14876</v>
      </c>
      <c r="Z1724" t="s">
        <v>16271</v>
      </c>
      <c r="AA1724" t="s">
        <v>11465</v>
      </c>
      <c r="AB1724" t="s">
        <v>21345</v>
      </c>
      <c r="AC1724">
        <v>31</v>
      </c>
      <c r="AD1724" t="s">
        <v>24595</v>
      </c>
      <c r="AE1724" t="s">
        <v>11459</v>
      </c>
      <c r="AF1724">
        <v>20</v>
      </c>
      <c r="AG1724">
        <v>3</v>
      </c>
      <c r="AH1724">
        <v>0</v>
      </c>
      <c r="AI1724">
        <v>267.23</v>
      </c>
      <c r="AK1724" t="s">
        <v>24629</v>
      </c>
      <c r="AL1724" t="s">
        <v>5011</v>
      </c>
      <c r="AM1724">
        <v>57000</v>
      </c>
      <c r="AN1724" t="s">
        <v>24785</v>
      </c>
      <c r="AS1724">
        <v>0</v>
      </c>
      <c r="AU1724" t="s">
        <v>66</v>
      </c>
      <c r="AV1724" t="s">
        <v>25335</v>
      </c>
      <c r="AW1724" t="s">
        <v>11447</v>
      </c>
    </row>
    <row r="1725" spans="1:49">
      <c r="A1725" s="1">
        <f>HYPERLINK("https://lsnyc.legalserver.org/matter/dynamic-profile/view/1913294","19-1913294")</f>
        <v>0</v>
      </c>
      <c r="B1725" t="s">
        <v>211</v>
      </c>
      <c r="C1725" t="s">
        <v>515</v>
      </c>
      <c r="E1725" t="s">
        <v>2033</v>
      </c>
      <c r="F1725" t="s">
        <v>4570</v>
      </c>
      <c r="G1725" t="s">
        <v>7365</v>
      </c>
      <c r="H1725">
        <v>27</v>
      </c>
      <c r="I1725" t="s">
        <v>11385</v>
      </c>
      <c r="J1725">
        <v>11213</v>
      </c>
      <c r="K1725" t="s">
        <v>11446</v>
      </c>
      <c r="M1725" t="s">
        <v>14763</v>
      </c>
      <c r="N1725" t="s">
        <v>14781</v>
      </c>
      <c r="P1725" t="s">
        <v>14797</v>
      </c>
      <c r="Q1725" t="s">
        <v>11446</v>
      </c>
      <c r="S1725" t="s">
        <v>14827</v>
      </c>
      <c r="T1725" t="s">
        <v>14832</v>
      </c>
      <c r="U1725" t="s">
        <v>14846</v>
      </c>
      <c r="V1725">
        <v>861.2</v>
      </c>
      <c r="W1725" t="s">
        <v>14859</v>
      </c>
      <c r="X1725" t="s">
        <v>14864</v>
      </c>
      <c r="Z1725" t="s">
        <v>16418</v>
      </c>
      <c r="AA1725" t="s">
        <v>11459</v>
      </c>
      <c r="AB1725" t="s">
        <v>21466</v>
      </c>
      <c r="AC1725">
        <v>31</v>
      </c>
      <c r="AD1725" t="s">
        <v>24595</v>
      </c>
      <c r="AE1725" t="s">
        <v>11459</v>
      </c>
      <c r="AF1725">
        <v>34</v>
      </c>
      <c r="AG1725">
        <v>2</v>
      </c>
      <c r="AH1725">
        <v>0</v>
      </c>
      <c r="AI1725">
        <v>359.55</v>
      </c>
      <c r="AL1725" t="s">
        <v>5011</v>
      </c>
      <c r="AM1725">
        <v>60800</v>
      </c>
      <c r="AN1725" t="s">
        <v>24786</v>
      </c>
      <c r="AS1725">
        <v>70.2</v>
      </c>
      <c r="AT1725" t="s">
        <v>495</v>
      </c>
      <c r="AU1725" t="s">
        <v>66</v>
      </c>
      <c r="AV1725" t="s">
        <v>25335</v>
      </c>
      <c r="AW1725" t="s">
        <v>11447</v>
      </c>
    </row>
    <row r="1726" spans="1:49">
      <c r="A1726" s="1">
        <f>HYPERLINK("https://lsnyc.legalserver.org/matter/dynamic-profile/view/1914790","19-1914790")</f>
        <v>0</v>
      </c>
      <c r="B1726" t="s">
        <v>224</v>
      </c>
      <c r="C1726" t="s">
        <v>592</v>
      </c>
      <c r="E1726" t="s">
        <v>2033</v>
      </c>
      <c r="F1726" t="s">
        <v>4570</v>
      </c>
      <c r="G1726" t="s">
        <v>7365</v>
      </c>
      <c r="H1726">
        <v>27</v>
      </c>
      <c r="I1726" t="s">
        <v>11385</v>
      </c>
      <c r="J1726">
        <v>11213</v>
      </c>
      <c r="K1726" t="s">
        <v>11446</v>
      </c>
      <c r="L1726" t="s">
        <v>12009</v>
      </c>
      <c r="M1726" t="s">
        <v>14763</v>
      </c>
      <c r="N1726" t="s">
        <v>14781</v>
      </c>
      <c r="P1726" t="s">
        <v>14797</v>
      </c>
      <c r="Q1726" t="s">
        <v>11446</v>
      </c>
      <c r="S1726" t="s">
        <v>14827</v>
      </c>
      <c r="T1726" t="s">
        <v>14832</v>
      </c>
      <c r="U1726" t="s">
        <v>14846</v>
      </c>
      <c r="V1726">
        <v>861.2</v>
      </c>
      <c r="W1726" t="s">
        <v>14859</v>
      </c>
      <c r="X1726" t="s">
        <v>14864</v>
      </c>
      <c r="Z1726" t="s">
        <v>16418</v>
      </c>
      <c r="AA1726" t="s">
        <v>11465</v>
      </c>
      <c r="AB1726" t="s">
        <v>21466</v>
      </c>
      <c r="AC1726">
        <v>31</v>
      </c>
      <c r="AD1726" t="s">
        <v>24595</v>
      </c>
      <c r="AE1726" t="s">
        <v>11459</v>
      </c>
      <c r="AF1726">
        <v>34</v>
      </c>
      <c r="AG1726">
        <v>2</v>
      </c>
      <c r="AH1726">
        <v>0</v>
      </c>
      <c r="AI1726">
        <v>359.55</v>
      </c>
      <c r="AK1726" t="s">
        <v>24629</v>
      </c>
      <c r="AL1726" t="s">
        <v>5011</v>
      </c>
      <c r="AM1726">
        <v>60800</v>
      </c>
      <c r="AN1726" t="s">
        <v>24787</v>
      </c>
      <c r="AS1726">
        <v>0</v>
      </c>
      <c r="AU1726" t="s">
        <v>66</v>
      </c>
      <c r="AV1726" t="s">
        <v>25335</v>
      </c>
      <c r="AW1726" t="s">
        <v>11447</v>
      </c>
    </row>
    <row r="1727" spans="1:49">
      <c r="A1727" s="1">
        <f>HYPERLINK("https://lsnyc.legalserver.org/matter/dynamic-profile/view/1914797","19-1914797")</f>
        <v>0</v>
      </c>
      <c r="B1727" t="s">
        <v>224</v>
      </c>
      <c r="C1727" t="s">
        <v>592</v>
      </c>
      <c r="E1727" t="s">
        <v>2002</v>
      </c>
      <c r="F1727" t="s">
        <v>3621</v>
      </c>
      <c r="G1727" t="s">
        <v>7365</v>
      </c>
      <c r="H1727">
        <v>28</v>
      </c>
      <c r="I1727" t="s">
        <v>11385</v>
      </c>
      <c r="J1727">
        <v>11213</v>
      </c>
      <c r="K1727" t="s">
        <v>11446</v>
      </c>
      <c r="L1727" t="s">
        <v>12009</v>
      </c>
      <c r="M1727" t="s">
        <v>14763</v>
      </c>
      <c r="N1727" t="s">
        <v>14781</v>
      </c>
      <c r="P1727" t="s">
        <v>14797</v>
      </c>
      <c r="Q1727" t="s">
        <v>11446</v>
      </c>
      <c r="S1727" t="s">
        <v>14827</v>
      </c>
      <c r="T1727" t="s">
        <v>14832</v>
      </c>
      <c r="U1727" t="s">
        <v>14846</v>
      </c>
      <c r="V1727">
        <v>1326</v>
      </c>
      <c r="W1727" t="s">
        <v>14859</v>
      </c>
      <c r="X1727" t="s">
        <v>14864</v>
      </c>
      <c r="Z1727" t="s">
        <v>16356</v>
      </c>
      <c r="AA1727" t="s">
        <v>19458</v>
      </c>
      <c r="AB1727" t="s">
        <v>21416</v>
      </c>
      <c r="AC1727">
        <v>31</v>
      </c>
      <c r="AD1727" t="s">
        <v>24595</v>
      </c>
      <c r="AE1727" t="s">
        <v>11459</v>
      </c>
      <c r="AF1727">
        <v>2</v>
      </c>
      <c r="AG1727">
        <v>2</v>
      </c>
      <c r="AH1727">
        <v>0</v>
      </c>
      <c r="AI1727">
        <v>372.56</v>
      </c>
      <c r="AK1727" t="s">
        <v>24629</v>
      </c>
      <c r="AL1727" t="s">
        <v>5011</v>
      </c>
      <c r="AM1727">
        <v>63000</v>
      </c>
      <c r="AN1727" t="s">
        <v>24785</v>
      </c>
      <c r="AS1727">
        <v>0</v>
      </c>
      <c r="AU1727" t="s">
        <v>66</v>
      </c>
      <c r="AV1727" t="s">
        <v>25335</v>
      </c>
      <c r="AW1727" t="s">
        <v>11447</v>
      </c>
    </row>
    <row r="1728" spans="1:49">
      <c r="A1728" s="1">
        <f>HYPERLINK("https://lsnyc.legalserver.org/matter/dynamic-profile/view/1913598","19-1913598")</f>
        <v>0</v>
      </c>
      <c r="B1728" t="s">
        <v>187</v>
      </c>
      <c r="C1728" t="s">
        <v>477</v>
      </c>
      <c r="E1728" t="s">
        <v>1359</v>
      </c>
      <c r="F1728" t="s">
        <v>4443</v>
      </c>
      <c r="G1728" t="s">
        <v>7294</v>
      </c>
      <c r="H1728" t="s">
        <v>10467</v>
      </c>
      <c r="I1728" t="s">
        <v>11385</v>
      </c>
      <c r="J1728">
        <v>11238</v>
      </c>
      <c r="K1728" t="s">
        <v>11446</v>
      </c>
      <c r="M1728" t="s">
        <v>14762</v>
      </c>
      <c r="N1728" t="s">
        <v>14783</v>
      </c>
      <c r="P1728" t="s">
        <v>14797</v>
      </c>
      <c r="Q1728" t="s">
        <v>11446</v>
      </c>
      <c r="S1728" t="s">
        <v>14827</v>
      </c>
      <c r="T1728" t="s">
        <v>14832</v>
      </c>
      <c r="U1728" t="s">
        <v>14846</v>
      </c>
      <c r="V1728">
        <v>1048.29</v>
      </c>
      <c r="W1728" t="s">
        <v>14859</v>
      </c>
      <c r="X1728" t="s">
        <v>14755</v>
      </c>
      <c r="Z1728" t="s">
        <v>16205</v>
      </c>
      <c r="AA1728" t="s">
        <v>11459</v>
      </c>
      <c r="AB1728" t="s">
        <v>21278</v>
      </c>
      <c r="AC1728">
        <v>16</v>
      </c>
      <c r="AD1728" t="s">
        <v>24595</v>
      </c>
      <c r="AE1728" t="s">
        <v>11459</v>
      </c>
      <c r="AF1728">
        <v>0</v>
      </c>
      <c r="AG1728">
        <v>2</v>
      </c>
      <c r="AH1728">
        <v>0</v>
      </c>
      <c r="AI1728">
        <v>4967.47</v>
      </c>
      <c r="AL1728" t="s">
        <v>5011</v>
      </c>
      <c r="AM1728">
        <v>840000</v>
      </c>
      <c r="AS1728">
        <v>0</v>
      </c>
      <c r="AU1728" t="s">
        <v>120</v>
      </c>
      <c r="AV1728" t="s">
        <v>25335</v>
      </c>
      <c r="AW1728" t="s">
        <v>11447</v>
      </c>
    </row>
    <row r="1729" spans="1:49">
      <c r="A1729" s="1">
        <f>HYPERLINK("https://lsnyc.legalserver.org/matter/dynamic-profile/view/1906678","19-1906678")</f>
        <v>0</v>
      </c>
      <c r="B1729" t="s">
        <v>222</v>
      </c>
      <c r="C1729" t="s">
        <v>373</v>
      </c>
      <c r="E1729" t="s">
        <v>1754</v>
      </c>
      <c r="F1729" t="s">
        <v>4254</v>
      </c>
      <c r="G1729" t="s">
        <v>7223</v>
      </c>
      <c r="H1729" t="s">
        <v>10581</v>
      </c>
      <c r="I1729" t="s">
        <v>11385</v>
      </c>
      <c r="J1729">
        <v>11225</v>
      </c>
      <c r="K1729" t="s">
        <v>11446</v>
      </c>
      <c r="N1729" t="s">
        <v>14783</v>
      </c>
      <c r="P1729" t="s">
        <v>14797</v>
      </c>
      <c r="Q1729" t="s">
        <v>11446</v>
      </c>
      <c r="R1729" t="s">
        <v>14820</v>
      </c>
      <c r="S1729" t="s">
        <v>14827</v>
      </c>
      <c r="U1729" t="s">
        <v>14847</v>
      </c>
      <c r="V1729">
        <v>1639.25</v>
      </c>
      <c r="W1729" t="s">
        <v>14859</v>
      </c>
      <c r="Z1729" t="s">
        <v>15894</v>
      </c>
      <c r="AB1729" t="s">
        <v>20984</v>
      </c>
      <c r="AC1729">
        <v>0</v>
      </c>
      <c r="AF1729">
        <v>7</v>
      </c>
      <c r="AG1729">
        <v>2</v>
      </c>
      <c r="AH1729">
        <v>0</v>
      </c>
      <c r="AI1729">
        <v>473.09</v>
      </c>
      <c r="AL1729" t="s">
        <v>5011</v>
      </c>
      <c r="AM1729">
        <v>80000</v>
      </c>
      <c r="AS1729">
        <v>0.1</v>
      </c>
      <c r="AT1729" t="s">
        <v>458</v>
      </c>
      <c r="AU1729" t="s">
        <v>75</v>
      </c>
      <c r="AV1729" t="s">
        <v>25335</v>
      </c>
      <c r="AW1729" t="s">
        <v>11447</v>
      </c>
    </row>
    <row r="1730" spans="1:49">
      <c r="A1730" s="1">
        <f>HYPERLINK("https://lsnyc.legalserver.org/matter/dynamic-profile/view/1890394","18-1890394")</f>
        <v>0</v>
      </c>
      <c r="B1730" t="s">
        <v>126</v>
      </c>
      <c r="C1730" t="s">
        <v>352</v>
      </c>
      <c r="E1730" t="s">
        <v>2034</v>
      </c>
      <c r="F1730" t="s">
        <v>4571</v>
      </c>
      <c r="G1730" t="s">
        <v>7567</v>
      </c>
      <c r="H1730" t="s">
        <v>10451</v>
      </c>
      <c r="I1730" t="s">
        <v>11383</v>
      </c>
      <c r="J1730">
        <v>10453</v>
      </c>
      <c r="K1730" t="s">
        <v>11446</v>
      </c>
      <c r="M1730" t="s">
        <v>11601</v>
      </c>
      <c r="N1730" t="s">
        <v>14780</v>
      </c>
      <c r="P1730" t="s">
        <v>14797</v>
      </c>
      <c r="Q1730" t="s">
        <v>11446</v>
      </c>
      <c r="S1730" t="s">
        <v>14827</v>
      </c>
      <c r="U1730" t="s">
        <v>14848</v>
      </c>
      <c r="V1730">
        <v>187</v>
      </c>
      <c r="W1730" t="s">
        <v>14858</v>
      </c>
      <c r="X1730" t="s">
        <v>14864</v>
      </c>
      <c r="Z1730" t="s">
        <v>16419</v>
      </c>
      <c r="AB1730" t="s">
        <v>21467</v>
      </c>
      <c r="AC1730">
        <v>44</v>
      </c>
      <c r="AD1730" t="s">
        <v>24595</v>
      </c>
      <c r="AE1730" t="s">
        <v>24610</v>
      </c>
      <c r="AF1730">
        <v>25</v>
      </c>
      <c r="AG1730">
        <v>1</v>
      </c>
      <c r="AH1730">
        <v>0</v>
      </c>
      <c r="AI1730">
        <v>63.95</v>
      </c>
      <c r="AL1730" t="s">
        <v>24632</v>
      </c>
      <c r="AM1730">
        <v>7764</v>
      </c>
      <c r="AS1730">
        <v>0</v>
      </c>
      <c r="AU1730" t="s">
        <v>237</v>
      </c>
      <c r="AW1730" t="s">
        <v>11446</v>
      </c>
    </row>
    <row r="1731" spans="1:49">
      <c r="A1731" s="1">
        <f>HYPERLINK("https://lsnyc.legalserver.org/matter/dynamic-profile/view/1911885","19-1911885")</f>
        <v>0</v>
      </c>
      <c r="B1731" t="s">
        <v>144</v>
      </c>
      <c r="C1731" t="s">
        <v>645</v>
      </c>
      <c r="E1731" t="s">
        <v>1557</v>
      </c>
      <c r="F1731" t="s">
        <v>4572</v>
      </c>
      <c r="G1731" t="s">
        <v>7568</v>
      </c>
      <c r="H1731" t="s">
        <v>10863</v>
      </c>
      <c r="I1731" t="s">
        <v>11394</v>
      </c>
      <c r="J1731">
        <v>11694</v>
      </c>
      <c r="K1731" t="s">
        <v>11446</v>
      </c>
      <c r="L1731" t="s">
        <v>12010</v>
      </c>
      <c r="M1731" t="s">
        <v>14744</v>
      </c>
      <c r="N1731" t="s">
        <v>14781</v>
      </c>
      <c r="P1731" t="s">
        <v>14797</v>
      </c>
      <c r="Q1731" t="s">
        <v>11448</v>
      </c>
      <c r="S1731" t="s">
        <v>14827</v>
      </c>
      <c r="T1731" t="s">
        <v>14832</v>
      </c>
      <c r="U1731" t="s">
        <v>14849</v>
      </c>
      <c r="V1731">
        <v>1025</v>
      </c>
      <c r="W1731" t="s">
        <v>14861</v>
      </c>
      <c r="X1731" t="s">
        <v>14865</v>
      </c>
      <c r="Z1731" t="s">
        <v>16420</v>
      </c>
      <c r="AB1731" t="s">
        <v>21468</v>
      </c>
      <c r="AC1731">
        <v>0</v>
      </c>
      <c r="AD1731" t="s">
        <v>11479</v>
      </c>
      <c r="AE1731" t="s">
        <v>11459</v>
      </c>
      <c r="AF1731">
        <v>16</v>
      </c>
      <c r="AG1731">
        <v>1</v>
      </c>
      <c r="AH1731">
        <v>0</v>
      </c>
      <c r="AI1731">
        <v>196.77</v>
      </c>
      <c r="AL1731" t="s">
        <v>5011</v>
      </c>
      <c r="AM1731">
        <v>24576</v>
      </c>
      <c r="AS1731">
        <v>7.88</v>
      </c>
      <c r="AT1731" t="s">
        <v>509</v>
      </c>
      <c r="AU1731" t="s">
        <v>25233</v>
      </c>
      <c r="AV1731" t="s">
        <v>25335</v>
      </c>
      <c r="AW1731" t="s">
        <v>11447</v>
      </c>
    </row>
    <row r="1732" spans="1:49">
      <c r="A1732" s="1">
        <f>HYPERLINK("https://lsnyc.legalserver.org/matter/dynamic-profile/view/1914803","19-1914803")</f>
        <v>0</v>
      </c>
      <c r="B1732" t="s">
        <v>97</v>
      </c>
      <c r="C1732" t="s">
        <v>592</v>
      </c>
      <c r="E1732" t="s">
        <v>2035</v>
      </c>
      <c r="F1732" t="s">
        <v>4573</v>
      </c>
      <c r="G1732" t="s">
        <v>7569</v>
      </c>
      <c r="H1732" t="s">
        <v>10859</v>
      </c>
      <c r="I1732" t="s">
        <v>11383</v>
      </c>
      <c r="J1732">
        <v>10452</v>
      </c>
      <c r="K1732" t="s">
        <v>11446</v>
      </c>
      <c r="L1732" t="s">
        <v>12011</v>
      </c>
      <c r="M1732" t="s">
        <v>14744</v>
      </c>
      <c r="N1732" t="s">
        <v>14781</v>
      </c>
      <c r="P1732" t="s">
        <v>14797</v>
      </c>
      <c r="Q1732" t="s">
        <v>11448</v>
      </c>
      <c r="S1732" t="s">
        <v>14827</v>
      </c>
      <c r="T1732" t="s">
        <v>14832</v>
      </c>
      <c r="U1732" t="s">
        <v>14850</v>
      </c>
      <c r="V1732">
        <v>849</v>
      </c>
      <c r="W1732" t="s">
        <v>14858</v>
      </c>
      <c r="X1732" t="s">
        <v>14868</v>
      </c>
      <c r="Z1732" t="s">
        <v>16421</v>
      </c>
      <c r="AB1732" t="s">
        <v>21469</v>
      </c>
      <c r="AC1732">
        <v>60</v>
      </c>
      <c r="AD1732" t="s">
        <v>24595</v>
      </c>
      <c r="AF1732">
        <v>28</v>
      </c>
      <c r="AG1732">
        <v>1</v>
      </c>
      <c r="AH1732">
        <v>0</v>
      </c>
      <c r="AI1732">
        <v>326.41</v>
      </c>
      <c r="AL1732" t="s">
        <v>5011</v>
      </c>
      <c r="AM1732">
        <v>40768</v>
      </c>
      <c r="AS1732">
        <v>2</v>
      </c>
      <c r="AT1732" t="s">
        <v>509</v>
      </c>
      <c r="AU1732" t="s">
        <v>25268</v>
      </c>
      <c r="AV1732" t="s">
        <v>25335</v>
      </c>
      <c r="AW1732" t="s">
        <v>11447</v>
      </c>
    </row>
    <row r="1733" spans="1:49">
      <c r="A1733" s="1">
        <f>HYPERLINK("https://lsnyc.legalserver.org/matter/dynamic-profile/view/1908385","19-1908385")</f>
        <v>0</v>
      </c>
      <c r="B1733" t="s">
        <v>144</v>
      </c>
      <c r="C1733" t="s">
        <v>464</v>
      </c>
      <c r="E1733" t="s">
        <v>1829</v>
      </c>
      <c r="F1733" t="s">
        <v>3685</v>
      </c>
      <c r="G1733" t="s">
        <v>7306</v>
      </c>
      <c r="H1733" t="s">
        <v>10585</v>
      </c>
      <c r="I1733" t="s">
        <v>11409</v>
      </c>
      <c r="J1733">
        <v>11377</v>
      </c>
      <c r="K1733" t="s">
        <v>11446</v>
      </c>
      <c r="L1733" t="s">
        <v>12012</v>
      </c>
      <c r="M1733" t="s">
        <v>14762</v>
      </c>
      <c r="N1733" t="s">
        <v>14783</v>
      </c>
      <c r="P1733" t="s">
        <v>14797</v>
      </c>
      <c r="Q1733" t="s">
        <v>11446</v>
      </c>
      <c r="S1733" t="s">
        <v>14827</v>
      </c>
      <c r="U1733" t="s">
        <v>14851</v>
      </c>
      <c r="V1733">
        <v>1382</v>
      </c>
      <c r="W1733" t="s">
        <v>14861</v>
      </c>
      <c r="X1733" t="s">
        <v>14864</v>
      </c>
      <c r="Z1733" t="s">
        <v>16036</v>
      </c>
      <c r="AB1733" t="s">
        <v>21122</v>
      </c>
      <c r="AC1733">
        <v>66</v>
      </c>
      <c r="AD1733" t="s">
        <v>24595</v>
      </c>
      <c r="AE1733" t="s">
        <v>11459</v>
      </c>
      <c r="AF1733">
        <v>19</v>
      </c>
      <c r="AG1733">
        <v>2</v>
      </c>
      <c r="AH1733">
        <v>0</v>
      </c>
      <c r="AI1733">
        <v>82.79000000000001</v>
      </c>
      <c r="AL1733" t="s">
        <v>24632</v>
      </c>
      <c r="AM1733">
        <v>14000</v>
      </c>
      <c r="AS1733">
        <v>0.2</v>
      </c>
      <c r="AT1733" t="s">
        <v>464</v>
      </c>
      <c r="AU1733" t="s">
        <v>292</v>
      </c>
      <c r="AV1733" t="s">
        <v>25335</v>
      </c>
      <c r="AW1733" t="s">
        <v>11447</v>
      </c>
    </row>
    <row r="1734" spans="1:49">
      <c r="A1734" s="1">
        <f>HYPERLINK("https://lsnyc.legalserver.org/matter/dynamic-profile/view/1908752","19-1908752")</f>
        <v>0</v>
      </c>
      <c r="B1734" t="s">
        <v>144</v>
      </c>
      <c r="C1734" t="s">
        <v>585</v>
      </c>
      <c r="E1734" t="s">
        <v>1849</v>
      </c>
      <c r="F1734" t="s">
        <v>4367</v>
      </c>
      <c r="G1734" t="s">
        <v>7306</v>
      </c>
      <c r="H1734" t="s">
        <v>10529</v>
      </c>
      <c r="I1734" t="s">
        <v>11409</v>
      </c>
      <c r="J1734">
        <v>11377</v>
      </c>
      <c r="K1734" t="s">
        <v>11446</v>
      </c>
      <c r="L1734" t="s">
        <v>12012</v>
      </c>
      <c r="M1734" t="s">
        <v>14762</v>
      </c>
      <c r="N1734" t="s">
        <v>14783</v>
      </c>
      <c r="P1734" t="s">
        <v>14797</v>
      </c>
      <c r="Q1734" t="s">
        <v>11446</v>
      </c>
      <c r="S1734" t="s">
        <v>14827</v>
      </c>
      <c r="U1734" t="s">
        <v>14851</v>
      </c>
      <c r="V1734">
        <v>1541.52</v>
      </c>
      <c r="W1734" t="s">
        <v>14861</v>
      </c>
      <c r="X1734" t="s">
        <v>14864</v>
      </c>
      <c r="Z1734" t="s">
        <v>16074</v>
      </c>
      <c r="AB1734" t="s">
        <v>19344</v>
      </c>
      <c r="AC1734">
        <v>66</v>
      </c>
      <c r="AD1734" t="s">
        <v>24595</v>
      </c>
      <c r="AE1734" t="s">
        <v>11459</v>
      </c>
      <c r="AF1734">
        <v>14</v>
      </c>
      <c r="AG1734">
        <v>3</v>
      </c>
      <c r="AH1734">
        <v>1</v>
      </c>
      <c r="AI1734">
        <v>100.97</v>
      </c>
      <c r="AL1734" t="s">
        <v>24632</v>
      </c>
      <c r="AM1734">
        <v>26000</v>
      </c>
      <c r="AS1734">
        <v>0.2</v>
      </c>
      <c r="AT1734" t="s">
        <v>585</v>
      </c>
      <c r="AU1734" t="s">
        <v>292</v>
      </c>
      <c r="AV1734" t="s">
        <v>25335</v>
      </c>
      <c r="AW1734" t="s">
        <v>11447</v>
      </c>
    </row>
    <row r="1735" spans="1:49">
      <c r="A1735" s="1">
        <f>HYPERLINK("https://lsnyc.legalserver.org/matter/dynamic-profile/view/1907976","19-1907976")</f>
        <v>0</v>
      </c>
      <c r="B1735" t="s">
        <v>144</v>
      </c>
      <c r="C1735" t="s">
        <v>458</v>
      </c>
      <c r="E1735" t="s">
        <v>1330</v>
      </c>
      <c r="F1735" t="s">
        <v>2002</v>
      </c>
      <c r="G1735" t="s">
        <v>7306</v>
      </c>
      <c r="H1735" t="s">
        <v>10451</v>
      </c>
      <c r="I1735" t="s">
        <v>11409</v>
      </c>
      <c r="J1735">
        <v>11377</v>
      </c>
      <c r="K1735" t="s">
        <v>11446</v>
      </c>
      <c r="L1735" t="s">
        <v>12012</v>
      </c>
      <c r="M1735" t="s">
        <v>14762</v>
      </c>
      <c r="N1735" t="s">
        <v>14783</v>
      </c>
      <c r="P1735" t="s">
        <v>14797</v>
      </c>
      <c r="Q1735" t="s">
        <v>11446</v>
      </c>
      <c r="S1735" t="s">
        <v>14827</v>
      </c>
      <c r="U1735" t="s">
        <v>14851</v>
      </c>
      <c r="V1735">
        <v>1450</v>
      </c>
      <c r="W1735" t="s">
        <v>14861</v>
      </c>
      <c r="X1735" t="s">
        <v>14864</v>
      </c>
      <c r="Z1735" t="s">
        <v>16020</v>
      </c>
      <c r="AB1735" t="s">
        <v>21109</v>
      </c>
      <c r="AC1735">
        <v>66</v>
      </c>
      <c r="AD1735" t="s">
        <v>24595</v>
      </c>
      <c r="AE1735" t="s">
        <v>11459</v>
      </c>
      <c r="AF1735">
        <v>10</v>
      </c>
      <c r="AG1735">
        <v>2</v>
      </c>
      <c r="AH1735">
        <v>1</v>
      </c>
      <c r="AI1735">
        <v>110.17</v>
      </c>
      <c r="AL1735" t="s">
        <v>24632</v>
      </c>
      <c r="AM1735">
        <v>23500</v>
      </c>
      <c r="AS1735">
        <v>0.2</v>
      </c>
      <c r="AT1735" t="s">
        <v>458</v>
      </c>
      <c r="AU1735" t="s">
        <v>292</v>
      </c>
      <c r="AV1735" t="s">
        <v>25335</v>
      </c>
      <c r="AW1735" t="s">
        <v>11447</v>
      </c>
    </row>
    <row r="1736" spans="1:49">
      <c r="A1736" s="1">
        <f>HYPERLINK("https://lsnyc.legalserver.org/matter/dynamic-profile/view/1908355","19-1908355")</f>
        <v>0</v>
      </c>
      <c r="B1736" t="s">
        <v>144</v>
      </c>
      <c r="C1736" t="s">
        <v>464</v>
      </c>
      <c r="E1736" t="s">
        <v>1830</v>
      </c>
      <c r="F1736" t="s">
        <v>4339</v>
      </c>
      <c r="G1736" t="s">
        <v>7306</v>
      </c>
      <c r="H1736" t="s">
        <v>10465</v>
      </c>
      <c r="I1736" t="s">
        <v>11409</v>
      </c>
      <c r="J1736">
        <v>11377</v>
      </c>
      <c r="K1736" t="s">
        <v>11446</v>
      </c>
      <c r="L1736" t="s">
        <v>12012</v>
      </c>
      <c r="M1736" t="s">
        <v>14762</v>
      </c>
      <c r="N1736" t="s">
        <v>14783</v>
      </c>
      <c r="P1736" t="s">
        <v>14797</v>
      </c>
      <c r="Q1736" t="s">
        <v>11446</v>
      </c>
      <c r="S1736" t="s">
        <v>14827</v>
      </c>
      <c r="U1736" t="s">
        <v>14851</v>
      </c>
      <c r="V1736">
        <v>1624.22</v>
      </c>
      <c r="W1736" t="s">
        <v>14861</v>
      </c>
      <c r="X1736" t="s">
        <v>14864</v>
      </c>
      <c r="Z1736" t="s">
        <v>16038</v>
      </c>
      <c r="AB1736" t="s">
        <v>21124</v>
      </c>
      <c r="AC1736">
        <v>66</v>
      </c>
      <c r="AD1736" t="s">
        <v>24595</v>
      </c>
      <c r="AE1736" t="s">
        <v>11459</v>
      </c>
      <c r="AF1736">
        <v>0</v>
      </c>
      <c r="AG1736">
        <v>4</v>
      </c>
      <c r="AH1736">
        <v>1</v>
      </c>
      <c r="AI1736">
        <v>119.32</v>
      </c>
      <c r="AL1736" t="s">
        <v>5011</v>
      </c>
      <c r="AM1736">
        <v>36000</v>
      </c>
      <c r="AS1736">
        <v>0.2</v>
      </c>
      <c r="AT1736" t="s">
        <v>464</v>
      </c>
      <c r="AU1736" t="s">
        <v>292</v>
      </c>
      <c r="AV1736" t="s">
        <v>25335</v>
      </c>
      <c r="AW1736" t="s">
        <v>11447</v>
      </c>
    </row>
    <row r="1737" spans="1:49">
      <c r="A1737" s="1">
        <f>HYPERLINK("https://lsnyc.legalserver.org/matter/dynamic-profile/view/1907829","19-1907829")</f>
        <v>0</v>
      </c>
      <c r="B1737" t="s">
        <v>144</v>
      </c>
      <c r="C1737" t="s">
        <v>524</v>
      </c>
      <c r="E1737" t="s">
        <v>1815</v>
      </c>
      <c r="F1737" t="s">
        <v>3730</v>
      </c>
      <c r="G1737" t="s">
        <v>7306</v>
      </c>
      <c r="H1737" t="s">
        <v>10498</v>
      </c>
      <c r="I1737" t="s">
        <v>11409</v>
      </c>
      <c r="J1737">
        <v>11377</v>
      </c>
      <c r="K1737" t="s">
        <v>11446</v>
      </c>
      <c r="L1737" t="s">
        <v>12012</v>
      </c>
      <c r="M1737" t="s">
        <v>14762</v>
      </c>
      <c r="N1737" t="s">
        <v>14783</v>
      </c>
      <c r="P1737" t="s">
        <v>14797</v>
      </c>
      <c r="Q1737" t="s">
        <v>11446</v>
      </c>
      <c r="S1737" t="s">
        <v>14827</v>
      </c>
      <c r="U1737" t="s">
        <v>14851</v>
      </c>
      <c r="V1737">
        <v>0</v>
      </c>
      <c r="W1737" t="s">
        <v>14861</v>
      </c>
      <c r="X1737" t="s">
        <v>14864</v>
      </c>
      <c r="Z1737" t="s">
        <v>16012</v>
      </c>
      <c r="AB1737" t="s">
        <v>21098</v>
      </c>
      <c r="AC1737">
        <v>66</v>
      </c>
      <c r="AD1737" t="s">
        <v>24595</v>
      </c>
      <c r="AE1737" t="s">
        <v>11459</v>
      </c>
      <c r="AF1737">
        <v>8</v>
      </c>
      <c r="AG1737">
        <v>1</v>
      </c>
      <c r="AH1737">
        <v>0</v>
      </c>
      <c r="AI1737">
        <v>133.23</v>
      </c>
      <c r="AL1737" t="s">
        <v>24632</v>
      </c>
      <c r="AM1737">
        <v>16640</v>
      </c>
      <c r="AS1737">
        <v>0.3</v>
      </c>
      <c r="AT1737" t="s">
        <v>524</v>
      </c>
      <c r="AU1737" t="s">
        <v>292</v>
      </c>
      <c r="AV1737" t="s">
        <v>25335</v>
      </c>
      <c r="AW1737" t="s">
        <v>11447</v>
      </c>
    </row>
    <row r="1738" spans="1:49">
      <c r="A1738" s="1">
        <f>HYPERLINK("https://lsnyc.legalserver.org/matter/dynamic-profile/view/1907844","19-1907844")</f>
        <v>0</v>
      </c>
      <c r="B1738" t="s">
        <v>144</v>
      </c>
      <c r="C1738" t="s">
        <v>524</v>
      </c>
      <c r="E1738" t="s">
        <v>1816</v>
      </c>
      <c r="F1738" t="s">
        <v>4326</v>
      </c>
      <c r="G1738" t="s">
        <v>7306</v>
      </c>
      <c r="H1738" t="s">
        <v>10581</v>
      </c>
      <c r="I1738" t="s">
        <v>11409</v>
      </c>
      <c r="J1738">
        <v>11377</v>
      </c>
      <c r="K1738" t="s">
        <v>11446</v>
      </c>
      <c r="L1738" t="s">
        <v>12012</v>
      </c>
      <c r="M1738" t="s">
        <v>14762</v>
      </c>
      <c r="N1738" t="s">
        <v>14783</v>
      </c>
      <c r="P1738" t="s">
        <v>14797</v>
      </c>
      <c r="Q1738" t="s">
        <v>11448</v>
      </c>
      <c r="S1738" t="s">
        <v>14827</v>
      </c>
      <c r="U1738" t="s">
        <v>14851</v>
      </c>
      <c r="V1738">
        <v>892.58</v>
      </c>
      <c r="W1738" t="s">
        <v>14861</v>
      </c>
      <c r="X1738" t="s">
        <v>14864</v>
      </c>
      <c r="Z1738" t="s">
        <v>15166</v>
      </c>
      <c r="AA1738" t="s">
        <v>19417</v>
      </c>
      <c r="AB1738" t="s">
        <v>21100</v>
      </c>
      <c r="AC1738">
        <v>66</v>
      </c>
      <c r="AD1738" t="s">
        <v>24595</v>
      </c>
      <c r="AE1738" t="s">
        <v>24613</v>
      </c>
      <c r="AF1738">
        <v>61</v>
      </c>
      <c r="AG1738">
        <v>1</v>
      </c>
      <c r="AH1738">
        <v>0</v>
      </c>
      <c r="AI1738">
        <v>162.66</v>
      </c>
      <c r="AL1738" t="s">
        <v>5011</v>
      </c>
      <c r="AM1738">
        <v>20316</v>
      </c>
      <c r="AS1738">
        <v>0.2</v>
      </c>
      <c r="AT1738" t="s">
        <v>524</v>
      </c>
      <c r="AU1738" t="s">
        <v>292</v>
      </c>
      <c r="AV1738" t="s">
        <v>25335</v>
      </c>
      <c r="AW1738" t="s">
        <v>11447</v>
      </c>
    </row>
    <row r="1739" spans="1:49">
      <c r="A1739" s="1">
        <f>HYPERLINK("https://lsnyc.legalserver.org/matter/dynamic-profile/view/1907856","19-1907856")</f>
        <v>0</v>
      </c>
      <c r="B1739" t="s">
        <v>144</v>
      </c>
      <c r="C1739" t="s">
        <v>524</v>
      </c>
      <c r="E1739" t="s">
        <v>1818</v>
      </c>
      <c r="F1739" t="s">
        <v>3683</v>
      </c>
      <c r="G1739" t="s">
        <v>7306</v>
      </c>
      <c r="H1739" t="s">
        <v>10732</v>
      </c>
      <c r="I1739" t="s">
        <v>11409</v>
      </c>
      <c r="J1739">
        <v>11377</v>
      </c>
      <c r="K1739" t="s">
        <v>11446</v>
      </c>
      <c r="L1739" t="s">
        <v>12012</v>
      </c>
      <c r="M1739" t="s">
        <v>14762</v>
      </c>
      <c r="N1739" t="s">
        <v>14783</v>
      </c>
      <c r="P1739" t="s">
        <v>14797</v>
      </c>
      <c r="Q1739" t="s">
        <v>11446</v>
      </c>
      <c r="S1739" t="s">
        <v>14827</v>
      </c>
      <c r="U1739" t="s">
        <v>14851</v>
      </c>
      <c r="V1739">
        <v>1291</v>
      </c>
      <c r="W1739" t="s">
        <v>14861</v>
      </c>
      <c r="X1739" t="s">
        <v>14864</v>
      </c>
      <c r="Z1739" t="s">
        <v>16014</v>
      </c>
      <c r="AB1739" t="s">
        <v>21102</v>
      </c>
      <c r="AC1739">
        <v>66</v>
      </c>
      <c r="AD1739" t="s">
        <v>24595</v>
      </c>
      <c r="AE1739" t="s">
        <v>11459</v>
      </c>
      <c r="AF1739">
        <v>66</v>
      </c>
      <c r="AG1739">
        <v>2</v>
      </c>
      <c r="AH1739">
        <v>1</v>
      </c>
      <c r="AI1739">
        <v>257.85</v>
      </c>
      <c r="AL1739" t="s">
        <v>5011</v>
      </c>
      <c r="AM1739">
        <v>55000</v>
      </c>
      <c r="AS1739">
        <v>0.4</v>
      </c>
      <c r="AT1739" t="s">
        <v>524</v>
      </c>
      <c r="AU1739" t="s">
        <v>292</v>
      </c>
      <c r="AV1739" t="s">
        <v>25335</v>
      </c>
      <c r="AW1739" t="s">
        <v>11447</v>
      </c>
    </row>
    <row r="1740" spans="1:49">
      <c r="A1740" s="1">
        <f>HYPERLINK("https://lsnyc.legalserver.org/matter/dynamic-profile/view/1908223","19-1908223")</f>
        <v>0</v>
      </c>
      <c r="B1740" t="s">
        <v>144</v>
      </c>
      <c r="C1740" t="s">
        <v>372</v>
      </c>
      <c r="E1740" t="s">
        <v>1550</v>
      </c>
      <c r="F1740" t="s">
        <v>4336</v>
      </c>
      <c r="G1740" t="s">
        <v>7306</v>
      </c>
      <c r="H1740" t="s">
        <v>10598</v>
      </c>
      <c r="I1740" t="s">
        <v>11409</v>
      </c>
      <c r="J1740">
        <v>11377</v>
      </c>
      <c r="K1740" t="s">
        <v>11446</v>
      </c>
      <c r="L1740" t="s">
        <v>12012</v>
      </c>
      <c r="M1740" t="s">
        <v>14762</v>
      </c>
      <c r="N1740" t="s">
        <v>14783</v>
      </c>
      <c r="P1740" t="s">
        <v>14797</v>
      </c>
      <c r="Q1740" t="s">
        <v>11446</v>
      </c>
      <c r="S1740" t="s">
        <v>14827</v>
      </c>
      <c r="U1740" t="s">
        <v>14851</v>
      </c>
      <c r="V1740">
        <v>1277</v>
      </c>
      <c r="W1740" t="s">
        <v>14861</v>
      </c>
      <c r="X1740" t="s">
        <v>14864</v>
      </c>
      <c r="Z1740" t="s">
        <v>16032</v>
      </c>
      <c r="AB1740" t="s">
        <v>21118</v>
      </c>
      <c r="AC1740">
        <v>66</v>
      </c>
      <c r="AD1740" t="s">
        <v>24595</v>
      </c>
      <c r="AE1740" t="s">
        <v>11459</v>
      </c>
      <c r="AF1740">
        <v>0</v>
      </c>
      <c r="AG1740">
        <v>4</v>
      </c>
      <c r="AH1740">
        <v>0</v>
      </c>
      <c r="AI1740">
        <v>411.65</v>
      </c>
      <c r="AL1740" t="s">
        <v>5011</v>
      </c>
      <c r="AM1740">
        <v>106000</v>
      </c>
      <c r="AS1740">
        <v>0.3</v>
      </c>
      <c r="AT1740" t="s">
        <v>372</v>
      </c>
      <c r="AU1740" t="s">
        <v>292</v>
      </c>
      <c r="AV1740" t="s">
        <v>25335</v>
      </c>
      <c r="AW1740" t="s">
        <v>11447</v>
      </c>
    </row>
    <row r="1741" spans="1:49">
      <c r="A1741" s="1">
        <f>HYPERLINK("https://lsnyc.legalserver.org/matter/dynamic-profile/view/1908367","19-1908367")</f>
        <v>0</v>
      </c>
      <c r="B1741" t="s">
        <v>144</v>
      </c>
      <c r="C1741" t="s">
        <v>464</v>
      </c>
      <c r="E1741" t="s">
        <v>1832</v>
      </c>
      <c r="F1741" t="s">
        <v>3737</v>
      </c>
      <c r="G1741" t="s">
        <v>7306</v>
      </c>
      <c r="H1741" t="s">
        <v>10450</v>
      </c>
      <c r="I1741" t="s">
        <v>11409</v>
      </c>
      <c r="J1741">
        <v>11377</v>
      </c>
      <c r="K1741" t="s">
        <v>11446</v>
      </c>
      <c r="L1741" t="s">
        <v>12012</v>
      </c>
      <c r="M1741" t="s">
        <v>14762</v>
      </c>
      <c r="N1741" t="s">
        <v>14783</v>
      </c>
      <c r="P1741" t="s">
        <v>14797</v>
      </c>
      <c r="Q1741" t="s">
        <v>11446</v>
      </c>
      <c r="S1741" t="s">
        <v>14827</v>
      </c>
      <c r="U1741" t="s">
        <v>14851</v>
      </c>
      <c r="V1741">
        <v>1854</v>
      </c>
      <c r="W1741" t="s">
        <v>14861</v>
      </c>
      <c r="X1741" t="s">
        <v>14864</v>
      </c>
      <c r="Z1741" t="s">
        <v>16040</v>
      </c>
      <c r="AB1741" t="s">
        <v>21126</v>
      </c>
      <c r="AC1741">
        <v>66</v>
      </c>
      <c r="AD1741" t="s">
        <v>24595</v>
      </c>
      <c r="AE1741" t="s">
        <v>11459</v>
      </c>
      <c r="AF1741">
        <v>26</v>
      </c>
      <c r="AG1741">
        <v>1</v>
      </c>
      <c r="AH1741">
        <v>0</v>
      </c>
      <c r="AI1741">
        <v>480.38</v>
      </c>
      <c r="AL1741" t="s">
        <v>24632</v>
      </c>
      <c r="AM1741">
        <v>60000</v>
      </c>
      <c r="AS1741">
        <v>0.2</v>
      </c>
      <c r="AT1741" t="s">
        <v>464</v>
      </c>
      <c r="AU1741" t="s">
        <v>292</v>
      </c>
      <c r="AV1741" t="s">
        <v>25335</v>
      </c>
      <c r="AW1741" t="s">
        <v>11447</v>
      </c>
    </row>
    <row r="1742" spans="1:49">
      <c r="A1742" s="1">
        <f>HYPERLINK("https://lsnyc.legalserver.org/matter/dynamic-profile/view/1913614","19-1913614")</f>
        <v>0</v>
      </c>
      <c r="B1742" t="s">
        <v>187</v>
      </c>
      <c r="C1742" t="s">
        <v>477</v>
      </c>
      <c r="E1742" t="s">
        <v>1359</v>
      </c>
      <c r="F1742" t="s">
        <v>4443</v>
      </c>
      <c r="G1742" t="s">
        <v>7294</v>
      </c>
      <c r="H1742" t="s">
        <v>10467</v>
      </c>
      <c r="I1742" t="s">
        <v>11385</v>
      </c>
      <c r="J1742">
        <v>11238</v>
      </c>
      <c r="K1742" t="s">
        <v>11446</v>
      </c>
      <c r="M1742" t="s">
        <v>14746</v>
      </c>
      <c r="N1742" t="s">
        <v>14781</v>
      </c>
      <c r="P1742" t="s">
        <v>14797</v>
      </c>
      <c r="Q1742" t="s">
        <v>11446</v>
      </c>
      <c r="S1742" t="s">
        <v>14827</v>
      </c>
      <c r="T1742" t="s">
        <v>14832</v>
      </c>
      <c r="U1742" t="s">
        <v>14852</v>
      </c>
      <c r="V1742">
        <v>1048.29</v>
      </c>
      <c r="W1742" t="s">
        <v>14859</v>
      </c>
      <c r="X1742" t="s">
        <v>14755</v>
      </c>
      <c r="Z1742" t="s">
        <v>16205</v>
      </c>
      <c r="AA1742" t="s">
        <v>11459</v>
      </c>
      <c r="AB1742" t="s">
        <v>21278</v>
      </c>
      <c r="AC1742">
        <v>16</v>
      </c>
      <c r="AD1742" t="s">
        <v>24595</v>
      </c>
      <c r="AE1742" t="s">
        <v>11459</v>
      </c>
      <c r="AF1742">
        <v>0</v>
      </c>
      <c r="AG1742">
        <v>2</v>
      </c>
      <c r="AH1742">
        <v>0</v>
      </c>
      <c r="AI1742">
        <v>4967.47</v>
      </c>
      <c r="AL1742" t="s">
        <v>5011</v>
      </c>
      <c r="AM1742">
        <v>840000</v>
      </c>
      <c r="AN1742" t="s">
        <v>24784</v>
      </c>
      <c r="AS1742">
        <v>0</v>
      </c>
      <c r="AU1742" t="s">
        <v>120</v>
      </c>
      <c r="AV1742" t="s">
        <v>25335</v>
      </c>
      <c r="AW1742" t="s">
        <v>11447</v>
      </c>
    </row>
    <row r="1743" spans="1:49">
      <c r="A1743" s="1">
        <f>HYPERLINK("https://lsnyc.legalserver.org/matter/dynamic-profile/view/1915057","19-1915057")</f>
        <v>0</v>
      </c>
      <c r="B1743" t="s">
        <v>222</v>
      </c>
      <c r="C1743" t="s">
        <v>521</v>
      </c>
      <c r="E1743" t="s">
        <v>1875</v>
      </c>
      <c r="F1743" t="s">
        <v>4398</v>
      </c>
      <c r="G1743" t="s">
        <v>7223</v>
      </c>
      <c r="H1743" t="s">
        <v>10534</v>
      </c>
      <c r="I1743" t="s">
        <v>11385</v>
      </c>
      <c r="J1743">
        <v>11225</v>
      </c>
      <c r="K1743" t="s">
        <v>11446</v>
      </c>
      <c r="N1743" t="s">
        <v>14781</v>
      </c>
      <c r="P1743" t="s">
        <v>14797</v>
      </c>
      <c r="Q1743" t="s">
        <v>11446</v>
      </c>
      <c r="S1743" t="s">
        <v>14827</v>
      </c>
      <c r="U1743" t="s">
        <v>14853</v>
      </c>
      <c r="V1743">
        <v>0</v>
      </c>
      <c r="W1743" t="s">
        <v>14859</v>
      </c>
      <c r="Z1743" t="s">
        <v>16122</v>
      </c>
      <c r="AB1743" t="s">
        <v>21204</v>
      </c>
      <c r="AC1743">
        <v>0</v>
      </c>
      <c r="AF1743">
        <v>0</v>
      </c>
      <c r="AG1743">
        <v>1</v>
      </c>
      <c r="AH1743">
        <v>1</v>
      </c>
      <c r="AI1743">
        <v>131.99</v>
      </c>
      <c r="AL1743" t="s">
        <v>5011</v>
      </c>
      <c r="AM1743">
        <v>22320</v>
      </c>
      <c r="AS1743">
        <v>0</v>
      </c>
      <c r="AU1743" t="s">
        <v>75</v>
      </c>
      <c r="AV1743" t="s">
        <v>25335</v>
      </c>
      <c r="AW1743" t="s">
        <v>11447</v>
      </c>
    </row>
    <row r="1744" spans="1:49">
      <c r="A1744" s="1">
        <f>HYPERLINK("https://lsnyc.legalserver.org/matter/dynamic-profile/view/1915193","19-1915193")</f>
        <v>0</v>
      </c>
      <c r="B1744" t="s">
        <v>144</v>
      </c>
      <c r="C1744" t="s">
        <v>516</v>
      </c>
      <c r="E1744" t="s">
        <v>2036</v>
      </c>
      <c r="F1744" t="s">
        <v>4574</v>
      </c>
      <c r="G1744" t="s">
        <v>7570</v>
      </c>
      <c r="I1744" t="s">
        <v>11387</v>
      </c>
      <c r="J1744">
        <v>11436</v>
      </c>
      <c r="K1744" t="s">
        <v>11446</v>
      </c>
      <c r="L1744" t="s">
        <v>12013</v>
      </c>
      <c r="M1744" t="s">
        <v>14743</v>
      </c>
      <c r="P1744" t="s">
        <v>14797</v>
      </c>
      <c r="Q1744" t="s">
        <v>11448</v>
      </c>
      <c r="S1744" t="s">
        <v>14827</v>
      </c>
      <c r="V1744">
        <v>2000</v>
      </c>
      <c r="W1744" t="s">
        <v>14861</v>
      </c>
      <c r="X1744" t="s">
        <v>14865</v>
      </c>
      <c r="Z1744" t="s">
        <v>16422</v>
      </c>
      <c r="AB1744" t="s">
        <v>21470</v>
      </c>
      <c r="AC1744">
        <v>1</v>
      </c>
      <c r="AD1744" t="s">
        <v>24600</v>
      </c>
      <c r="AF1744">
        <v>1</v>
      </c>
      <c r="AG1744">
        <v>2</v>
      </c>
      <c r="AH1744">
        <v>1</v>
      </c>
      <c r="AI1744">
        <v>0</v>
      </c>
      <c r="AM1744">
        <v>0</v>
      </c>
      <c r="AS1744">
        <v>1.6</v>
      </c>
      <c r="AT1744" t="s">
        <v>509</v>
      </c>
      <c r="AU1744" t="s">
        <v>99</v>
      </c>
      <c r="AW1744" t="s">
        <v>11447</v>
      </c>
    </row>
    <row r="1745" spans="1:49">
      <c r="A1745" s="1">
        <f>HYPERLINK("https://lsnyc.legalserver.org/matter/dynamic-profile/view/1895163","19-1895163")</f>
        <v>0</v>
      </c>
      <c r="B1745" t="s">
        <v>110</v>
      </c>
      <c r="C1745" t="s">
        <v>666</v>
      </c>
      <c r="E1745" t="s">
        <v>2037</v>
      </c>
      <c r="F1745" t="s">
        <v>4022</v>
      </c>
      <c r="G1745" t="s">
        <v>7571</v>
      </c>
      <c r="H1745">
        <v>41</v>
      </c>
      <c r="I1745" t="s">
        <v>11387</v>
      </c>
      <c r="J1745">
        <v>11432</v>
      </c>
      <c r="K1745" t="s">
        <v>11446</v>
      </c>
      <c r="L1745" t="s">
        <v>12014</v>
      </c>
      <c r="M1745" t="s">
        <v>14744</v>
      </c>
      <c r="N1745" t="s">
        <v>14781</v>
      </c>
      <c r="P1745" t="s">
        <v>14797</v>
      </c>
      <c r="Q1745" t="s">
        <v>11448</v>
      </c>
      <c r="S1745" t="s">
        <v>14827</v>
      </c>
      <c r="T1745" t="s">
        <v>14832</v>
      </c>
      <c r="V1745">
        <v>1421.57</v>
      </c>
      <c r="W1745" t="s">
        <v>14861</v>
      </c>
      <c r="X1745" t="s">
        <v>14868</v>
      </c>
      <c r="Z1745" t="s">
        <v>16423</v>
      </c>
      <c r="AA1745" t="s">
        <v>19344</v>
      </c>
      <c r="AB1745" t="s">
        <v>21471</v>
      </c>
      <c r="AC1745">
        <v>36</v>
      </c>
      <c r="AD1745" t="s">
        <v>24595</v>
      </c>
      <c r="AE1745" t="s">
        <v>11459</v>
      </c>
      <c r="AF1745">
        <v>26</v>
      </c>
      <c r="AG1745">
        <v>2</v>
      </c>
      <c r="AH1745">
        <v>0</v>
      </c>
      <c r="AI1745">
        <v>0</v>
      </c>
      <c r="AL1745" t="s">
        <v>5011</v>
      </c>
      <c r="AM1745">
        <v>0</v>
      </c>
      <c r="AS1745">
        <v>26.15</v>
      </c>
      <c r="AT1745" t="s">
        <v>508</v>
      </c>
      <c r="AU1745" t="s">
        <v>110</v>
      </c>
      <c r="AW1745" t="s">
        <v>11446</v>
      </c>
    </row>
    <row r="1746" spans="1:49">
      <c r="A1746" s="1">
        <f>HYPERLINK("https://lsnyc.legalserver.org/matter/dynamic-profile/view/1913320","19-1913320")</f>
        <v>0</v>
      </c>
      <c r="B1746" t="s">
        <v>171</v>
      </c>
      <c r="C1746" t="s">
        <v>483</v>
      </c>
      <c r="E1746" t="s">
        <v>1242</v>
      </c>
      <c r="F1746" t="s">
        <v>4575</v>
      </c>
      <c r="G1746" t="s">
        <v>7572</v>
      </c>
      <c r="H1746" t="s">
        <v>10500</v>
      </c>
      <c r="I1746" t="s">
        <v>11405</v>
      </c>
      <c r="J1746">
        <v>11416</v>
      </c>
      <c r="K1746" t="s">
        <v>11446</v>
      </c>
      <c r="L1746" t="s">
        <v>12015</v>
      </c>
      <c r="M1746" t="s">
        <v>14744</v>
      </c>
      <c r="N1746" t="s">
        <v>14781</v>
      </c>
      <c r="P1746" t="s">
        <v>14797</v>
      </c>
      <c r="Q1746" t="s">
        <v>11448</v>
      </c>
      <c r="S1746" t="s">
        <v>14827</v>
      </c>
      <c r="T1746" t="s">
        <v>14832</v>
      </c>
      <c r="V1746">
        <v>1515</v>
      </c>
      <c r="W1746" t="s">
        <v>14861</v>
      </c>
      <c r="X1746" t="s">
        <v>14865</v>
      </c>
      <c r="Z1746" t="s">
        <v>16424</v>
      </c>
      <c r="AB1746" t="s">
        <v>21472</v>
      </c>
      <c r="AC1746">
        <v>6</v>
      </c>
      <c r="AD1746" t="s">
        <v>24600</v>
      </c>
      <c r="AE1746" t="s">
        <v>24616</v>
      </c>
      <c r="AF1746">
        <v>1</v>
      </c>
      <c r="AG1746">
        <v>1</v>
      </c>
      <c r="AH1746">
        <v>2</v>
      </c>
      <c r="AI1746">
        <v>0</v>
      </c>
      <c r="AL1746" t="s">
        <v>5011</v>
      </c>
      <c r="AM1746">
        <v>0</v>
      </c>
      <c r="AS1746">
        <v>1.62</v>
      </c>
      <c r="AT1746" t="s">
        <v>495</v>
      </c>
      <c r="AU1746" t="s">
        <v>25233</v>
      </c>
      <c r="AV1746" t="s">
        <v>25335</v>
      </c>
      <c r="AW1746" t="s">
        <v>11447</v>
      </c>
    </row>
    <row r="1747" spans="1:49">
      <c r="A1747" s="1">
        <f>HYPERLINK("https://lsnyc.legalserver.org/matter/dynamic-profile/view/1884108","18-1884108")</f>
        <v>0</v>
      </c>
      <c r="B1747" t="s">
        <v>124</v>
      </c>
      <c r="C1747" t="s">
        <v>667</v>
      </c>
      <c r="E1747" t="s">
        <v>1025</v>
      </c>
      <c r="F1747" t="s">
        <v>3802</v>
      </c>
      <c r="G1747" t="s">
        <v>7573</v>
      </c>
      <c r="H1747" t="s">
        <v>10864</v>
      </c>
      <c r="I1747" t="s">
        <v>11407</v>
      </c>
      <c r="J1747">
        <v>11415</v>
      </c>
      <c r="K1747" t="s">
        <v>11447</v>
      </c>
      <c r="L1747" t="s">
        <v>11601</v>
      </c>
      <c r="M1747" t="s">
        <v>14748</v>
      </c>
      <c r="N1747" t="s">
        <v>14780</v>
      </c>
      <c r="P1747" t="s">
        <v>14797</v>
      </c>
      <c r="Q1747" t="s">
        <v>11446</v>
      </c>
      <c r="S1747" t="s">
        <v>14827</v>
      </c>
      <c r="T1747" t="s">
        <v>14832</v>
      </c>
      <c r="V1747">
        <v>0</v>
      </c>
      <c r="W1747" t="s">
        <v>14861</v>
      </c>
      <c r="X1747" t="s">
        <v>14868</v>
      </c>
      <c r="Z1747" t="s">
        <v>16425</v>
      </c>
      <c r="AA1747" t="s">
        <v>19344</v>
      </c>
      <c r="AB1747" t="s">
        <v>19344</v>
      </c>
      <c r="AC1747">
        <v>57</v>
      </c>
      <c r="AD1747" t="s">
        <v>24595</v>
      </c>
      <c r="AE1747" t="s">
        <v>11459</v>
      </c>
      <c r="AF1747">
        <v>2</v>
      </c>
      <c r="AG1747">
        <v>1</v>
      </c>
      <c r="AH1747">
        <v>0</v>
      </c>
      <c r="AI1747">
        <v>0</v>
      </c>
      <c r="AL1747" t="s">
        <v>24632</v>
      </c>
      <c r="AM1747">
        <v>0</v>
      </c>
      <c r="AS1747">
        <v>1.1</v>
      </c>
      <c r="AT1747" t="s">
        <v>14857</v>
      </c>
      <c r="AU1747" t="s">
        <v>292</v>
      </c>
      <c r="AW1747" t="s">
        <v>11447</v>
      </c>
    </row>
    <row r="1748" spans="1:49">
      <c r="A1748" s="1">
        <f>HYPERLINK("https://lsnyc.legalserver.org/matter/dynamic-profile/view/1907982","19-1907982")</f>
        <v>0</v>
      </c>
      <c r="B1748" t="s">
        <v>110</v>
      </c>
      <c r="C1748" t="s">
        <v>458</v>
      </c>
      <c r="E1748" t="s">
        <v>1698</v>
      </c>
      <c r="F1748" t="s">
        <v>4576</v>
      </c>
      <c r="G1748" t="s">
        <v>7574</v>
      </c>
      <c r="H1748" t="s">
        <v>10569</v>
      </c>
      <c r="I1748" t="s">
        <v>11418</v>
      </c>
      <c r="J1748">
        <v>11412</v>
      </c>
      <c r="K1748" t="s">
        <v>11446</v>
      </c>
      <c r="L1748" t="s">
        <v>12016</v>
      </c>
      <c r="M1748" t="s">
        <v>14744</v>
      </c>
      <c r="N1748" t="s">
        <v>14781</v>
      </c>
      <c r="P1748" t="s">
        <v>14797</v>
      </c>
      <c r="Q1748" t="s">
        <v>11448</v>
      </c>
      <c r="S1748" t="s">
        <v>14827</v>
      </c>
      <c r="V1748">
        <v>1400</v>
      </c>
      <c r="W1748" t="s">
        <v>14861</v>
      </c>
      <c r="X1748" t="s">
        <v>14865</v>
      </c>
      <c r="Z1748" t="s">
        <v>16426</v>
      </c>
      <c r="AB1748" t="s">
        <v>21473</v>
      </c>
      <c r="AC1748">
        <v>30</v>
      </c>
      <c r="AD1748" t="s">
        <v>11479</v>
      </c>
      <c r="AE1748" t="s">
        <v>11459</v>
      </c>
      <c r="AF1748">
        <v>1</v>
      </c>
      <c r="AG1748">
        <v>1</v>
      </c>
      <c r="AH1748">
        <v>1</v>
      </c>
      <c r="AI1748">
        <v>0</v>
      </c>
      <c r="AL1748" t="s">
        <v>5011</v>
      </c>
      <c r="AM1748">
        <v>0</v>
      </c>
      <c r="AS1748">
        <v>6.5</v>
      </c>
      <c r="AT1748" t="s">
        <v>506</v>
      </c>
      <c r="AU1748" t="s">
        <v>25233</v>
      </c>
      <c r="AV1748" t="s">
        <v>25335</v>
      </c>
      <c r="AW1748" t="s">
        <v>11447</v>
      </c>
    </row>
    <row r="1749" spans="1:49">
      <c r="A1749" s="1">
        <f>HYPERLINK("https://lsnyc.legalserver.org/matter/dynamic-profile/view/1911690","19-1911690")</f>
        <v>0</v>
      </c>
      <c r="B1749" t="s">
        <v>144</v>
      </c>
      <c r="C1749" t="s">
        <v>505</v>
      </c>
      <c r="E1749" t="s">
        <v>2038</v>
      </c>
      <c r="F1749" t="s">
        <v>3589</v>
      </c>
      <c r="G1749" t="s">
        <v>7575</v>
      </c>
      <c r="H1749" t="s">
        <v>10705</v>
      </c>
      <c r="I1749" t="s">
        <v>11429</v>
      </c>
      <c r="J1749">
        <v>11379</v>
      </c>
      <c r="K1749" t="s">
        <v>11446</v>
      </c>
      <c r="L1749" t="s">
        <v>12017</v>
      </c>
      <c r="M1749" t="s">
        <v>14743</v>
      </c>
      <c r="N1749" t="s">
        <v>14778</v>
      </c>
      <c r="P1749" t="s">
        <v>14797</v>
      </c>
      <c r="Q1749" t="s">
        <v>11448</v>
      </c>
      <c r="S1749" t="s">
        <v>14827</v>
      </c>
      <c r="V1749">
        <v>2250</v>
      </c>
      <c r="W1749" t="s">
        <v>14861</v>
      </c>
      <c r="X1749" t="s">
        <v>14865</v>
      </c>
      <c r="Z1749" t="s">
        <v>16427</v>
      </c>
      <c r="AB1749" t="s">
        <v>21474</v>
      </c>
      <c r="AC1749">
        <v>3</v>
      </c>
      <c r="AD1749" t="s">
        <v>11479</v>
      </c>
      <c r="AE1749" t="s">
        <v>11459</v>
      </c>
      <c r="AF1749">
        <v>1</v>
      </c>
      <c r="AG1749">
        <v>2</v>
      </c>
      <c r="AH1749">
        <v>2</v>
      </c>
      <c r="AI1749">
        <v>0</v>
      </c>
      <c r="AL1749" t="s">
        <v>5011</v>
      </c>
      <c r="AM1749">
        <v>0</v>
      </c>
      <c r="AS1749">
        <v>0.67</v>
      </c>
      <c r="AT1749" t="s">
        <v>516</v>
      </c>
      <c r="AU1749" t="s">
        <v>292</v>
      </c>
      <c r="AV1749" t="s">
        <v>25335</v>
      </c>
      <c r="AW1749" t="s">
        <v>11447</v>
      </c>
    </row>
    <row r="1750" spans="1:49">
      <c r="A1750" s="1">
        <f>HYPERLINK("https://lsnyc.legalserver.org/matter/dynamic-profile/view/1906212","19-1906212")</f>
        <v>0</v>
      </c>
      <c r="B1750" t="s">
        <v>171</v>
      </c>
      <c r="C1750" t="s">
        <v>553</v>
      </c>
      <c r="E1750" t="s">
        <v>1025</v>
      </c>
      <c r="F1750" t="s">
        <v>4577</v>
      </c>
      <c r="G1750" t="s">
        <v>7576</v>
      </c>
      <c r="H1750" t="s">
        <v>10796</v>
      </c>
      <c r="I1750" t="s">
        <v>11409</v>
      </c>
      <c r="J1750">
        <v>11377</v>
      </c>
      <c r="K1750" t="s">
        <v>11446</v>
      </c>
      <c r="M1750" t="s">
        <v>14743</v>
      </c>
      <c r="N1750" t="s">
        <v>14781</v>
      </c>
      <c r="P1750" t="s">
        <v>14797</v>
      </c>
      <c r="Q1750" t="s">
        <v>11448</v>
      </c>
      <c r="S1750" t="s">
        <v>14827</v>
      </c>
      <c r="T1750" t="s">
        <v>14832</v>
      </c>
      <c r="V1750">
        <v>1400</v>
      </c>
      <c r="W1750" t="s">
        <v>14861</v>
      </c>
      <c r="X1750" t="s">
        <v>14868</v>
      </c>
      <c r="Z1750" t="s">
        <v>16428</v>
      </c>
      <c r="AC1750">
        <v>8</v>
      </c>
      <c r="AD1750" t="s">
        <v>24600</v>
      </c>
      <c r="AE1750" t="s">
        <v>11459</v>
      </c>
      <c r="AF1750">
        <v>-1</v>
      </c>
      <c r="AG1750">
        <v>1</v>
      </c>
      <c r="AH1750">
        <v>1</v>
      </c>
      <c r="AI1750">
        <v>0</v>
      </c>
      <c r="AL1750" t="s">
        <v>24632</v>
      </c>
      <c r="AM1750">
        <v>0</v>
      </c>
      <c r="AS1750">
        <v>12.22</v>
      </c>
      <c r="AT1750" t="s">
        <v>654</v>
      </c>
      <c r="AU1750" t="s">
        <v>209</v>
      </c>
      <c r="AV1750" t="s">
        <v>25335</v>
      </c>
      <c r="AW1750" t="s">
        <v>11447</v>
      </c>
    </row>
    <row r="1751" spans="1:49">
      <c r="A1751" s="1">
        <f>HYPERLINK("https://lsnyc.legalserver.org/matter/dynamic-profile/view/1913825","19-1913825")</f>
        <v>0</v>
      </c>
      <c r="B1751" t="s">
        <v>147</v>
      </c>
      <c r="C1751" t="s">
        <v>533</v>
      </c>
      <c r="E1751" t="s">
        <v>1554</v>
      </c>
      <c r="F1751" t="s">
        <v>3834</v>
      </c>
      <c r="G1751" t="s">
        <v>7577</v>
      </c>
      <c r="H1751" t="s">
        <v>10562</v>
      </c>
      <c r="I1751" t="s">
        <v>11389</v>
      </c>
      <c r="J1751">
        <v>11358</v>
      </c>
      <c r="K1751" t="s">
        <v>11446</v>
      </c>
      <c r="L1751" t="s">
        <v>12018</v>
      </c>
      <c r="M1751" t="s">
        <v>14744</v>
      </c>
      <c r="N1751" t="s">
        <v>14782</v>
      </c>
      <c r="P1751" t="s">
        <v>14797</v>
      </c>
      <c r="Q1751" t="s">
        <v>11448</v>
      </c>
      <c r="S1751" t="s">
        <v>14827</v>
      </c>
      <c r="V1751">
        <v>1850</v>
      </c>
      <c r="W1751" t="s">
        <v>14861</v>
      </c>
      <c r="X1751" t="s">
        <v>14865</v>
      </c>
      <c r="Z1751" t="s">
        <v>16429</v>
      </c>
      <c r="AB1751" t="s">
        <v>21475</v>
      </c>
      <c r="AC1751">
        <v>6</v>
      </c>
      <c r="AD1751" t="s">
        <v>11479</v>
      </c>
      <c r="AE1751" t="s">
        <v>11459</v>
      </c>
      <c r="AF1751">
        <v>1</v>
      </c>
      <c r="AG1751">
        <v>1</v>
      </c>
      <c r="AH1751">
        <v>2</v>
      </c>
      <c r="AI1751">
        <v>0</v>
      </c>
      <c r="AL1751" t="s">
        <v>5011</v>
      </c>
      <c r="AM1751">
        <v>0</v>
      </c>
      <c r="AS1751">
        <v>2.43</v>
      </c>
      <c r="AT1751" t="s">
        <v>539</v>
      </c>
      <c r="AU1751" t="s">
        <v>25233</v>
      </c>
      <c r="AV1751" t="s">
        <v>25335</v>
      </c>
      <c r="AW1751" t="s">
        <v>11447</v>
      </c>
    </row>
    <row r="1752" spans="1:49">
      <c r="A1752" s="1">
        <f>HYPERLINK("https://lsnyc.legalserver.org/matter/dynamic-profile/view/1910717","19-1910717")</f>
        <v>0</v>
      </c>
      <c r="B1752" t="s">
        <v>109</v>
      </c>
      <c r="C1752" t="s">
        <v>663</v>
      </c>
      <c r="E1752" t="s">
        <v>1334</v>
      </c>
      <c r="F1752" t="s">
        <v>4423</v>
      </c>
      <c r="G1752" t="s">
        <v>7417</v>
      </c>
      <c r="H1752" t="s">
        <v>10517</v>
      </c>
      <c r="I1752" t="s">
        <v>11385</v>
      </c>
      <c r="J1752">
        <v>11238</v>
      </c>
      <c r="K1752" t="s">
        <v>11447</v>
      </c>
      <c r="M1752" t="s">
        <v>14744</v>
      </c>
      <c r="N1752" t="s">
        <v>14781</v>
      </c>
      <c r="P1752" t="s">
        <v>14797</v>
      </c>
      <c r="S1752" t="s">
        <v>14827</v>
      </c>
      <c r="V1752">
        <v>0</v>
      </c>
      <c r="W1752" t="s">
        <v>14859</v>
      </c>
      <c r="Z1752" t="s">
        <v>16430</v>
      </c>
      <c r="AB1752" t="s">
        <v>21476</v>
      </c>
      <c r="AC1752">
        <v>0</v>
      </c>
      <c r="AF1752">
        <v>0</v>
      </c>
      <c r="AG1752">
        <v>3</v>
      </c>
      <c r="AH1752">
        <v>0</v>
      </c>
      <c r="AI1752">
        <v>0</v>
      </c>
      <c r="AL1752" t="s">
        <v>5011</v>
      </c>
      <c r="AM1752">
        <v>0</v>
      </c>
      <c r="AS1752">
        <v>11.7</v>
      </c>
      <c r="AT1752" t="s">
        <v>509</v>
      </c>
      <c r="AU1752" t="s">
        <v>177</v>
      </c>
      <c r="AW1752" t="s">
        <v>11447</v>
      </c>
    </row>
    <row r="1753" spans="1:49">
      <c r="A1753" s="1">
        <f>HYPERLINK("https://lsnyc.legalserver.org/matter/dynamic-profile/view/1910823","19-1910823")</f>
        <v>0</v>
      </c>
      <c r="B1753" t="s">
        <v>109</v>
      </c>
      <c r="C1753" t="s">
        <v>601</v>
      </c>
      <c r="E1753" t="s">
        <v>1245</v>
      </c>
      <c r="F1753" t="s">
        <v>4578</v>
      </c>
      <c r="G1753" t="s">
        <v>7417</v>
      </c>
      <c r="H1753" t="s">
        <v>10633</v>
      </c>
      <c r="I1753" t="s">
        <v>11385</v>
      </c>
      <c r="J1753">
        <v>11238</v>
      </c>
      <c r="K1753" t="s">
        <v>11447</v>
      </c>
      <c r="L1753" t="s">
        <v>12019</v>
      </c>
      <c r="M1753" t="s">
        <v>14744</v>
      </c>
      <c r="N1753" t="s">
        <v>14781</v>
      </c>
      <c r="P1753" t="s">
        <v>14797</v>
      </c>
      <c r="Q1753" t="s">
        <v>11446</v>
      </c>
      <c r="S1753" t="s">
        <v>14827</v>
      </c>
      <c r="T1753" t="s">
        <v>14832</v>
      </c>
      <c r="V1753">
        <v>1119.8</v>
      </c>
      <c r="W1753" t="s">
        <v>14859</v>
      </c>
      <c r="X1753" t="s">
        <v>14873</v>
      </c>
      <c r="Z1753" t="s">
        <v>16431</v>
      </c>
      <c r="AB1753" t="s">
        <v>21477</v>
      </c>
      <c r="AC1753">
        <v>38</v>
      </c>
      <c r="AD1753" t="s">
        <v>24595</v>
      </c>
      <c r="AE1753" t="s">
        <v>11459</v>
      </c>
      <c r="AF1753">
        <v>13</v>
      </c>
      <c r="AG1753">
        <v>1</v>
      </c>
      <c r="AH1753">
        <v>0</v>
      </c>
      <c r="AI1753">
        <v>0</v>
      </c>
      <c r="AL1753" t="s">
        <v>5011</v>
      </c>
      <c r="AM1753">
        <v>0</v>
      </c>
      <c r="AS1753">
        <v>7.3</v>
      </c>
      <c r="AT1753" t="s">
        <v>477</v>
      </c>
      <c r="AU1753" t="s">
        <v>109</v>
      </c>
      <c r="AW1753" t="s">
        <v>11447</v>
      </c>
    </row>
    <row r="1754" spans="1:49">
      <c r="A1754" s="1">
        <f>HYPERLINK("https://lsnyc.legalserver.org/matter/dynamic-profile/view/1902656","19-1902656")</f>
        <v>0</v>
      </c>
      <c r="B1754" t="s">
        <v>214</v>
      </c>
      <c r="C1754" t="s">
        <v>371</v>
      </c>
      <c r="E1754" t="s">
        <v>1438</v>
      </c>
      <c r="F1754" t="s">
        <v>4579</v>
      </c>
      <c r="G1754" t="s">
        <v>7578</v>
      </c>
      <c r="H1754" t="s">
        <v>10481</v>
      </c>
      <c r="I1754" t="s">
        <v>11385</v>
      </c>
      <c r="J1754">
        <v>11233</v>
      </c>
      <c r="K1754" t="s">
        <v>11446</v>
      </c>
      <c r="L1754" t="s">
        <v>11459</v>
      </c>
      <c r="M1754" t="s">
        <v>11601</v>
      </c>
      <c r="P1754" t="s">
        <v>14797</v>
      </c>
      <c r="Q1754" t="s">
        <v>11448</v>
      </c>
      <c r="S1754" t="s">
        <v>14827</v>
      </c>
      <c r="T1754" t="s">
        <v>14832</v>
      </c>
      <c r="V1754">
        <v>333</v>
      </c>
      <c r="W1754" t="s">
        <v>14859</v>
      </c>
      <c r="X1754" t="s">
        <v>14872</v>
      </c>
      <c r="Z1754" t="s">
        <v>16432</v>
      </c>
      <c r="AA1754" t="s">
        <v>19336</v>
      </c>
      <c r="AB1754" t="s">
        <v>21478</v>
      </c>
      <c r="AC1754">
        <v>6</v>
      </c>
      <c r="AD1754" t="s">
        <v>24600</v>
      </c>
      <c r="AE1754" t="s">
        <v>24610</v>
      </c>
      <c r="AF1754">
        <v>10</v>
      </c>
      <c r="AG1754">
        <v>1</v>
      </c>
      <c r="AH1754">
        <v>0</v>
      </c>
      <c r="AI1754">
        <v>0</v>
      </c>
      <c r="AL1754" t="s">
        <v>5011</v>
      </c>
      <c r="AM1754">
        <v>0</v>
      </c>
      <c r="AS1754">
        <v>5</v>
      </c>
      <c r="AT1754" t="s">
        <v>659</v>
      </c>
      <c r="AU1754" t="s">
        <v>66</v>
      </c>
      <c r="AV1754" t="s">
        <v>25335</v>
      </c>
      <c r="AW1754" t="s">
        <v>11447</v>
      </c>
    </row>
    <row r="1755" spans="1:49">
      <c r="A1755" s="1">
        <f>HYPERLINK("https://lsnyc.legalserver.org/matter/dynamic-profile/view/1906010","19-1906010")</f>
        <v>0</v>
      </c>
      <c r="B1755" t="s">
        <v>107</v>
      </c>
      <c r="C1755" t="s">
        <v>461</v>
      </c>
      <c r="E1755" t="s">
        <v>1025</v>
      </c>
      <c r="F1755" t="s">
        <v>4341</v>
      </c>
      <c r="G1755" t="s">
        <v>7152</v>
      </c>
      <c r="I1755" t="s">
        <v>11385</v>
      </c>
      <c r="J1755">
        <v>11233</v>
      </c>
      <c r="K1755" t="s">
        <v>11448</v>
      </c>
      <c r="L1755" t="s">
        <v>11474</v>
      </c>
      <c r="M1755" t="s">
        <v>11601</v>
      </c>
      <c r="P1755" t="s">
        <v>14797</v>
      </c>
      <c r="Q1755" t="s">
        <v>11448</v>
      </c>
      <c r="S1755" t="s">
        <v>14827</v>
      </c>
      <c r="T1755" t="s">
        <v>14832</v>
      </c>
      <c r="V1755">
        <v>0</v>
      </c>
      <c r="W1755" t="s">
        <v>14859</v>
      </c>
      <c r="X1755" t="s">
        <v>14755</v>
      </c>
      <c r="Z1755" t="s">
        <v>16153</v>
      </c>
      <c r="AB1755" t="s">
        <v>21127</v>
      </c>
      <c r="AC1755">
        <v>1117</v>
      </c>
      <c r="AD1755" t="s">
        <v>24595</v>
      </c>
      <c r="AF1755">
        <v>1</v>
      </c>
      <c r="AG1755">
        <v>1</v>
      </c>
      <c r="AH1755">
        <v>0</v>
      </c>
      <c r="AI1755">
        <v>0</v>
      </c>
      <c r="AL1755" t="s">
        <v>5011</v>
      </c>
      <c r="AM1755">
        <v>0</v>
      </c>
      <c r="AS1755">
        <v>0</v>
      </c>
      <c r="AU1755" t="s">
        <v>66</v>
      </c>
      <c r="AV1755" t="s">
        <v>11459</v>
      </c>
      <c r="AW1755" t="s">
        <v>11447</v>
      </c>
    </row>
    <row r="1756" spans="1:49">
      <c r="A1756" s="1">
        <f>HYPERLINK("https://lsnyc.legalserver.org/matter/dynamic-profile/view/1914877","19-1914877")</f>
        <v>0</v>
      </c>
      <c r="B1756" t="s">
        <v>236</v>
      </c>
      <c r="C1756" t="s">
        <v>537</v>
      </c>
      <c r="E1756" t="s">
        <v>1218</v>
      </c>
      <c r="F1756" t="s">
        <v>1893</v>
      </c>
      <c r="G1756" t="s">
        <v>6985</v>
      </c>
      <c r="H1756" t="s">
        <v>10568</v>
      </c>
      <c r="I1756" t="s">
        <v>11385</v>
      </c>
      <c r="J1756">
        <v>11233</v>
      </c>
      <c r="K1756" t="s">
        <v>11448</v>
      </c>
      <c r="L1756" t="s">
        <v>11456</v>
      </c>
      <c r="M1756" t="s">
        <v>11601</v>
      </c>
      <c r="P1756" t="s">
        <v>14797</v>
      </c>
      <c r="Q1756" t="s">
        <v>11448</v>
      </c>
      <c r="S1756" t="s">
        <v>14827</v>
      </c>
      <c r="T1756" t="s">
        <v>14832</v>
      </c>
      <c r="V1756">
        <v>1111</v>
      </c>
      <c r="W1756" t="s">
        <v>14859</v>
      </c>
      <c r="X1756" t="s">
        <v>14864</v>
      </c>
      <c r="Z1756" t="s">
        <v>16433</v>
      </c>
      <c r="AA1756" t="s">
        <v>11459</v>
      </c>
      <c r="AB1756" t="s">
        <v>21479</v>
      </c>
      <c r="AC1756">
        <v>0</v>
      </c>
      <c r="AD1756" t="s">
        <v>24595</v>
      </c>
      <c r="AE1756" t="s">
        <v>11459</v>
      </c>
      <c r="AF1756">
        <v>23</v>
      </c>
      <c r="AG1756">
        <v>1</v>
      </c>
      <c r="AH1756">
        <v>0</v>
      </c>
      <c r="AI1756">
        <v>0</v>
      </c>
      <c r="AL1756" t="s">
        <v>5011</v>
      </c>
      <c r="AM1756">
        <v>0</v>
      </c>
      <c r="AS1756">
        <v>0</v>
      </c>
      <c r="AU1756" t="s">
        <v>66</v>
      </c>
      <c r="AV1756" t="s">
        <v>11459</v>
      </c>
      <c r="AW1756" t="s">
        <v>11447</v>
      </c>
    </row>
    <row r="1757" spans="1:49">
      <c r="A1757" s="1">
        <f>HYPERLINK("https://lsnyc.legalserver.org/matter/dynamic-profile/view/1883539","18-1883539")</f>
        <v>0</v>
      </c>
      <c r="B1757" t="s">
        <v>177</v>
      </c>
      <c r="C1757" t="s">
        <v>668</v>
      </c>
      <c r="E1757" t="s">
        <v>2039</v>
      </c>
      <c r="F1757" t="s">
        <v>4580</v>
      </c>
      <c r="G1757" t="s">
        <v>7579</v>
      </c>
      <c r="H1757" t="s">
        <v>10510</v>
      </c>
      <c r="I1757" t="s">
        <v>11385</v>
      </c>
      <c r="J1757">
        <v>11226</v>
      </c>
      <c r="K1757" t="s">
        <v>11447</v>
      </c>
      <c r="P1757" t="s">
        <v>14797</v>
      </c>
      <c r="R1757" t="s">
        <v>14820</v>
      </c>
      <c r="S1757" t="s">
        <v>14827</v>
      </c>
      <c r="V1757">
        <v>0</v>
      </c>
      <c r="W1757" t="s">
        <v>14859</v>
      </c>
      <c r="Z1757" t="s">
        <v>16434</v>
      </c>
      <c r="AB1757" t="s">
        <v>21480</v>
      </c>
      <c r="AC1757">
        <v>0</v>
      </c>
      <c r="AF1757">
        <v>0</v>
      </c>
      <c r="AG1757">
        <v>2</v>
      </c>
      <c r="AH1757">
        <v>0</v>
      </c>
      <c r="AI1757">
        <v>0</v>
      </c>
      <c r="AL1757" t="s">
        <v>24641</v>
      </c>
      <c r="AM1757">
        <v>0</v>
      </c>
      <c r="AN1757" t="s">
        <v>24788</v>
      </c>
      <c r="AS1757">
        <v>0.9</v>
      </c>
      <c r="AT1757" t="s">
        <v>458</v>
      </c>
      <c r="AU1757" t="s">
        <v>177</v>
      </c>
      <c r="AW1757" t="s">
        <v>11447</v>
      </c>
    </row>
    <row r="1758" spans="1:49">
      <c r="A1758" s="1">
        <f>HYPERLINK("https://lsnyc.legalserver.org/matter/dynamic-profile/view/1884209","18-1884209")</f>
        <v>0</v>
      </c>
      <c r="B1758" t="s">
        <v>177</v>
      </c>
      <c r="C1758" t="s">
        <v>667</v>
      </c>
      <c r="E1758" t="s">
        <v>1125</v>
      </c>
      <c r="F1758" t="s">
        <v>4581</v>
      </c>
      <c r="G1758" t="s">
        <v>7579</v>
      </c>
      <c r="H1758" t="s">
        <v>10557</v>
      </c>
      <c r="I1758" t="s">
        <v>11385</v>
      </c>
      <c r="J1758">
        <v>11226</v>
      </c>
      <c r="K1758" t="s">
        <v>11447</v>
      </c>
      <c r="P1758" t="s">
        <v>14797</v>
      </c>
      <c r="R1758" t="s">
        <v>14820</v>
      </c>
      <c r="S1758" t="s">
        <v>14827</v>
      </c>
      <c r="V1758">
        <v>0</v>
      </c>
      <c r="W1758" t="s">
        <v>14859</v>
      </c>
      <c r="Z1758" t="s">
        <v>16435</v>
      </c>
      <c r="AC1758">
        <v>0</v>
      </c>
      <c r="AF1758">
        <v>0</v>
      </c>
      <c r="AG1758">
        <v>2</v>
      </c>
      <c r="AH1758">
        <v>0</v>
      </c>
      <c r="AI1758">
        <v>0</v>
      </c>
      <c r="AL1758" t="s">
        <v>5011</v>
      </c>
      <c r="AM1758">
        <v>0</v>
      </c>
      <c r="AS1758">
        <v>1.4</v>
      </c>
      <c r="AT1758" t="s">
        <v>458</v>
      </c>
      <c r="AU1758" t="s">
        <v>177</v>
      </c>
      <c r="AW1758" t="s">
        <v>11447</v>
      </c>
    </row>
    <row r="1759" spans="1:49">
      <c r="A1759" s="1">
        <f>HYPERLINK("https://lsnyc.legalserver.org/matter/dynamic-profile/view/1884985","18-1884985")</f>
        <v>0</v>
      </c>
      <c r="B1759" t="s">
        <v>177</v>
      </c>
      <c r="C1759" t="s">
        <v>669</v>
      </c>
      <c r="E1759" t="s">
        <v>1245</v>
      </c>
      <c r="F1759" t="s">
        <v>4582</v>
      </c>
      <c r="G1759" t="s">
        <v>7580</v>
      </c>
      <c r="H1759" t="s">
        <v>10598</v>
      </c>
      <c r="I1759" t="s">
        <v>11385</v>
      </c>
      <c r="J1759">
        <v>11226</v>
      </c>
      <c r="K1759" t="s">
        <v>11447</v>
      </c>
      <c r="N1759" t="s">
        <v>14780</v>
      </c>
      <c r="P1759" t="s">
        <v>14797</v>
      </c>
      <c r="S1759" t="s">
        <v>14827</v>
      </c>
      <c r="V1759">
        <v>0</v>
      </c>
      <c r="W1759" t="s">
        <v>14859</v>
      </c>
      <c r="Z1759" t="s">
        <v>16436</v>
      </c>
      <c r="AB1759" t="s">
        <v>21481</v>
      </c>
      <c r="AC1759">
        <v>0</v>
      </c>
      <c r="AF1759">
        <v>0</v>
      </c>
      <c r="AG1759">
        <v>2</v>
      </c>
      <c r="AH1759">
        <v>0</v>
      </c>
      <c r="AI1759">
        <v>0</v>
      </c>
      <c r="AL1759" t="s">
        <v>5011</v>
      </c>
      <c r="AM1759">
        <v>0</v>
      </c>
      <c r="AS1759">
        <v>3.8</v>
      </c>
      <c r="AT1759" t="s">
        <v>784</v>
      </c>
      <c r="AU1759" t="s">
        <v>177</v>
      </c>
      <c r="AW1759" t="s">
        <v>11447</v>
      </c>
    </row>
    <row r="1760" spans="1:49">
      <c r="A1760" s="1">
        <f>HYPERLINK("https://lsnyc.legalserver.org/matter/dynamic-profile/view/1876016","18-1876016")</f>
        <v>0</v>
      </c>
      <c r="B1760" t="s">
        <v>174</v>
      </c>
      <c r="C1760" t="s">
        <v>670</v>
      </c>
      <c r="E1760" t="s">
        <v>1502</v>
      </c>
      <c r="F1760" t="s">
        <v>3589</v>
      </c>
      <c r="G1760" t="s">
        <v>7581</v>
      </c>
      <c r="H1760" t="s">
        <v>10865</v>
      </c>
      <c r="I1760" t="s">
        <v>11385</v>
      </c>
      <c r="J1760">
        <v>11225</v>
      </c>
      <c r="K1760" t="s">
        <v>11446</v>
      </c>
      <c r="L1760" t="s">
        <v>11601</v>
      </c>
      <c r="M1760" t="s">
        <v>11601</v>
      </c>
      <c r="N1760" t="s">
        <v>14779</v>
      </c>
      <c r="P1760" t="s">
        <v>14797</v>
      </c>
      <c r="Q1760" t="s">
        <v>11448</v>
      </c>
      <c r="S1760" t="s">
        <v>14827</v>
      </c>
      <c r="V1760">
        <v>978.0700000000001</v>
      </c>
      <c r="W1760" t="s">
        <v>14859</v>
      </c>
      <c r="Z1760" t="s">
        <v>16437</v>
      </c>
      <c r="AB1760" t="s">
        <v>21482</v>
      </c>
      <c r="AC1760">
        <v>89</v>
      </c>
      <c r="AD1760" t="s">
        <v>24595</v>
      </c>
      <c r="AE1760" t="s">
        <v>11459</v>
      </c>
      <c r="AF1760">
        <v>28</v>
      </c>
      <c r="AG1760">
        <v>1</v>
      </c>
      <c r="AH1760">
        <v>0</v>
      </c>
      <c r="AI1760">
        <v>0</v>
      </c>
      <c r="AL1760" t="s">
        <v>5011</v>
      </c>
      <c r="AM1760">
        <v>0</v>
      </c>
      <c r="AN1760" t="s">
        <v>24789</v>
      </c>
      <c r="AS1760">
        <v>0</v>
      </c>
      <c r="AU1760" t="s">
        <v>66</v>
      </c>
      <c r="AW1760" t="s">
        <v>11446</v>
      </c>
    </row>
    <row r="1761" spans="1:49">
      <c r="A1761" s="1">
        <f>HYPERLINK("https://lsnyc.legalserver.org/matter/dynamic-profile/view/1913355","19-1913355")</f>
        <v>0</v>
      </c>
      <c r="B1761" t="s">
        <v>226</v>
      </c>
      <c r="C1761" t="s">
        <v>483</v>
      </c>
      <c r="E1761" t="s">
        <v>1030</v>
      </c>
      <c r="F1761" t="s">
        <v>3709</v>
      </c>
      <c r="G1761" t="s">
        <v>7582</v>
      </c>
      <c r="H1761" t="s">
        <v>10506</v>
      </c>
      <c r="I1761" t="s">
        <v>11385</v>
      </c>
      <c r="J1761">
        <v>11212</v>
      </c>
      <c r="K1761" t="s">
        <v>11447</v>
      </c>
      <c r="L1761" t="s">
        <v>12020</v>
      </c>
      <c r="M1761" t="s">
        <v>14743</v>
      </c>
      <c r="N1761" t="s">
        <v>14782</v>
      </c>
      <c r="P1761" t="s">
        <v>14797</v>
      </c>
      <c r="Q1761" t="s">
        <v>11448</v>
      </c>
      <c r="S1761" t="s">
        <v>14827</v>
      </c>
      <c r="V1761">
        <v>1400</v>
      </c>
      <c r="W1761" t="s">
        <v>14859</v>
      </c>
      <c r="X1761" t="s">
        <v>14877</v>
      </c>
      <c r="Z1761" t="s">
        <v>16438</v>
      </c>
      <c r="AB1761" t="s">
        <v>21483</v>
      </c>
      <c r="AC1761">
        <v>4</v>
      </c>
      <c r="AD1761" t="s">
        <v>24600</v>
      </c>
      <c r="AE1761" t="s">
        <v>11459</v>
      </c>
      <c r="AF1761">
        <v>3</v>
      </c>
      <c r="AG1761">
        <v>1</v>
      </c>
      <c r="AH1761">
        <v>0</v>
      </c>
      <c r="AI1761">
        <v>0</v>
      </c>
      <c r="AL1761" t="s">
        <v>5011</v>
      </c>
      <c r="AM1761">
        <v>0</v>
      </c>
      <c r="AS1761">
        <v>3</v>
      </c>
      <c r="AT1761" t="s">
        <v>521</v>
      </c>
      <c r="AU1761" t="s">
        <v>120</v>
      </c>
      <c r="AW1761" t="s">
        <v>11447</v>
      </c>
    </row>
    <row r="1762" spans="1:49">
      <c r="A1762" s="1">
        <f>HYPERLINK("https://lsnyc.legalserver.org/matter/dynamic-profile/view/1914075","19-1914075")</f>
        <v>0</v>
      </c>
      <c r="B1762" t="s">
        <v>177</v>
      </c>
      <c r="C1762" t="s">
        <v>580</v>
      </c>
      <c r="E1762" t="s">
        <v>2040</v>
      </c>
      <c r="F1762" t="s">
        <v>4583</v>
      </c>
      <c r="G1762" t="s">
        <v>7583</v>
      </c>
      <c r="H1762">
        <v>2</v>
      </c>
      <c r="I1762" t="s">
        <v>11385</v>
      </c>
      <c r="J1762">
        <v>11211</v>
      </c>
      <c r="K1762" t="s">
        <v>11447</v>
      </c>
      <c r="P1762" t="s">
        <v>14797</v>
      </c>
      <c r="S1762" t="s">
        <v>14827</v>
      </c>
      <c r="V1762">
        <v>0</v>
      </c>
      <c r="W1762" t="s">
        <v>14859</v>
      </c>
      <c r="Z1762" t="s">
        <v>16439</v>
      </c>
      <c r="AC1762">
        <v>0</v>
      </c>
      <c r="AF1762">
        <v>0</v>
      </c>
      <c r="AG1762">
        <v>2</v>
      </c>
      <c r="AH1762">
        <v>0</v>
      </c>
      <c r="AI1762">
        <v>0</v>
      </c>
      <c r="AL1762" t="s">
        <v>5011</v>
      </c>
      <c r="AM1762">
        <v>0</v>
      </c>
      <c r="AS1762">
        <v>0.6</v>
      </c>
      <c r="AT1762" t="s">
        <v>580</v>
      </c>
      <c r="AU1762" t="s">
        <v>177</v>
      </c>
      <c r="AW1762" t="s">
        <v>11447</v>
      </c>
    </row>
    <row r="1763" spans="1:49">
      <c r="A1763" s="1">
        <f>HYPERLINK("https://lsnyc.legalserver.org/matter/dynamic-profile/view/1870497","18-1870497")</f>
        <v>0</v>
      </c>
      <c r="B1763" t="s">
        <v>72</v>
      </c>
      <c r="C1763" t="s">
        <v>430</v>
      </c>
      <c r="E1763" t="s">
        <v>2041</v>
      </c>
      <c r="F1763" t="s">
        <v>4584</v>
      </c>
      <c r="G1763" t="s">
        <v>7584</v>
      </c>
      <c r="H1763" t="s">
        <v>10866</v>
      </c>
      <c r="I1763" t="s">
        <v>11385</v>
      </c>
      <c r="J1763">
        <v>11208</v>
      </c>
      <c r="K1763" t="s">
        <v>11447</v>
      </c>
      <c r="L1763" t="s">
        <v>12021</v>
      </c>
      <c r="M1763" t="s">
        <v>14746</v>
      </c>
      <c r="P1763" t="s">
        <v>14797</v>
      </c>
      <c r="S1763" t="s">
        <v>14827</v>
      </c>
      <c r="V1763">
        <v>800</v>
      </c>
      <c r="W1763" t="s">
        <v>14859</v>
      </c>
      <c r="Z1763" t="s">
        <v>16440</v>
      </c>
      <c r="AB1763" t="s">
        <v>21484</v>
      </c>
      <c r="AC1763">
        <v>8</v>
      </c>
      <c r="AD1763" t="s">
        <v>24595</v>
      </c>
      <c r="AE1763" t="s">
        <v>24615</v>
      </c>
      <c r="AF1763">
        <v>0</v>
      </c>
      <c r="AG1763">
        <v>1</v>
      </c>
      <c r="AH1763">
        <v>0</v>
      </c>
      <c r="AI1763">
        <v>0</v>
      </c>
      <c r="AL1763" t="s">
        <v>5011</v>
      </c>
      <c r="AM1763">
        <v>0</v>
      </c>
      <c r="AS1763">
        <v>25.3</v>
      </c>
      <c r="AT1763" t="s">
        <v>601</v>
      </c>
      <c r="AU1763" t="s">
        <v>25275</v>
      </c>
      <c r="AW1763" t="s">
        <v>11447</v>
      </c>
    </row>
    <row r="1764" spans="1:49">
      <c r="A1764" s="1">
        <f>HYPERLINK("https://lsnyc.legalserver.org/matter/dynamic-profile/view/1870507","18-1870507")</f>
        <v>0</v>
      </c>
      <c r="B1764" t="s">
        <v>72</v>
      </c>
      <c r="C1764" t="s">
        <v>430</v>
      </c>
      <c r="E1764" t="s">
        <v>1181</v>
      </c>
      <c r="F1764" t="s">
        <v>3655</v>
      </c>
      <c r="G1764" t="s">
        <v>7584</v>
      </c>
      <c r="H1764" t="s">
        <v>10702</v>
      </c>
      <c r="I1764" t="s">
        <v>11385</v>
      </c>
      <c r="J1764">
        <v>11208</v>
      </c>
      <c r="K1764" t="s">
        <v>11447</v>
      </c>
      <c r="L1764" t="s">
        <v>12021</v>
      </c>
      <c r="M1764" t="s">
        <v>14746</v>
      </c>
      <c r="P1764" t="s">
        <v>14797</v>
      </c>
      <c r="S1764" t="s">
        <v>14827</v>
      </c>
      <c r="V1764">
        <v>700</v>
      </c>
      <c r="W1764" t="s">
        <v>14859</v>
      </c>
      <c r="Z1764" t="s">
        <v>16441</v>
      </c>
      <c r="AB1764" t="s">
        <v>21485</v>
      </c>
      <c r="AC1764">
        <v>0</v>
      </c>
      <c r="AE1764" t="s">
        <v>14755</v>
      </c>
      <c r="AF1764">
        <v>2</v>
      </c>
      <c r="AG1764">
        <v>1</v>
      </c>
      <c r="AH1764">
        <v>0</v>
      </c>
      <c r="AI1764">
        <v>0</v>
      </c>
      <c r="AL1764" t="s">
        <v>5011</v>
      </c>
      <c r="AM1764">
        <v>0</v>
      </c>
      <c r="AS1764">
        <v>17.8</v>
      </c>
      <c r="AT1764" t="s">
        <v>654</v>
      </c>
      <c r="AU1764" t="s">
        <v>25275</v>
      </c>
      <c r="AW1764" t="s">
        <v>11447</v>
      </c>
    </row>
    <row r="1765" spans="1:49">
      <c r="A1765" s="1">
        <f>HYPERLINK("https://lsnyc.legalserver.org/matter/dynamic-profile/view/1911176","19-1911176")</f>
        <v>0</v>
      </c>
      <c r="B1765" t="s">
        <v>120</v>
      </c>
      <c r="C1765" t="s">
        <v>475</v>
      </c>
      <c r="E1765" t="s">
        <v>1478</v>
      </c>
      <c r="F1765" t="s">
        <v>3972</v>
      </c>
      <c r="G1765" t="s">
        <v>6833</v>
      </c>
      <c r="H1765" t="s">
        <v>10648</v>
      </c>
      <c r="I1765" t="s">
        <v>11385</v>
      </c>
      <c r="J1765">
        <v>11208</v>
      </c>
      <c r="K1765" t="s">
        <v>11447</v>
      </c>
      <c r="L1765" t="s">
        <v>11459</v>
      </c>
      <c r="M1765" t="s">
        <v>11601</v>
      </c>
      <c r="N1765" t="s">
        <v>14782</v>
      </c>
      <c r="P1765" t="s">
        <v>14797</v>
      </c>
      <c r="Q1765" t="s">
        <v>11448</v>
      </c>
      <c r="S1765" t="s">
        <v>14827</v>
      </c>
      <c r="V1765">
        <v>1200</v>
      </c>
      <c r="W1765" t="s">
        <v>14859</v>
      </c>
      <c r="X1765" t="s">
        <v>14873</v>
      </c>
      <c r="Z1765" t="s">
        <v>15463</v>
      </c>
      <c r="AA1765" t="s">
        <v>11459</v>
      </c>
      <c r="AB1765" t="s">
        <v>21486</v>
      </c>
      <c r="AC1765">
        <v>2</v>
      </c>
      <c r="AD1765" t="s">
        <v>24600</v>
      </c>
      <c r="AE1765" t="s">
        <v>11459</v>
      </c>
      <c r="AF1765">
        <v>11</v>
      </c>
      <c r="AG1765">
        <v>3</v>
      </c>
      <c r="AH1765">
        <v>1</v>
      </c>
      <c r="AI1765">
        <v>0</v>
      </c>
      <c r="AL1765" t="s">
        <v>5011</v>
      </c>
      <c r="AM1765">
        <v>0</v>
      </c>
      <c r="AS1765">
        <v>0</v>
      </c>
      <c r="AU1765" t="s">
        <v>120</v>
      </c>
      <c r="AW1765" t="s">
        <v>11447</v>
      </c>
    </row>
    <row r="1766" spans="1:49">
      <c r="A1766" s="1">
        <f>HYPERLINK("https://lsnyc.legalserver.org/matter/dynamic-profile/view/1903031","19-1903031")</f>
        <v>0</v>
      </c>
      <c r="B1766" t="s">
        <v>56</v>
      </c>
      <c r="C1766" t="s">
        <v>659</v>
      </c>
      <c r="E1766" t="s">
        <v>1969</v>
      </c>
      <c r="F1766" t="s">
        <v>3756</v>
      </c>
      <c r="G1766" t="s">
        <v>7585</v>
      </c>
      <c r="H1766">
        <v>318</v>
      </c>
      <c r="I1766" t="s">
        <v>11385</v>
      </c>
      <c r="J1766">
        <v>11208</v>
      </c>
      <c r="K1766" t="s">
        <v>11448</v>
      </c>
      <c r="L1766" t="s">
        <v>12022</v>
      </c>
      <c r="M1766" t="s">
        <v>14744</v>
      </c>
      <c r="N1766" t="s">
        <v>14781</v>
      </c>
      <c r="P1766" t="s">
        <v>14797</v>
      </c>
      <c r="Q1766" t="s">
        <v>11448</v>
      </c>
      <c r="S1766" t="s">
        <v>14827</v>
      </c>
      <c r="V1766">
        <v>1348</v>
      </c>
      <c r="W1766" t="s">
        <v>14859</v>
      </c>
      <c r="X1766" t="s">
        <v>14868</v>
      </c>
      <c r="Z1766" t="s">
        <v>16442</v>
      </c>
      <c r="AA1766" t="s">
        <v>19464</v>
      </c>
      <c r="AB1766" t="s">
        <v>21487</v>
      </c>
      <c r="AC1766">
        <v>323</v>
      </c>
      <c r="AD1766" t="s">
        <v>24595</v>
      </c>
      <c r="AE1766" t="s">
        <v>24616</v>
      </c>
      <c r="AF1766">
        <v>0</v>
      </c>
      <c r="AG1766">
        <v>1</v>
      </c>
      <c r="AH1766">
        <v>0</v>
      </c>
      <c r="AI1766">
        <v>0</v>
      </c>
      <c r="AL1766" t="s">
        <v>5011</v>
      </c>
      <c r="AM1766">
        <v>0</v>
      </c>
      <c r="AS1766">
        <v>3.1</v>
      </c>
      <c r="AT1766" t="s">
        <v>526</v>
      </c>
      <c r="AU1766" t="s">
        <v>120</v>
      </c>
      <c r="AV1766" t="s">
        <v>25334</v>
      </c>
      <c r="AW1766" t="s">
        <v>11447</v>
      </c>
    </row>
    <row r="1767" spans="1:49">
      <c r="A1767" s="1">
        <f>HYPERLINK("https://lsnyc.legalserver.org/matter/dynamic-profile/view/1889277","19-1889277")</f>
        <v>0</v>
      </c>
      <c r="B1767" t="s">
        <v>103</v>
      </c>
      <c r="C1767" t="s">
        <v>513</v>
      </c>
      <c r="E1767" t="s">
        <v>1794</v>
      </c>
      <c r="F1767" t="s">
        <v>1502</v>
      </c>
      <c r="G1767" t="s">
        <v>7586</v>
      </c>
      <c r="H1767">
        <v>3</v>
      </c>
      <c r="I1767" t="s">
        <v>11385</v>
      </c>
      <c r="J1767">
        <v>11207</v>
      </c>
      <c r="K1767" t="s">
        <v>11448</v>
      </c>
      <c r="L1767" t="s">
        <v>12023</v>
      </c>
      <c r="M1767" t="s">
        <v>14744</v>
      </c>
      <c r="N1767" t="s">
        <v>14778</v>
      </c>
      <c r="P1767" t="s">
        <v>14797</v>
      </c>
      <c r="Q1767" t="s">
        <v>11448</v>
      </c>
      <c r="S1767" t="s">
        <v>14827</v>
      </c>
      <c r="V1767">
        <v>2600</v>
      </c>
      <c r="W1767" t="s">
        <v>14859</v>
      </c>
      <c r="X1767" t="s">
        <v>14755</v>
      </c>
      <c r="Y1767" t="s">
        <v>14883</v>
      </c>
      <c r="Z1767" t="s">
        <v>16443</v>
      </c>
      <c r="AB1767" t="s">
        <v>21488</v>
      </c>
      <c r="AC1767">
        <v>3</v>
      </c>
      <c r="AD1767" t="s">
        <v>24600</v>
      </c>
      <c r="AE1767" t="s">
        <v>11459</v>
      </c>
      <c r="AF1767">
        <v>0</v>
      </c>
      <c r="AG1767">
        <v>1</v>
      </c>
      <c r="AH1767">
        <v>1</v>
      </c>
      <c r="AI1767">
        <v>0</v>
      </c>
      <c r="AL1767" t="s">
        <v>5011</v>
      </c>
      <c r="AM1767">
        <v>0</v>
      </c>
      <c r="AS1767">
        <v>2.25</v>
      </c>
      <c r="AT1767" t="s">
        <v>833</v>
      </c>
      <c r="AU1767" t="s">
        <v>25233</v>
      </c>
      <c r="AW1767" t="s">
        <v>11448</v>
      </c>
    </row>
    <row r="1768" spans="1:49">
      <c r="A1768" s="1">
        <f>HYPERLINK("https://lsnyc.legalserver.org/matter/dynamic-profile/view/1908579","19-1908579")</f>
        <v>0</v>
      </c>
      <c r="B1768" t="s">
        <v>103</v>
      </c>
      <c r="C1768" t="s">
        <v>466</v>
      </c>
      <c r="E1768" t="s">
        <v>1101</v>
      </c>
      <c r="F1768" t="s">
        <v>3686</v>
      </c>
      <c r="G1768" t="s">
        <v>7587</v>
      </c>
      <c r="H1768" t="s">
        <v>10867</v>
      </c>
      <c r="I1768" t="s">
        <v>11385</v>
      </c>
      <c r="J1768">
        <v>11207</v>
      </c>
      <c r="K1768" t="s">
        <v>11446</v>
      </c>
      <c r="L1768" t="s">
        <v>12024</v>
      </c>
      <c r="M1768" t="s">
        <v>14744</v>
      </c>
      <c r="N1768" t="s">
        <v>14782</v>
      </c>
      <c r="P1768" t="s">
        <v>14797</v>
      </c>
      <c r="S1768" t="s">
        <v>14827</v>
      </c>
      <c r="V1768">
        <v>710</v>
      </c>
      <c r="W1768" t="s">
        <v>14859</v>
      </c>
      <c r="X1768" t="s">
        <v>14865</v>
      </c>
      <c r="Z1768" t="s">
        <v>16444</v>
      </c>
      <c r="AB1768" t="s">
        <v>21489</v>
      </c>
      <c r="AC1768">
        <v>0</v>
      </c>
      <c r="AF1768">
        <v>0</v>
      </c>
      <c r="AG1768">
        <v>1</v>
      </c>
      <c r="AH1768">
        <v>0</v>
      </c>
      <c r="AI1768">
        <v>0</v>
      </c>
      <c r="AL1768" t="s">
        <v>5011</v>
      </c>
      <c r="AM1768">
        <v>0</v>
      </c>
      <c r="AS1768">
        <v>1.5</v>
      </c>
      <c r="AT1768" t="s">
        <v>585</v>
      </c>
      <c r="AU1768" t="s">
        <v>25275</v>
      </c>
      <c r="AV1768" t="s">
        <v>25335</v>
      </c>
      <c r="AW1768" t="s">
        <v>11447</v>
      </c>
    </row>
    <row r="1769" spans="1:49">
      <c r="A1769" s="1">
        <f>HYPERLINK("https://lsnyc.legalserver.org/matter/dynamic-profile/view/1907572","19-1907572")</f>
        <v>0</v>
      </c>
      <c r="B1769" t="s">
        <v>59</v>
      </c>
      <c r="C1769" t="s">
        <v>630</v>
      </c>
      <c r="E1769" t="s">
        <v>2042</v>
      </c>
      <c r="F1769" t="s">
        <v>1430</v>
      </c>
      <c r="G1769" t="s">
        <v>7588</v>
      </c>
      <c r="I1769" t="s">
        <v>11420</v>
      </c>
      <c r="J1769">
        <v>11104</v>
      </c>
      <c r="K1769" t="s">
        <v>11447</v>
      </c>
      <c r="N1769" t="s">
        <v>14778</v>
      </c>
      <c r="P1769" t="s">
        <v>14797</v>
      </c>
      <c r="Q1769" t="s">
        <v>11448</v>
      </c>
      <c r="S1769" t="s">
        <v>14827</v>
      </c>
      <c r="T1769" t="s">
        <v>14832</v>
      </c>
      <c r="V1769">
        <v>513.9299999999999</v>
      </c>
      <c r="W1769" t="s">
        <v>14861</v>
      </c>
      <c r="X1769" t="s">
        <v>14864</v>
      </c>
      <c r="AC1769">
        <v>8</v>
      </c>
      <c r="AE1769" t="s">
        <v>24613</v>
      </c>
      <c r="AF1769">
        <v>0</v>
      </c>
      <c r="AG1769">
        <v>1</v>
      </c>
      <c r="AH1769">
        <v>0</v>
      </c>
      <c r="AI1769">
        <v>0</v>
      </c>
      <c r="AL1769" t="s">
        <v>24638</v>
      </c>
      <c r="AM1769">
        <v>0</v>
      </c>
      <c r="AS1769">
        <v>0.2</v>
      </c>
      <c r="AT1769" t="s">
        <v>630</v>
      </c>
      <c r="AU1769" t="s">
        <v>59</v>
      </c>
      <c r="AW1769" t="s">
        <v>11447</v>
      </c>
    </row>
    <row r="1770" spans="1:49">
      <c r="A1770" s="1">
        <f>HYPERLINK("https://lsnyc.legalserver.org/matter/dynamic-profile/view/1907532","19-1907532")</f>
        <v>0</v>
      </c>
      <c r="B1770" t="s">
        <v>67</v>
      </c>
      <c r="C1770" t="s">
        <v>465</v>
      </c>
      <c r="E1770" t="s">
        <v>1025</v>
      </c>
      <c r="F1770" t="s">
        <v>3714</v>
      </c>
      <c r="G1770" t="s">
        <v>6479</v>
      </c>
      <c r="H1770" t="s">
        <v>10559</v>
      </c>
      <c r="I1770" t="s">
        <v>11383</v>
      </c>
      <c r="J1770">
        <v>10474</v>
      </c>
      <c r="K1770" t="s">
        <v>11447</v>
      </c>
      <c r="L1770" t="s">
        <v>12025</v>
      </c>
      <c r="M1770" t="s">
        <v>14762</v>
      </c>
      <c r="N1770" t="s">
        <v>14783</v>
      </c>
      <c r="P1770" t="s">
        <v>14797</v>
      </c>
      <c r="S1770" t="s">
        <v>14827</v>
      </c>
      <c r="V1770">
        <v>0</v>
      </c>
      <c r="W1770" t="s">
        <v>14858</v>
      </c>
      <c r="Z1770" t="s">
        <v>15104</v>
      </c>
      <c r="AB1770" t="s">
        <v>20271</v>
      </c>
      <c r="AC1770">
        <v>0</v>
      </c>
      <c r="AF1770">
        <v>0</v>
      </c>
      <c r="AG1770">
        <v>2</v>
      </c>
      <c r="AH1770">
        <v>3</v>
      </c>
      <c r="AI1770">
        <v>0</v>
      </c>
      <c r="AL1770" t="s">
        <v>24632</v>
      </c>
      <c r="AM1770">
        <v>0</v>
      </c>
      <c r="AS1770">
        <v>0</v>
      </c>
      <c r="AU1770" t="s">
        <v>67</v>
      </c>
      <c r="AW1770" t="s">
        <v>11447</v>
      </c>
    </row>
    <row r="1771" spans="1:49">
      <c r="A1771" s="1">
        <f>HYPERLINK("https://lsnyc.legalserver.org/matter/dynamic-profile/view/1907538","19-1907538")</f>
        <v>0</v>
      </c>
      <c r="B1771" t="s">
        <v>78</v>
      </c>
      <c r="C1771" t="s">
        <v>465</v>
      </c>
      <c r="E1771" t="s">
        <v>1029</v>
      </c>
      <c r="F1771" t="s">
        <v>4011</v>
      </c>
      <c r="G1771" t="s">
        <v>6891</v>
      </c>
      <c r="H1771" t="s">
        <v>10510</v>
      </c>
      <c r="I1771" t="s">
        <v>11383</v>
      </c>
      <c r="J1771">
        <v>10470</v>
      </c>
      <c r="K1771" t="s">
        <v>11446</v>
      </c>
      <c r="M1771" t="s">
        <v>11601</v>
      </c>
      <c r="N1771" t="s">
        <v>14778</v>
      </c>
      <c r="P1771" t="s">
        <v>14797</v>
      </c>
      <c r="R1771" t="s">
        <v>14797</v>
      </c>
      <c r="S1771" t="s">
        <v>14827</v>
      </c>
      <c r="T1771" t="s">
        <v>14832</v>
      </c>
      <c r="V1771">
        <v>0</v>
      </c>
      <c r="W1771" t="s">
        <v>14858</v>
      </c>
      <c r="Z1771" t="s">
        <v>15522</v>
      </c>
      <c r="AB1771" t="s">
        <v>20640</v>
      </c>
      <c r="AC1771">
        <v>0</v>
      </c>
      <c r="AE1771" t="s">
        <v>11459</v>
      </c>
      <c r="AF1771">
        <v>12</v>
      </c>
      <c r="AG1771">
        <v>1</v>
      </c>
      <c r="AH1771">
        <v>4</v>
      </c>
      <c r="AI1771">
        <v>0</v>
      </c>
      <c r="AL1771" t="s">
        <v>5011</v>
      </c>
      <c r="AM1771">
        <v>0</v>
      </c>
      <c r="AS1771">
        <v>0.2</v>
      </c>
      <c r="AT1771" t="s">
        <v>528</v>
      </c>
      <c r="AU1771" t="s">
        <v>78</v>
      </c>
      <c r="AV1771" t="s">
        <v>25335</v>
      </c>
      <c r="AW1771" t="s">
        <v>11447</v>
      </c>
    </row>
    <row r="1772" spans="1:49">
      <c r="A1772" s="1">
        <f>HYPERLINK("https://lsnyc.legalserver.org/matter/dynamic-profile/view/1907622","19-1907622")</f>
        <v>0</v>
      </c>
      <c r="B1772" t="s">
        <v>102</v>
      </c>
      <c r="C1772" t="s">
        <v>630</v>
      </c>
      <c r="E1772" t="s">
        <v>2043</v>
      </c>
      <c r="F1772" t="s">
        <v>3901</v>
      </c>
      <c r="G1772" t="s">
        <v>7589</v>
      </c>
      <c r="H1772" t="s">
        <v>10489</v>
      </c>
      <c r="I1772" t="s">
        <v>11383</v>
      </c>
      <c r="J1772">
        <v>10470</v>
      </c>
      <c r="K1772" t="s">
        <v>11446</v>
      </c>
      <c r="M1772" t="s">
        <v>11601</v>
      </c>
      <c r="N1772" t="s">
        <v>14778</v>
      </c>
      <c r="P1772" t="s">
        <v>14797</v>
      </c>
      <c r="Q1772" t="s">
        <v>11448</v>
      </c>
      <c r="S1772" t="s">
        <v>14827</v>
      </c>
      <c r="V1772">
        <v>0</v>
      </c>
      <c r="W1772" t="s">
        <v>14858</v>
      </c>
      <c r="X1772" t="s">
        <v>14867</v>
      </c>
      <c r="Z1772" t="s">
        <v>16445</v>
      </c>
      <c r="AC1772">
        <v>0</v>
      </c>
      <c r="AF1772">
        <v>0</v>
      </c>
      <c r="AG1772">
        <v>1</v>
      </c>
      <c r="AH1772">
        <v>0</v>
      </c>
      <c r="AI1772">
        <v>0</v>
      </c>
      <c r="AL1772" t="s">
        <v>5011</v>
      </c>
      <c r="AM1772">
        <v>0</v>
      </c>
      <c r="AS1772">
        <v>0.2</v>
      </c>
      <c r="AT1772" t="s">
        <v>630</v>
      </c>
      <c r="AU1772" t="s">
        <v>102</v>
      </c>
      <c r="AW1772" t="s">
        <v>11447</v>
      </c>
    </row>
    <row r="1773" spans="1:49">
      <c r="A1773" s="1">
        <f>HYPERLINK("https://lsnyc.legalserver.org/matter/dynamic-profile/view/1913859","19-1913859")</f>
        <v>0</v>
      </c>
      <c r="B1773" t="s">
        <v>186</v>
      </c>
      <c r="C1773" t="s">
        <v>533</v>
      </c>
      <c r="E1773" t="s">
        <v>1224</v>
      </c>
      <c r="F1773" t="s">
        <v>3966</v>
      </c>
      <c r="G1773" t="s">
        <v>7590</v>
      </c>
      <c r="I1773" t="s">
        <v>11383</v>
      </c>
      <c r="J1773">
        <v>10466</v>
      </c>
      <c r="K1773" t="s">
        <v>11446</v>
      </c>
      <c r="N1773" t="s">
        <v>14779</v>
      </c>
      <c r="P1773" t="s">
        <v>14797</v>
      </c>
      <c r="S1773" t="s">
        <v>14827</v>
      </c>
      <c r="V1773">
        <v>0</v>
      </c>
      <c r="W1773" t="s">
        <v>14858</v>
      </c>
      <c r="X1773" t="s">
        <v>14876</v>
      </c>
      <c r="Z1773" t="s">
        <v>16446</v>
      </c>
      <c r="AA1773" t="s">
        <v>19465</v>
      </c>
      <c r="AB1773" t="s">
        <v>21490</v>
      </c>
      <c r="AC1773">
        <v>4</v>
      </c>
      <c r="AE1773" t="s">
        <v>24615</v>
      </c>
      <c r="AF1773">
        <v>0</v>
      </c>
      <c r="AG1773">
        <v>1</v>
      </c>
      <c r="AH1773">
        <v>1</v>
      </c>
      <c r="AI1773">
        <v>0</v>
      </c>
      <c r="AL1773" t="s">
        <v>5011</v>
      </c>
      <c r="AM1773">
        <v>0</v>
      </c>
      <c r="AS1773">
        <v>0.5</v>
      </c>
      <c r="AT1773" t="s">
        <v>516</v>
      </c>
      <c r="AU1773" t="s">
        <v>186</v>
      </c>
      <c r="AV1773" t="s">
        <v>25335</v>
      </c>
      <c r="AW1773" t="s">
        <v>11447</v>
      </c>
    </row>
    <row r="1774" spans="1:49">
      <c r="A1774" s="1">
        <f>HYPERLINK("https://lsnyc.legalserver.org/matter/dynamic-profile/view/1908417","19-1908417")</f>
        <v>0</v>
      </c>
      <c r="B1774" t="s">
        <v>69</v>
      </c>
      <c r="C1774" t="s">
        <v>464</v>
      </c>
      <c r="E1774" t="s">
        <v>2044</v>
      </c>
      <c r="F1774" t="s">
        <v>3901</v>
      </c>
      <c r="G1774" t="s">
        <v>7591</v>
      </c>
      <c r="H1774" t="s">
        <v>10452</v>
      </c>
      <c r="I1774" t="s">
        <v>11383</v>
      </c>
      <c r="J1774">
        <v>10462</v>
      </c>
      <c r="K1774" t="s">
        <v>11446</v>
      </c>
      <c r="M1774" t="s">
        <v>14767</v>
      </c>
      <c r="N1774" t="s">
        <v>14780</v>
      </c>
      <c r="P1774" t="s">
        <v>14797</v>
      </c>
      <c r="Q1774" t="s">
        <v>11448</v>
      </c>
      <c r="S1774" t="s">
        <v>14830</v>
      </c>
      <c r="V1774">
        <v>0</v>
      </c>
      <c r="W1774" t="s">
        <v>14858</v>
      </c>
      <c r="X1774" t="s">
        <v>14868</v>
      </c>
      <c r="Z1774" t="s">
        <v>16447</v>
      </c>
      <c r="AA1774" t="s">
        <v>19466</v>
      </c>
      <c r="AB1774" t="s">
        <v>21491</v>
      </c>
      <c r="AC1774">
        <v>79</v>
      </c>
      <c r="AD1774" t="s">
        <v>24595</v>
      </c>
      <c r="AE1774" t="s">
        <v>24610</v>
      </c>
      <c r="AF1774">
        <v>8</v>
      </c>
      <c r="AG1774">
        <v>2</v>
      </c>
      <c r="AH1774">
        <v>0</v>
      </c>
      <c r="AI1774">
        <v>0</v>
      </c>
      <c r="AL1774" t="s">
        <v>5011</v>
      </c>
      <c r="AM1774">
        <v>0</v>
      </c>
      <c r="AS1774">
        <v>0.5</v>
      </c>
      <c r="AT1774" t="s">
        <v>464</v>
      </c>
      <c r="AU1774" t="s">
        <v>25239</v>
      </c>
      <c r="AV1774" t="s">
        <v>25335</v>
      </c>
      <c r="AW1774" t="s">
        <v>11447</v>
      </c>
    </row>
    <row r="1775" spans="1:49">
      <c r="A1775" s="1">
        <f>HYPERLINK("https://lsnyc.legalserver.org/matter/dynamic-profile/view/1892178","19-1892178")</f>
        <v>0</v>
      </c>
      <c r="B1775" t="s">
        <v>125</v>
      </c>
      <c r="C1775" t="s">
        <v>358</v>
      </c>
      <c r="E1775" t="s">
        <v>1033</v>
      </c>
      <c r="F1775" t="s">
        <v>4046</v>
      </c>
      <c r="G1775" t="s">
        <v>7592</v>
      </c>
      <c r="H1775" t="s">
        <v>10868</v>
      </c>
      <c r="I1775" t="s">
        <v>11383</v>
      </c>
      <c r="J1775">
        <v>10458</v>
      </c>
      <c r="K1775" t="s">
        <v>11448</v>
      </c>
      <c r="M1775" t="s">
        <v>14747</v>
      </c>
      <c r="N1775" t="s">
        <v>14779</v>
      </c>
      <c r="P1775" t="s">
        <v>14797</v>
      </c>
      <c r="Q1775" t="s">
        <v>11448</v>
      </c>
      <c r="S1775" t="s">
        <v>14827</v>
      </c>
      <c r="V1775">
        <v>0</v>
      </c>
      <c r="W1775" t="s">
        <v>14858</v>
      </c>
      <c r="AC1775">
        <v>22</v>
      </c>
      <c r="AF1775">
        <v>0</v>
      </c>
      <c r="AG1775">
        <v>1</v>
      </c>
      <c r="AH1775">
        <v>0</v>
      </c>
      <c r="AI1775">
        <v>0</v>
      </c>
      <c r="AL1775" t="s">
        <v>5011</v>
      </c>
      <c r="AM1775">
        <v>0</v>
      </c>
      <c r="AN1775" t="s">
        <v>24790</v>
      </c>
      <c r="AS1775">
        <v>15.1</v>
      </c>
      <c r="AT1775" t="s">
        <v>516</v>
      </c>
      <c r="AU1775" t="s">
        <v>25239</v>
      </c>
      <c r="AW1775" t="s">
        <v>11448</v>
      </c>
    </row>
    <row r="1776" spans="1:49">
      <c r="A1776" s="1">
        <f>HYPERLINK("https://lsnyc.legalserver.org/matter/dynamic-profile/view/1908006","19-1908006")</f>
        <v>0</v>
      </c>
      <c r="B1776" t="s">
        <v>119</v>
      </c>
      <c r="C1776" t="s">
        <v>458</v>
      </c>
      <c r="E1776" t="s">
        <v>2045</v>
      </c>
      <c r="F1776" t="s">
        <v>4531</v>
      </c>
      <c r="G1776" t="s">
        <v>7085</v>
      </c>
      <c r="H1776" t="s">
        <v>10869</v>
      </c>
      <c r="I1776" t="s">
        <v>11383</v>
      </c>
      <c r="J1776">
        <v>10457</v>
      </c>
      <c r="K1776" t="s">
        <v>11446</v>
      </c>
      <c r="L1776" t="s">
        <v>12026</v>
      </c>
      <c r="M1776" t="s">
        <v>14762</v>
      </c>
      <c r="N1776" t="s">
        <v>14783</v>
      </c>
      <c r="P1776" t="s">
        <v>14797</v>
      </c>
      <c r="Q1776" t="s">
        <v>11446</v>
      </c>
      <c r="S1776" t="s">
        <v>14827</v>
      </c>
      <c r="V1776">
        <v>186</v>
      </c>
      <c r="W1776" t="s">
        <v>14858</v>
      </c>
      <c r="X1776" t="s">
        <v>14864</v>
      </c>
      <c r="Z1776" t="s">
        <v>16448</v>
      </c>
      <c r="AB1776" t="s">
        <v>21492</v>
      </c>
      <c r="AC1776">
        <v>48</v>
      </c>
      <c r="AD1776" t="s">
        <v>11479</v>
      </c>
      <c r="AE1776" t="s">
        <v>24610</v>
      </c>
      <c r="AF1776">
        <v>5</v>
      </c>
      <c r="AG1776">
        <v>1</v>
      </c>
      <c r="AH1776">
        <v>0</v>
      </c>
      <c r="AI1776">
        <v>0</v>
      </c>
      <c r="AL1776" t="s">
        <v>24632</v>
      </c>
      <c r="AM1776">
        <v>0</v>
      </c>
      <c r="AS1776">
        <v>0</v>
      </c>
      <c r="AU1776" t="s">
        <v>245</v>
      </c>
      <c r="AW1776" t="s">
        <v>11447</v>
      </c>
    </row>
    <row r="1777" spans="1:49">
      <c r="A1777" s="1">
        <f>HYPERLINK("https://lsnyc.legalserver.org/matter/dynamic-profile/view/1910070","19-1910070")</f>
        <v>0</v>
      </c>
      <c r="B1777" t="s">
        <v>51</v>
      </c>
      <c r="C1777" t="s">
        <v>471</v>
      </c>
      <c r="E1777" t="s">
        <v>1337</v>
      </c>
      <c r="F1777" t="s">
        <v>4060</v>
      </c>
      <c r="G1777" t="s">
        <v>6965</v>
      </c>
      <c r="H1777" t="s">
        <v>10727</v>
      </c>
      <c r="I1777" t="s">
        <v>11383</v>
      </c>
      <c r="J1777">
        <v>10457</v>
      </c>
      <c r="K1777" t="s">
        <v>11446</v>
      </c>
      <c r="M1777" t="s">
        <v>14762</v>
      </c>
      <c r="N1777" t="s">
        <v>14779</v>
      </c>
      <c r="P1777" t="s">
        <v>14797</v>
      </c>
      <c r="Q1777" t="s">
        <v>11448</v>
      </c>
      <c r="S1777" t="s">
        <v>14827</v>
      </c>
      <c r="V1777">
        <v>1167</v>
      </c>
      <c r="W1777" t="s">
        <v>14858</v>
      </c>
      <c r="X1777" t="s">
        <v>14864</v>
      </c>
      <c r="Z1777" t="s">
        <v>15597</v>
      </c>
      <c r="AC1777">
        <v>0</v>
      </c>
      <c r="AD1777" t="s">
        <v>24595</v>
      </c>
      <c r="AE1777" t="s">
        <v>11459</v>
      </c>
      <c r="AF1777">
        <v>23</v>
      </c>
      <c r="AG1777">
        <v>1</v>
      </c>
      <c r="AH1777">
        <v>0</v>
      </c>
      <c r="AI1777">
        <v>0</v>
      </c>
      <c r="AL1777" t="s">
        <v>5011</v>
      </c>
      <c r="AM1777">
        <v>0</v>
      </c>
      <c r="AS1777">
        <v>0</v>
      </c>
      <c r="AU1777" t="s">
        <v>51</v>
      </c>
      <c r="AV1777" t="s">
        <v>25335</v>
      </c>
      <c r="AW1777" t="s">
        <v>11447</v>
      </c>
    </row>
    <row r="1778" spans="1:49">
      <c r="A1778" s="1">
        <f>HYPERLINK("https://lsnyc.legalserver.org/matter/dynamic-profile/view/1862820","18-1862820")</f>
        <v>0</v>
      </c>
      <c r="B1778" t="s">
        <v>84</v>
      </c>
      <c r="C1778" t="s">
        <v>671</v>
      </c>
      <c r="E1778" t="s">
        <v>2046</v>
      </c>
      <c r="F1778" t="s">
        <v>1840</v>
      </c>
      <c r="G1778" t="s">
        <v>7593</v>
      </c>
      <c r="H1778" t="s">
        <v>10870</v>
      </c>
      <c r="I1778" t="s">
        <v>11383</v>
      </c>
      <c r="J1778">
        <v>10457</v>
      </c>
      <c r="K1778" t="s">
        <v>11446</v>
      </c>
      <c r="L1778" t="s">
        <v>12027</v>
      </c>
      <c r="M1778" t="s">
        <v>14756</v>
      </c>
      <c r="N1778" t="s">
        <v>14783</v>
      </c>
      <c r="P1778" t="s">
        <v>14797</v>
      </c>
      <c r="Q1778" t="s">
        <v>11446</v>
      </c>
      <c r="S1778" t="s">
        <v>14827</v>
      </c>
      <c r="V1778">
        <v>0</v>
      </c>
      <c r="W1778" t="s">
        <v>14858</v>
      </c>
      <c r="X1778" t="s">
        <v>14868</v>
      </c>
      <c r="Z1778" t="s">
        <v>16449</v>
      </c>
      <c r="AC1778">
        <v>100</v>
      </c>
      <c r="AD1778" t="s">
        <v>24595</v>
      </c>
      <c r="AF1778">
        <v>0</v>
      </c>
      <c r="AG1778">
        <v>2</v>
      </c>
      <c r="AH1778">
        <v>0</v>
      </c>
      <c r="AI1778">
        <v>0</v>
      </c>
      <c r="AL1778" t="s">
        <v>5011</v>
      </c>
      <c r="AM1778">
        <v>0</v>
      </c>
      <c r="AS1778">
        <v>0.4</v>
      </c>
      <c r="AT1778" t="s">
        <v>671</v>
      </c>
      <c r="AU1778" t="s">
        <v>25242</v>
      </c>
      <c r="AW1778" t="s">
        <v>11447</v>
      </c>
    </row>
    <row r="1779" spans="1:49">
      <c r="A1779" s="1">
        <f>HYPERLINK("https://lsnyc.legalserver.org/matter/dynamic-profile/view/1907676","19-1907676")</f>
        <v>0</v>
      </c>
      <c r="B1779" t="s">
        <v>140</v>
      </c>
      <c r="C1779" t="s">
        <v>633</v>
      </c>
      <c r="E1779" t="s">
        <v>1390</v>
      </c>
      <c r="F1779" t="s">
        <v>4335</v>
      </c>
      <c r="G1779" t="s">
        <v>7594</v>
      </c>
      <c r="H1779" t="s">
        <v>10871</v>
      </c>
      <c r="I1779" t="s">
        <v>11383</v>
      </c>
      <c r="J1779">
        <v>10457</v>
      </c>
      <c r="K1779" t="s">
        <v>11447</v>
      </c>
      <c r="N1779" t="s">
        <v>14783</v>
      </c>
      <c r="P1779" t="s">
        <v>14797</v>
      </c>
      <c r="S1779" t="s">
        <v>14830</v>
      </c>
      <c r="V1779">
        <v>1696</v>
      </c>
      <c r="W1779" t="s">
        <v>14858</v>
      </c>
      <c r="X1779" t="s">
        <v>14863</v>
      </c>
      <c r="Z1779" t="s">
        <v>16450</v>
      </c>
      <c r="AB1779" t="s">
        <v>21493</v>
      </c>
      <c r="AC1779">
        <v>84</v>
      </c>
      <c r="AE1779" t="s">
        <v>24610</v>
      </c>
      <c r="AF1779">
        <v>5</v>
      </c>
      <c r="AG1779">
        <v>1</v>
      </c>
      <c r="AH1779">
        <v>1</v>
      </c>
      <c r="AI1779">
        <v>0</v>
      </c>
      <c r="AL1779" t="s">
        <v>5011</v>
      </c>
      <c r="AM1779">
        <v>0</v>
      </c>
      <c r="AS1779">
        <v>5.5</v>
      </c>
      <c r="AT1779" t="s">
        <v>533</v>
      </c>
      <c r="AU1779" t="s">
        <v>25238</v>
      </c>
      <c r="AW1779" t="s">
        <v>11447</v>
      </c>
    </row>
    <row r="1780" spans="1:49">
      <c r="A1780" s="1">
        <f>HYPERLINK("https://lsnyc.legalserver.org/matter/dynamic-profile/view/1910186","19-1910186")</f>
        <v>0</v>
      </c>
      <c r="B1780" t="s">
        <v>67</v>
      </c>
      <c r="C1780" t="s">
        <v>528</v>
      </c>
      <c r="E1780" t="s">
        <v>2047</v>
      </c>
      <c r="F1780" t="s">
        <v>4585</v>
      </c>
      <c r="G1780" t="s">
        <v>7595</v>
      </c>
      <c r="H1780" t="s">
        <v>10569</v>
      </c>
      <c r="I1780" t="s">
        <v>11383</v>
      </c>
      <c r="J1780">
        <v>10456</v>
      </c>
      <c r="K1780" t="s">
        <v>11446</v>
      </c>
      <c r="M1780" t="s">
        <v>14762</v>
      </c>
      <c r="N1780" t="s">
        <v>14783</v>
      </c>
      <c r="P1780" t="s">
        <v>14797</v>
      </c>
      <c r="Q1780" t="s">
        <v>11446</v>
      </c>
      <c r="S1780" t="s">
        <v>14827</v>
      </c>
      <c r="V1780">
        <v>1150</v>
      </c>
      <c r="W1780" t="s">
        <v>14858</v>
      </c>
      <c r="X1780" t="s">
        <v>14864</v>
      </c>
      <c r="Z1780" t="s">
        <v>16451</v>
      </c>
      <c r="AB1780" t="s">
        <v>21494</v>
      </c>
      <c r="AC1780">
        <v>30</v>
      </c>
      <c r="AD1780" t="s">
        <v>11479</v>
      </c>
      <c r="AE1780" t="s">
        <v>11459</v>
      </c>
      <c r="AF1780">
        <v>23</v>
      </c>
      <c r="AG1780">
        <v>5</v>
      </c>
      <c r="AH1780">
        <v>1</v>
      </c>
      <c r="AI1780">
        <v>0</v>
      </c>
      <c r="AL1780" t="s">
        <v>5011</v>
      </c>
      <c r="AM1780">
        <v>0</v>
      </c>
      <c r="AS1780">
        <v>0</v>
      </c>
      <c r="AU1780" t="s">
        <v>25242</v>
      </c>
      <c r="AV1780" t="s">
        <v>25335</v>
      </c>
      <c r="AW1780" t="s">
        <v>11447</v>
      </c>
    </row>
    <row r="1781" spans="1:49">
      <c r="A1781" s="1">
        <f>HYPERLINK("https://lsnyc.legalserver.org/matter/dynamic-profile/view/1910201","19-1910201")</f>
        <v>0</v>
      </c>
      <c r="B1781" t="s">
        <v>67</v>
      </c>
      <c r="C1781" t="s">
        <v>528</v>
      </c>
      <c r="E1781" t="s">
        <v>2048</v>
      </c>
      <c r="F1781" t="s">
        <v>4586</v>
      </c>
      <c r="G1781" t="s">
        <v>7595</v>
      </c>
      <c r="H1781" t="s">
        <v>10579</v>
      </c>
      <c r="I1781" t="s">
        <v>11383</v>
      </c>
      <c r="J1781">
        <v>10456</v>
      </c>
      <c r="K1781" t="s">
        <v>11446</v>
      </c>
      <c r="M1781" t="s">
        <v>14762</v>
      </c>
      <c r="N1781" t="s">
        <v>14783</v>
      </c>
      <c r="P1781" t="s">
        <v>14797</v>
      </c>
      <c r="Q1781" t="s">
        <v>11446</v>
      </c>
      <c r="S1781" t="s">
        <v>14827</v>
      </c>
      <c r="V1781">
        <v>0</v>
      </c>
      <c r="W1781" t="s">
        <v>14858</v>
      </c>
      <c r="X1781" t="s">
        <v>14864</v>
      </c>
      <c r="Z1781" t="s">
        <v>16452</v>
      </c>
      <c r="AB1781" t="s">
        <v>21495</v>
      </c>
      <c r="AC1781">
        <v>30</v>
      </c>
      <c r="AD1781" t="s">
        <v>11479</v>
      </c>
      <c r="AE1781" t="s">
        <v>11459</v>
      </c>
      <c r="AF1781">
        <v>8</v>
      </c>
      <c r="AG1781">
        <v>2</v>
      </c>
      <c r="AH1781">
        <v>3</v>
      </c>
      <c r="AI1781">
        <v>0</v>
      </c>
      <c r="AL1781" t="s">
        <v>5011</v>
      </c>
      <c r="AM1781">
        <v>0</v>
      </c>
      <c r="AS1781">
        <v>0</v>
      </c>
      <c r="AU1781" t="s">
        <v>25242</v>
      </c>
      <c r="AV1781" t="s">
        <v>25335</v>
      </c>
      <c r="AW1781" t="s">
        <v>11447</v>
      </c>
    </row>
    <row r="1782" spans="1:49">
      <c r="A1782" s="1">
        <f>HYPERLINK("https://lsnyc.legalserver.org/matter/dynamic-profile/view/1914109","19-1914109")</f>
        <v>0</v>
      </c>
      <c r="B1782" t="s">
        <v>67</v>
      </c>
      <c r="C1782" t="s">
        <v>580</v>
      </c>
      <c r="E1782" t="s">
        <v>2049</v>
      </c>
      <c r="F1782" t="s">
        <v>4587</v>
      </c>
      <c r="G1782" t="s">
        <v>7596</v>
      </c>
      <c r="H1782" t="s">
        <v>10509</v>
      </c>
      <c r="I1782" t="s">
        <v>11383</v>
      </c>
      <c r="J1782">
        <v>10456</v>
      </c>
      <c r="K1782" t="s">
        <v>11447</v>
      </c>
      <c r="M1782" t="s">
        <v>14762</v>
      </c>
      <c r="N1782" t="s">
        <v>14783</v>
      </c>
      <c r="P1782" t="s">
        <v>14797</v>
      </c>
      <c r="Q1782" t="s">
        <v>11446</v>
      </c>
      <c r="S1782" t="s">
        <v>14827</v>
      </c>
      <c r="V1782">
        <v>1025</v>
      </c>
      <c r="W1782" t="s">
        <v>14858</v>
      </c>
      <c r="X1782" t="s">
        <v>14864</v>
      </c>
      <c r="Z1782" t="s">
        <v>16453</v>
      </c>
      <c r="AB1782" t="s">
        <v>21496</v>
      </c>
      <c r="AC1782">
        <v>28</v>
      </c>
      <c r="AD1782" t="s">
        <v>24595</v>
      </c>
      <c r="AF1782">
        <v>0</v>
      </c>
      <c r="AG1782">
        <v>1</v>
      </c>
      <c r="AH1782">
        <v>2</v>
      </c>
      <c r="AI1782">
        <v>0</v>
      </c>
      <c r="AL1782" t="s">
        <v>5011</v>
      </c>
      <c r="AM1782">
        <v>0</v>
      </c>
      <c r="AS1782">
        <v>0</v>
      </c>
      <c r="AU1782" t="s">
        <v>67</v>
      </c>
      <c r="AW1782" t="s">
        <v>11447</v>
      </c>
    </row>
    <row r="1783" spans="1:49">
      <c r="A1783" s="1">
        <f>HYPERLINK("https://lsnyc.legalserver.org/matter/dynamic-profile/view/1907516","19-1907516")</f>
        <v>0</v>
      </c>
      <c r="B1783" t="s">
        <v>78</v>
      </c>
      <c r="C1783" t="s">
        <v>465</v>
      </c>
      <c r="E1783" t="s">
        <v>1472</v>
      </c>
      <c r="F1783" t="s">
        <v>1839</v>
      </c>
      <c r="G1783" t="s">
        <v>6819</v>
      </c>
      <c r="H1783" t="s">
        <v>10448</v>
      </c>
      <c r="I1783" t="s">
        <v>11383</v>
      </c>
      <c r="J1783">
        <v>10456</v>
      </c>
      <c r="K1783" t="s">
        <v>11446</v>
      </c>
      <c r="M1783" t="s">
        <v>14746</v>
      </c>
      <c r="N1783" t="s">
        <v>14778</v>
      </c>
      <c r="P1783" t="s">
        <v>14797</v>
      </c>
      <c r="Q1783" t="s">
        <v>11446</v>
      </c>
      <c r="R1783" t="s">
        <v>14797</v>
      </c>
      <c r="S1783" t="s">
        <v>14827</v>
      </c>
      <c r="V1783">
        <v>255</v>
      </c>
      <c r="W1783" t="s">
        <v>14858</v>
      </c>
      <c r="X1783" t="s">
        <v>14864</v>
      </c>
      <c r="Z1783" t="s">
        <v>15449</v>
      </c>
      <c r="AB1783" t="s">
        <v>20577</v>
      </c>
      <c r="AC1783">
        <v>65</v>
      </c>
      <c r="AD1783" t="s">
        <v>24595</v>
      </c>
      <c r="AF1783">
        <v>6</v>
      </c>
      <c r="AG1783">
        <v>1</v>
      </c>
      <c r="AH1783">
        <v>0</v>
      </c>
      <c r="AI1783">
        <v>0</v>
      </c>
      <c r="AM1783">
        <v>0</v>
      </c>
      <c r="AS1783">
        <v>1.65</v>
      </c>
      <c r="AT1783" t="s">
        <v>533</v>
      </c>
      <c r="AU1783" t="s">
        <v>78</v>
      </c>
      <c r="AV1783" t="s">
        <v>25335</v>
      </c>
      <c r="AW1783" t="s">
        <v>11447</v>
      </c>
    </row>
    <row r="1784" spans="1:49">
      <c r="A1784" s="1">
        <f>HYPERLINK("https://lsnyc.legalserver.org/matter/dynamic-profile/view/1910183","19-1910183")</f>
        <v>0</v>
      </c>
      <c r="B1784" t="s">
        <v>67</v>
      </c>
      <c r="C1784" t="s">
        <v>528</v>
      </c>
      <c r="E1784" t="s">
        <v>2047</v>
      </c>
      <c r="F1784" t="s">
        <v>4585</v>
      </c>
      <c r="G1784" t="s">
        <v>7595</v>
      </c>
      <c r="H1784" t="s">
        <v>10569</v>
      </c>
      <c r="I1784" t="s">
        <v>11383</v>
      </c>
      <c r="J1784">
        <v>10456</v>
      </c>
      <c r="K1784" t="s">
        <v>11446</v>
      </c>
      <c r="L1784" t="s">
        <v>12028</v>
      </c>
      <c r="M1784" t="s">
        <v>14746</v>
      </c>
      <c r="N1784" t="s">
        <v>14781</v>
      </c>
      <c r="P1784" t="s">
        <v>14797</v>
      </c>
      <c r="Q1784" t="s">
        <v>11446</v>
      </c>
      <c r="S1784" t="s">
        <v>14827</v>
      </c>
      <c r="V1784">
        <v>1150</v>
      </c>
      <c r="W1784" t="s">
        <v>14858</v>
      </c>
      <c r="X1784" t="s">
        <v>14864</v>
      </c>
      <c r="Z1784" t="s">
        <v>16451</v>
      </c>
      <c r="AB1784" t="s">
        <v>21494</v>
      </c>
      <c r="AC1784">
        <v>30</v>
      </c>
      <c r="AD1784" t="s">
        <v>24595</v>
      </c>
      <c r="AE1784" t="s">
        <v>11459</v>
      </c>
      <c r="AF1784">
        <v>23</v>
      </c>
      <c r="AG1784">
        <v>5</v>
      </c>
      <c r="AH1784">
        <v>1</v>
      </c>
      <c r="AI1784">
        <v>0</v>
      </c>
      <c r="AL1784" t="s">
        <v>5011</v>
      </c>
      <c r="AM1784">
        <v>0</v>
      </c>
      <c r="AS1784">
        <v>0</v>
      </c>
      <c r="AU1784" t="s">
        <v>25242</v>
      </c>
      <c r="AV1784" t="s">
        <v>25335</v>
      </c>
      <c r="AW1784" t="s">
        <v>11447</v>
      </c>
    </row>
    <row r="1785" spans="1:49">
      <c r="A1785" s="1">
        <f>HYPERLINK("https://lsnyc.legalserver.org/matter/dynamic-profile/view/1910197","19-1910197")</f>
        <v>0</v>
      </c>
      <c r="B1785" t="s">
        <v>67</v>
      </c>
      <c r="C1785" t="s">
        <v>528</v>
      </c>
      <c r="E1785" t="s">
        <v>2048</v>
      </c>
      <c r="F1785" t="s">
        <v>4586</v>
      </c>
      <c r="G1785" t="s">
        <v>7595</v>
      </c>
      <c r="H1785" t="s">
        <v>10579</v>
      </c>
      <c r="I1785" t="s">
        <v>11383</v>
      </c>
      <c r="J1785">
        <v>10456</v>
      </c>
      <c r="K1785" t="s">
        <v>11446</v>
      </c>
      <c r="L1785" t="s">
        <v>12028</v>
      </c>
      <c r="M1785" t="s">
        <v>14746</v>
      </c>
      <c r="N1785" t="s">
        <v>14781</v>
      </c>
      <c r="P1785" t="s">
        <v>14797</v>
      </c>
      <c r="Q1785" t="s">
        <v>11446</v>
      </c>
      <c r="S1785" t="s">
        <v>14827</v>
      </c>
      <c r="V1785">
        <v>0</v>
      </c>
      <c r="W1785" t="s">
        <v>14858</v>
      </c>
      <c r="X1785" t="s">
        <v>14864</v>
      </c>
      <c r="Z1785" t="s">
        <v>16452</v>
      </c>
      <c r="AB1785" t="s">
        <v>21495</v>
      </c>
      <c r="AC1785">
        <v>30</v>
      </c>
      <c r="AD1785" t="s">
        <v>11479</v>
      </c>
      <c r="AE1785" t="s">
        <v>11459</v>
      </c>
      <c r="AF1785">
        <v>8</v>
      </c>
      <c r="AG1785">
        <v>2</v>
      </c>
      <c r="AH1785">
        <v>3</v>
      </c>
      <c r="AI1785">
        <v>0</v>
      </c>
      <c r="AL1785" t="s">
        <v>5011</v>
      </c>
      <c r="AM1785">
        <v>0</v>
      </c>
      <c r="AS1785">
        <v>0</v>
      </c>
      <c r="AU1785" t="s">
        <v>25242</v>
      </c>
      <c r="AV1785" t="s">
        <v>25335</v>
      </c>
      <c r="AW1785" t="s">
        <v>11447</v>
      </c>
    </row>
    <row r="1786" spans="1:49">
      <c r="A1786" s="1">
        <f>HYPERLINK("https://lsnyc.legalserver.org/matter/dynamic-profile/view/1911782","19-1911782")</f>
        <v>0</v>
      </c>
      <c r="B1786" t="s">
        <v>67</v>
      </c>
      <c r="C1786" t="s">
        <v>645</v>
      </c>
      <c r="E1786" t="s">
        <v>2049</v>
      </c>
      <c r="F1786" t="s">
        <v>4587</v>
      </c>
      <c r="G1786" t="s">
        <v>7596</v>
      </c>
      <c r="H1786" t="s">
        <v>10509</v>
      </c>
      <c r="I1786" t="s">
        <v>11383</v>
      </c>
      <c r="J1786">
        <v>10456</v>
      </c>
      <c r="K1786" t="s">
        <v>11446</v>
      </c>
      <c r="L1786" t="s">
        <v>12028</v>
      </c>
      <c r="M1786" t="s">
        <v>14746</v>
      </c>
      <c r="N1786" t="s">
        <v>14781</v>
      </c>
      <c r="P1786" t="s">
        <v>14797</v>
      </c>
      <c r="Q1786" t="s">
        <v>11446</v>
      </c>
      <c r="S1786" t="s">
        <v>14827</v>
      </c>
      <c r="V1786">
        <v>1025</v>
      </c>
      <c r="W1786" t="s">
        <v>14858</v>
      </c>
      <c r="X1786" t="s">
        <v>14863</v>
      </c>
      <c r="Z1786" t="s">
        <v>16453</v>
      </c>
      <c r="AB1786" t="s">
        <v>21496</v>
      </c>
      <c r="AC1786">
        <v>30</v>
      </c>
      <c r="AD1786" t="s">
        <v>11479</v>
      </c>
      <c r="AE1786" t="s">
        <v>14755</v>
      </c>
      <c r="AF1786">
        <v>28</v>
      </c>
      <c r="AG1786">
        <v>1</v>
      </c>
      <c r="AH1786">
        <v>2</v>
      </c>
      <c r="AI1786">
        <v>0</v>
      </c>
      <c r="AL1786" t="s">
        <v>5011</v>
      </c>
      <c r="AM1786">
        <v>0</v>
      </c>
      <c r="AS1786">
        <v>0.1</v>
      </c>
      <c r="AT1786" t="s">
        <v>645</v>
      </c>
      <c r="AU1786" t="s">
        <v>25242</v>
      </c>
      <c r="AV1786" t="s">
        <v>25335</v>
      </c>
      <c r="AW1786" t="s">
        <v>11447</v>
      </c>
    </row>
    <row r="1787" spans="1:49">
      <c r="A1787" s="1">
        <f>HYPERLINK("https://lsnyc.legalserver.org/matter/dynamic-profile/view/1907525","19-1907525")</f>
        <v>0</v>
      </c>
      <c r="B1787" t="s">
        <v>78</v>
      </c>
      <c r="C1787" t="s">
        <v>465</v>
      </c>
      <c r="E1787" t="s">
        <v>2050</v>
      </c>
      <c r="F1787" t="s">
        <v>4588</v>
      </c>
      <c r="G1787" t="s">
        <v>7597</v>
      </c>
      <c r="H1787">
        <v>29</v>
      </c>
      <c r="I1787" t="s">
        <v>11383</v>
      </c>
      <c r="J1787">
        <v>10456</v>
      </c>
      <c r="K1787" t="s">
        <v>11447</v>
      </c>
      <c r="N1787" t="s">
        <v>14778</v>
      </c>
      <c r="P1787" t="s">
        <v>14797</v>
      </c>
      <c r="Q1787" t="s">
        <v>11446</v>
      </c>
      <c r="S1787" t="s">
        <v>14827</v>
      </c>
      <c r="V1787">
        <v>50</v>
      </c>
      <c r="W1787" t="s">
        <v>14858</v>
      </c>
      <c r="X1787" t="s">
        <v>14876</v>
      </c>
      <c r="Z1787" t="s">
        <v>16454</v>
      </c>
      <c r="AB1787" t="s">
        <v>21497</v>
      </c>
      <c r="AC1787">
        <v>54</v>
      </c>
      <c r="AD1787" t="s">
        <v>24595</v>
      </c>
      <c r="AF1787">
        <v>0</v>
      </c>
      <c r="AG1787">
        <v>2</v>
      </c>
      <c r="AH1787">
        <v>0</v>
      </c>
      <c r="AI1787">
        <v>0</v>
      </c>
      <c r="AL1787" t="s">
        <v>5011</v>
      </c>
      <c r="AM1787">
        <v>0</v>
      </c>
      <c r="AS1787">
        <v>0</v>
      </c>
      <c r="AU1787" t="s">
        <v>78</v>
      </c>
      <c r="AW1787" t="s">
        <v>11447</v>
      </c>
    </row>
    <row r="1788" spans="1:49">
      <c r="A1788" s="1">
        <f>HYPERLINK("https://lsnyc.legalserver.org/matter/dynamic-profile/view/1904342","19-1904342")</f>
        <v>0</v>
      </c>
      <c r="B1788" t="s">
        <v>84</v>
      </c>
      <c r="C1788" t="s">
        <v>332</v>
      </c>
      <c r="E1788" t="s">
        <v>1945</v>
      </c>
      <c r="F1788" t="s">
        <v>4472</v>
      </c>
      <c r="G1788" t="s">
        <v>7381</v>
      </c>
      <c r="H1788" t="s">
        <v>10587</v>
      </c>
      <c r="I1788" t="s">
        <v>11383</v>
      </c>
      <c r="J1788">
        <v>10455</v>
      </c>
      <c r="K1788" t="s">
        <v>11446</v>
      </c>
      <c r="M1788" t="s">
        <v>14762</v>
      </c>
      <c r="N1788" t="s">
        <v>14783</v>
      </c>
      <c r="P1788" t="s">
        <v>14797</v>
      </c>
      <c r="S1788" t="s">
        <v>14827</v>
      </c>
      <c r="V1788">
        <v>1500</v>
      </c>
      <c r="W1788" t="s">
        <v>14858</v>
      </c>
      <c r="X1788" t="s">
        <v>14873</v>
      </c>
      <c r="Z1788" t="s">
        <v>16254</v>
      </c>
      <c r="AB1788" t="s">
        <v>21329</v>
      </c>
      <c r="AC1788">
        <v>49</v>
      </c>
      <c r="AD1788" t="s">
        <v>24595</v>
      </c>
      <c r="AE1788" t="s">
        <v>11459</v>
      </c>
      <c r="AF1788">
        <v>4</v>
      </c>
      <c r="AG1788">
        <v>2</v>
      </c>
      <c r="AH1788">
        <v>0</v>
      </c>
      <c r="AI1788">
        <v>0</v>
      </c>
      <c r="AL1788" t="s">
        <v>24632</v>
      </c>
      <c r="AM1788">
        <v>0</v>
      </c>
      <c r="AS1788">
        <v>1.6</v>
      </c>
      <c r="AT1788" t="s">
        <v>495</v>
      </c>
      <c r="AU1788" t="s">
        <v>57</v>
      </c>
      <c r="AV1788" t="s">
        <v>25335</v>
      </c>
      <c r="AW1788" t="s">
        <v>11447</v>
      </c>
    </row>
    <row r="1789" spans="1:49">
      <c r="A1789" s="1">
        <f>HYPERLINK("https://lsnyc.legalserver.org/matter/dynamic-profile/view/1905147","19-1905147")</f>
        <v>0</v>
      </c>
      <c r="B1789" t="s">
        <v>84</v>
      </c>
      <c r="C1789" t="s">
        <v>456</v>
      </c>
      <c r="E1789" t="s">
        <v>1945</v>
      </c>
      <c r="F1789" t="s">
        <v>4472</v>
      </c>
      <c r="G1789" t="s">
        <v>7381</v>
      </c>
      <c r="H1789" t="s">
        <v>10587</v>
      </c>
      <c r="I1789" t="s">
        <v>11383</v>
      </c>
      <c r="J1789">
        <v>10455</v>
      </c>
      <c r="K1789" t="s">
        <v>11446</v>
      </c>
      <c r="M1789" t="s">
        <v>14762</v>
      </c>
      <c r="N1789" t="s">
        <v>14783</v>
      </c>
      <c r="P1789" t="s">
        <v>14797</v>
      </c>
      <c r="Q1789" t="s">
        <v>11446</v>
      </c>
      <c r="S1789" t="s">
        <v>14827</v>
      </c>
      <c r="V1789">
        <v>1421</v>
      </c>
      <c r="W1789" t="s">
        <v>14858</v>
      </c>
      <c r="X1789" t="s">
        <v>14868</v>
      </c>
      <c r="Z1789" t="s">
        <v>16254</v>
      </c>
      <c r="AB1789" t="s">
        <v>21329</v>
      </c>
      <c r="AC1789">
        <v>49</v>
      </c>
      <c r="AD1789" t="s">
        <v>24595</v>
      </c>
      <c r="AE1789" t="s">
        <v>11459</v>
      </c>
      <c r="AF1789">
        <v>5</v>
      </c>
      <c r="AG1789">
        <v>2</v>
      </c>
      <c r="AH1789">
        <v>0</v>
      </c>
      <c r="AI1789">
        <v>0</v>
      </c>
      <c r="AL1789" t="s">
        <v>24632</v>
      </c>
      <c r="AM1789">
        <v>0</v>
      </c>
      <c r="AS1789">
        <v>0</v>
      </c>
      <c r="AU1789" t="s">
        <v>245</v>
      </c>
      <c r="AV1789" t="s">
        <v>25335</v>
      </c>
      <c r="AW1789" t="s">
        <v>11447</v>
      </c>
    </row>
    <row r="1790" spans="1:49">
      <c r="A1790" s="1">
        <f>HYPERLINK("https://lsnyc.legalserver.org/matter/dynamic-profile/view/1905559","19-1905559")</f>
        <v>0</v>
      </c>
      <c r="B1790" t="s">
        <v>92</v>
      </c>
      <c r="C1790" t="s">
        <v>555</v>
      </c>
      <c r="E1790" t="s">
        <v>2051</v>
      </c>
      <c r="F1790" t="s">
        <v>4589</v>
      </c>
      <c r="G1790" t="s">
        <v>7598</v>
      </c>
      <c r="H1790" t="s">
        <v>10620</v>
      </c>
      <c r="I1790" t="s">
        <v>11383</v>
      </c>
      <c r="J1790">
        <v>10453</v>
      </c>
      <c r="K1790" t="s">
        <v>11447</v>
      </c>
      <c r="L1790" t="s">
        <v>12029</v>
      </c>
      <c r="M1790" t="s">
        <v>14744</v>
      </c>
      <c r="N1790" t="s">
        <v>14781</v>
      </c>
      <c r="P1790" t="s">
        <v>14797</v>
      </c>
      <c r="Q1790" t="s">
        <v>11448</v>
      </c>
      <c r="S1790" t="s">
        <v>14827</v>
      </c>
      <c r="T1790" t="s">
        <v>14832</v>
      </c>
      <c r="V1790">
        <v>0</v>
      </c>
      <c r="W1790" t="s">
        <v>14858</v>
      </c>
      <c r="Z1790" t="s">
        <v>16455</v>
      </c>
      <c r="AB1790" t="s">
        <v>21498</v>
      </c>
      <c r="AC1790">
        <v>33</v>
      </c>
      <c r="AF1790">
        <v>0</v>
      </c>
      <c r="AG1790">
        <v>4</v>
      </c>
      <c r="AH1790">
        <v>0</v>
      </c>
      <c r="AI1790">
        <v>0</v>
      </c>
      <c r="AL1790" t="s">
        <v>24632</v>
      </c>
      <c r="AM1790">
        <v>0</v>
      </c>
      <c r="AS1790">
        <v>15.8</v>
      </c>
      <c r="AT1790" t="s">
        <v>477</v>
      </c>
      <c r="AU1790" t="s">
        <v>92</v>
      </c>
      <c r="AW1790" t="s">
        <v>11447</v>
      </c>
    </row>
    <row r="1791" spans="1:49">
      <c r="A1791" s="1">
        <f>HYPERLINK("https://lsnyc.legalserver.org/matter/dynamic-profile/view/0806247","16-0806247")</f>
        <v>0</v>
      </c>
      <c r="B1791" t="s">
        <v>100</v>
      </c>
      <c r="C1791" t="s">
        <v>672</v>
      </c>
      <c r="E1791" t="s">
        <v>2052</v>
      </c>
      <c r="F1791" t="s">
        <v>4590</v>
      </c>
      <c r="G1791" t="s">
        <v>7569</v>
      </c>
      <c r="H1791" t="s">
        <v>10524</v>
      </c>
      <c r="I1791" t="s">
        <v>11383</v>
      </c>
      <c r="J1791">
        <v>10452</v>
      </c>
      <c r="K1791" t="s">
        <v>11448</v>
      </c>
      <c r="L1791" t="s">
        <v>12030</v>
      </c>
      <c r="M1791" t="s">
        <v>14763</v>
      </c>
      <c r="N1791" t="s">
        <v>14781</v>
      </c>
      <c r="P1791" t="s">
        <v>14797</v>
      </c>
      <c r="Q1791" t="s">
        <v>11446</v>
      </c>
      <c r="S1791" t="s">
        <v>14827</v>
      </c>
      <c r="V1791">
        <v>855.3099999999999</v>
      </c>
      <c r="W1791" t="s">
        <v>14858</v>
      </c>
      <c r="X1791" t="s">
        <v>14864</v>
      </c>
      <c r="Z1791" t="s">
        <v>16456</v>
      </c>
      <c r="AC1791">
        <v>121</v>
      </c>
      <c r="AD1791" t="s">
        <v>24595</v>
      </c>
      <c r="AE1791" t="s">
        <v>11459</v>
      </c>
      <c r="AF1791">
        <v>7</v>
      </c>
      <c r="AG1791">
        <v>2</v>
      </c>
      <c r="AH1791">
        <v>0</v>
      </c>
      <c r="AI1791">
        <v>0</v>
      </c>
      <c r="AL1791" t="s">
        <v>5011</v>
      </c>
      <c r="AM1791">
        <v>0</v>
      </c>
      <c r="AS1791">
        <v>0.1</v>
      </c>
      <c r="AT1791" t="s">
        <v>25136</v>
      </c>
      <c r="AU1791" t="s">
        <v>186</v>
      </c>
      <c r="AW1791" t="s">
        <v>11447</v>
      </c>
    </row>
    <row r="1792" spans="1:49">
      <c r="A1792" s="1">
        <f>HYPERLINK("https://lsnyc.legalserver.org/matter/dynamic-profile/view/1857038","18-1857038")</f>
        <v>0</v>
      </c>
      <c r="B1792" t="s">
        <v>100</v>
      </c>
      <c r="C1792" t="s">
        <v>673</v>
      </c>
      <c r="E1792" t="s">
        <v>2052</v>
      </c>
      <c r="F1792" t="s">
        <v>4590</v>
      </c>
      <c r="G1792" t="s">
        <v>7569</v>
      </c>
      <c r="H1792" t="s">
        <v>10524</v>
      </c>
      <c r="I1792" t="s">
        <v>11383</v>
      </c>
      <c r="J1792">
        <v>10452</v>
      </c>
      <c r="K1792" t="s">
        <v>11447</v>
      </c>
      <c r="L1792" t="s">
        <v>12031</v>
      </c>
      <c r="M1792" t="s">
        <v>14756</v>
      </c>
      <c r="N1792" t="s">
        <v>14783</v>
      </c>
      <c r="P1792" t="s">
        <v>14797</v>
      </c>
      <c r="Q1792" t="s">
        <v>11446</v>
      </c>
      <c r="S1792" t="s">
        <v>14827</v>
      </c>
      <c r="V1792">
        <v>855.3099999999999</v>
      </c>
      <c r="W1792" t="s">
        <v>14858</v>
      </c>
      <c r="X1792" t="s">
        <v>14864</v>
      </c>
      <c r="Z1792" t="s">
        <v>16456</v>
      </c>
      <c r="AC1792">
        <v>122</v>
      </c>
      <c r="AD1792" t="s">
        <v>24595</v>
      </c>
      <c r="AE1792" t="s">
        <v>11459</v>
      </c>
      <c r="AF1792">
        <v>0</v>
      </c>
      <c r="AG1792">
        <v>2</v>
      </c>
      <c r="AH1792">
        <v>0</v>
      </c>
      <c r="AI1792">
        <v>0</v>
      </c>
      <c r="AL1792" t="s">
        <v>5011</v>
      </c>
      <c r="AM1792">
        <v>0</v>
      </c>
      <c r="AS1792">
        <v>0</v>
      </c>
      <c r="AU1792" t="s">
        <v>25268</v>
      </c>
      <c r="AW1792" t="s">
        <v>11447</v>
      </c>
    </row>
    <row r="1793" spans="1:49">
      <c r="A1793" s="1">
        <f>HYPERLINK("https://lsnyc.legalserver.org/matter/dynamic-profile/view/1857342","18-1857342")</f>
        <v>0</v>
      </c>
      <c r="B1793" t="s">
        <v>100</v>
      </c>
      <c r="C1793" t="s">
        <v>674</v>
      </c>
      <c r="E1793" t="s">
        <v>2053</v>
      </c>
      <c r="F1793" t="s">
        <v>4591</v>
      </c>
      <c r="G1793" t="s">
        <v>7569</v>
      </c>
      <c r="H1793">
        <v>18</v>
      </c>
      <c r="I1793" t="s">
        <v>11383</v>
      </c>
      <c r="J1793">
        <v>10452</v>
      </c>
      <c r="K1793" t="s">
        <v>11446</v>
      </c>
      <c r="L1793" t="s">
        <v>12032</v>
      </c>
      <c r="M1793" t="s">
        <v>14756</v>
      </c>
      <c r="N1793" t="s">
        <v>14783</v>
      </c>
      <c r="P1793" t="s">
        <v>14797</v>
      </c>
      <c r="Q1793" t="s">
        <v>11446</v>
      </c>
      <c r="S1793" t="s">
        <v>14827</v>
      </c>
      <c r="V1793">
        <v>1000</v>
      </c>
      <c r="W1793" t="s">
        <v>14858</v>
      </c>
      <c r="X1793" t="s">
        <v>14864</v>
      </c>
      <c r="Z1793" t="s">
        <v>16457</v>
      </c>
      <c r="AB1793" t="s">
        <v>21499</v>
      </c>
      <c r="AC1793">
        <v>122</v>
      </c>
      <c r="AD1793" t="s">
        <v>24595</v>
      </c>
      <c r="AE1793" t="s">
        <v>11459</v>
      </c>
      <c r="AF1793">
        <v>2</v>
      </c>
      <c r="AG1793">
        <v>1</v>
      </c>
      <c r="AH1793">
        <v>1</v>
      </c>
      <c r="AI1793">
        <v>0</v>
      </c>
      <c r="AL1793" t="s">
        <v>5011</v>
      </c>
      <c r="AM1793">
        <v>0</v>
      </c>
      <c r="AN1793" t="s">
        <v>24791</v>
      </c>
      <c r="AS1793">
        <v>0</v>
      </c>
      <c r="AU1793" t="s">
        <v>25268</v>
      </c>
      <c r="AW1793" t="s">
        <v>11447</v>
      </c>
    </row>
    <row r="1794" spans="1:49">
      <c r="A1794" s="1">
        <f>HYPERLINK("https://lsnyc.legalserver.org/matter/dynamic-profile/view/1857520","18-1857520")</f>
        <v>0</v>
      </c>
      <c r="B1794" t="s">
        <v>100</v>
      </c>
      <c r="C1794" t="s">
        <v>675</v>
      </c>
      <c r="E1794" t="s">
        <v>2052</v>
      </c>
      <c r="F1794" t="s">
        <v>4590</v>
      </c>
      <c r="G1794" t="s">
        <v>7569</v>
      </c>
      <c r="H1794" t="s">
        <v>10524</v>
      </c>
      <c r="I1794" t="s">
        <v>11383</v>
      </c>
      <c r="J1794">
        <v>10452</v>
      </c>
      <c r="K1794" t="s">
        <v>11447</v>
      </c>
      <c r="L1794" t="s">
        <v>12032</v>
      </c>
      <c r="M1794" t="s">
        <v>14756</v>
      </c>
      <c r="N1794" t="s">
        <v>14783</v>
      </c>
      <c r="P1794" t="s">
        <v>14797</v>
      </c>
      <c r="Q1794" t="s">
        <v>11446</v>
      </c>
      <c r="S1794" t="s">
        <v>14827</v>
      </c>
      <c r="V1794">
        <v>855.3099999999999</v>
      </c>
      <c r="W1794" t="s">
        <v>14858</v>
      </c>
      <c r="X1794" t="s">
        <v>14864</v>
      </c>
      <c r="Z1794" t="s">
        <v>16456</v>
      </c>
      <c r="AC1794">
        <v>122</v>
      </c>
      <c r="AD1794" t="s">
        <v>24595</v>
      </c>
      <c r="AF1794">
        <v>0</v>
      </c>
      <c r="AG1794">
        <v>2</v>
      </c>
      <c r="AH1794">
        <v>0</v>
      </c>
      <c r="AI1794">
        <v>0</v>
      </c>
      <c r="AL1794" t="s">
        <v>5011</v>
      </c>
      <c r="AM1794">
        <v>0</v>
      </c>
      <c r="AS1794">
        <v>0</v>
      </c>
      <c r="AU1794" t="s">
        <v>25268</v>
      </c>
      <c r="AW1794" t="s">
        <v>11447</v>
      </c>
    </row>
    <row r="1795" spans="1:49">
      <c r="A1795" s="1">
        <f>HYPERLINK("https://lsnyc.legalserver.org/matter/dynamic-profile/view/1906746","19-1906746")</f>
        <v>0</v>
      </c>
      <c r="B1795" t="s">
        <v>126</v>
      </c>
      <c r="C1795" t="s">
        <v>620</v>
      </c>
      <c r="E1795" t="s">
        <v>2054</v>
      </c>
      <c r="F1795" t="s">
        <v>4592</v>
      </c>
      <c r="G1795" t="s">
        <v>7021</v>
      </c>
      <c r="H1795" t="s">
        <v>10620</v>
      </c>
      <c r="I1795" t="s">
        <v>11383</v>
      </c>
      <c r="J1795">
        <v>10452</v>
      </c>
      <c r="K1795" t="s">
        <v>11446</v>
      </c>
      <c r="P1795" t="s">
        <v>14797</v>
      </c>
      <c r="S1795" t="s">
        <v>14827</v>
      </c>
      <c r="V1795">
        <v>1063</v>
      </c>
      <c r="W1795" t="s">
        <v>14858</v>
      </c>
      <c r="X1795" t="s">
        <v>14876</v>
      </c>
      <c r="Z1795" t="s">
        <v>16458</v>
      </c>
      <c r="AB1795" t="s">
        <v>21500</v>
      </c>
      <c r="AC1795">
        <v>65</v>
      </c>
      <c r="AD1795" t="s">
        <v>11479</v>
      </c>
      <c r="AE1795" t="s">
        <v>24610</v>
      </c>
      <c r="AF1795">
        <v>18</v>
      </c>
      <c r="AG1795">
        <v>3</v>
      </c>
      <c r="AH1795">
        <v>0</v>
      </c>
      <c r="AI1795">
        <v>0</v>
      </c>
      <c r="AL1795" t="s">
        <v>24632</v>
      </c>
      <c r="AM1795">
        <v>0</v>
      </c>
      <c r="AS1795">
        <v>0.1</v>
      </c>
      <c r="AT1795" t="s">
        <v>645</v>
      </c>
      <c r="AU1795" t="s">
        <v>245</v>
      </c>
      <c r="AW1795" t="s">
        <v>11447</v>
      </c>
    </row>
    <row r="1796" spans="1:49">
      <c r="A1796" s="1">
        <f>HYPERLINK("https://lsnyc.legalserver.org/matter/dynamic-profile/view/1914694","19-1914694")</f>
        <v>0</v>
      </c>
      <c r="B1796" t="s">
        <v>126</v>
      </c>
      <c r="C1796" t="s">
        <v>491</v>
      </c>
      <c r="E1796" t="s">
        <v>2054</v>
      </c>
      <c r="F1796" t="s">
        <v>4592</v>
      </c>
      <c r="G1796" t="s">
        <v>7021</v>
      </c>
      <c r="H1796" t="s">
        <v>10620</v>
      </c>
      <c r="I1796" t="s">
        <v>11383</v>
      </c>
      <c r="J1796">
        <v>10452</v>
      </c>
      <c r="K1796" t="s">
        <v>11446</v>
      </c>
      <c r="P1796" t="s">
        <v>14797</v>
      </c>
      <c r="Q1796" t="s">
        <v>11446</v>
      </c>
      <c r="S1796" t="s">
        <v>14827</v>
      </c>
      <c r="V1796">
        <v>1063</v>
      </c>
      <c r="W1796" t="s">
        <v>14858</v>
      </c>
      <c r="X1796" t="s">
        <v>14868</v>
      </c>
      <c r="Z1796" t="s">
        <v>16458</v>
      </c>
      <c r="AB1796" t="s">
        <v>21500</v>
      </c>
      <c r="AC1796">
        <v>65</v>
      </c>
      <c r="AE1796" t="s">
        <v>24610</v>
      </c>
      <c r="AF1796">
        <v>18</v>
      </c>
      <c r="AG1796">
        <v>3</v>
      </c>
      <c r="AH1796">
        <v>0</v>
      </c>
      <c r="AI1796">
        <v>0</v>
      </c>
      <c r="AL1796" t="s">
        <v>24632</v>
      </c>
      <c r="AM1796">
        <v>0</v>
      </c>
      <c r="AS1796">
        <v>0</v>
      </c>
      <c r="AU1796" t="s">
        <v>25242</v>
      </c>
      <c r="AV1796" t="s">
        <v>25335</v>
      </c>
      <c r="AW1796" t="s">
        <v>11447</v>
      </c>
    </row>
    <row r="1797" spans="1:49">
      <c r="A1797" s="1">
        <f>HYPERLINK("https://lsnyc.legalserver.org/matter/dynamic-profile/view/1889795","19-1889795")</f>
        <v>0</v>
      </c>
      <c r="B1797" t="s">
        <v>148</v>
      </c>
      <c r="C1797" t="s">
        <v>676</v>
      </c>
      <c r="E1797" t="s">
        <v>1025</v>
      </c>
      <c r="F1797" t="s">
        <v>3623</v>
      </c>
      <c r="G1797" t="s">
        <v>7599</v>
      </c>
      <c r="H1797" t="s">
        <v>10872</v>
      </c>
      <c r="I1797" t="s">
        <v>11384</v>
      </c>
      <c r="J1797">
        <v>10310</v>
      </c>
      <c r="K1797" t="s">
        <v>11447</v>
      </c>
      <c r="P1797" t="s">
        <v>14797</v>
      </c>
      <c r="S1797" t="s">
        <v>14827</v>
      </c>
      <c r="V1797">
        <v>0</v>
      </c>
      <c r="W1797" t="s">
        <v>14862</v>
      </c>
      <c r="Z1797" t="s">
        <v>16459</v>
      </c>
      <c r="AB1797" t="s">
        <v>21501</v>
      </c>
      <c r="AC1797">
        <v>0</v>
      </c>
      <c r="AF1797">
        <v>0</v>
      </c>
      <c r="AG1797">
        <v>2</v>
      </c>
      <c r="AH1797">
        <v>0</v>
      </c>
      <c r="AI1797">
        <v>0</v>
      </c>
      <c r="AL1797" t="s">
        <v>24632</v>
      </c>
      <c r="AM1797">
        <v>0</v>
      </c>
      <c r="AS1797">
        <v>6.35</v>
      </c>
      <c r="AT1797" t="s">
        <v>365</v>
      </c>
      <c r="AU1797" t="s">
        <v>25271</v>
      </c>
      <c r="AW1797" t="s">
        <v>11447</v>
      </c>
    </row>
    <row r="1798" spans="1:49">
      <c r="A1798" s="1">
        <f>HYPERLINK("https://lsnyc.legalserver.org/matter/dynamic-profile/view/1907864","19-1907864")</f>
        <v>0</v>
      </c>
      <c r="B1798" t="s">
        <v>168</v>
      </c>
      <c r="C1798" t="s">
        <v>410</v>
      </c>
      <c r="E1798" t="s">
        <v>2055</v>
      </c>
      <c r="F1798" t="s">
        <v>2859</v>
      </c>
      <c r="G1798" t="s">
        <v>7600</v>
      </c>
      <c r="H1798" t="s">
        <v>10604</v>
      </c>
      <c r="I1798" t="s">
        <v>11384</v>
      </c>
      <c r="J1798">
        <v>10305</v>
      </c>
      <c r="K1798" t="s">
        <v>11447</v>
      </c>
      <c r="L1798" t="s">
        <v>12033</v>
      </c>
      <c r="M1798" t="s">
        <v>14744</v>
      </c>
      <c r="N1798" t="s">
        <v>14781</v>
      </c>
      <c r="P1798" t="s">
        <v>14797</v>
      </c>
      <c r="Q1798" t="s">
        <v>11448</v>
      </c>
      <c r="S1798" t="s">
        <v>14827</v>
      </c>
      <c r="T1798" t="s">
        <v>14832</v>
      </c>
      <c r="V1798">
        <v>3400</v>
      </c>
      <c r="W1798" t="s">
        <v>14862</v>
      </c>
      <c r="X1798" t="s">
        <v>14863</v>
      </c>
      <c r="Z1798" t="s">
        <v>16460</v>
      </c>
      <c r="AB1798" t="s">
        <v>21502</v>
      </c>
      <c r="AC1798">
        <v>3</v>
      </c>
      <c r="AD1798" t="s">
        <v>24600</v>
      </c>
      <c r="AE1798" t="s">
        <v>11459</v>
      </c>
      <c r="AF1798">
        <v>2</v>
      </c>
      <c r="AG1798">
        <v>1</v>
      </c>
      <c r="AH1798">
        <v>0</v>
      </c>
      <c r="AI1798">
        <v>0</v>
      </c>
      <c r="AL1798" t="s">
        <v>5011</v>
      </c>
      <c r="AM1798">
        <v>0</v>
      </c>
      <c r="AS1798">
        <v>18.8</v>
      </c>
      <c r="AT1798" t="s">
        <v>641</v>
      </c>
      <c r="AU1798" t="s">
        <v>25270</v>
      </c>
      <c r="AW1798" t="s">
        <v>11447</v>
      </c>
    </row>
    <row r="1799" spans="1:49">
      <c r="A1799" s="1">
        <f>HYPERLINK("https://lsnyc.legalserver.org/matter/dynamic-profile/view/1913271","19-1913271")</f>
        <v>0</v>
      </c>
      <c r="B1799" t="s">
        <v>166</v>
      </c>
      <c r="C1799" t="s">
        <v>476</v>
      </c>
      <c r="E1799" t="s">
        <v>2056</v>
      </c>
      <c r="F1799" t="s">
        <v>4593</v>
      </c>
      <c r="G1799" t="s">
        <v>7601</v>
      </c>
      <c r="H1799" t="s">
        <v>10604</v>
      </c>
      <c r="I1799" t="s">
        <v>11384</v>
      </c>
      <c r="J1799">
        <v>10305</v>
      </c>
      <c r="K1799" t="s">
        <v>11447</v>
      </c>
      <c r="L1799" t="s">
        <v>12034</v>
      </c>
      <c r="M1799" t="s">
        <v>14744</v>
      </c>
      <c r="P1799" t="s">
        <v>14797</v>
      </c>
      <c r="Q1799" t="s">
        <v>11448</v>
      </c>
      <c r="S1799" t="s">
        <v>14827</v>
      </c>
      <c r="T1799" t="s">
        <v>14832</v>
      </c>
      <c r="V1799">
        <v>1557</v>
      </c>
      <c r="W1799" t="s">
        <v>14862</v>
      </c>
      <c r="X1799" t="s">
        <v>14880</v>
      </c>
      <c r="Z1799" t="s">
        <v>16461</v>
      </c>
      <c r="AB1799" t="s">
        <v>21503</v>
      </c>
      <c r="AC1799">
        <v>2</v>
      </c>
      <c r="AD1799" t="s">
        <v>24600</v>
      </c>
      <c r="AF1799">
        <v>-1</v>
      </c>
      <c r="AG1799">
        <v>1</v>
      </c>
      <c r="AH1799">
        <v>1</v>
      </c>
      <c r="AI1799">
        <v>0</v>
      </c>
      <c r="AL1799" t="s">
        <v>24652</v>
      </c>
      <c r="AM1799">
        <v>0</v>
      </c>
      <c r="AS1799">
        <v>3.55</v>
      </c>
      <c r="AT1799" t="s">
        <v>495</v>
      </c>
      <c r="AU1799" t="s">
        <v>25270</v>
      </c>
      <c r="AW1799" t="s">
        <v>11447</v>
      </c>
    </row>
    <row r="1800" spans="1:49">
      <c r="A1800" s="1">
        <f>HYPERLINK("https://lsnyc.legalserver.org/matter/dynamic-profile/view/1915347","19-1915347")</f>
        <v>0</v>
      </c>
      <c r="B1800" t="s">
        <v>169</v>
      </c>
      <c r="C1800" t="s">
        <v>495</v>
      </c>
      <c r="E1800" t="s">
        <v>1492</v>
      </c>
      <c r="F1800" t="s">
        <v>4594</v>
      </c>
      <c r="G1800" t="s">
        <v>6802</v>
      </c>
      <c r="H1800" t="s">
        <v>10873</v>
      </c>
      <c r="I1800" t="s">
        <v>11384</v>
      </c>
      <c r="J1800">
        <v>10304</v>
      </c>
      <c r="K1800" t="s">
        <v>11447</v>
      </c>
      <c r="L1800" t="s">
        <v>11456</v>
      </c>
      <c r="M1800" t="s">
        <v>14746</v>
      </c>
      <c r="P1800" t="s">
        <v>14797</v>
      </c>
      <c r="Q1800" t="s">
        <v>11446</v>
      </c>
      <c r="S1800" t="s">
        <v>14827</v>
      </c>
      <c r="V1800">
        <v>0</v>
      </c>
      <c r="W1800" t="s">
        <v>14862</v>
      </c>
      <c r="X1800" t="s">
        <v>14879</v>
      </c>
      <c r="Z1800" t="s">
        <v>16462</v>
      </c>
      <c r="AB1800" t="s">
        <v>21504</v>
      </c>
      <c r="AC1800">
        <v>0</v>
      </c>
      <c r="AF1800">
        <v>0</v>
      </c>
      <c r="AG1800">
        <v>2</v>
      </c>
      <c r="AH1800">
        <v>1</v>
      </c>
      <c r="AI1800">
        <v>0</v>
      </c>
      <c r="AL1800" t="s">
        <v>5011</v>
      </c>
      <c r="AM1800">
        <v>0</v>
      </c>
      <c r="AS1800">
        <v>0.3</v>
      </c>
      <c r="AT1800" t="s">
        <v>495</v>
      </c>
      <c r="AU1800" t="s">
        <v>25270</v>
      </c>
      <c r="AW1800" t="s">
        <v>11447</v>
      </c>
    </row>
    <row r="1801" spans="1:49">
      <c r="A1801" s="1">
        <f>HYPERLINK("https://lsnyc.legalserver.org/matter/dynamic-profile/view/1894440","19-1894440")</f>
        <v>0</v>
      </c>
      <c r="B1801" t="s">
        <v>168</v>
      </c>
      <c r="C1801" t="s">
        <v>677</v>
      </c>
      <c r="E1801" t="s">
        <v>2057</v>
      </c>
      <c r="F1801" t="s">
        <v>4595</v>
      </c>
      <c r="G1801" t="s">
        <v>7196</v>
      </c>
      <c r="H1801">
        <v>216</v>
      </c>
      <c r="I1801" t="s">
        <v>11384</v>
      </c>
      <c r="J1801">
        <v>10304</v>
      </c>
      <c r="K1801" t="s">
        <v>11446</v>
      </c>
      <c r="L1801" t="s">
        <v>12035</v>
      </c>
      <c r="M1801" t="s">
        <v>14744</v>
      </c>
      <c r="P1801" t="s">
        <v>14797</v>
      </c>
      <c r="Q1801" t="s">
        <v>11448</v>
      </c>
      <c r="S1801" t="s">
        <v>14827</v>
      </c>
      <c r="V1801">
        <v>1268</v>
      </c>
      <c r="W1801" t="s">
        <v>14862</v>
      </c>
      <c r="X1801" t="s">
        <v>14863</v>
      </c>
      <c r="Z1801" t="s">
        <v>16463</v>
      </c>
      <c r="AB1801" t="s">
        <v>21505</v>
      </c>
      <c r="AC1801">
        <v>0</v>
      </c>
      <c r="AD1801" t="s">
        <v>24595</v>
      </c>
      <c r="AF1801">
        <v>1</v>
      </c>
      <c r="AG1801">
        <v>1</v>
      </c>
      <c r="AH1801">
        <v>1</v>
      </c>
      <c r="AI1801">
        <v>0</v>
      </c>
      <c r="AL1801" t="s">
        <v>5011</v>
      </c>
      <c r="AM1801">
        <v>0</v>
      </c>
      <c r="AS1801">
        <v>40.7</v>
      </c>
      <c r="AT1801" t="s">
        <v>495</v>
      </c>
      <c r="AU1801" t="s">
        <v>25270</v>
      </c>
      <c r="AV1801" t="s">
        <v>25335</v>
      </c>
      <c r="AW1801" t="s">
        <v>11447</v>
      </c>
    </row>
    <row r="1802" spans="1:49">
      <c r="A1802" s="1">
        <f>HYPERLINK("https://lsnyc.legalserver.org/matter/dynamic-profile/view/1913932","19-1913932")</f>
        <v>0</v>
      </c>
      <c r="B1802" t="s">
        <v>169</v>
      </c>
      <c r="C1802" t="s">
        <v>521</v>
      </c>
      <c r="E1802" t="s">
        <v>2058</v>
      </c>
      <c r="F1802" t="s">
        <v>4278</v>
      </c>
      <c r="G1802" t="s">
        <v>7602</v>
      </c>
      <c r="H1802" t="s">
        <v>10874</v>
      </c>
      <c r="I1802" t="s">
        <v>11384</v>
      </c>
      <c r="J1802">
        <v>10301</v>
      </c>
      <c r="K1802" t="s">
        <v>11447</v>
      </c>
      <c r="L1802" t="s">
        <v>12036</v>
      </c>
      <c r="M1802" t="s">
        <v>14743</v>
      </c>
      <c r="P1802" t="s">
        <v>14797</v>
      </c>
      <c r="Q1802" t="s">
        <v>11448</v>
      </c>
      <c r="S1802" t="s">
        <v>14827</v>
      </c>
      <c r="T1802" t="s">
        <v>14832</v>
      </c>
      <c r="V1802">
        <v>1040</v>
      </c>
      <c r="W1802" t="s">
        <v>14862</v>
      </c>
      <c r="X1802" t="s">
        <v>14863</v>
      </c>
      <c r="Z1802" t="s">
        <v>16464</v>
      </c>
      <c r="AB1802" t="s">
        <v>21506</v>
      </c>
      <c r="AC1802">
        <v>10</v>
      </c>
      <c r="AD1802" t="s">
        <v>24600</v>
      </c>
      <c r="AE1802" t="s">
        <v>11459</v>
      </c>
      <c r="AF1802">
        <v>-1</v>
      </c>
      <c r="AG1802">
        <v>2</v>
      </c>
      <c r="AH1802">
        <v>0</v>
      </c>
      <c r="AI1802">
        <v>0</v>
      </c>
      <c r="AL1802" t="s">
        <v>5011</v>
      </c>
      <c r="AM1802">
        <v>0</v>
      </c>
      <c r="AS1802">
        <v>2.6</v>
      </c>
      <c r="AT1802" t="s">
        <v>516</v>
      </c>
      <c r="AU1802" t="s">
        <v>25270</v>
      </c>
      <c r="AW1802" t="s">
        <v>11447</v>
      </c>
    </row>
    <row r="1803" spans="1:49">
      <c r="A1803" s="1">
        <f>HYPERLINK("https://lsnyc.legalserver.org/matter/dynamic-profile/view/1910375","19-1910375")</f>
        <v>0</v>
      </c>
      <c r="B1803" t="s">
        <v>208</v>
      </c>
      <c r="C1803" t="s">
        <v>540</v>
      </c>
      <c r="E1803" t="s">
        <v>2059</v>
      </c>
      <c r="F1803" t="s">
        <v>4596</v>
      </c>
      <c r="G1803" t="s">
        <v>7603</v>
      </c>
      <c r="I1803" t="s">
        <v>11386</v>
      </c>
      <c r="J1803">
        <v>10065</v>
      </c>
      <c r="K1803" t="s">
        <v>11446</v>
      </c>
      <c r="M1803" t="s">
        <v>11601</v>
      </c>
      <c r="N1803" t="s">
        <v>14782</v>
      </c>
      <c r="P1803" t="s">
        <v>14797</v>
      </c>
      <c r="S1803" t="s">
        <v>14827</v>
      </c>
      <c r="V1803">
        <v>3500</v>
      </c>
      <c r="W1803" t="s">
        <v>14860</v>
      </c>
      <c r="X1803" t="s">
        <v>14876</v>
      </c>
      <c r="Z1803" t="s">
        <v>16465</v>
      </c>
      <c r="AC1803">
        <v>0</v>
      </c>
      <c r="AD1803" t="s">
        <v>24598</v>
      </c>
      <c r="AE1803" t="s">
        <v>11459</v>
      </c>
      <c r="AF1803">
        <v>9</v>
      </c>
      <c r="AG1803">
        <v>1</v>
      </c>
      <c r="AH1803">
        <v>0</v>
      </c>
      <c r="AI1803">
        <v>0</v>
      </c>
      <c r="AL1803" t="s">
        <v>5011</v>
      </c>
      <c r="AM1803">
        <v>0</v>
      </c>
      <c r="AS1803">
        <v>0</v>
      </c>
      <c r="AU1803" t="s">
        <v>153</v>
      </c>
      <c r="AV1803" t="s">
        <v>11459</v>
      </c>
      <c r="AW1803" t="s">
        <v>11447</v>
      </c>
    </row>
    <row r="1804" spans="1:49">
      <c r="A1804" s="1">
        <f>HYPERLINK("https://lsnyc.legalserver.org/matter/dynamic-profile/view/1896334","19-1896334")</f>
        <v>0</v>
      </c>
      <c r="B1804" t="s">
        <v>216</v>
      </c>
      <c r="C1804" t="s">
        <v>415</v>
      </c>
      <c r="E1804" t="s">
        <v>2060</v>
      </c>
      <c r="F1804" t="s">
        <v>4597</v>
      </c>
      <c r="G1804" t="s">
        <v>7604</v>
      </c>
      <c r="H1804" t="s">
        <v>10773</v>
      </c>
      <c r="I1804" t="s">
        <v>11386</v>
      </c>
      <c r="J1804">
        <v>10034</v>
      </c>
      <c r="K1804" t="s">
        <v>11447</v>
      </c>
      <c r="L1804" t="s">
        <v>12037</v>
      </c>
      <c r="M1804" t="s">
        <v>14744</v>
      </c>
      <c r="N1804" t="s">
        <v>14782</v>
      </c>
      <c r="P1804" t="s">
        <v>14797</v>
      </c>
      <c r="Q1804" t="s">
        <v>11448</v>
      </c>
      <c r="S1804" t="s">
        <v>14827</v>
      </c>
      <c r="V1804">
        <v>1250</v>
      </c>
      <c r="W1804" t="s">
        <v>14860</v>
      </c>
      <c r="X1804" t="s">
        <v>14867</v>
      </c>
      <c r="Z1804" t="s">
        <v>16466</v>
      </c>
      <c r="AC1804">
        <v>0</v>
      </c>
      <c r="AD1804" t="s">
        <v>24595</v>
      </c>
      <c r="AE1804" t="s">
        <v>11459</v>
      </c>
      <c r="AF1804">
        <v>13</v>
      </c>
      <c r="AG1804">
        <v>1</v>
      </c>
      <c r="AH1804">
        <v>0</v>
      </c>
      <c r="AI1804">
        <v>0</v>
      </c>
      <c r="AL1804" t="s">
        <v>24632</v>
      </c>
      <c r="AM1804">
        <v>0</v>
      </c>
      <c r="AS1804">
        <v>1</v>
      </c>
      <c r="AT1804" t="s">
        <v>773</v>
      </c>
      <c r="AU1804" t="s">
        <v>25278</v>
      </c>
      <c r="AW1804" t="s">
        <v>11447</v>
      </c>
    </row>
    <row r="1805" spans="1:49">
      <c r="A1805" s="1">
        <f>HYPERLINK("https://lsnyc.legalserver.org/matter/dynamic-profile/view/1914413","19-1914413")</f>
        <v>0</v>
      </c>
      <c r="B1805" t="s">
        <v>137</v>
      </c>
      <c r="C1805" t="s">
        <v>506</v>
      </c>
      <c r="E1805" t="s">
        <v>1125</v>
      </c>
      <c r="F1805" t="s">
        <v>1925</v>
      </c>
      <c r="G1805" t="s">
        <v>7605</v>
      </c>
      <c r="H1805" t="s">
        <v>10817</v>
      </c>
      <c r="I1805" t="s">
        <v>11386</v>
      </c>
      <c r="J1805">
        <v>10034</v>
      </c>
      <c r="K1805" t="s">
        <v>11447</v>
      </c>
      <c r="L1805" t="s">
        <v>12038</v>
      </c>
      <c r="M1805" t="s">
        <v>14744</v>
      </c>
      <c r="N1805" t="s">
        <v>14782</v>
      </c>
      <c r="P1805" t="s">
        <v>14797</v>
      </c>
      <c r="Q1805" t="s">
        <v>11448</v>
      </c>
      <c r="S1805" t="s">
        <v>14827</v>
      </c>
      <c r="V1805">
        <v>1150</v>
      </c>
      <c r="W1805" t="s">
        <v>14860</v>
      </c>
      <c r="X1805" t="s">
        <v>14866</v>
      </c>
      <c r="Z1805" t="s">
        <v>16467</v>
      </c>
      <c r="AB1805" t="s">
        <v>21507</v>
      </c>
      <c r="AC1805">
        <v>40</v>
      </c>
      <c r="AE1805" t="s">
        <v>24615</v>
      </c>
      <c r="AF1805">
        <v>2</v>
      </c>
      <c r="AG1805">
        <v>1</v>
      </c>
      <c r="AH1805">
        <v>0</v>
      </c>
      <c r="AI1805">
        <v>0</v>
      </c>
      <c r="AL1805" t="s">
        <v>24632</v>
      </c>
      <c r="AM1805">
        <v>0</v>
      </c>
      <c r="AS1805">
        <v>1.6</v>
      </c>
      <c r="AT1805" t="s">
        <v>495</v>
      </c>
      <c r="AU1805" t="s">
        <v>25241</v>
      </c>
      <c r="AW1805" t="s">
        <v>11447</v>
      </c>
    </row>
    <row r="1806" spans="1:49">
      <c r="A1806" s="1">
        <f>HYPERLINK("https://lsnyc.legalserver.org/matter/dynamic-profile/view/1914157","19-1914157")</f>
        <v>0</v>
      </c>
      <c r="B1806" t="s">
        <v>216</v>
      </c>
      <c r="C1806" t="s">
        <v>580</v>
      </c>
      <c r="E1806" t="s">
        <v>1025</v>
      </c>
      <c r="F1806" t="s">
        <v>4598</v>
      </c>
      <c r="G1806" t="s">
        <v>7606</v>
      </c>
      <c r="H1806" t="s">
        <v>10875</v>
      </c>
      <c r="I1806" t="s">
        <v>11386</v>
      </c>
      <c r="J1806">
        <v>10034</v>
      </c>
      <c r="K1806" t="s">
        <v>11447</v>
      </c>
      <c r="N1806" t="s">
        <v>14782</v>
      </c>
      <c r="P1806" t="s">
        <v>14797</v>
      </c>
      <c r="Q1806" t="s">
        <v>11448</v>
      </c>
      <c r="S1806" t="s">
        <v>14827</v>
      </c>
      <c r="V1806">
        <v>0</v>
      </c>
      <c r="W1806" t="s">
        <v>14860</v>
      </c>
      <c r="Z1806" t="s">
        <v>16468</v>
      </c>
      <c r="AB1806" t="s">
        <v>21508</v>
      </c>
      <c r="AC1806">
        <v>0</v>
      </c>
      <c r="AD1806" t="s">
        <v>24595</v>
      </c>
      <c r="AF1806">
        <v>0</v>
      </c>
      <c r="AG1806">
        <v>1</v>
      </c>
      <c r="AH1806">
        <v>0</v>
      </c>
      <c r="AI1806">
        <v>0</v>
      </c>
      <c r="AL1806" t="s">
        <v>24632</v>
      </c>
      <c r="AM1806">
        <v>0</v>
      </c>
      <c r="AS1806">
        <v>0</v>
      </c>
      <c r="AU1806" t="s">
        <v>137</v>
      </c>
      <c r="AW1806" t="s">
        <v>11447</v>
      </c>
    </row>
    <row r="1807" spans="1:49">
      <c r="A1807" s="1">
        <f>HYPERLINK("https://lsnyc.legalserver.org/matter/dynamic-profile/view/1909408","19-1909408")</f>
        <v>0</v>
      </c>
      <c r="B1807" t="s">
        <v>231</v>
      </c>
      <c r="C1807" t="s">
        <v>412</v>
      </c>
      <c r="E1807" t="s">
        <v>2061</v>
      </c>
      <c r="F1807" t="s">
        <v>4599</v>
      </c>
      <c r="G1807" t="s">
        <v>7478</v>
      </c>
      <c r="H1807" t="s">
        <v>10595</v>
      </c>
      <c r="I1807" t="s">
        <v>11386</v>
      </c>
      <c r="J1807">
        <v>10032</v>
      </c>
      <c r="K1807" t="s">
        <v>11446</v>
      </c>
      <c r="M1807" t="s">
        <v>14772</v>
      </c>
      <c r="N1807" t="s">
        <v>14779</v>
      </c>
      <c r="P1807" t="s">
        <v>14797</v>
      </c>
      <c r="Q1807" t="s">
        <v>11448</v>
      </c>
      <c r="S1807" t="s">
        <v>14827</v>
      </c>
      <c r="V1807">
        <v>858.16</v>
      </c>
      <c r="W1807" t="s">
        <v>14860</v>
      </c>
      <c r="X1807" t="s">
        <v>14868</v>
      </c>
      <c r="Z1807" t="s">
        <v>16469</v>
      </c>
      <c r="AB1807" t="s">
        <v>21509</v>
      </c>
      <c r="AC1807">
        <v>42</v>
      </c>
      <c r="AD1807" t="s">
        <v>24595</v>
      </c>
      <c r="AE1807" t="s">
        <v>24615</v>
      </c>
      <c r="AF1807">
        <v>35</v>
      </c>
      <c r="AG1807">
        <v>1</v>
      </c>
      <c r="AH1807">
        <v>1</v>
      </c>
      <c r="AI1807">
        <v>0</v>
      </c>
      <c r="AL1807" t="s">
        <v>24632</v>
      </c>
      <c r="AM1807">
        <v>0</v>
      </c>
      <c r="AS1807">
        <v>0.1</v>
      </c>
      <c r="AT1807" t="s">
        <v>488</v>
      </c>
      <c r="AU1807" t="s">
        <v>137</v>
      </c>
      <c r="AV1807" t="s">
        <v>11459</v>
      </c>
      <c r="AW1807" t="s">
        <v>11447</v>
      </c>
    </row>
    <row r="1808" spans="1:49">
      <c r="A1808" s="1">
        <f>HYPERLINK("https://lsnyc.legalserver.org/matter/dynamic-profile/view/1915058","19-1915058")</f>
        <v>0</v>
      </c>
      <c r="B1808" t="s">
        <v>205</v>
      </c>
      <c r="C1808" t="s">
        <v>521</v>
      </c>
      <c r="E1808" t="s">
        <v>2062</v>
      </c>
      <c r="F1808" t="s">
        <v>4600</v>
      </c>
      <c r="G1808" t="s">
        <v>7607</v>
      </c>
      <c r="H1808">
        <v>609</v>
      </c>
      <c r="I1808" t="s">
        <v>11386</v>
      </c>
      <c r="J1808">
        <v>10029</v>
      </c>
      <c r="K1808" t="s">
        <v>11447</v>
      </c>
      <c r="M1808" t="s">
        <v>14744</v>
      </c>
      <c r="N1808" t="s">
        <v>14782</v>
      </c>
      <c r="P1808" t="s">
        <v>14797</v>
      </c>
      <c r="Q1808" t="s">
        <v>11448</v>
      </c>
      <c r="S1808" t="s">
        <v>14827</v>
      </c>
      <c r="T1808" t="s">
        <v>14832</v>
      </c>
      <c r="V1808">
        <v>843</v>
      </c>
      <c r="W1808" t="s">
        <v>14860</v>
      </c>
      <c r="Z1808" t="s">
        <v>16470</v>
      </c>
      <c r="AB1808" t="s">
        <v>21510</v>
      </c>
      <c r="AC1808">
        <v>0</v>
      </c>
      <c r="AD1808" t="s">
        <v>24595</v>
      </c>
      <c r="AE1808" t="s">
        <v>11459</v>
      </c>
      <c r="AF1808">
        <v>30</v>
      </c>
      <c r="AG1808">
        <v>1</v>
      </c>
      <c r="AH1808">
        <v>0</v>
      </c>
      <c r="AI1808">
        <v>0</v>
      </c>
      <c r="AL1808" t="s">
        <v>5011</v>
      </c>
      <c r="AM1808">
        <v>0</v>
      </c>
      <c r="AS1808">
        <v>1</v>
      </c>
      <c r="AT1808" t="s">
        <v>521</v>
      </c>
      <c r="AU1808" t="s">
        <v>25231</v>
      </c>
      <c r="AW1808" t="s">
        <v>11447</v>
      </c>
    </row>
    <row r="1809" spans="1:49">
      <c r="A1809" s="1">
        <f>HYPERLINK("https://lsnyc.legalserver.org/matter/dynamic-profile/view/1908432","19-1908432")</f>
        <v>0</v>
      </c>
      <c r="B1809" t="s">
        <v>104</v>
      </c>
      <c r="C1809" t="s">
        <v>464</v>
      </c>
      <c r="E1809" t="s">
        <v>1025</v>
      </c>
      <c r="F1809" t="s">
        <v>4601</v>
      </c>
      <c r="G1809" t="s">
        <v>7608</v>
      </c>
      <c r="H1809" t="s">
        <v>10451</v>
      </c>
      <c r="I1809" t="s">
        <v>11386</v>
      </c>
      <c r="J1809">
        <v>10029</v>
      </c>
      <c r="K1809" t="s">
        <v>11447</v>
      </c>
      <c r="M1809" t="s">
        <v>14747</v>
      </c>
      <c r="N1809" t="s">
        <v>14779</v>
      </c>
      <c r="P1809" t="s">
        <v>14797</v>
      </c>
      <c r="Q1809" t="s">
        <v>11448</v>
      </c>
      <c r="S1809" t="s">
        <v>14827</v>
      </c>
      <c r="T1809" t="s">
        <v>14832</v>
      </c>
      <c r="V1809">
        <v>360</v>
      </c>
      <c r="W1809" t="s">
        <v>14860</v>
      </c>
      <c r="X1809" t="s">
        <v>14866</v>
      </c>
      <c r="Z1809" t="s">
        <v>16471</v>
      </c>
      <c r="AB1809" t="s">
        <v>21511</v>
      </c>
      <c r="AC1809">
        <v>40</v>
      </c>
      <c r="AD1809" t="s">
        <v>24595</v>
      </c>
      <c r="AE1809" t="s">
        <v>24613</v>
      </c>
      <c r="AF1809">
        <v>40</v>
      </c>
      <c r="AG1809">
        <v>1</v>
      </c>
      <c r="AH1809">
        <v>0</v>
      </c>
      <c r="AI1809">
        <v>0</v>
      </c>
      <c r="AL1809" t="s">
        <v>24632</v>
      </c>
      <c r="AM1809">
        <v>0</v>
      </c>
      <c r="AS1809">
        <v>6.3</v>
      </c>
      <c r="AT1809" t="s">
        <v>537</v>
      </c>
      <c r="AU1809" t="s">
        <v>25241</v>
      </c>
      <c r="AW1809" t="s">
        <v>11447</v>
      </c>
    </row>
    <row r="1810" spans="1:49">
      <c r="A1810" s="1">
        <f>HYPERLINK("https://lsnyc.legalserver.org/matter/dynamic-profile/view/1875657","18-1875657")</f>
        <v>0</v>
      </c>
      <c r="B1810" t="s">
        <v>203</v>
      </c>
      <c r="C1810" t="s">
        <v>678</v>
      </c>
      <c r="E1810" t="s">
        <v>1274</v>
      </c>
      <c r="F1810" t="s">
        <v>4602</v>
      </c>
      <c r="G1810" t="s">
        <v>7087</v>
      </c>
      <c r="H1810" t="s">
        <v>10500</v>
      </c>
      <c r="I1810" t="s">
        <v>11385</v>
      </c>
      <c r="J1810">
        <v>11233</v>
      </c>
      <c r="K1810" t="s">
        <v>11448</v>
      </c>
      <c r="N1810" t="s">
        <v>14779</v>
      </c>
      <c r="P1810" t="s">
        <v>14797</v>
      </c>
      <c r="S1810" t="s">
        <v>14827</v>
      </c>
      <c r="V1810">
        <v>0</v>
      </c>
      <c r="W1810" t="s">
        <v>14859</v>
      </c>
      <c r="Z1810" t="s">
        <v>16472</v>
      </c>
      <c r="AB1810" t="s">
        <v>21512</v>
      </c>
      <c r="AC1810">
        <v>0</v>
      </c>
      <c r="AF1810">
        <v>0</v>
      </c>
      <c r="AG1810">
        <v>3</v>
      </c>
      <c r="AH1810">
        <v>1</v>
      </c>
      <c r="AI1810">
        <v>2.39</v>
      </c>
      <c r="AL1810" t="s">
        <v>5011</v>
      </c>
      <c r="AM1810">
        <v>600</v>
      </c>
      <c r="AS1810">
        <v>0.25</v>
      </c>
      <c r="AT1810" t="s">
        <v>334</v>
      </c>
      <c r="AU1810" t="s">
        <v>25246</v>
      </c>
      <c r="AW1810" t="s">
        <v>11447</v>
      </c>
    </row>
    <row r="1811" spans="1:49">
      <c r="A1811" s="1">
        <f>HYPERLINK("https://lsnyc.legalserver.org/matter/dynamic-profile/view/1913481","19-1913481")</f>
        <v>0</v>
      </c>
      <c r="B1811" t="s">
        <v>183</v>
      </c>
      <c r="C1811" t="s">
        <v>484</v>
      </c>
      <c r="E1811" t="s">
        <v>2063</v>
      </c>
      <c r="F1811" t="s">
        <v>3797</v>
      </c>
      <c r="G1811" t="s">
        <v>7609</v>
      </c>
      <c r="H1811" t="s">
        <v>10464</v>
      </c>
      <c r="I1811" t="s">
        <v>11385</v>
      </c>
      <c r="J1811">
        <v>11212</v>
      </c>
      <c r="K1811" t="s">
        <v>11447</v>
      </c>
      <c r="L1811" t="s">
        <v>12039</v>
      </c>
      <c r="M1811" t="s">
        <v>14743</v>
      </c>
      <c r="N1811" t="s">
        <v>14782</v>
      </c>
      <c r="P1811" t="s">
        <v>14797</v>
      </c>
      <c r="Q1811" t="s">
        <v>11448</v>
      </c>
      <c r="S1811" t="s">
        <v>14827</v>
      </c>
      <c r="T1811" t="s">
        <v>14832</v>
      </c>
      <c r="V1811">
        <v>1984.35</v>
      </c>
      <c r="W1811" t="s">
        <v>14859</v>
      </c>
      <c r="X1811" t="s">
        <v>14868</v>
      </c>
      <c r="Z1811" t="s">
        <v>16473</v>
      </c>
      <c r="AB1811" t="s">
        <v>21513</v>
      </c>
      <c r="AC1811">
        <v>4</v>
      </c>
      <c r="AD1811" t="s">
        <v>24600</v>
      </c>
      <c r="AE1811" t="s">
        <v>24616</v>
      </c>
      <c r="AF1811">
        <v>3</v>
      </c>
      <c r="AG1811">
        <v>1</v>
      </c>
      <c r="AH1811">
        <v>5</v>
      </c>
      <c r="AI1811">
        <v>2.89</v>
      </c>
      <c r="AL1811" t="s">
        <v>5011</v>
      </c>
      <c r="AM1811">
        <v>1000</v>
      </c>
      <c r="AS1811">
        <v>0.2</v>
      </c>
      <c r="AT1811" t="s">
        <v>477</v>
      </c>
      <c r="AU1811" t="s">
        <v>120</v>
      </c>
      <c r="AW1811" t="s">
        <v>11447</v>
      </c>
    </row>
    <row r="1812" spans="1:49">
      <c r="A1812" s="1">
        <f>HYPERLINK("https://lsnyc.legalserver.org/matter/dynamic-profile/view/1907060","19-1907060")</f>
        <v>0</v>
      </c>
      <c r="B1812" t="s">
        <v>167</v>
      </c>
      <c r="C1812" t="s">
        <v>626</v>
      </c>
      <c r="E1812" t="s">
        <v>1054</v>
      </c>
      <c r="F1812" t="s">
        <v>4603</v>
      </c>
      <c r="G1812" t="s">
        <v>7610</v>
      </c>
      <c r="H1812">
        <v>2</v>
      </c>
      <c r="I1812" t="s">
        <v>11388</v>
      </c>
      <c r="J1812">
        <v>11385</v>
      </c>
      <c r="K1812" t="s">
        <v>11446</v>
      </c>
      <c r="L1812" t="s">
        <v>11474</v>
      </c>
      <c r="M1812" t="s">
        <v>11601</v>
      </c>
      <c r="N1812" t="s">
        <v>14779</v>
      </c>
      <c r="P1812" t="s">
        <v>14797</v>
      </c>
      <c r="Q1812" t="s">
        <v>11448</v>
      </c>
      <c r="S1812" t="s">
        <v>14827</v>
      </c>
      <c r="T1812" t="s">
        <v>14832</v>
      </c>
      <c r="V1812">
        <v>1495</v>
      </c>
      <c r="W1812" t="s">
        <v>14861</v>
      </c>
      <c r="X1812" t="s">
        <v>14864</v>
      </c>
      <c r="Z1812" t="s">
        <v>16474</v>
      </c>
      <c r="AB1812" t="s">
        <v>21514</v>
      </c>
      <c r="AC1812">
        <v>6</v>
      </c>
      <c r="AD1812" t="s">
        <v>24595</v>
      </c>
      <c r="AE1812" t="s">
        <v>24610</v>
      </c>
      <c r="AF1812">
        <v>10</v>
      </c>
      <c r="AG1812">
        <v>5</v>
      </c>
      <c r="AH1812">
        <v>0</v>
      </c>
      <c r="AI1812">
        <v>5.6</v>
      </c>
      <c r="AL1812" t="s">
        <v>5011</v>
      </c>
      <c r="AM1812">
        <v>1690</v>
      </c>
      <c r="AS1812">
        <v>8.1</v>
      </c>
      <c r="AT1812" t="s">
        <v>515</v>
      </c>
      <c r="AU1812" t="s">
        <v>63</v>
      </c>
      <c r="AV1812" t="s">
        <v>25335</v>
      </c>
      <c r="AW1812" t="s">
        <v>11447</v>
      </c>
    </row>
    <row r="1813" spans="1:49">
      <c r="A1813" s="1">
        <f>HYPERLINK("https://lsnyc.legalserver.org/matter/dynamic-profile/view/1913644","19-1913644")</f>
        <v>0</v>
      </c>
      <c r="B1813" t="s">
        <v>56</v>
      </c>
      <c r="C1813" t="s">
        <v>477</v>
      </c>
      <c r="E1813" t="s">
        <v>2064</v>
      </c>
      <c r="F1813" t="s">
        <v>3738</v>
      </c>
      <c r="G1813" t="s">
        <v>7132</v>
      </c>
      <c r="I1813" t="s">
        <v>11385</v>
      </c>
      <c r="J1813">
        <v>11212</v>
      </c>
      <c r="K1813" t="s">
        <v>11447</v>
      </c>
      <c r="L1813" t="s">
        <v>12040</v>
      </c>
      <c r="M1813" t="s">
        <v>14744</v>
      </c>
      <c r="N1813" t="s">
        <v>14782</v>
      </c>
      <c r="P1813" t="s">
        <v>14797</v>
      </c>
      <c r="Q1813" t="s">
        <v>11448</v>
      </c>
      <c r="S1813" t="s">
        <v>14827</v>
      </c>
      <c r="V1813">
        <v>1417.68</v>
      </c>
      <c r="W1813" t="s">
        <v>14859</v>
      </c>
      <c r="X1813" t="s">
        <v>14755</v>
      </c>
      <c r="Z1813" t="s">
        <v>16475</v>
      </c>
      <c r="AA1813" t="s">
        <v>19467</v>
      </c>
      <c r="AB1813" t="s">
        <v>21515</v>
      </c>
      <c r="AC1813">
        <v>19</v>
      </c>
      <c r="AD1813" t="s">
        <v>24595</v>
      </c>
      <c r="AE1813" t="s">
        <v>24610</v>
      </c>
      <c r="AF1813">
        <v>8</v>
      </c>
      <c r="AG1813">
        <v>2</v>
      </c>
      <c r="AH1813">
        <v>0</v>
      </c>
      <c r="AI1813">
        <v>5.79</v>
      </c>
      <c r="AL1813" t="s">
        <v>5011</v>
      </c>
      <c r="AM1813">
        <v>978.6</v>
      </c>
      <c r="AS1813">
        <v>1</v>
      </c>
      <c r="AT1813" t="s">
        <v>506</v>
      </c>
      <c r="AU1813" t="s">
        <v>120</v>
      </c>
      <c r="AW1813" t="s">
        <v>11447</v>
      </c>
    </row>
    <row r="1814" spans="1:49">
      <c r="A1814" s="1">
        <f>HYPERLINK("https://lsnyc.legalserver.org/matter/dynamic-profile/view/1913997","19-1913997")</f>
        <v>0</v>
      </c>
      <c r="B1814" t="s">
        <v>168</v>
      </c>
      <c r="C1814" t="s">
        <v>509</v>
      </c>
      <c r="E1814" t="s">
        <v>1090</v>
      </c>
      <c r="F1814" t="s">
        <v>4604</v>
      </c>
      <c r="G1814" t="s">
        <v>7611</v>
      </c>
      <c r="H1814" t="s">
        <v>10569</v>
      </c>
      <c r="I1814" t="s">
        <v>11384</v>
      </c>
      <c r="J1814">
        <v>10301</v>
      </c>
      <c r="K1814" t="s">
        <v>11448</v>
      </c>
      <c r="M1814" t="s">
        <v>11601</v>
      </c>
      <c r="N1814" t="s">
        <v>14782</v>
      </c>
      <c r="P1814" t="s">
        <v>14797</v>
      </c>
      <c r="Q1814" t="s">
        <v>11446</v>
      </c>
      <c r="S1814" t="s">
        <v>14829</v>
      </c>
      <c r="V1814">
        <v>1327</v>
      </c>
      <c r="W1814" t="s">
        <v>14862</v>
      </c>
      <c r="X1814" t="s">
        <v>14876</v>
      </c>
      <c r="Z1814" t="s">
        <v>16476</v>
      </c>
      <c r="AB1814" t="s">
        <v>21516</v>
      </c>
      <c r="AC1814">
        <v>0</v>
      </c>
      <c r="AD1814" t="s">
        <v>24595</v>
      </c>
      <c r="AF1814">
        <v>8</v>
      </c>
      <c r="AG1814">
        <v>2</v>
      </c>
      <c r="AH1814">
        <v>0</v>
      </c>
      <c r="AI1814">
        <v>8.09</v>
      </c>
      <c r="AL1814" t="s">
        <v>24632</v>
      </c>
      <c r="AM1814">
        <v>1368</v>
      </c>
      <c r="AS1814">
        <v>1</v>
      </c>
      <c r="AT1814" t="s">
        <v>506</v>
      </c>
      <c r="AU1814" t="s">
        <v>221</v>
      </c>
      <c r="AW1814" t="s">
        <v>11447</v>
      </c>
    </row>
    <row r="1815" spans="1:49">
      <c r="A1815" s="1">
        <f>HYPERLINK("https://lsnyc.legalserver.org/matter/dynamic-profile/view/1843588","17-1843588")</f>
        <v>0</v>
      </c>
      <c r="B1815" t="s">
        <v>105</v>
      </c>
      <c r="C1815" t="s">
        <v>679</v>
      </c>
      <c r="E1815" t="s">
        <v>1347</v>
      </c>
      <c r="F1815" t="s">
        <v>3769</v>
      </c>
      <c r="G1815" t="s">
        <v>7146</v>
      </c>
      <c r="H1815">
        <v>39</v>
      </c>
      <c r="I1815" t="s">
        <v>11386</v>
      </c>
      <c r="J1815">
        <v>10040</v>
      </c>
      <c r="K1815" t="s">
        <v>11448</v>
      </c>
      <c r="M1815" t="s">
        <v>14746</v>
      </c>
      <c r="N1815" t="s">
        <v>14781</v>
      </c>
      <c r="P1815" t="s">
        <v>14797</v>
      </c>
      <c r="Q1815" t="s">
        <v>11446</v>
      </c>
      <c r="S1815" t="s">
        <v>14827</v>
      </c>
      <c r="V1815">
        <v>1300</v>
      </c>
      <c r="W1815" t="s">
        <v>14860</v>
      </c>
      <c r="X1815" t="s">
        <v>14867</v>
      </c>
      <c r="Z1815" t="s">
        <v>16477</v>
      </c>
      <c r="AB1815" t="s">
        <v>21517</v>
      </c>
      <c r="AC1815">
        <v>44</v>
      </c>
      <c r="AD1815" t="s">
        <v>24595</v>
      </c>
      <c r="AE1815" t="s">
        <v>11459</v>
      </c>
      <c r="AF1815">
        <v>25</v>
      </c>
      <c r="AG1815">
        <v>1</v>
      </c>
      <c r="AH1815">
        <v>0</v>
      </c>
      <c r="AI1815">
        <v>9.1</v>
      </c>
      <c r="AJ1815" t="s">
        <v>24623</v>
      </c>
      <c r="AL1815" t="s">
        <v>24632</v>
      </c>
      <c r="AM1815">
        <v>1098</v>
      </c>
      <c r="AS1815">
        <v>0.21</v>
      </c>
      <c r="AT1815" t="s">
        <v>527</v>
      </c>
      <c r="AU1815" t="s">
        <v>137</v>
      </c>
      <c r="AW1815" t="s">
        <v>11447</v>
      </c>
    </row>
    <row r="1816" spans="1:49">
      <c r="A1816" s="1">
        <f>HYPERLINK("https://lsnyc.legalserver.org/matter/dynamic-profile/view/1911969","19-1911969")</f>
        <v>0</v>
      </c>
      <c r="B1816" t="s">
        <v>76</v>
      </c>
      <c r="C1816" t="s">
        <v>586</v>
      </c>
      <c r="E1816" t="s">
        <v>1953</v>
      </c>
      <c r="F1816" t="s">
        <v>4605</v>
      </c>
      <c r="G1816" t="s">
        <v>7612</v>
      </c>
      <c r="I1816" t="s">
        <v>11385</v>
      </c>
      <c r="J1816">
        <v>11233</v>
      </c>
      <c r="K1816" t="s">
        <v>11446</v>
      </c>
      <c r="L1816" t="s">
        <v>12041</v>
      </c>
      <c r="M1816" t="s">
        <v>14743</v>
      </c>
      <c r="N1816" t="s">
        <v>14782</v>
      </c>
      <c r="P1816" t="s">
        <v>14797</v>
      </c>
      <c r="Q1816" t="s">
        <v>11448</v>
      </c>
      <c r="S1816" t="s">
        <v>14827</v>
      </c>
      <c r="V1816">
        <v>0</v>
      </c>
      <c r="W1816" t="s">
        <v>14859</v>
      </c>
      <c r="X1816" t="s">
        <v>14755</v>
      </c>
      <c r="Z1816" t="s">
        <v>16478</v>
      </c>
      <c r="AB1816" t="s">
        <v>21518</v>
      </c>
      <c r="AC1816">
        <v>2</v>
      </c>
      <c r="AD1816" t="s">
        <v>24600</v>
      </c>
      <c r="AE1816" t="s">
        <v>11459</v>
      </c>
      <c r="AF1816">
        <v>0</v>
      </c>
      <c r="AG1816">
        <v>1</v>
      </c>
      <c r="AH1816">
        <v>0</v>
      </c>
      <c r="AI1816">
        <v>9.609999999999999</v>
      </c>
      <c r="AL1816" t="s">
        <v>5011</v>
      </c>
      <c r="AM1816">
        <v>1200</v>
      </c>
      <c r="AS1816">
        <v>3.5</v>
      </c>
      <c r="AT1816" t="s">
        <v>521</v>
      </c>
      <c r="AU1816" t="s">
        <v>25231</v>
      </c>
      <c r="AV1816" t="s">
        <v>25335</v>
      </c>
      <c r="AW1816" t="s">
        <v>11447</v>
      </c>
    </row>
    <row r="1817" spans="1:49">
      <c r="A1817" s="1">
        <f>HYPERLINK("https://lsnyc.legalserver.org/matter/dynamic-profile/view/1899279","19-1899279")</f>
        <v>0</v>
      </c>
      <c r="B1817" t="s">
        <v>140</v>
      </c>
      <c r="C1817" t="s">
        <v>680</v>
      </c>
      <c r="E1817" t="s">
        <v>1487</v>
      </c>
      <c r="F1817" t="s">
        <v>3614</v>
      </c>
      <c r="G1817" t="s">
        <v>7613</v>
      </c>
      <c r="H1817" t="s">
        <v>10585</v>
      </c>
      <c r="I1817" t="s">
        <v>11383</v>
      </c>
      <c r="J1817">
        <v>10453</v>
      </c>
      <c r="K1817" t="s">
        <v>11447</v>
      </c>
      <c r="N1817" t="s">
        <v>14780</v>
      </c>
      <c r="P1817" t="s">
        <v>14797</v>
      </c>
      <c r="S1817" t="s">
        <v>14829</v>
      </c>
      <c r="V1817">
        <v>0</v>
      </c>
      <c r="W1817" t="s">
        <v>14858</v>
      </c>
      <c r="Z1817" t="s">
        <v>15681</v>
      </c>
      <c r="AB1817" t="s">
        <v>20783</v>
      </c>
      <c r="AC1817">
        <v>55</v>
      </c>
      <c r="AF1817">
        <v>0</v>
      </c>
      <c r="AG1817">
        <v>1</v>
      </c>
      <c r="AH1817">
        <v>0</v>
      </c>
      <c r="AI1817">
        <v>11.53</v>
      </c>
      <c r="AL1817" t="s">
        <v>24632</v>
      </c>
      <c r="AM1817">
        <v>1440</v>
      </c>
      <c r="AN1817" t="s">
        <v>24792</v>
      </c>
      <c r="AS1817">
        <v>0.9</v>
      </c>
      <c r="AT1817" t="s">
        <v>478</v>
      </c>
      <c r="AU1817" t="s">
        <v>140</v>
      </c>
      <c r="AW1817" t="s">
        <v>11447</v>
      </c>
    </row>
    <row r="1818" spans="1:49">
      <c r="A1818" s="1">
        <f>HYPERLINK("https://lsnyc.legalserver.org/matter/dynamic-profile/view/1905112","19-1905112")</f>
        <v>0</v>
      </c>
      <c r="B1818" t="s">
        <v>84</v>
      </c>
      <c r="C1818" t="s">
        <v>456</v>
      </c>
      <c r="E1818" t="s">
        <v>1282</v>
      </c>
      <c r="F1818" t="s">
        <v>4403</v>
      </c>
      <c r="G1818" t="s">
        <v>7381</v>
      </c>
      <c r="H1818" t="s">
        <v>10463</v>
      </c>
      <c r="I1818" t="s">
        <v>11383</v>
      </c>
      <c r="J1818">
        <v>10455</v>
      </c>
      <c r="K1818" t="s">
        <v>11446</v>
      </c>
      <c r="L1818" t="s">
        <v>12042</v>
      </c>
      <c r="M1818" t="s">
        <v>14762</v>
      </c>
      <c r="N1818" t="s">
        <v>14783</v>
      </c>
      <c r="P1818" t="s">
        <v>14797</v>
      </c>
      <c r="Q1818" t="s">
        <v>11446</v>
      </c>
      <c r="S1818" t="s">
        <v>14827</v>
      </c>
      <c r="V1818">
        <v>1515</v>
      </c>
      <c r="W1818" t="s">
        <v>14858</v>
      </c>
      <c r="X1818" t="s">
        <v>14868</v>
      </c>
      <c r="Z1818" t="s">
        <v>16129</v>
      </c>
      <c r="AB1818" t="s">
        <v>21209</v>
      </c>
      <c r="AC1818">
        <v>49</v>
      </c>
      <c r="AD1818" t="s">
        <v>24595</v>
      </c>
      <c r="AE1818" t="s">
        <v>11459</v>
      </c>
      <c r="AF1818">
        <v>3</v>
      </c>
      <c r="AG1818">
        <v>1</v>
      </c>
      <c r="AH1818">
        <v>2</v>
      </c>
      <c r="AI1818">
        <v>11.7</v>
      </c>
      <c r="AL1818" t="s">
        <v>5011</v>
      </c>
      <c r="AM1818">
        <v>2496</v>
      </c>
      <c r="AS1818">
        <v>2.95</v>
      </c>
      <c r="AT1818" t="s">
        <v>521</v>
      </c>
      <c r="AU1818" t="s">
        <v>245</v>
      </c>
      <c r="AV1818" t="s">
        <v>25335</v>
      </c>
      <c r="AW1818" t="s">
        <v>11447</v>
      </c>
    </row>
    <row r="1819" spans="1:49">
      <c r="A1819" s="1">
        <f>HYPERLINK("https://lsnyc.legalserver.org/matter/dynamic-profile/view/1898492","19-1898492")</f>
        <v>0</v>
      </c>
      <c r="B1819" t="s">
        <v>84</v>
      </c>
      <c r="C1819" t="s">
        <v>360</v>
      </c>
      <c r="E1819" t="s">
        <v>1282</v>
      </c>
      <c r="F1819" t="s">
        <v>4403</v>
      </c>
      <c r="G1819" t="s">
        <v>7381</v>
      </c>
      <c r="H1819" t="s">
        <v>10463</v>
      </c>
      <c r="I1819" t="s">
        <v>11383</v>
      </c>
      <c r="J1819">
        <v>10455</v>
      </c>
      <c r="K1819" t="s">
        <v>11446</v>
      </c>
      <c r="L1819" t="s">
        <v>11954</v>
      </c>
      <c r="M1819" t="s">
        <v>14746</v>
      </c>
      <c r="N1819" t="s">
        <v>14781</v>
      </c>
      <c r="P1819" t="s">
        <v>14797</v>
      </c>
      <c r="Q1819" t="s">
        <v>11446</v>
      </c>
      <c r="S1819" t="s">
        <v>14827</v>
      </c>
      <c r="V1819">
        <v>1515</v>
      </c>
      <c r="W1819" t="s">
        <v>14858</v>
      </c>
      <c r="X1819" t="s">
        <v>14868</v>
      </c>
      <c r="Z1819" t="s">
        <v>16129</v>
      </c>
      <c r="AB1819" t="s">
        <v>21209</v>
      </c>
      <c r="AC1819">
        <v>49</v>
      </c>
      <c r="AD1819" t="s">
        <v>24595</v>
      </c>
      <c r="AF1819">
        <v>3</v>
      </c>
      <c r="AG1819">
        <v>1</v>
      </c>
      <c r="AH1819">
        <v>2</v>
      </c>
      <c r="AI1819">
        <v>11.7</v>
      </c>
      <c r="AL1819" t="s">
        <v>5011</v>
      </c>
      <c r="AM1819">
        <v>2496</v>
      </c>
      <c r="AS1819">
        <v>200.8</v>
      </c>
      <c r="AT1819" t="s">
        <v>495</v>
      </c>
      <c r="AV1819" t="s">
        <v>25335</v>
      </c>
      <c r="AW1819" t="s">
        <v>11446</v>
      </c>
    </row>
    <row r="1820" spans="1:49">
      <c r="A1820" s="1">
        <f>HYPERLINK("https://lsnyc.legalserver.org/matter/dynamic-profile/view/1910381","19-1910381")</f>
        <v>0</v>
      </c>
      <c r="B1820" t="s">
        <v>148</v>
      </c>
      <c r="C1820" t="s">
        <v>571</v>
      </c>
      <c r="E1820" t="s">
        <v>2065</v>
      </c>
      <c r="F1820" t="s">
        <v>4606</v>
      </c>
      <c r="G1820" t="s">
        <v>7614</v>
      </c>
      <c r="I1820" t="s">
        <v>11384</v>
      </c>
      <c r="J1820">
        <v>10312</v>
      </c>
      <c r="K1820" t="s">
        <v>11447</v>
      </c>
      <c r="L1820" t="s">
        <v>12043</v>
      </c>
      <c r="M1820" t="s">
        <v>14743</v>
      </c>
      <c r="P1820" t="s">
        <v>14797</v>
      </c>
      <c r="Q1820" t="s">
        <v>11448</v>
      </c>
      <c r="S1820" t="s">
        <v>14827</v>
      </c>
      <c r="V1820">
        <v>2800</v>
      </c>
      <c r="W1820" t="s">
        <v>14862</v>
      </c>
      <c r="X1820" t="s">
        <v>14755</v>
      </c>
      <c r="Z1820" t="s">
        <v>16479</v>
      </c>
      <c r="AB1820" t="s">
        <v>21519</v>
      </c>
      <c r="AC1820">
        <v>2</v>
      </c>
      <c r="AD1820" t="s">
        <v>24600</v>
      </c>
      <c r="AE1820" t="s">
        <v>11459</v>
      </c>
      <c r="AF1820">
        <v>-1</v>
      </c>
      <c r="AG1820">
        <v>1</v>
      </c>
      <c r="AH1820">
        <v>2</v>
      </c>
      <c r="AI1820">
        <v>13.05</v>
      </c>
      <c r="AL1820" t="s">
        <v>5011</v>
      </c>
      <c r="AM1820">
        <v>2784</v>
      </c>
      <c r="AS1820">
        <v>3</v>
      </c>
      <c r="AT1820" t="s">
        <v>539</v>
      </c>
      <c r="AU1820" t="s">
        <v>25270</v>
      </c>
      <c r="AW1820" t="s">
        <v>11447</v>
      </c>
    </row>
    <row r="1821" spans="1:49">
      <c r="A1821" s="1">
        <f>HYPERLINK("https://lsnyc.legalserver.org/matter/dynamic-profile/view/1893930","19-1893930")</f>
        <v>0</v>
      </c>
      <c r="B1821" t="s">
        <v>165</v>
      </c>
      <c r="C1821" t="s">
        <v>333</v>
      </c>
      <c r="E1821" t="s">
        <v>2066</v>
      </c>
      <c r="F1821" t="s">
        <v>3547</v>
      </c>
      <c r="G1821" t="s">
        <v>7615</v>
      </c>
      <c r="H1821" t="s">
        <v>10499</v>
      </c>
      <c r="I1821" t="s">
        <v>11384</v>
      </c>
      <c r="J1821">
        <v>10304</v>
      </c>
      <c r="K1821" t="s">
        <v>11447</v>
      </c>
      <c r="L1821" t="s">
        <v>12044</v>
      </c>
      <c r="M1821" t="s">
        <v>14744</v>
      </c>
      <c r="N1821" t="s">
        <v>14781</v>
      </c>
      <c r="P1821" t="s">
        <v>14797</v>
      </c>
      <c r="Q1821" t="s">
        <v>11448</v>
      </c>
      <c r="S1821" t="s">
        <v>14827</v>
      </c>
      <c r="T1821" t="s">
        <v>14832</v>
      </c>
      <c r="V1821">
        <v>1956</v>
      </c>
      <c r="W1821" t="s">
        <v>14862</v>
      </c>
      <c r="X1821" t="s">
        <v>14863</v>
      </c>
      <c r="Z1821" t="s">
        <v>16480</v>
      </c>
      <c r="AA1821">
        <v>5620117</v>
      </c>
      <c r="AB1821" t="s">
        <v>21520</v>
      </c>
      <c r="AC1821">
        <v>2</v>
      </c>
      <c r="AE1821" t="s">
        <v>24616</v>
      </c>
      <c r="AF1821">
        <v>2</v>
      </c>
      <c r="AG1821">
        <v>2</v>
      </c>
      <c r="AH1821">
        <v>0</v>
      </c>
      <c r="AI1821">
        <v>13.22</v>
      </c>
      <c r="AL1821" t="s">
        <v>5011</v>
      </c>
      <c r="AM1821">
        <v>2236</v>
      </c>
      <c r="AS1821">
        <v>8.6</v>
      </c>
      <c r="AT1821" t="s">
        <v>516</v>
      </c>
      <c r="AU1821" t="s">
        <v>25270</v>
      </c>
      <c r="AW1821" t="s">
        <v>11447</v>
      </c>
    </row>
    <row r="1822" spans="1:49">
      <c r="A1822" s="1">
        <f>HYPERLINK("https://lsnyc.legalserver.org/matter/dynamic-profile/view/1914687","19-1914687")</f>
        <v>0</v>
      </c>
      <c r="B1822" t="s">
        <v>214</v>
      </c>
      <c r="C1822" t="s">
        <v>491</v>
      </c>
      <c r="E1822" t="s">
        <v>1024</v>
      </c>
      <c r="F1822" t="s">
        <v>4607</v>
      </c>
      <c r="G1822" t="s">
        <v>6985</v>
      </c>
      <c r="H1822" t="s">
        <v>10876</v>
      </c>
      <c r="I1822" t="s">
        <v>11385</v>
      </c>
      <c r="J1822">
        <v>11233</v>
      </c>
      <c r="K1822" t="s">
        <v>11448</v>
      </c>
      <c r="L1822" t="s">
        <v>12045</v>
      </c>
      <c r="M1822" t="s">
        <v>14744</v>
      </c>
      <c r="P1822" t="s">
        <v>14797</v>
      </c>
      <c r="Q1822" t="s">
        <v>11448</v>
      </c>
      <c r="S1822" t="s">
        <v>14827</v>
      </c>
      <c r="T1822" t="s">
        <v>14832</v>
      </c>
      <c r="V1822">
        <v>858</v>
      </c>
      <c r="W1822" t="s">
        <v>14859</v>
      </c>
      <c r="X1822" t="s">
        <v>14868</v>
      </c>
      <c r="Z1822" t="s">
        <v>16481</v>
      </c>
      <c r="AA1822" t="s">
        <v>19468</v>
      </c>
      <c r="AB1822" t="s">
        <v>21521</v>
      </c>
      <c r="AC1822">
        <v>700</v>
      </c>
      <c r="AD1822" t="s">
        <v>24595</v>
      </c>
      <c r="AE1822" t="s">
        <v>24610</v>
      </c>
      <c r="AF1822">
        <v>16</v>
      </c>
      <c r="AG1822">
        <v>1</v>
      </c>
      <c r="AH1822">
        <v>1</v>
      </c>
      <c r="AI1822">
        <v>14.19</v>
      </c>
      <c r="AL1822" t="s">
        <v>5011</v>
      </c>
      <c r="AM1822">
        <v>2400</v>
      </c>
      <c r="AS1822">
        <v>0</v>
      </c>
      <c r="AU1822" t="s">
        <v>66</v>
      </c>
      <c r="AV1822" t="s">
        <v>11459</v>
      </c>
      <c r="AW1822" t="s">
        <v>11447</v>
      </c>
    </row>
    <row r="1823" spans="1:49">
      <c r="A1823" s="1">
        <f>HYPERLINK("https://lsnyc.legalserver.org/matter/dynamic-profile/view/1908234","19-1908234")</f>
        <v>0</v>
      </c>
      <c r="B1823" t="s">
        <v>216</v>
      </c>
      <c r="C1823" t="s">
        <v>375</v>
      </c>
      <c r="E1823" t="s">
        <v>1544</v>
      </c>
      <c r="F1823" t="s">
        <v>4608</v>
      </c>
      <c r="G1823" t="s">
        <v>7616</v>
      </c>
      <c r="H1823">
        <v>2</v>
      </c>
      <c r="I1823" t="s">
        <v>11386</v>
      </c>
      <c r="J1823">
        <v>10033</v>
      </c>
      <c r="K1823" t="s">
        <v>11446</v>
      </c>
      <c r="M1823" t="s">
        <v>14753</v>
      </c>
      <c r="N1823" t="s">
        <v>14782</v>
      </c>
      <c r="P1823" t="s">
        <v>14797</v>
      </c>
      <c r="Q1823" t="s">
        <v>11448</v>
      </c>
      <c r="S1823" t="s">
        <v>14830</v>
      </c>
      <c r="V1823">
        <v>1225.03</v>
      </c>
      <c r="W1823" t="s">
        <v>14860</v>
      </c>
      <c r="X1823" t="s">
        <v>14867</v>
      </c>
      <c r="Z1823" t="s">
        <v>16482</v>
      </c>
      <c r="AA1823" t="s">
        <v>19469</v>
      </c>
      <c r="AB1823" t="s">
        <v>21522</v>
      </c>
      <c r="AC1823">
        <v>0</v>
      </c>
      <c r="AD1823" t="s">
        <v>24595</v>
      </c>
      <c r="AE1823" t="s">
        <v>24610</v>
      </c>
      <c r="AF1823">
        <v>20</v>
      </c>
      <c r="AG1823">
        <v>2</v>
      </c>
      <c r="AH1823">
        <v>0</v>
      </c>
      <c r="AI1823">
        <v>14.19</v>
      </c>
      <c r="AL1823" t="s">
        <v>24632</v>
      </c>
      <c r="AM1823">
        <v>2400</v>
      </c>
      <c r="AS1823">
        <v>1</v>
      </c>
      <c r="AT1823" t="s">
        <v>375</v>
      </c>
      <c r="AU1823" t="s">
        <v>25276</v>
      </c>
      <c r="AV1823" t="s">
        <v>25334</v>
      </c>
      <c r="AW1823" t="s">
        <v>11447</v>
      </c>
    </row>
    <row r="1824" spans="1:49">
      <c r="A1824" s="1">
        <f>HYPERLINK("https://lsnyc.legalserver.org/matter/dynamic-profile/view/1911825","19-1911825")</f>
        <v>0</v>
      </c>
      <c r="B1824" t="s">
        <v>90</v>
      </c>
      <c r="C1824" t="s">
        <v>645</v>
      </c>
      <c r="E1824" t="s">
        <v>2067</v>
      </c>
      <c r="F1824" t="s">
        <v>3809</v>
      </c>
      <c r="G1824" t="s">
        <v>7617</v>
      </c>
      <c r="H1824" t="s">
        <v>10719</v>
      </c>
      <c r="I1824" t="s">
        <v>11383</v>
      </c>
      <c r="J1824">
        <v>10452</v>
      </c>
      <c r="K1824" t="s">
        <v>11446</v>
      </c>
      <c r="M1824" t="s">
        <v>14762</v>
      </c>
      <c r="N1824" t="s">
        <v>14783</v>
      </c>
      <c r="P1824" t="s">
        <v>14797</v>
      </c>
      <c r="Q1824" t="s">
        <v>11446</v>
      </c>
      <c r="S1824" t="s">
        <v>14827</v>
      </c>
      <c r="V1824">
        <v>1700</v>
      </c>
      <c r="W1824" t="s">
        <v>14858</v>
      </c>
      <c r="X1824" t="s">
        <v>14864</v>
      </c>
      <c r="Z1824" t="s">
        <v>16483</v>
      </c>
      <c r="AA1824" t="s">
        <v>19470</v>
      </c>
      <c r="AC1824">
        <v>52</v>
      </c>
      <c r="AD1824" t="s">
        <v>24595</v>
      </c>
      <c r="AE1824" t="s">
        <v>24616</v>
      </c>
      <c r="AF1824">
        <v>6</v>
      </c>
      <c r="AG1824">
        <v>1</v>
      </c>
      <c r="AH1824">
        <v>2</v>
      </c>
      <c r="AI1824">
        <v>15.6</v>
      </c>
      <c r="AL1824" t="s">
        <v>5011</v>
      </c>
      <c r="AM1824">
        <v>3328</v>
      </c>
      <c r="AS1824">
        <v>0.4</v>
      </c>
      <c r="AT1824" t="s">
        <v>645</v>
      </c>
      <c r="AU1824" t="s">
        <v>230</v>
      </c>
      <c r="AV1824" t="s">
        <v>25335</v>
      </c>
      <c r="AW1824" t="s">
        <v>11447</v>
      </c>
    </row>
    <row r="1825" spans="1:49">
      <c r="A1825" s="1">
        <f>HYPERLINK("https://lsnyc.legalserver.org/matter/dynamic-profile/view/1915130","19-1915130")</f>
        <v>0</v>
      </c>
      <c r="B1825" t="s">
        <v>183</v>
      </c>
      <c r="C1825" t="s">
        <v>516</v>
      </c>
      <c r="E1825" t="s">
        <v>2068</v>
      </c>
      <c r="F1825" t="s">
        <v>4609</v>
      </c>
      <c r="G1825" t="s">
        <v>7618</v>
      </c>
      <c r="H1825" t="s">
        <v>10678</v>
      </c>
      <c r="I1825" t="s">
        <v>11385</v>
      </c>
      <c r="J1825">
        <v>11233</v>
      </c>
      <c r="K1825" t="s">
        <v>11446</v>
      </c>
      <c r="L1825" t="s">
        <v>12046</v>
      </c>
      <c r="M1825" t="s">
        <v>14744</v>
      </c>
      <c r="N1825" t="s">
        <v>14782</v>
      </c>
      <c r="P1825" t="s">
        <v>14797</v>
      </c>
      <c r="Q1825" t="s">
        <v>11448</v>
      </c>
      <c r="S1825" t="s">
        <v>14827</v>
      </c>
      <c r="V1825">
        <v>1175.29</v>
      </c>
      <c r="W1825" t="s">
        <v>14859</v>
      </c>
      <c r="Z1825" t="s">
        <v>16484</v>
      </c>
      <c r="AA1825" t="s">
        <v>19471</v>
      </c>
      <c r="AB1825" t="s">
        <v>21523</v>
      </c>
      <c r="AC1825">
        <v>24</v>
      </c>
      <c r="AD1825" t="s">
        <v>24595</v>
      </c>
      <c r="AE1825" t="s">
        <v>11459</v>
      </c>
      <c r="AF1825">
        <v>6</v>
      </c>
      <c r="AG1825">
        <v>1</v>
      </c>
      <c r="AH1825">
        <v>0</v>
      </c>
      <c r="AI1825">
        <v>15.61</v>
      </c>
      <c r="AL1825" t="s">
        <v>5011</v>
      </c>
      <c r="AM1825">
        <v>1950</v>
      </c>
      <c r="AS1825">
        <v>0</v>
      </c>
      <c r="AU1825" t="s">
        <v>120</v>
      </c>
      <c r="AV1825" t="s">
        <v>25335</v>
      </c>
      <c r="AW1825" t="s">
        <v>11447</v>
      </c>
    </row>
    <row r="1826" spans="1:49">
      <c r="A1826" s="1">
        <f>HYPERLINK("https://lsnyc.legalserver.org/matter/dynamic-profile/view/1909633","19-1909633")</f>
        <v>0</v>
      </c>
      <c r="B1826" t="s">
        <v>57</v>
      </c>
      <c r="C1826" t="s">
        <v>463</v>
      </c>
      <c r="E1826" t="s">
        <v>2069</v>
      </c>
      <c r="F1826" t="s">
        <v>4610</v>
      </c>
      <c r="G1826" t="s">
        <v>7619</v>
      </c>
      <c r="H1826" t="s">
        <v>10450</v>
      </c>
      <c r="I1826" t="s">
        <v>11383</v>
      </c>
      <c r="J1826">
        <v>10452</v>
      </c>
      <c r="K1826" t="s">
        <v>11446</v>
      </c>
      <c r="M1826" t="s">
        <v>11601</v>
      </c>
      <c r="N1826" t="s">
        <v>14778</v>
      </c>
      <c r="P1826" t="s">
        <v>14797</v>
      </c>
      <c r="Q1826" t="s">
        <v>11448</v>
      </c>
      <c r="S1826" t="s">
        <v>14827</v>
      </c>
      <c r="V1826">
        <v>100</v>
      </c>
      <c r="W1826" t="s">
        <v>14858</v>
      </c>
      <c r="X1826" t="s">
        <v>14864</v>
      </c>
      <c r="Z1826" t="s">
        <v>16485</v>
      </c>
      <c r="AB1826" t="s">
        <v>21524</v>
      </c>
      <c r="AC1826">
        <v>27</v>
      </c>
      <c r="AE1826" t="s">
        <v>24610</v>
      </c>
      <c r="AF1826">
        <v>25</v>
      </c>
      <c r="AG1826">
        <v>1</v>
      </c>
      <c r="AH1826">
        <v>0</v>
      </c>
      <c r="AI1826">
        <v>15.99</v>
      </c>
      <c r="AL1826" t="s">
        <v>5011</v>
      </c>
      <c r="AM1826">
        <v>1997.28</v>
      </c>
      <c r="AS1826">
        <v>1</v>
      </c>
      <c r="AT1826" t="s">
        <v>488</v>
      </c>
      <c r="AU1826" t="s">
        <v>57</v>
      </c>
      <c r="AV1826" t="s">
        <v>25335</v>
      </c>
      <c r="AW1826" t="s">
        <v>11447</v>
      </c>
    </row>
    <row r="1827" spans="1:49">
      <c r="A1827" s="1">
        <f>HYPERLINK("https://lsnyc.legalserver.org/matter/dynamic-profile/view/1912883","19-1912883")</f>
        <v>0</v>
      </c>
      <c r="B1827" t="s">
        <v>184</v>
      </c>
      <c r="C1827" t="s">
        <v>470</v>
      </c>
      <c r="E1827" t="s">
        <v>2070</v>
      </c>
      <c r="F1827" t="s">
        <v>4611</v>
      </c>
      <c r="G1827" t="s">
        <v>7134</v>
      </c>
      <c r="H1827" t="s">
        <v>10877</v>
      </c>
      <c r="I1827" t="s">
        <v>11383</v>
      </c>
      <c r="J1827">
        <v>10452</v>
      </c>
      <c r="K1827" t="s">
        <v>11446</v>
      </c>
      <c r="M1827" t="s">
        <v>11601</v>
      </c>
      <c r="N1827" t="s">
        <v>14782</v>
      </c>
      <c r="P1827" t="s">
        <v>14797</v>
      </c>
      <c r="Q1827" t="s">
        <v>11448</v>
      </c>
      <c r="S1827" t="s">
        <v>14827</v>
      </c>
      <c r="V1827">
        <v>174</v>
      </c>
      <c r="W1827" t="s">
        <v>14858</v>
      </c>
      <c r="X1827" t="s">
        <v>14864</v>
      </c>
      <c r="Z1827" t="s">
        <v>16486</v>
      </c>
      <c r="AB1827" t="s">
        <v>21525</v>
      </c>
      <c r="AC1827">
        <v>149</v>
      </c>
      <c r="AD1827" t="s">
        <v>24595</v>
      </c>
      <c r="AE1827" t="s">
        <v>24610</v>
      </c>
      <c r="AF1827">
        <v>18</v>
      </c>
      <c r="AG1827">
        <v>2</v>
      </c>
      <c r="AH1827">
        <v>0</v>
      </c>
      <c r="AI1827">
        <v>16.57</v>
      </c>
      <c r="AL1827" t="s">
        <v>24632</v>
      </c>
      <c r="AM1827">
        <v>2802</v>
      </c>
      <c r="AS1827">
        <v>1</v>
      </c>
      <c r="AT1827" t="s">
        <v>495</v>
      </c>
      <c r="AU1827" t="s">
        <v>184</v>
      </c>
      <c r="AV1827" t="s">
        <v>25335</v>
      </c>
      <c r="AW1827" t="s">
        <v>11447</v>
      </c>
    </row>
    <row r="1828" spans="1:49">
      <c r="A1828" s="1">
        <f>HYPERLINK("https://lsnyc.legalserver.org/matter/dynamic-profile/view/1908692","19-1908692")</f>
        <v>0</v>
      </c>
      <c r="B1828" t="s">
        <v>95</v>
      </c>
      <c r="C1828" t="s">
        <v>497</v>
      </c>
      <c r="E1828" t="s">
        <v>2071</v>
      </c>
      <c r="F1828" t="s">
        <v>3718</v>
      </c>
      <c r="G1828" t="s">
        <v>7620</v>
      </c>
      <c r="H1828" t="s">
        <v>10510</v>
      </c>
      <c r="I1828" t="s">
        <v>11391</v>
      </c>
      <c r="J1828">
        <v>11691</v>
      </c>
      <c r="K1828" t="s">
        <v>11446</v>
      </c>
      <c r="L1828" t="s">
        <v>12047</v>
      </c>
      <c r="M1828" t="s">
        <v>14747</v>
      </c>
      <c r="N1828" t="s">
        <v>14781</v>
      </c>
      <c r="P1828" t="s">
        <v>14797</v>
      </c>
      <c r="Q1828" t="s">
        <v>11446</v>
      </c>
      <c r="S1828" t="s">
        <v>14831</v>
      </c>
      <c r="V1828">
        <v>1557</v>
      </c>
      <c r="W1828" t="s">
        <v>14858</v>
      </c>
      <c r="X1828" t="s">
        <v>14870</v>
      </c>
      <c r="AC1828">
        <v>917</v>
      </c>
      <c r="AD1828" t="s">
        <v>24595</v>
      </c>
      <c r="AE1828" t="s">
        <v>24615</v>
      </c>
      <c r="AF1828">
        <v>1</v>
      </c>
      <c r="AG1828">
        <v>2</v>
      </c>
      <c r="AH1828">
        <v>1</v>
      </c>
      <c r="AI1828">
        <v>16.88</v>
      </c>
      <c r="AL1828" t="s">
        <v>5011</v>
      </c>
      <c r="AM1828">
        <v>3600</v>
      </c>
      <c r="AS1828">
        <v>2</v>
      </c>
      <c r="AT1828" t="s">
        <v>488</v>
      </c>
      <c r="AU1828" t="s">
        <v>95</v>
      </c>
      <c r="AV1828" t="s">
        <v>25335</v>
      </c>
      <c r="AW1828" t="s">
        <v>11447</v>
      </c>
    </row>
    <row r="1829" spans="1:49">
      <c r="A1829" s="1">
        <f>HYPERLINK("https://lsnyc.legalserver.org/matter/dynamic-profile/view/1908834","19-1908834")</f>
        <v>0</v>
      </c>
      <c r="B1829" t="s">
        <v>57</v>
      </c>
      <c r="C1829" t="s">
        <v>585</v>
      </c>
      <c r="E1829" t="s">
        <v>1544</v>
      </c>
      <c r="F1829" t="s">
        <v>4046</v>
      </c>
      <c r="G1829" t="s">
        <v>7621</v>
      </c>
      <c r="H1829" t="s">
        <v>10568</v>
      </c>
      <c r="I1829" t="s">
        <v>11383</v>
      </c>
      <c r="J1829">
        <v>10455</v>
      </c>
      <c r="K1829" t="s">
        <v>11446</v>
      </c>
      <c r="M1829" t="s">
        <v>11601</v>
      </c>
      <c r="N1829" t="s">
        <v>14778</v>
      </c>
      <c r="P1829" t="s">
        <v>14797</v>
      </c>
      <c r="Q1829" t="s">
        <v>11448</v>
      </c>
      <c r="S1829" t="s">
        <v>14827</v>
      </c>
      <c r="V1829">
        <v>903</v>
      </c>
      <c r="W1829" t="s">
        <v>14858</v>
      </c>
      <c r="X1829" t="s">
        <v>14866</v>
      </c>
      <c r="Z1829" t="s">
        <v>16487</v>
      </c>
      <c r="AB1829" t="s">
        <v>21526</v>
      </c>
      <c r="AC1829">
        <v>0</v>
      </c>
      <c r="AD1829" t="s">
        <v>24596</v>
      </c>
      <c r="AE1829" t="s">
        <v>24610</v>
      </c>
      <c r="AF1829">
        <v>21</v>
      </c>
      <c r="AG1829">
        <v>1</v>
      </c>
      <c r="AH1829">
        <v>0</v>
      </c>
      <c r="AI1829">
        <v>17.29</v>
      </c>
      <c r="AL1829" t="s">
        <v>24632</v>
      </c>
      <c r="AM1829">
        <v>2160</v>
      </c>
      <c r="AS1829">
        <v>4.1</v>
      </c>
      <c r="AT1829" t="s">
        <v>505</v>
      </c>
      <c r="AU1829" t="s">
        <v>25225</v>
      </c>
      <c r="AV1829" t="s">
        <v>25335</v>
      </c>
      <c r="AW1829" t="s">
        <v>11447</v>
      </c>
    </row>
    <row r="1830" spans="1:49">
      <c r="A1830" s="1">
        <f>HYPERLINK("https://lsnyc.legalserver.org/matter/dynamic-profile/view/1914014","19-1914014")</f>
        <v>0</v>
      </c>
      <c r="B1830" t="s">
        <v>87</v>
      </c>
      <c r="C1830" t="s">
        <v>490</v>
      </c>
      <c r="E1830" t="s">
        <v>2072</v>
      </c>
      <c r="F1830" t="s">
        <v>4612</v>
      </c>
      <c r="G1830" t="s">
        <v>7622</v>
      </c>
      <c r="I1830" t="s">
        <v>11384</v>
      </c>
      <c r="J1830">
        <v>10304</v>
      </c>
      <c r="K1830" t="s">
        <v>11446</v>
      </c>
      <c r="L1830" t="s">
        <v>11474</v>
      </c>
      <c r="M1830" t="s">
        <v>14762</v>
      </c>
      <c r="P1830" t="s">
        <v>14797</v>
      </c>
      <c r="Q1830" t="s">
        <v>11446</v>
      </c>
      <c r="S1830" t="s">
        <v>14827</v>
      </c>
      <c r="V1830">
        <v>1395</v>
      </c>
      <c r="W1830" t="s">
        <v>14862</v>
      </c>
      <c r="X1830" t="s">
        <v>14755</v>
      </c>
      <c r="Z1830" t="s">
        <v>16488</v>
      </c>
      <c r="AB1830" t="s">
        <v>21527</v>
      </c>
      <c r="AC1830">
        <v>0</v>
      </c>
      <c r="AD1830" t="s">
        <v>24595</v>
      </c>
      <c r="AE1830" t="s">
        <v>24610</v>
      </c>
      <c r="AF1830">
        <v>-1</v>
      </c>
      <c r="AG1830">
        <v>1</v>
      </c>
      <c r="AH1830">
        <v>1</v>
      </c>
      <c r="AI1830">
        <v>17.46</v>
      </c>
      <c r="AM1830">
        <v>2952</v>
      </c>
      <c r="AS1830">
        <v>1.6</v>
      </c>
      <c r="AT1830" t="s">
        <v>506</v>
      </c>
      <c r="AU1830" t="s">
        <v>25270</v>
      </c>
      <c r="AV1830" t="s">
        <v>25335</v>
      </c>
      <c r="AW1830" t="s">
        <v>11447</v>
      </c>
    </row>
    <row r="1831" spans="1:49">
      <c r="A1831" s="1">
        <f>HYPERLINK("https://lsnyc.legalserver.org/matter/dynamic-profile/view/1905123","19-1905123")</f>
        <v>0</v>
      </c>
      <c r="B1831" t="s">
        <v>84</v>
      </c>
      <c r="C1831" t="s">
        <v>456</v>
      </c>
      <c r="E1831" t="s">
        <v>1144</v>
      </c>
      <c r="F1831" t="s">
        <v>4613</v>
      </c>
      <c r="G1831" t="s">
        <v>7381</v>
      </c>
      <c r="H1831" t="s">
        <v>10878</v>
      </c>
      <c r="I1831" t="s">
        <v>11383</v>
      </c>
      <c r="J1831">
        <v>10455</v>
      </c>
      <c r="K1831" t="s">
        <v>11446</v>
      </c>
      <c r="M1831" t="s">
        <v>14762</v>
      </c>
      <c r="N1831" t="s">
        <v>14783</v>
      </c>
      <c r="P1831" t="s">
        <v>14797</v>
      </c>
      <c r="Q1831" t="s">
        <v>11446</v>
      </c>
      <c r="S1831" t="s">
        <v>14827</v>
      </c>
      <c r="V1831">
        <v>1534</v>
      </c>
      <c r="W1831" t="s">
        <v>14858</v>
      </c>
      <c r="X1831" t="s">
        <v>14868</v>
      </c>
      <c r="Z1831" t="s">
        <v>16489</v>
      </c>
      <c r="AB1831" t="s">
        <v>21528</v>
      </c>
      <c r="AC1831">
        <v>99</v>
      </c>
      <c r="AD1831" t="s">
        <v>24595</v>
      </c>
      <c r="AE1831" t="s">
        <v>24616</v>
      </c>
      <c r="AF1831">
        <v>1</v>
      </c>
      <c r="AG1831">
        <v>1</v>
      </c>
      <c r="AH1831">
        <v>3</v>
      </c>
      <c r="AI1831">
        <v>18.92</v>
      </c>
      <c r="AL1831" t="s">
        <v>5011</v>
      </c>
      <c r="AM1831">
        <v>4870.8</v>
      </c>
      <c r="AS1831">
        <v>0</v>
      </c>
      <c r="AU1831" t="s">
        <v>245</v>
      </c>
      <c r="AV1831" t="s">
        <v>25335</v>
      </c>
      <c r="AW1831" t="s">
        <v>11447</v>
      </c>
    </row>
    <row r="1832" spans="1:49">
      <c r="A1832" s="1">
        <f>HYPERLINK("https://lsnyc.legalserver.org/matter/dynamic-profile/view/1906235","19-1906235")</f>
        <v>0</v>
      </c>
      <c r="B1832" t="s">
        <v>84</v>
      </c>
      <c r="C1832" t="s">
        <v>553</v>
      </c>
      <c r="E1832" t="s">
        <v>1144</v>
      </c>
      <c r="F1832" t="s">
        <v>4613</v>
      </c>
      <c r="G1832" t="s">
        <v>7381</v>
      </c>
      <c r="H1832" t="s">
        <v>10878</v>
      </c>
      <c r="I1832" t="s">
        <v>11383</v>
      </c>
      <c r="J1832">
        <v>10455</v>
      </c>
      <c r="K1832" t="s">
        <v>11446</v>
      </c>
      <c r="M1832" t="s">
        <v>14762</v>
      </c>
      <c r="N1832" t="s">
        <v>14783</v>
      </c>
      <c r="P1832" t="s">
        <v>14797</v>
      </c>
      <c r="Q1832" t="s">
        <v>11448</v>
      </c>
      <c r="S1832" t="s">
        <v>14827</v>
      </c>
      <c r="V1832">
        <v>0</v>
      </c>
      <c r="W1832" t="s">
        <v>14858</v>
      </c>
      <c r="X1832" t="s">
        <v>14868</v>
      </c>
      <c r="Z1832" t="s">
        <v>16489</v>
      </c>
      <c r="AB1832" t="s">
        <v>21528</v>
      </c>
      <c r="AC1832">
        <v>40</v>
      </c>
      <c r="AD1832" t="s">
        <v>24595</v>
      </c>
      <c r="AE1832" t="s">
        <v>24615</v>
      </c>
      <c r="AF1832">
        <v>1</v>
      </c>
      <c r="AG1832">
        <v>1</v>
      </c>
      <c r="AH1832">
        <v>3</v>
      </c>
      <c r="AI1832">
        <v>18.92</v>
      </c>
      <c r="AL1832" t="s">
        <v>5011</v>
      </c>
      <c r="AM1832">
        <v>4870.8</v>
      </c>
      <c r="AS1832">
        <v>0</v>
      </c>
      <c r="AU1832" t="s">
        <v>57</v>
      </c>
      <c r="AV1832" t="s">
        <v>25335</v>
      </c>
      <c r="AW1832" t="s">
        <v>11447</v>
      </c>
    </row>
    <row r="1833" spans="1:49">
      <c r="A1833" s="1">
        <f>HYPERLINK("https://lsnyc.legalserver.org/matter/dynamic-profile/view/1899834","19-1899834")</f>
        <v>0</v>
      </c>
      <c r="B1833" t="s">
        <v>84</v>
      </c>
      <c r="C1833" t="s">
        <v>370</v>
      </c>
      <c r="E1833" t="s">
        <v>1144</v>
      </c>
      <c r="F1833" t="s">
        <v>4613</v>
      </c>
      <c r="G1833" t="s">
        <v>7381</v>
      </c>
      <c r="H1833" t="s">
        <v>10878</v>
      </c>
      <c r="I1833" t="s">
        <v>11383</v>
      </c>
      <c r="J1833">
        <v>10455</v>
      </c>
      <c r="K1833" t="s">
        <v>11446</v>
      </c>
      <c r="L1833" t="s">
        <v>11954</v>
      </c>
      <c r="M1833" t="s">
        <v>14746</v>
      </c>
      <c r="N1833" t="s">
        <v>14781</v>
      </c>
      <c r="P1833" t="s">
        <v>14797</v>
      </c>
      <c r="Q1833" t="s">
        <v>11446</v>
      </c>
      <c r="S1833" t="s">
        <v>14827</v>
      </c>
      <c r="V1833">
        <v>1534</v>
      </c>
      <c r="W1833" t="s">
        <v>14858</v>
      </c>
      <c r="X1833" t="s">
        <v>14864</v>
      </c>
      <c r="Z1833" t="s">
        <v>16489</v>
      </c>
      <c r="AB1833" t="s">
        <v>21528</v>
      </c>
      <c r="AC1833">
        <v>40</v>
      </c>
      <c r="AD1833" t="s">
        <v>24595</v>
      </c>
      <c r="AE1833" t="s">
        <v>24616</v>
      </c>
      <c r="AF1833">
        <v>1</v>
      </c>
      <c r="AG1833">
        <v>1</v>
      </c>
      <c r="AH1833">
        <v>3</v>
      </c>
      <c r="AI1833">
        <v>18.92</v>
      </c>
      <c r="AL1833" t="s">
        <v>5011</v>
      </c>
      <c r="AM1833">
        <v>4870.8</v>
      </c>
      <c r="AS1833">
        <v>0.25</v>
      </c>
      <c r="AT1833" t="s">
        <v>345</v>
      </c>
      <c r="AU1833" t="s">
        <v>245</v>
      </c>
      <c r="AV1833" t="s">
        <v>25335</v>
      </c>
      <c r="AW1833" t="s">
        <v>11447</v>
      </c>
    </row>
    <row r="1834" spans="1:49">
      <c r="A1834" s="1">
        <f>HYPERLINK("https://lsnyc.legalserver.org/matter/dynamic-profile/view/1909761","19-1909761")</f>
        <v>0</v>
      </c>
      <c r="B1834" t="s">
        <v>154</v>
      </c>
      <c r="C1834" t="s">
        <v>519</v>
      </c>
      <c r="E1834" t="s">
        <v>1241</v>
      </c>
      <c r="F1834" t="s">
        <v>2375</v>
      </c>
      <c r="G1834" t="s">
        <v>7623</v>
      </c>
      <c r="I1834" t="s">
        <v>11383</v>
      </c>
      <c r="J1834">
        <v>10460</v>
      </c>
      <c r="K1834" t="s">
        <v>11446</v>
      </c>
      <c r="M1834" t="s">
        <v>11601</v>
      </c>
      <c r="N1834" t="s">
        <v>14778</v>
      </c>
      <c r="P1834" t="s">
        <v>14797</v>
      </c>
      <c r="S1834" t="s">
        <v>14827</v>
      </c>
      <c r="V1834">
        <v>1124</v>
      </c>
      <c r="W1834" t="s">
        <v>14858</v>
      </c>
      <c r="X1834" t="s">
        <v>14866</v>
      </c>
      <c r="Z1834" t="s">
        <v>16490</v>
      </c>
      <c r="AB1834" t="s">
        <v>21529</v>
      </c>
      <c r="AC1834">
        <v>40</v>
      </c>
      <c r="AF1834">
        <v>2</v>
      </c>
      <c r="AG1834">
        <v>1</v>
      </c>
      <c r="AH1834">
        <v>0</v>
      </c>
      <c r="AI1834">
        <v>19.22</v>
      </c>
      <c r="AL1834" t="s">
        <v>5011</v>
      </c>
      <c r="AM1834">
        <v>2400</v>
      </c>
      <c r="AS1834">
        <v>1.5</v>
      </c>
      <c r="AT1834" t="s">
        <v>644</v>
      </c>
      <c r="AU1834" t="s">
        <v>25241</v>
      </c>
      <c r="AV1834" t="s">
        <v>25335</v>
      </c>
      <c r="AW1834" t="s">
        <v>11447</v>
      </c>
    </row>
    <row r="1835" spans="1:49">
      <c r="A1835" s="1">
        <f>HYPERLINK("https://lsnyc.legalserver.org/matter/dynamic-profile/view/1914692","19-1914692")</f>
        <v>0</v>
      </c>
      <c r="B1835" t="s">
        <v>126</v>
      </c>
      <c r="C1835" t="s">
        <v>533</v>
      </c>
      <c r="E1835" t="s">
        <v>1228</v>
      </c>
      <c r="F1835" t="s">
        <v>3547</v>
      </c>
      <c r="G1835" t="s">
        <v>6503</v>
      </c>
      <c r="H1835" t="s">
        <v>10637</v>
      </c>
      <c r="I1835" t="s">
        <v>11383</v>
      </c>
      <c r="J1835">
        <v>10453</v>
      </c>
      <c r="K1835" t="s">
        <v>11446</v>
      </c>
      <c r="N1835" t="s">
        <v>14778</v>
      </c>
      <c r="P1835" t="s">
        <v>14797</v>
      </c>
      <c r="Q1835" t="s">
        <v>11448</v>
      </c>
      <c r="S1835" t="s">
        <v>14827</v>
      </c>
      <c r="V1835">
        <v>1800</v>
      </c>
      <c r="W1835" t="s">
        <v>14858</v>
      </c>
      <c r="X1835" t="s">
        <v>14864</v>
      </c>
      <c r="Z1835" t="s">
        <v>15127</v>
      </c>
      <c r="AB1835" t="s">
        <v>20289</v>
      </c>
      <c r="AC1835">
        <v>0</v>
      </c>
      <c r="AD1835" t="s">
        <v>11479</v>
      </c>
      <c r="AE1835" t="s">
        <v>24616</v>
      </c>
      <c r="AF1835">
        <v>2</v>
      </c>
      <c r="AG1835">
        <v>1</v>
      </c>
      <c r="AH1835">
        <v>4</v>
      </c>
      <c r="AI1835">
        <v>19.89</v>
      </c>
      <c r="AL1835" t="s">
        <v>5011</v>
      </c>
      <c r="AM1835">
        <v>6000</v>
      </c>
      <c r="AS1835">
        <v>0</v>
      </c>
      <c r="AU1835" t="s">
        <v>237</v>
      </c>
      <c r="AV1835" t="s">
        <v>25335</v>
      </c>
      <c r="AW1835" t="s">
        <v>11447</v>
      </c>
    </row>
    <row r="1836" spans="1:49">
      <c r="A1836" s="1">
        <f>HYPERLINK("https://lsnyc.legalserver.org/matter/dynamic-profile/view/1913448","19-1913448")</f>
        <v>0</v>
      </c>
      <c r="B1836" t="s">
        <v>235</v>
      </c>
      <c r="C1836" t="s">
        <v>484</v>
      </c>
      <c r="E1836" t="s">
        <v>1282</v>
      </c>
      <c r="F1836" t="s">
        <v>1925</v>
      </c>
      <c r="G1836" t="s">
        <v>7624</v>
      </c>
      <c r="H1836" t="s">
        <v>10879</v>
      </c>
      <c r="I1836" t="s">
        <v>11383</v>
      </c>
      <c r="J1836">
        <v>10452</v>
      </c>
      <c r="K1836" t="s">
        <v>11447</v>
      </c>
      <c r="L1836" t="s">
        <v>12048</v>
      </c>
      <c r="M1836" t="s">
        <v>14744</v>
      </c>
      <c r="P1836" t="s">
        <v>14797</v>
      </c>
      <c r="Q1836" t="s">
        <v>11448</v>
      </c>
      <c r="S1836" t="s">
        <v>14827</v>
      </c>
      <c r="V1836">
        <v>1270</v>
      </c>
      <c r="W1836" t="s">
        <v>14858</v>
      </c>
      <c r="X1836" t="s">
        <v>14871</v>
      </c>
      <c r="Z1836" t="s">
        <v>16491</v>
      </c>
      <c r="AA1836" t="s">
        <v>19472</v>
      </c>
      <c r="AB1836" t="s">
        <v>21530</v>
      </c>
      <c r="AC1836">
        <v>40</v>
      </c>
      <c r="AD1836" t="s">
        <v>11479</v>
      </c>
      <c r="AE1836" t="s">
        <v>24616</v>
      </c>
      <c r="AF1836">
        <v>6</v>
      </c>
      <c r="AG1836">
        <v>1</v>
      </c>
      <c r="AH1836">
        <v>1</v>
      </c>
      <c r="AI1836">
        <v>20.58</v>
      </c>
      <c r="AL1836" t="s">
        <v>24632</v>
      </c>
      <c r="AM1836">
        <v>3480</v>
      </c>
      <c r="AS1836">
        <v>16.1</v>
      </c>
      <c r="AT1836" t="s">
        <v>516</v>
      </c>
      <c r="AU1836" t="s">
        <v>25268</v>
      </c>
      <c r="AV1836" t="s">
        <v>25334</v>
      </c>
      <c r="AW1836" t="s">
        <v>11447</v>
      </c>
    </row>
    <row r="1837" spans="1:49">
      <c r="A1837" s="1">
        <f>HYPERLINK("https://lsnyc.legalserver.org/matter/dynamic-profile/view/1905088","19-1905088")</f>
        <v>0</v>
      </c>
      <c r="B1837" t="s">
        <v>102</v>
      </c>
      <c r="C1837" t="s">
        <v>456</v>
      </c>
      <c r="E1837" t="s">
        <v>1282</v>
      </c>
      <c r="F1837" t="s">
        <v>1925</v>
      </c>
      <c r="G1837" t="s">
        <v>7624</v>
      </c>
      <c r="H1837" t="s">
        <v>10879</v>
      </c>
      <c r="I1837" t="s">
        <v>11383</v>
      </c>
      <c r="J1837">
        <v>10452</v>
      </c>
      <c r="K1837" t="s">
        <v>11446</v>
      </c>
      <c r="N1837" t="s">
        <v>14778</v>
      </c>
      <c r="P1837" t="s">
        <v>14797</v>
      </c>
      <c r="S1837" t="s">
        <v>14827</v>
      </c>
      <c r="V1837">
        <v>1270</v>
      </c>
      <c r="W1837" t="s">
        <v>14858</v>
      </c>
      <c r="Z1837" t="s">
        <v>16491</v>
      </c>
      <c r="AB1837" t="s">
        <v>21530</v>
      </c>
      <c r="AC1837">
        <v>40</v>
      </c>
      <c r="AF1837">
        <v>6</v>
      </c>
      <c r="AG1837">
        <v>1</v>
      </c>
      <c r="AH1837">
        <v>1</v>
      </c>
      <c r="AI1837">
        <v>20.58</v>
      </c>
      <c r="AL1837" t="s">
        <v>24632</v>
      </c>
      <c r="AM1837">
        <v>3480</v>
      </c>
      <c r="AS1837">
        <v>2</v>
      </c>
      <c r="AT1837" t="s">
        <v>526</v>
      </c>
      <c r="AU1837" t="s">
        <v>25227</v>
      </c>
      <c r="AV1837" t="s">
        <v>25335</v>
      </c>
      <c r="AW1837" t="s">
        <v>11447</v>
      </c>
    </row>
    <row r="1838" spans="1:49">
      <c r="A1838" s="1">
        <f>HYPERLINK("https://lsnyc.legalserver.org/matter/dynamic-profile/view/1906227","19-1906227")</f>
        <v>0</v>
      </c>
      <c r="B1838" t="s">
        <v>100</v>
      </c>
      <c r="C1838" t="s">
        <v>553</v>
      </c>
      <c r="E1838" t="s">
        <v>1598</v>
      </c>
      <c r="F1838" t="s">
        <v>4614</v>
      </c>
      <c r="G1838" t="s">
        <v>7625</v>
      </c>
      <c r="H1838" t="s">
        <v>10510</v>
      </c>
      <c r="I1838" t="s">
        <v>11383</v>
      </c>
      <c r="J1838">
        <v>10451</v>
      </c>
      <c r="K1838" t="s">
        <v>11447</v>
      </c>
      <c r="M1838" t="s">
        <v>14746</v>
      </c>
      <c r="P1838" t="s">
        <v>14797</v>
      </c>
      <c r="S1838" t="s">
        <v>14827</v>
      </c>
      <c r="V1838">
        <v>1325</v>
      </c>
      <c r="W1838" t="s">
        <v>14858</v>
      </c>
      <c r="X1838" t="s">
        <v>14864</v>
      </c>
      <c r="Z1838" t="s">
        <v>16492</v>
      </c>
      <c r="AA1838" t="s">
        <v>19473</v>
      </c>
      <c r="AB1838" t="s">
        <v>21531</v>
      </c>
      <c r="AC1838">
        <v>0</v>
      </c>
      <c r="AD1838" t="s">
        <v>24599</v>
      </c>
      <c r="AF1838">
        <v>5</v>
      </c>
      <c r="AG1838">
        <v>1</v>
      </c>
      <c r="AH1838">
        <v>3</v>
      </c>
      <c r="AI1838">
        <v>20.97</v>
      </c>
      <c r="AL1838" t="s">
        <v>5011</v>
      </c>
      <c r="AM1838">
        <v>5400</v>
      </c>
      <c r="AS1838">
        <v>0.1</v>
      </c>
      <c r="AT1838" t="s">
        <v>484</v>
      </c>
      <c r="AU1838" t="s">
        <v>25268</v>
      </c>
      <c r="AV1838" t="s">
        <v>25334</v>
      </c>
      <c r="AW1838" t="s">
        <v>11447</v>
      </c>
    </row>
    <row r="1839" spans="1:49">
      <c r="A1839" s="1">
        <f>HYPERLINK("https://lsnyc.legalserver.org/matter/dynamic-profile/view/1900249","19-1900249")</f>
        <v>0</v>
      </c>
      <c r="B1839" t="s">
        <v>237</v>
      </c>
      <c r="C1839" t="s">
        <v>337</v>
      </c>
      <c r="E1839" t="s">
        <v>2073</v>
      </c>
      <c r="F1839" t="s">
        <v>4615</v>
      </c>
      <c r="G1839" t="s">
        <v>7626</v>
      </c>
      <c r="H1839">
        <v>2</v>
      </c>
      <c r="I1839" t="s">
        <v>11383</v>
      </c>
      <c r="J1839">
        <v>10451</v>
      </c>
      <c r="K1839" t="s">
        <v>11447</v>
      </c>
      <c r="P1839" t="s">
        <v>14797</v>
      </c>
      <c r="S1839" t="s">
        <v>14827</v>
      </c>
      <c r="V1839">
        <v>1600</v>
      </c>
      <c r="W1839" t="s">
        <v>14858</v>
      </c>
      <c r="X1839" t="s">
        <v>14863</v>
      </c>
      <c r="Z1839" t="s">
        <v>16184</v>
      </c>
      <c r="AB1839" t="s">
        <v>19344</v>
      </c>
      <c r="AC1839">
        <v>0</v>
      </c>
      <c r="AE1839" t="s">
        <v>11459</v>
      </c>
      <c r="AF1839">
        <v>10</v>
      </c>
      <c r="AG1839">
        <v>1</v>
      </c>
      <c r="AH1839">
        <v>1</v>
      </c>
      <c r="AI1839">
        <v>21.29</v>
      </c>
      <c r="AL1839" t="s">
        <v>5011</v>
      </c>
      <c r="AM1839">
        <v>3600</v>
      </c>
      <c r="AS1839">
        <v>0.4</v>
      </c>
      <c r="AT1839" t="s">
        <v>355</v>
      </c>
      <c r="AU1839" t="s">
        <v>237</v>
      </c>
      <c r="AW1839" t="s">
        <v>11447</v>
      </c>
    </row>
    <row r="1840" spans="1:49">
      <c r="A1840" s="1">
        <f>HYPERLINK("https://lsnyc.legalserver.org/matter/dynamic-profile/view/1913639","19-1913639")</f>
        <v>0</v>
      </c>
      <c r="B1840" t="s">
        <v>90</v>
      </c>
      <c r="C1840" t="s">
        <v>580</v>
      </c>
      <c r="E1840" t="s">
        <v>2074</v>
      </c>
      <c r="F1840" t="s">
        <v>4616</v>
      </c>
      <c r="G1840" t="s">
        <v>7627</v>
      </c>
      <c r="H1840">
        <v>2</v>
      </c>
      <c r="I1840" t="s">
        <v>11383</v>
      </c>
      <c r="J1840">
        <v>10466</v>
      </c>
      <c r="K1840" t="s">
        <v>11446</v>
      </c>
      <c r="L1840" t="s">
        <v>12049</v>
      </c>
      <c r="M1840" t="s">
        <v>14743</v>
      </c>
      <c r="N1840" t="s">
        <v>14782</v>
      </c>
      <c r="P1840" t="s">
        <v>14797</v>
      </c>
      <c r="Q1840" t="s">
        <v>11448</v>
      </c>
      <c r="S1840" t="s">
        <v>14827</v>
      </c>
      <c r="T1840" t="s">
        <v>14832</v>
      </c>
      <c r="V1840">
        <v>2224</v>
      </c>
      <c r="W1840" t="s">
        <v>14858</v>
      </c>
      <c r="Z1840" t="s">
        <v>16493</v>
      </c>
      <c r="AA1840" t="s">
        <v>19474</v>
      </c>
      <c r="AB1840" t="s">
        <v>21532</v>
      </c>
      <c r="AC1840">
        <v>3</v>
      </c>
      <c r="AD1840" t="s">
        <v>24600</v>
      </c>
      <c r="AE1840" t="s">
        <v>24615</v>
      </c>
      <c r="AF1840">
        <v>2</v>
      </c>
      <c r="AG1840">
        <v>2</v>
      </c>
      <c r="AH1840">
        <v>5</v>
      </c>
      <c r="AI1840">
        <v>22.46</v>
      </c>
      <c r="AL1840" t="s">
        <v>5011</v>
      </c>
      <c r="AM1840">
        <v>8762</v>
      </c>
      <c r="AS1840">
        <v>2.2</v>
      </c>
      <c r="AT1840" t="s">
        <v>509</v>
      </c>
      <c r="AU1840" t="s">
        <v>90</v>
      </c>
      <c r="AV1840" t="s">
        <v>25335</v>
      </c>
      <c r="AW1840" t="s">
        <v>11447</v>
      </c>
    </row>
    <row r="1841" spans="1:49">
      <c r="A1841" s="1">
        <f>HYPERLINK("https://lsnyc.legalserver.org/matter/dynamic-profile/view/1905892","19-1905892")</f>
        <v>0</v>
      </c>
      <c r="B1841" t="s">
        <v>116</v>
      </c>
      <c r="C1841" t="s">
        <v>500</v>
      </c>
      <c r="E1841" t="s">
        <v>1241</v>
      </c>
      <c r="F1841" t="s">
        <v>3738</v>
      </c>
      <c r="G1841" t="s">
        <v>6649</v>
      </c>
      <c r="H1841" t="s">
        <v>10450</v>
      </c>
      <c r="I1841" t="s">
        <v>11383</v>
      </c>
      <c r="J1841">
        <v>10452</v>
      </c>
      <c r="K1841" t="s">
        <v>11446</v>
      </c>
      <c r="N1841" t="s">
        <v>14778</v>
      </c>
      <c r="P1841" t="s">
        <v>14797</v>
      </c>
      <c r="Q1841" t="s">
        <v>11448</v>
      </c>
      <c r="S1841" t="s">
        <v>14827</v>
      </c>
      <c r="V1841">
        <v>1557</v>
      </c>
      <c r="W1841" t="s">
        <v>14858</v>
      </c>
      <c r="X1841" t="s">
        <v>14868</v>
      </c>
      <c r="Z1841" t="s">
        <v>15276</v>
      </c>
      <c r="AB1841" t="s">
        <v>20427</v>
      </c>
      <c r="AC1841">
        <v>18</v>
      </c>
      <c r="AD1841" t="s">
        <v>24603</v>
      </c>
      <c r="AE1841" t="s">
        <v>24610</v>
      </c>
      <c r="AF1841">
        <v>10</v>
      </c>
      <c r="AG1841">
        <v>1</v>
      </c>
      <c r="AH1841">
        <v>0</v>
      </c>
      <c r="AI1841">
        <v>23.83</v>
      </c>
      <c r="AL1841" t="s">
        <v>5011</v>
      </c>
      <c r="AM1841">
        <v>2976</v>
      </c>
      <c r="AS1841">
        <v>0</v>
      </c>
      <c r="AU1841" t="s">
        <v>25242</v>
      </c>
      <c r="AV1841" t="s">
        <v>25335</v>
      </c>
      <c r="AW1841" t="s">
        <v>11447</v>
      </c>
    </row>
    <row r="1842" spans="1:49">
      <c r="A1842" s="1">
        <f>HYPERLINK("https://lsnyc.legalserver.org/matter/dynamic-profile/view/1913576","19-1913576")</f>
        <v>0</v>
      </c>
      <c r="B1842" t="s">
        <v>120</v>
      </c>
      <c r="C1842" t="s">
        <v>477</v>
      </c>
      <c r="E1842" t="s">
        <v>2075</v>
      </c>
      <c r="F1842" t="s">
        <v>4617</v>
      </c>
      <c r="G1842" t="s">
        <v>7628</v>
      </c>
      <c r="H1842" t="s">
        <v>10513</v>
      </c>
      <c r="I1842" t="s">
        <v>11385</v>
      </c>
      <c r="J1842">
        <v>11233</v>
      </c>
      <c r="K1842" t="s">
        <v>11447</v>
      </c>
      <c r="L1842" t="s">
        <v>12050</v>
      </c>
      <c r="M1842" t="s">
        <v>14744</v>
      </c>
      <c r="N1842" t="s">
        <v>14782</v>
      </c>
      <c r="P1842" t="s">
        <v>14797</v>
      </c>
      <c r="Q1842" t="s">
        <v>11448</v>
      </c>
      <c r="S1842" t="s">
        <v>14827</v>
      </c>
      <c r="V1842">
        <v>2010</v>
      </c>
      <c r="W1842" t="s">
        <v>14859</v>
      </c>
      <c r="X1842" t="s">
        <v>14755</v>
      </c>
      <c r="Z1842" t="s">
        <v>16494</v>
      </c>
      <c r="AB1842" t="s">
        <v>21533</v>
      </c>
      <c r="AC1842">
        <v>6</v>
      </c>
      <c r="AD1842" t="s">
        <v>24595</v>
      </c>
      <c r="AE1842" t="s">
        <v>24616</v>
      </c>
      <c r="AF1842">
        <v>0</v>
      </c>
      <c r="AG1842">
        <v>1</v>
      </c>
      <c r="AH1842">
        <v>4</v>
      </c>
      <c r="AI1842">
        <v>24.58</v>
      </c>
      <c r="AL1842" t="s">
        <v>5011</v>
      </c>
      <c r="AM1842">
        <v>7416</v>
      </c>
      <c r="AS1842">
        <v>0</v>
      </c>
      <c r="AU1842" t="s">
        <v>120</v>
      </c>
      <c r="AW1842" t="s">
        <v>11447</v>
      </c>
    </row>
    <row r="1843" spans="1:49">
      <c r="A1843" s="1">
        <f>HYPERLINK("https://lsnyc.legalserver.org/matter/dynamic-profile/view/1913612","19-1913612")</f>
        <v>0</v>
      </c>
      <c r="B1843" t="s">
        <v>214</v>
      </c>
      <c r="C1843" t="s">
        <v>477</v>
      </c>
      <c r="E1843" t="s">
        <v>2076</v>
      </c>
      <c r="F1843" t="s">
        <v>1375</v>
      </c>
      <c r="G1843" t="s">
        <v>7629</v>
      </c>
      <c r="H1843" t="s">
        <v>10667</v>
      </c>
      <c r="I1843" t="s">
        <v>11385</v>
      </c>
      <c r="J1843">
        <v>11233</v>
      </c>
      <c r="K1843" t="s">
        <v>11446</v>
      </c>
      <c r="L1843" t="s">
        <v>12051</v>
      </c>
      <c r="M1843" t="s">
        <v>14743</v>
      </c>
      <c r="P1843" t="s">
        <v>14797</v>
      </c>
      <c r="Q1843" t="s">
        <v>11448</v>
      </c>
      <c r="S1843" t="s">
        <v>14827</v>
      </c>
      <c r="T1843" t="s">
        <v>14832</v>
      </c>
      <c r="V1843">
        <v>0</v>
      </c>
      <c r="W1843" t="s">
        <v>14859</v>
      </c>
      <c r="X1843" t="s">
        <v>14868</v>
      </c>
      <c r="Z1843" t="s">
        <v>16495</v>
      </c>
      <c r="AA1843" t="s">
        <v>19475</v>
      </c>
      <c r="AB1843" t="s">
        <v>21534</v>
      </c>
      <c r="AC1843">
        <v>13</v>
      </c>
      <c r="AD1843" t="s">
        <v>24595</v>
      </c>
      <c r="AE1843" t="s">
        <v>11459</v>
      </c>
      <c r="AF1843">
        <v>7</v>
      </c>
      <c r="AG1843">
        <v>1</v>
      </c>
      <c r="AH1843">
        <v>0</v>
      </c>
      <c r="AI1843">
        <v>25.71</v>
      </c>
      <c r="AL1843" t="s">
        <v>5011</v>
      </c>
      <c r="AM1843">
        <v>3211</v>
      </c>
      <c r="AS1843">
        <v>0</v>
      </c>
      <c r="AU1843" t="s">
        <v>66</v>
      </c>
      <c r="AV1843" t="s">
        <v>25335</v>
      </c>
      <c r="AW1843" t="s">
        <v>11447</v>
      </c>
    </row>
    <row r="1844" spans="1:49">
      <c r="A1844" s="1">
        <f>HYPERLINK("https://lsnyc.legalserver.org/matter/dynamic-profile/view/1858116","18-1858116")</f>
        <v>0</v>
      </c>
      <c r="B1844" t="s">
        <v>107</v>
      </c>
      <c r="C1844" t="s">
        <v>681</v>
      </c>
      <c r="E1844" t="s">
        <v>2077</v>
      </c>
      <c r="F1844" t="s">
        <v>4618</v>
      </c>
      <c r="G1844" t="s">
        <v>7630</v>
      </c>
      <c r="H1844" t="s">
        <v>10562</v>
      </c>
      <c r="I1844" t="s">
        <v>11385</v>
      </c>
      <c r="J1844">
        <v>11237</v>
      </c>
      <c r="K1844" t="s">
        <v>11446</v>
      </c>
      <c r="N1844" t="s">
        <v>14782</v>
      </c>
      <c r="P1844" t="s">
        <v>14797</v>
      </c>
      <c r="Q1844" t="s">
        <v>11446</v>
      </c>
      <c r="S1844" t="s">
        <v>14827</v>
      </c>
      <c r="V1844">
        <v>850</v>
      </c>
      <c r="W1844" t="s">
        <v>14859</v>
      </c>
      <c r="Z1844" t="s">
        <v>15974</v>
      </c>
      <c r="AB1844" t="s">
        <v>21535</v>
      </c>
      <c r="AC1844">
        <v>8</v>
      </c>
      <c r="AD1844" t="s">
        <v>24595</v>
      </c>
      <c r="AF1844">
        <v>32</v>
      </c>
      <c r="AG1844">
        <v>2</v>
      </c>
      <c r="AH1844">
        <v>2</v>
      </c>
      <c r="AI1844">
        <v>26</v>
      </c>
      <c r="AL1844" t="s">
        <v>5011</v>
      </c>
      <c r="AM1844">
        <v>6396</v>
      </c>
      <c r="AS1844">
        <v>0</v>
      </c>
      <c r="AU1844" t="s">
        <v>25250</v>
      </c>
      <c r="AW1844" t="s">
        <v>11448</v>
      </c>
    </row>
    <row r="1845" spans="1:49">
      <c r="A1845" s="1">
        <f>HYPERLINK("https://lsnyc.legalserver.org/matter/dynamic-profile/view/1909771","19-1909771")</f>
        <v>0</v>
      </c>
      <c r="B1845" t="s">
        <v>119</v>
      </c>
      <c r="C1845" t="s">
        <v>519</v>
      </c>
      <c r="E1845" t="s">
        <v>2078</v>
      </c>
      <c r="F1845" t="s">
        <v>4619</v>
      </c>
      <c r="G1845" t="s">
        <v>7085</v>
      </c>
      <c r="H1845" t="s">
        <v>10677</v>
      </c>
      <c r="I1845" t="s">
        <v>11383</v>
      </c>
      <c r="J1845">
        <v>10457</v>
      </c>
      <c r="K1845" t="s">
        <v>11446</v>
      </c>
      <c r="L1845" t="s">
        <v>12052</v>
      </c>
      <c r="M1845" t="s">
        <v>14762</v>
      </c>
      <c r="N1845" t="s">
        <v>14778</v>
      </c>
      <c r="P1845" t="s">
        <v>14797</v>
      </c>
      <c r="Q1845" t="s">
        <v>11448</v>
      </c>
      <c r="S1845" t="s">
        <v>14827</v>
      </c>
      <c r="V1845">
        <v>1750</v>
      </c>
      <c r="W1845" t="s">
        <v>14858</v>
      </c>
      <c r="X1845" t="s">
        <v>14864</v>
      </c>
      <c r="Z1845" t="s">
        <v>16496</v>
      </c>
      <c r="AC1845">
        <v>47</v>
      </c>
      <c r="AD1845" t="s">
        <v>24595</v>
      </c>
      <c r="AE1845" t="s">
        <v>11459</v>
      </c>
      <c r="AF1845">
        <v>5</v>
      </c>
      <c r="AG1845">
        <v>1</v>
      </c>
      <c r="AH1845">
        <v>1</v>
      </c>
      <c r="AI1845">
        <v>27.68</v>
      </c>
      <c r="AL1845" t="s">
        <v>24632</v>
      </c>
      <c r="AM1845">
        <v>4680</v>
      </c>
      <c r="AS1845">
        <v>1</v>
      </c>
      <c r="AT1845" t="s">
        <v>519</v>
      </c>
      <c r="AU1845" t="s">
        <v>237</v>
      </c>
      <c r="AV1845" t="s">
        <v>25335</v>
      </c>
      <c r="AW1845" t="s">
        <v>11447</v>
      </c>
    </row>
    <row r="1846" spans="1:49">
      <c r="A1846" s="1">
        <f>HYPERLINK("https://lsnyc.legalserver.org/matter/dynamic-profile/view/1878389","18-1878389")</f>
        <v>0</v>
      </c>
      <c r="B1846" t="s">
        <v>193</v>
      </c>
      <c r="C1846" t="s">
        <v>682</v>
      </c>
      <c r="E1846" t="s">
        <v>2079</v>
      </c>
      <c r="F1846" t="s">
        <v>4620</v>
      </c>
      <c r="G1846" t="s">
        <v>7631</v>
      </c>
      <c r="H1846">
        <v>1</v>
      </c>
      <c r="I1846" t="s">
        <v>11385</v>
      </c>
      <c r="J1846">
        <v>11233</v>
      </c>
      <c r="K1846" t="s">
        <v>11447</v>
      </c>
      <c r="P1846" t="s">
        <v>14797</v>
      </c>
      <c r="S1846" t="s">
        <v>14827</v>
      </c>
      <c r="V1846">
        <v>0</v>
      </c>
      <c r="W1846" t="s">
        <v>14859</v>
      </c>
      <c r="Z1846" t="s">
        <v>15015</v>
      </c>
      <c r="AB1846" t="s">
        <v>21536</v>
      </c>
      <c r="AC1846">
        <v>0</v>
      </c>
      <c r="AF1846">
        <v>0</v>
      </c>
      <c r="AG1846">
        <v>1</v>
      </c>
      <c r="AH1846">
        <v>0</v>
      </c>
      <c r="AI1846">
        <v>28.37</v>
      </c>
      <c r="AL1846" t="s">
        <v>5011</v>
      </c>
      <c r="AM1846">
        <v>3444</v>
      </c>
      <c r="AS1846">
        <v>17.95</v>
      </c>
      <c r="AT1846" t="s">
        <v>631</v>
      </c>
      <c r="AU1846" t="s">
        <v>25273</v>
      </c>
      <c r="AW1846" t="s">
        <v>11447</v>
      </c>
    </row>
    <row r="1847" spans="1:49">
      <c r="A1847" s="1">
        <f>HYPERLINK("https://lsnyc.legalserver.org/matter/dynamic-profile/view/1889779","19-1889779")</f>
        <v>0</v>
      </c>
      <c r="B1847" t="s">
        <v>168</v>
      </c>
      <c r="C1847" t="s">
        <v>683</v>
      </c>
      <c r="E1847" t="s">
        <v>2080</v>
      </c>
      <c r="F1847" t="s">
        <v>4621</v>
      </c>
      <c r="G1847" t="s">
        <v>7632</v>
      </c>
      <c r="I1847" t="s">
        <v>11384</v>
      </c>
      <c r="J1847">
        <v>10301</v>
      </c>
      <c r="K1847" t="s">
        <v>11447</v>
      </c>
      <c r="L1847" t="s">
        <v>12053</v>
      </c>
      <c r="M1847" t="s">
        <v>14743</v>
      </c>
      <c r="P1847" t="s">
        <v>14797</v>
      </c>
      <c r="Q1847" t="s">
        <v>11448</v>
      </c>
      <c r="S1847" t="s">
        <v>14827</v>
      </c>
      <c r="T1847" t="s">
        <v>14832</v>
      </c>
      <c r="V1847">
        <v>1956</v>
      </c>
      <c r="W1847" t="s">
        <v>14862</v>
      </c>
      <c r="X1847" t="s">
        <v>14867</v>
      </c>
      <c r="Z1847" t="s">
        <v>16497</v>
      </c>
      <c r="AB1847" t="s">
        <v>21537</v>
      </c>
      <c r="AC1847">
        <v>0</v>
      </c>
      <c r="AD1847" t="s">
        <v>24600</v>
      </c>
      <c r="AF1847">
        <v>1</v>
      </c>
      <c r="AG1847">
        <v>2</v>
      </c>
      <c r="AH1847">
        <v>3</v>
      </c>
      <c r="AI1847">
        <v>28.44</v>
      </c>
      <c r="AL1847" t="s">
        <v>5011</v>
      </c>
      <c r="AM1847">
        <v>8580</v>
      </c>
      <c r="AS1847">
        <v>22.4</v>
      </c>
      <c r="AT1847" t="s">
        <v>641</v>
      </c>
      <c r="AU1847" t="s">
        <v>25283</v>
      </c>
      <c r="AW1847" t="s">
        <v>11447</v>
      </c>
    </row>
    <row r="1848" spans="1:49">
      <c r="A1848" s="1">
        <f>HYPERLINK("https://lsnyc.legalserver.org/matter/dynamic-profile/view/1914262","19-1914262")</f>
        <v>0</v>
      </c>
      <c r="B1848" t="s">
        <v>56</v>
      </c>
      <c r="C1848" t="s">
        <v>539</v>
      </c>
      <c r="E1848" t="s">
        <v>1302</v>
      </c>
      <c r="F1848" t="s">
        <v>4622</v>
      </c>
      <c r="G1848" t="s">
        <v>7633</v>
      </c>
      <c r="H1848" t="s">
        <v>10497</v>
      </c>
      <c r="I1848" t="s">
        <v>11385</v>
      </c>
      <c r="J1848">
        <v>11212</v>
      </c>
      <c r="K1848" t="s">
        <v>11447</v>
      </c>
      <c r="L1848" t="s">
        <v>12054</v>
      </c>
      <c r="M1848" t="s">
        <v>14743</v>
      </c>
      <c r="N1848" t="s">
        <v>14782</v>
      </c>
      <c r="P1848" t="s">
        <v>14797</v>
      </c>
      <c r="Q1848" t="s">
        <v>11448</v>
      </c>
      <c r="S1848" t="s">
        <v>14827</v>
      </c>
      <c r="V1848">
        <v>947</v>
      </c>
      <c r="W1848" t="s">
        <v>14859</v>
      </c>
      <c r="X1848" t="s">
        <v>14868</v>
      </c>
      <c r="Z1848" t="s">
        <v>16498</v>
      </c>
      <c r="AB1848" t="s">
        <v>21538</v>
      </c>
      <c r="AC1848">
        <v>54</v>
      </c>
      <c r="AD1848" t="s">
        <v>24595</v>
      </c>
      <c r="AF1848">
        <v>6</v>
      </c>
      <c r="AG1848">
        <v>1</v>
      </c>
      <c r="AH1848">
        <v>0</v>
      </c>
      <c r="AI1848">
        <v>29.3</v>
      </c>
      <c r="AL1848" t="s">
        <v>5011</v>
      </c>
      <c r="AM1848">
        <v>3660</v>
      </c>
      <c r="AS1848">
        <v>2</v>
      </c>
      <c r="AT1848" t="s">
        <v>516</v>
      </c>
      <c r="AU1848" t="s">
        <v>25247</v>
      </c>
      <c r="AW1848" t="s">
        <v>11447</v>
      </c>
    </row>
    <row r="1849" spans="1:49">
      <c r="A1849" s="1">
        <f>HYPERLINK("https://lsnyc.legalserver.org/matter/dynamic-profile/view/0787091","15-0787091")</f>
        <v>0</v>
      </c>
      <c r="B1849" t="s">
        <v>193</v>
      </c>
      <c r="C1849" t="s">
        <v>684</v>
      </c>
      <c r="E1849" t="s">
        <v>2081</v>
      </c>
      <c r="F1849" t="s">
        <v>4623</v>
      </c>
      <c r="G1849" t="s">
        <v>7634</v>
      </c>
      <c r="H1849" t="s">
        <v>10784</v>
      </c>
      <c r="I1849" t="s">
        <v>11385</v>
      </c>
      <c r="J1849">
        <v>11223</v>
      </c>
      <c r="K1849" t="s">
        <v>11448</v>
      </c>
      <c r="N1849" t="s">
        <v>14781</v>
      </c>
      <c r="P1849" t="s">
        <v>14797</v>
      </c>
      <c r="R1849" t="s">
        <v>14812</v>
      </c>
      <c r="S1849" t="s">
        <v>14827</v>
      </c>
      <c r="V1849">
        <v>0</v>
      </c>
      <c r="W1849" t="s">
        <v>14859</v>
      </c>
      <c r="Z1849" t="s">
        <v>16499</v>
      </c>
      <c r="AB1849" t="s">
        <v>21539</v>
      </c>
      <c r="AC1849">
        <v>0</v>
      </c>
      <c r="AF1849">
        <v>0</v>
      </c>
      <c r="AG1849">
        <v>2</v>
      </c>
      <c r="AH1849">
        <v>0</v>
      </c>
      <c r="AI1849">
        <v>29.91</v>
      </c>
      <c r="AL1849" t="s">
        <v>5011</v>
      </c>
      <c r="AM1849">
        <v>4764</v>
      </c>
      <c r="AS1849">
        <v>50.5</v>
      </c>
      <c r="AT1849" t="s">
        <v>508</v>
      </c>
      <c r="AU1849" t="s">
        <v>25273</v>
      </c>
      <c r="AW1849" t="s">
        <v>11447</v>
      </c>
    </row>
    <row r="1850" spans="1:49">
      <c r="A1850" s="1">
        <f>HYPERLINK("https://lsnyc.legalserver.org/matter/dynamic-profile/view/0813357","16-0813357")</f>
        <v>0</v>
      </c>
      <c r="B1850" t="s">
        <v>238</v>
      </c>
      <c r="C1850" t="s">
        <v>685</v>
      </c>
      <c r="E1850" t="s">
        <v>1241</v>
      </c>
      <c r="F1850" t="s">
        <v>4624</v>
      </c>
      <c r="G1850" t="s">
        <v>7635</v>
      </c>
      <c r="H1850">
        <v>1410</v>
      </c>
      <c r="I1850" t="s">
        <v>11385</v>
      </c>
      <c r="J1850">
        <v>11224</v>
      </c>
      <c r="K1850" t="s">
        <v>11448</v>
      </c>
      <c r="L1850" t="s">
        <v>12055</v>
      </c>
      <c r="M1850" t="s">
        <v>14743</v>
      </c>
      <c r="N1850" t="s">
        <v>14781</v>
      </c>
      <c r="P1850" t="s">
        <v>14797</v>
      </c>
      <c r="R1850" t="s">
        <v>14812</v>
      </c>
      <c r="S1850" t="s">
        <v>14827</v>
      </c>
      <c r="V1850">
        <v>1400</v>
      </c>
      <c r="W1850" t="s">
        <v>14859</v>
      </c>
      <c r="X1850" t="s">
        <v>14872</v>
      </c>
      <c r="Z1850" t="s">
        <v>16500</v>
      </c>
      <c r="AA1850" t="s">
        <v>19476</v>
      </c>
      <c r="AB1850" t="s">
        <v>21540</v>
      </c>
      <c r="AC1850">
        <v>24</v>
      </c>
      <c r="AD1850" t="s">
        <v>11479</v>
      </c>
      <c r="AE1850" t="s">
        <v>24610</v>
      </c>
      <c r="AF1850">
        <v>20</v>
      </c>
      <c r="AG1850">
        <v>1</v>
      </c>
      <c r="AH1850">
        <v>1</v>
      </c>
      <c r="AI1850">
        <v>29.96</v>
      </c>
      <c r="AL1850" t="s">
        <v>24642</v>
      </c>
      <c r="AM1850">
        <v>4800</v>
      </c>
      <c r="AN1850" t="s">
        <v>24793</v>
      </c>
      <c r="AS1850">
        <v>78</v>
      </c>
      <c r="AT1850" t="s">
        <v>533</v>
      </c>
      <c r="AU1850" t="s">
        <v>25233</v>
      </c>
      <c r="AW1850" t="s">
        <v>11447</v>
      </c>
    </row>
    <row r="1851" spans="1:49">
      <c r="A1851" s="1">
        <f>HYPERLINK("https://lsnyc.legalserver.org/matter/dynamic-profile/view/1913901","19-1913901")</f>
        <v>0</v>
      </c>
      <c r="B1851" t="s">
        <v>126</v>
      </c>
      <c r="C1851" t="s">
        <v>533</v>
      </c>
      <c r="E1851" t="s">
        <v>1350</v>
      </c>
      <c r="F1851" t="s">
        <v>3547</v>
      </c>
      <c r="G1851" t="s">
        <v>7636</v>
      </c>
      <c r="H1851" t="s">
        <v>10484</v>
      </c>
      <c r="I1851" t="s">
        <v>11383</v>
      </c>
      <c r="J1851">
        <v>10471</v>
      </c>
      <c r="K1851" t="s">
        <v>11446</v>
      </c>
      <c r="M1851" t="s">
        <v>14744</v>
      </c>
      <c r="N1851" t="s">
        <v>14778</v>
      </c>
      <c r="P1851" t="s">
        <v>14797</v>
      </c>
      <c r="Q1851" t="s">
        <v>11448</v>
      </c>
      <c r="S1851" t="s">
        <v>14827</v>
      </c>
      <c r="V1851">
        <v>987</v>
      </c>
      <c r="W1851" t="s">
        <v>14858</v>
      </c>
      <c r="X1851" t="s">
        <v>14864</v>
      </c>
      <c r="Z1851" t="s">
        <v>16212</v>
      </c>
      <c r="AB1851" t="s">
        <v>21541</v>
      </c>
      <c r="AC1851">
        <v>3</v>
      </c>
      <c r="AD1851" t="s">
        <v>24600</v>
      </c>
      <c r="AE1851" t="s">
        <v>24610</v>
      </c>
      <c r="AF1851">
        <v>5</v>
      </c>
      <c r="AG1851">
        <v>1</v>
      </c>
      <c r="AH1851">
        <v>1</v>
      </c>
      <c r="AI1851">
        <v>30.75</v>
      </c>
      <c r="AM1851">
        <v>5200</v>
      </c>
      <c r="AS1851">
        <v>1</v>
      </c>
      <c r="AT1851" t="s">
        <v>533</v>
      </c>
      <c r="AU1851" t="s">
        <v>126</v>
      </c>
      <c r="AW1851" t="s">
        <v>11447</v>
      </c>
    </row>
    <row r="1852" spans="1:49">
      <c r="A1852" s="1">
        <f>HYPERLINK("https://lsnyc.legalserver.org/matter/dynamic-profile/view/1904684","19-1904684")</f>
        <v>0</v>
      </c>
      <c r="B1852" t="s">
        <v>178</v>
      </c>
      <c r="C1852" t="s">
        <v>365</v>
      </c>
      <c r="E1852" t="s">
        <v>2082</v>
      </c>
      <c r="F1852" t="s">
        <v>3675</v>
      </c>
      <c r="G1852" t="s">
        <v>7637</v>
      </c>
      <c r="H1852" t="s">
        <v>10649</v>
      </c>
      <c r="I1852" t="s">
        <v>11386</v>
      </c>
      <c r="J1852">
        <v>10040</v>
      </c>
      <c r="K1852" t="s">
        <v>11447</v>
      </c>
      <c r="L1852" t="s">
        <v>12056</v>
      </c>
      <c r="M1852" t="s">
        <v>14743</v>
      </c>
      <c r="N1852" t="s">
        <v>14781</v>
      </c>
      <c r="P1852" t="s">
        <v>14797</v>
      </c>
      <c r="Q1852" t="s">
        <v>11448</v>
      </c>
      <c r="S1852" t="s">
        <v>14827</v>
      </c>
      <c r="T1852" t="s">
        <v>14832</v>
      </c>
      <c r="V1852">
        <v>0</v>
      </c>
      <c r="W1852" t="s">
        <v>14860</v>
      </c>
      <c r="X1852" t="s">
        <v>14867</v>
      </c>
      <c r="Z1852" t="s">
        <v>16501</v>
      </c>
      <c r="AC1852">
        <v>38</v>
      </c>
      <c r="AE1852" t="s">
        <v>11459</v>
      </c>
      <c r="AF1852">
        <v>18</v>
      </c>
      <c r="AG1852">
        <v>2</v>
      </c>
      <c r="AH1852">
        <v>0</v>
      </c>
      <c r="AI1852">
        <v>30.75</v>
      </c>
      <c r="AL1852" t="s">
        <v>24653</v>
      </c>
      <c r="AM1852">
        <v>5200</v>
      </c>
      <c r="AS1852">
        <v>62.6</v>
      </c>
      <c r="AT1852" t="s">
        <v>592</v>
      </c>
      <c r="AU1852" t="s">
        <v>137</v>
      </c>
      <c r="AW1852" t="s">
        <v>11447</v>
      </c>
    </row>
    <row r="1853" spans="1:49">
      <c r="A1853" s="1">
        <f>HYPERLINK("https://lsnyc.legalserver.org/matter/dynamic-profile/view/1911772","19-1911772")</f>
        <v>0</v>
      </c>
      <c r="B1853" t="s">
        <v>67</v>
      </c>
      <c r="C1853" t="s">
        <v>505</v>
      </c>
      <c r="E1853" t="s">
        <v>1273</v>
      </c>
      <c r="F1853" t="s">
        <v>2002</v>
      </c>
      <c r="G1853" t="s">
        <v>7638</v>
      </c>
      <c r="H1853" t="s">
        <v>10627</v>
      </c>
      <c r="I1853" t="s">
        <v>11383</v>
      </c>
      <c r="J1853">
        <v>10452</v>
      </c>
      <c r="K1853" t="s">
        <v>11446</v>
      </c>
      <c r="L1853" t="s">
        <v>12057</v>
      </c>
      <c r="M1853" t="s">
        <v>14762</v>
      </c>
      <c r="N1853" t="s">
        <v>14783</v>
      </c>
      <c r="P1853" t="s">
        <v>14797</v>
      </c>
      <c r="Q1853" t="s">
        <v>11446</v>
      </c>
      <c r="S1853" t="s">
        <v>14827</v>
      </c>
      <c r="V1853">
        <v>1165</v>
      </c>
      <c r="W1853" t="s">
        <v>14858</v>
      </c>
      <c r="X1853" t="s">
        <v>14864</v>
      </c>
      <c r="Z1853" t="s">
        <v>15230</v>
      </c>
      <c r="AB1853" t="s">
        <v>21542</v>
      </c>
      <c r="AC1853">
        <v>67</v>
      </c>
      <c r="AD1853" t="s">
        <v>24600</v>
      </c>
      <c r="AE1853" t="s">
        <v>11459</v>
      </c>
      <c r="AF1853">
        <v>13</v>
      </c>
      <c r="AG1853">
        <v>3</v>
      </c>
      <c r="AH1853">
        <v>1</v>
      </c>
      <c r="AI1853">
        <v>32.04</v>
      </c>
      <c r="AL1853" t="s">
        <v>24632</v>
      </c>
      <c r="AM1853">
        <v>8250</v>
      </c>
      <c r="AS1853">
        <v>0</v>
      </c>
      <c r="AU1853" t="s">
        <v>25268</v>
      </c>
      <c r="AV1853" t="s">
        <v>11459</v>
      </c>
      <c r="AW1853" t="s">
        <v>11447</v>
      </c>
    </row>
    <row r="1854" spans="1:49">
      <c r="A1854" s="1">
        <f>HYPERLINK("https://lsnyc.legalserver.org/matter/dynamic-profile/view/1910500","19-1910500")</f>
        <v>0</v>
      </c>
      <c r="B1854" t="s">
        <v>227</v>
      </c>
      <c r="C1854" t="s">
        <v>508</v>
      </c>
      <c r="E1854" t="s">
        <v>2083</v>
      </c>
      <c r="F1854" t="s">
        <v>4625</v>
      </c>
      <c r="G1854" t="s">
        <v>7260</v>
      </c>
      <c r="H1854" t="s">
        <v>10880</v>
      </c>
      <c r="I1854" t="s">
        <v>11412</v>
      </c>
      <c r="J1854">
        <v>11101</v>
      </c>
      <c r="K1854" t="s">
        <v>11446</v>
      </c>
      <c r="L1854" t="s">
        <v>12058</v>
      </c>
      <c r="M1854" t="s">
        <v>14764</v>
      </c>
      <c r="N1854" t="s">
        <v>14778</v>
      </c>
      <c r="P1854" t="s">
        <v>14797</v>
      </c>
      <c r="Q1854" t="s">
        <v>11448</v>
      </c>
      <c r="S1854" t="s">
        <v>14827</v>
      </c>
      <c r="V1854">
        <v>281</v>
      </c>
      <c r="W1854" t="s">
        <v>14861</v>
      </c>
      <c r="X1854" t="s">
        <v>14865</v>
      </c>
      <c r="Z1854" t="s">
        <v>16502</v>
      </c>
      <c r="AB1854" t="s">
        <v>21543</v>
      </c>
      <c r="AC1854">
        <v>50</v>
      </c>
      <c r="AD1854" t="s">
        <v>24600</v>
      </c>
      <c r="AE1854" t="s">
        <v>11459</v>
      </c>
      <c r="AF1854">
        <v>-1</v>
      </c>
      <c r="AG1854">
        <v>1</v>
      </c>
      <c r="AH1854">
        <v>0</v>
      </c>
      <c r="AI1854">
        <v>33.31</v>
      </c>
      <c r="AL1854" t="s">
        <v>5011</v>
      </c>
      <c r="AM1854">
        <v>4160</v>
      </c>
      <c r="AS1854">
        <v>2.5</v>
      </c>
      <c r="AT1854" t="s">
        <v>505</v>
      </c>
      <c r="AU1854" t="s">
        <v>25233</v>
      </c>
      <c r="AV1854" t="s">
        <v>25335</v>
      </c>
      <c r="AW1854" t="s">
        <v>11447</v>
      </c>
    </row>
    <row r="1855" spans="1:49">
      <c r="A1855" s="1">
        <f>HYPERLINK("https://lsnyc.legalserver.org/matter/dynamic-profile/view/1914564","19-1914564")</f>
        <v>0</v>
      </c>
      <c r="B1855" t="s">
        <v>126</v>
      </c>
      <c r="C1855" t="s">
        <v>478</v>
      </c>
      <c r="E1855" t="s">
        <v>1215</v>
      </c>
      <c r="F1855" t="s">
        <v>4626</v>
      </c>
      <c r="G1855" t="s">
        <v>7639</v>
      </c>
      <c r="H1855" t="s">
        <v>10665</v>
      </c>
      <c r="I1855" t="s">
        <v>11383</v>
      </c>
      <c r="J1855">
        <v>10462</v>
      </c>
      <c r="K1855" t="s">
        <v>11446</v>
      </c>
      <c r="P1855" t="s">
        <v>14797</v>
      </c>
      <c r="S1855" t="s">
        <v>14827</v>
      </c>
      <c r="V1855">
        <v>1557</v>
      </c>
      <c r="W1855" t="s">
        <v>14858</v>
      </c>
      <c r="X1855" t="s">
        <v>14877</v>
      </c>
      <c r="Z1855" t="s">
        <v>16503</v>
      </c>
      <c r="AB1855" t="s">
        <v>21544</v>
      </c>
      <c r="AC1855">
        <v>98</v>
      </c>
      <c r="AD1855" t="s">
        <v>24607</v>
      </c>
      <c r="AE1855" t="s">
        <v>24616</v>
      </c>
      <c r="AF1855">
        <v>1</v>
      </c>
      <c r="AG1855">
        <v>1</v>
      </c>
      <c r="AH1855">
        <v>2</v>
      </c>
      <c r="AI1855">
        <v>33.64</v>
      </c>
      <c r="AL1855" t="s">
        <v>5011</v>
      </c>
      <c r="AM1855">
        <v>7176</v>
      </c>
      <c r="AS1855">
        <v>0</v>
      </c>
      <c r="AU1855" t="s">
        <v>237</v>
      </c>
      <c r="AV1855" t="s">
        <v>25335</v>
      </c>
      <c r="AW1855" t="s">
        <v>11447</v>
      </c>
    </row>
    <row r="1856" spans="1:49">
      <c r="A1856" s="1">
        <f>HYPERLINK("https://lsnyc.legalserver.org/matter/dynamic-profile/view/1911100","19-1911100")</f>
        <v>0</v>
      </c>
      <c r="B1856" t="s">
        <v>140</v>
      </c>
      <c r="C1856" t="s">
        <v>460</v>
      </c>
      <c r="E1856" t="s">
        <v>1786</v>
      </c>
      <c r="F1856" t="s">
        <v>2218</v>
      </c>
      <c r="G1856" t="s">
        <v>7640</v>
      </c>
      <c r="H1856" t="s">
        <v>10579</v>
      </c>
      <c r="I1856" t="s">
        <v>11383</v>
      </c>
      <c r="J1856">
        <v>10453</v>
      </c>
      <c r="K1856" t="s">
        <v>11447</v>
      </c>
      <c r="L1856" t="s">
        <v>12059</v>
      </c>
      <c r="M1856" t="s">
        <v>14743</v>
      </c>
      <c r="N1856" t="s">
        <v>14781</v>
      </c>
      <c r="P1856" t="s">
        <v>14797</v>
      </c>
      <c r="Q1856" t="s">
        <v>11448</v>
      </c>
      <c r="S1856" t="s">
        <v>14827</v>
      </c>
      <c r="T1856" t="s">
        <v>14833</v>
      </c>
      <c r="V1856">
        <v>1600</v>
      </c>
      <c r="W1856" t="s">
        <v>14858</v>
      </c>
      <c r="Z1856" t="s">
        <v>16504</v>
      </c>
      <c r="AB1856" t="s">
        <v>21545</v>
      </c>
      <c r="AC1856">
        <v>0</v>
      </c>
      <c r="AD1856" t="s">
        <v>24595</v>
      </c>
      <c r="AF1856">
        <v>0</v>
      </c>
      <c r="AG1856">
        <v>1</v>
      </c>
      <c r="AH1856">
        <v>3</v>
      </c>
      <c r="AI1856">
        <v>34.16</v>
      </c>
      <c r="AL1856" t="s">
        <v>5011</v>
      </c>
      <c r="AM1856">
        <v>8796</v>
      </c>
      <c r="AS1856">
        <v>3.5</v>
      </c>
      <c r="AT1856" t="s">
        <v>551</v>
      </c>
      <c r="AU1856" t="s">
        <v>140</v>
      </c>
      <c r="AW1856" t="s">
        <v>11447</v>
      </c>
    </row>
    <row r="1857" spans="1:49">
      <c r="A1857" s="1">
        <f>HYPERLINK("https://lsnyc.legalserver.org/matter/dynamic-profile/view/1911250","19-1911250")</f>
        <v>0</v>
      </c>
      <c r="B1857" t="s">
        <v>92</v>
      </c>
      <c r="C1857" t="s">
        <v>511</v>
      </c>
      <c r="E1857" t="s">
        <v>1337</v>
      </c>
      <c r="F1857" t="s">
        <v>4627</v>
      </c>
      <c r="G1857" t="s">
        <v>7641</v>
      </c>
      <c r="H1857" t="s">
        <v>10582</v>
      </c>
      <c r="I1857" t="s">
        <v>11383</v>
      </c>
      <c r="J1857">
        <v>10453</v>
      </c>
      <c r="K1857" t="s">
        <v>11447</v>
      </c>
      <c r="P1857" t="s">
        <v>14797</v>
      </c>
      <c r="Q1857" t="s">
        <v>11446</v>
      </c>
      <c r="S1857" t="s">
        <v>14827</v>
      </c>
      <c r="V1857">
        <v>1300</v>
      </c>
      <c r="W1857" t="s">
        <v>14858</v>
      </c>
      <c r="X1857" t="s">
        <v>14872</v>
      </c>
      <c r="Z1857" t="s">
        <v>16505</v>
      </c>
      <c r="AB1857" t="s">
        <v>21546</v>
      </c>
      <c r="AC1857">
        <v>12</v>
      </c>
      <c r="AD1857" t="s">
        <v>24596</v>
      </c>
      <c r="AE1857" t="s">
        <v>24610</v>
      </c>
      <c r="AF1857">
        <v>10</v>
      </c>
      <c r="AG1857">
        <v>1</v>
      </c>
      <c r="AH1857">
        <v>1</v>
      </c>
      <c r="AI1857">
        <v>34.59</v>
      </c>
      <c r="AL1857" t="s">
        <v>5011</v>
      </c>
      <c r="AM1857">
        <v>5850</v>
      </c>
      <c r="AS1857">
        <v>0.44</v>
      </c>
      <c r="AT1857" t="s">
        <v>511</v>
      </c>
      <c r="AU1857" t="s">
        <v>25247</v>
      </c>
      <c r="AW1857" t="s">
        <v>11447</v>
      </c>
    </row>
    <row r="1858" spans="1:49">
      <c r="A1858" s="1">
        <f>HYPERLINK("https://lsnyc.legalserver.org/matter/dynamic-profile/view/1903978","19-1903978")</f>
        <v>0</v>
      </c>
      <c r="B1858" t="s">
        <v>144</v>
      </c>
      <c r="C1858" t="s">
        <v>474</v>
      </c>
      <c r="E1858" t="s">
        <v>2084</v>
      </c>
      <c r="F1858" t="s">
        <v>3727</v>
      </c>
      <c r="G1858" t="s">
        <v>7642</v>
      </c>
      <c r="H1858" t="s">
        <v>10637</v>
      </c>
      <c r="I1858" t="s">
        <v>11410</v>
      </c>
      <c r="J1858">
        <v>11692</v>
      </c>
      <c r="K1858" t="s">
        <v>11446</v>
      </c>
      <c r="L1858" t="s">
        <v>12060</v>
      </c>
      <c r="M1858" t="s">
        <v>14746</v>
      </c>
      <c r="N1858" t="s">
        <v>14779</v>
      </c>
      <c r="P1858" t="s">
        <v>14797</v>
      </c>
      <c r="Q1858" t="s">
        <v>11448</v>
      </c>
      <c r="S1858" t="s">
        <v>14827</v>
      </c>
      <c r="T1858" t="s">
        <v>14832</v>
      </c>
      <c r="V1858">
        <v>2206</v>
      </c>
      <c r="W1858" t="s">
        <v>14861</v>
      </c>
      <c r="X1858" t="s">
        <v>14865</v>
      </c>
      <c r="Z1858" t="s">
        <v>16506</v>
      </c>
      <c r="AB1858" t="s">
        <v>21547</v>
      </c>
      <c r="AC1858">
        <v>3</v>
      </c>
      <c r="AD1858" t="s">
        <v>24600</v>
      </c>
      <c r="AF1858">
        <v>5</v>
      </c>
      <c r="AG1858">
        <v>1</v>
      </c>
      <c r="AH1858">
        <v>3</v>
      </c>
      <c r="AI1858">
        <v>35.14</v>
      </c>
      <c r="AL1858" t="s">
        <v>5011</v>
      </c>
      <c r="AM1858">
        <v>9048</v>
      </c>
      <c r="AS1858">
        <v>1.3</v>
      </c>
      <c r="AT1858" t="s">
        <v>767</v>
      </c>
      <c r="AU1858" t="s">
        <v>144</v>
      </c>
      <c r="AV1858" t="s">
        <v>25335</v>
      </c>
      <c r="AW1858" t="s">
        <v>11447</v>
      </c>
    </row>
    <row r="1859" spans="1:49">
      <c r="A1859" s="1">
        <f>HYPERLINK("https://lsnyc.legalserver.org/matter/dynamic-profile/view/1912091","19-1912091")</f>
        <v>0</v>
      </c>
      <c r="B1859" t="s">
        <v>90</v>
      </c>
      <c r="C1859" t="s">
        <v>551</v>
      </c>
      <c r="E1859" t="s">
        <v>1086</v>
      </c>
      <c r="F1859" t="s">
        <v>4628</v>
      </c>
      <c r="G1859" t="s">
        <v>7643</v>
      </c>
      <c r="H1859" t="s">
        <v>10552</v>
      </c>
      <c r="I1859" t="s">
        <v>11383</v>
      </c>
      <c r="J1859">
        <v>10452</v>
      </c>
      <c r="K1859" t="s">
        <v>11446</v>
      </c>
      <c r="L1859" t="s">
        <v>12061</v>
      </c>
      <c r="M1859" t="s">
        <v>14744</v>
      </c>
      <c r="P1859" t="s">
        <v>14797</v>
      </c>
      <c r="Q1859" t="s">
        <v>11448</v>
      </c>
      <c r="S1859" t="s">
        <v>14827</v>
      </c>
      <c r="V1859">
        <v>1067.92</v>
      </c>
      <c r="W1859" t="s">
        <v>14858</v>
      </c>
      <c r="X1859" t="s">
        <v>14863</v>
      </c>
      <c r="Z1859" t="s">
        <v>16507</v>
      </c>
      <c r="AB1859" t="s">
        <v>21548</v>
      </c>
      <c r="AC1859">
        <v>54</v>
      </c>
      <c r="AD1859" t="s">
        <v>24595</v>
      </c>
      <c r="AE1859" t="s">
        <v>11459</v>
      </c>
      <c r="AF1859">
        <v>20</v>
      </c>
      <c r="AG1859">
        <v>2</v>
      </c>
      <c r="AH1859">
        <v>0</v>
      </c>
      <c r="AI1859">
        <v>35.48</v>
      </c>
      <c r="AL1859" t="s">
        <v>5011</v>
      </c>
      <c r="AM1859">
        <v>6000</v>
      </c>
      <c r="AS1859">
        <v>16</v>
      </c>
      <c r="AT1859" t="s">
        <v>509</v>
      </c>
      <c r="AU1859" t="s">
        <v>245</v>
      </c>
      <c r="AW1859" t="s">
        <v>11447</v>
      </c>
    </row>
    <row r="1860" spans="1:49">
      <c r="A1860" s="1">
        <f>HYPERLINK("https://lsnyc.legalserver.org/matter/dynamic-profile/view/1905305","19-1905305")</f>
        <v>0</v>
      </c>
      <c r="B1860" t="s">
        <v>78</v>
      </c>
      <c r="C1860" t="s">
        <v>480</v>
      </c>
      <c r="E1860" t="s">
        <v>1610</v>
      </c>
      <c r="F1860" t="s">
        <v>4629</v>
      </c>
      <c r="G1860" t="s">
        <v>7644</v>
      </c>
      <c r="H1860">
        <v>3</v>
      </c>
      <c r="I1860" t="s">
        <v>11383</v>
      </c>
      <c r="J1860">
        <v>10459</v>
      </c>
      <c r="K1860" t="s">
        <v>11446</v>
      </c>
      <c r="L1860" t="s">
        <v>12062</v>
      </c>
      <c r="M1860" t="s">
        <v>14743</v>
      </c>
      <c r="P1860" t="s">
        <v>14797</v>
      </c>
      <c r="Q1860" t="s">
        <v>11448</v>
      </c>
      <c r="S1860" t="s">
        <v>14827</v>
      </c>
      <c r="V1860">
        <v>743.21</v>
      </c>
      <c r="W1860" t="s">
        <v>14858</v>
      </c>
      <c r="X1860" t="s">
        <v>14864</v>
      </c>
      <c r="Z1860" t="s">
        <v>15773</v>
      </c>
      <c r="AA1860" t="s">
        <v>19477</v>
      </c>
      <c r="AB1860" t="s">
        <v>21549</v>
      </c>
      <c r="AC1860">
        <v>11</v>
      </c>
      <c r="AD1860" t="s">
        <v>24595</v>
      </c>
      <c r="AE1860" t="s">
        <v>11459</v>
      </c>
      <c r="AF1860">
        <v>3</v>
      </c>
      <c r="AG1860">
        <v>1</v>
      </c>
      <c r="AH1860">
        <v>0</v>
      </c>
      <c r="AI1860">
        <v>35.84</v>
      </c>
      <c r="AL1860" t="s">
        <v>5011</v>
      </c>
      <c r="AM1860">
        <v>4476</v>
      </c>
      <c r="AS1860">
        <v>5.1</v>
      </c>
      <c r="AT1860" t="s">
        <v>476</v>
      </c>
      <c r="AU1860" t="s">
        <v>230</v>
      </c>
      <c r="AV1860" t="s">
        <v>25335</v>
      </c>
      <c r="AW1860" t="s">
        <v>11447</v>
      </c>
    </row>
    <row r="1861" spans="1:49">
      <c r="A1861" s="1">
        <f>HYPERLINK("https://lsnyc.legalserver.org/matter/dynamic-profile/view/1907528","19-1907528")</f>
        <v>0</v>
      </c>
      <c r="B1861" t="s">
        <v>67</v>
      </c>
      <c r="C1861" t="s">
        <v>465</v>
      </c>
      <c r="E1861" t="s">
        <v>2085</v>
      </c>
      <c r="F1861" t="s">
        <v>3696</v>
      </c>
      <c r="G1861" t="s">
        <v>6479</v>
      </c>
      <c r="H1861" t="s">
        <v>10460</v>
      </c>
      <c r="I1861" t="s">
        <v>11383</v>
      </c>
      <c r="J1861">
        <v>10474</v>
      </c>
      <c r="K1861" t="s">
        <v>11447</v>
      </c>
      <c r="L1861" t="s">
        <v>12025</v>
      </c>
      <c r="M1861" t="s">
        <v>14762</v>
      </c>
      <c r="N1861" t="s">
        <v>14783</v>
      </c>
      <c r="P1861" t="s">
        <v>14797</v>
      </c>
      <c r="S1861" t="s">
        <v>14827</v>
      </c>
      <c r="V1861">
        <v>0</v>
      </c>
      <c r="W1861" t="s">
        <v>14858</v>
      </c>
      <c r="Z1861" t="s">
        <v>16508</v>
      </c>
      <c r="AB1861" t="s">
        <v>21550</v>
      </c>
      <c r="AC1861">
        <v>0</v>
      </c>
      <c r="AF1861">
        <v>0</v>
      </c>
      <c r="AG1861">
        <v>1</v>
      </c>
      <c r="AH1861">
        <v>0</v>
      </c>
      <c r="AI1861">
        <v>36.41</v>
      </c>
      <c r="AL1861" t="s">
        <v>5011</v>
      </c>
      <c r="AM1861">
        <v>4548</v>
      </c>
      <c r="AS1861">
        <v>0</v>
      </c>
      <c r="AU1861" t="s">
        <v>67</v>
      </c>
      <c r="AW1861" t="s">
        <v>11447</v>
      </c>
    </row>
    <row r="1862" spans="1:49">
      <c r="A1862" s="1">
        <f>HYPERLINK("https://lsnyc.legalserver.org/matter/dynamic-profile/view/1907089","19-1907089")</f>
        <v>0</v>
      </c>
      <c r="B1862" t="s">
        <v>67</v>
      </c>
      <c r="C1862" t="s">
        <v>564</v>
      </c>
      <c r="E1862" t="s">
        <v>2085</v>
      </c>
      <c r="F1862" t="s">
        <v>3696</v>
      </c>
      <c r="G1862" t="s">
        <v>6479</v>
      </c>
      <c r="H1862" t="s">
        <v>10460</v>
      </c>
      <c r="I1862" t="s">
        <v>11383</v>
      </c>
      <c r="J1862">
        <v>10474</v>
      </c>
      <c r="K1862" t="s">
        <v>11446</v>
      </c>
      <c r="L1862" t="s">
        <v>11496</v>
      </c>
      <c r="M1862" t="s">
        <v>14746</v>
      </c>
      <c r="N1862" t="s">
        <v>14781</v>
      </c>
      <c r="P1862" t="s">
        <v>14797</v>
      </c>
      <c r="Q1862" t="s">
        <v>11446</v>
      </c>
      <c r="S1862" t="s">
        <v>14827</v>
      </c>
      <c r="V1862">
        <v>309.6</v>
      </c>
      <c r="W1862" t="s">
        <v>14858</v>
      </c>
      <c r="X1862" t="s">
        <v>14864</v>
      </c>
      <c r="Z1862" t="s">
        <v>16508</v>
      </c>
      <c r="AB1862" t="s">
        <v>21550</v>
      </c>
      <c r="AC1862">
        <v>45</v>
      </c>
      <c r="AD1862" t="s">
        <v>11479</v>
      </c>
      <c r="AE1862" t="s">
        <v>11459</v>
      </c>
      <c r="AF1862">
        <v>12</v>
      </c>
      <c r="AG1862">
        <v>1</v>
      </c>
      <c r="AH1862">
        <v>0</v>
      </c>
      <c r="AI1862">
        <v>36.41</v>
      </c>
      <c r="AL1862" t="s">
        <v>5011</v>
      </c>
      <c r="AM1862">
        <v>4548</v>
      </c>
      <c r="AS1862">
        <v>0</v>
      </c>
      <c r="AU1862" t="s">
        <v>237</v>
      </c>
      <c r="AV1862" t="s">
        <v>25335</v>
      </c>
      <c r="AW1862" t="s">
        <v>11447</v>
      </c>
    </row>
    <row r="1863" spans="1:49">
      <c r="A1863" s="1">
        <f>HYPERLINK("https://lsnyc.legalserver.org/matter/dynamic-profile/view/1908303","19-1908303")</f>
        <v>0</v>
      </c>
      <c r="B1863" t="s">
        <v>67</v>
      </c>
      <c r="C1863" t="s">
        <v>375</v>
      </c>
      <c r="E1863" t="s">
        <v>2085</v>
      </c>
      <c r="F1863" t="s">
        <v>3696</v>
      </c>
      <c r="G1863" t="s">
        <v>6479</v>
      </c>
      <c r="H1863" t="s">
        <v>10460</v>
      </c>
      <c r="I1863" t="s">
        <v>11383</v>
      </c>
      <c r="J1863">
        <v>10474</v>
      </c>
      <c r="K1863" t="s">
        <v>11447</v>
      </c>
      <c r="M1863" t="s">
        <v>14747</v>
      </c>
      <c r="N1863" t="s">
        <v>14783</v>
      </c>
      <c r="P1863" t="s">
        <v>14797</v>
      </c>
      <c r="Q1863" t="s">
        <v>11448</v>
      </c>
      <c r="S1863" t="s">
        <v>14827</v>
      </c>
      <c r="T1863" t="s">
        <v>14832</v>
      </c>
      <c r="V1863">
        <v>309.6</v>
      </c>
      <c r="W1863" t="s">
        <v>14858</v>
      </c>
      <c r="Z1863" t="s">
        <v>16508</v>
      </c>
      <c r="AB1863" t="s">
        <v>21550</v>
      </c>
      <c r="AC1863">
        <v>0</v>
      </c>
      <c r="AD1863" t="s">
        <v>24599</v>
      </c>
      <c r="AF1863">
        <v>42</v>
      </c>
      <c r="AG1863">
        <v>1</v>
      </c>
      <c r="AH1863">
        <v>0</v>
      </c>
      <c r="AI1863">
        <v>36.41</v>
      </c>
      <c r="AL1863" t="s">
        <v>5011</v>
      </c>
      <c r="AM1863">
        <v>4548</v>
      </c>
      <c r="AS1863">
        <v>7.25</v>
      </c>
      <c r="AT1863" t="s">
        <v>515</v>
      </c>
      <c r="AU1863" t="s">
        <v>67</v>
      </c>
      <c r="AW1863" t="s">
        <v>11447</v>
      </c>
    </row>
    <row r="1864" spans="1:49">
      <c r="A1864" s="1">
        <f>HYPERLINK("https://lsnyc.legalserver.org/matter/dynamic-profile/view/1910045","19-1910045")</f>
        <v>0</v>
      </c>
      <c r="B1864" t="s">
        <v>51</v>
      </c>
      <c r="C1864" t="s">
        <v>471</v>
      </c>
      <c r="E1864" t="s">
        <v>2086</v>
      </c>
      <c r="F1864" t="s">
        <v>4630</v>
      </c>
      <c r="G1864" t="s">
        <v>7645</v>
      </c>
      <c r="H1864" t="s">
        <v>10677</v>
      </c>
      <c r="I1864" t="s">
        <v>11383</v>
      </c>
      <c r="J1864">
        <v>10456</v>
      </c>
      <c r="K1864" t="s">
        <v>11446</v>
      </c>
      <c r="L1864" t="s">
        <v>12063</v>
      </c>
      <c r="N1864" t="s">
        <v>14778</v>
      </c>
      <c r="P1864" t="s">
        <v>14797</v>
      </c>
      <c r="Q1864" t="s">
        <v>11448</v>
      </c>
      <c r="S1864" t="s">
        <v>14827</v>
      </c>
      <c r="V1864">
        <v>83</v>
      </c>
      <c r="W1864" t="s">
        <v>14858</v>
      </c>
      <c r="X1864" t="s">
        <v>14864</v>
      </c>
      <c r="Z1864" t="s">
        <v>16509</v>
      </c>
      <c r="AB1864" t="s">
        <v>21551</v>
      </c>
      <c r="AC1864">
        <v>0</v>
      </c>
      <c r="AD1864" t="s">
        <v>24602</v>
      </c>
      <c r="AF1864">
        <v>5</v>
      </c>
      <c r="AG1864">
        <v>1</v>
      </c>
      <c r="AH1864">
        <v>3</v>
      </c>
      <c r="AI1864">
        <v>37.28</v>
      </c>
      <c r="AL1864" t="s">
        <v>24632</v>
      </c>
      <c r="AM1864">
        <v>9600</v>
      </c>
      <c r="AS1864">
        <v>0</v>
      </c>
      <c r="AU1864" t="s">
        <v>51</v>
      </c>
      <c r="AV1864" t="s">
        <v>25335</v>
      </c>
      <c r="AW1864" t="s">
        <v>11447</v>
      </c>
    </row>
    <row r="1865" spans="1:49">
      <c r="A1865" s="1">
        <f>HYPERLINK("https://lsnyc.legalserver.org/matter/dynamic-profile/view/1907805","19-1907805")</f>
        <v>0</v>
      </c>
      <c r="B1865" t="s">
        <v>100</v>
      </c>
      <c r="C1865" t="s">
        <v>377</v>
      </c>
      <c r="E1865" t="s">
        <v>1463</v>
      </c>
      <c r="F1865" t="s">
        <v>4631</v>
      </c>
      <c r="G1865" t="s">
        <v>7646</v>
      </c>
      <c r="H1865" t="s">
        <v>10881</v>
      </c>
      <c r="I1865" t="s">
        <v>11383</v>
      </c>
      <c r="J1865">
        <v>10457</v>
      </c>
      <c r="K1865" t="s">
        <v>11446</v>
      </c>
      <c r="P1865" t="s">
        <v>14797</v>
      </c>
      <c r="Q1865" t="s">
        <v>11446</v>
      </c>
      <c r="S1865" t="s">
        <v>14827</v>
      </c>
      <c r="V1865">
        <v>0</v>
      </c>
      <c r="W1865" t="s">
        <v>14858</v>
      </c>
      <c r="X1865" t="s">
        <v>14864</v>
      </c>
      <c r="Z1865" t="s">
        <v>16510</v>
      </c>
      <c r="AB1865" t="s">
        <v>21552</v>
      </c>
      <c r="AC1865">
        <v>0</v>
      </c>
      <c r="AD1865" t="s">
        <v>11479</v>
      </c>
      <c r="AE1865" t="s">
        <v>11459</v>
      </c>
      <c r="AF1865">
        <v>5</v>
      </c>
      <c r="AG1865">
        <v>2</v>
      </c>
      <c r="AH1865">
        <v>1</v>
      </c>
      <c r="AI1865">
        <v>37.82</v>
      </c>
      <c r="AL1865" t="s">
        <v>5011</v>
      </c>
      <c r="AM1865">
        <v>8066.4</v>
      </c>
      <c r="AS1865">
        <v>0</v>
      </c>
      <c r="AU1865" t="s">
        <v>25268</v>
      </c>
      <c r="AV1865" t="s">
        <v>25335</v>
      </c>
      <c r="AW1865" t="s">
        <v>11447</v>
      </c>
    </row>
    <row r="1866" spans="1:49">
      <c r="A1866" s="1">
        <f>HYPERLINK("https://lsnyc.legalserver.org/matter/dynamic-profile/view/1910328","19-1910328")</f>
        <v>0</v>
      </c>
      <c r="B1866" t="s">
        <v>90</v>
      </c>
      <c r="C1866" t="s">
        <v>540</v>
      </c>
      <c r="E1866" t="s">
        <v>1361</v>
      </c>
      <c r="F1866" t="s">
        <v>3552</v>
      </c>
      <c r="G1866" t="s">
        <v>7015</v>
      </c>
      <c r="H1866" t="s">
        <v>10757</v>
      </c>
      <c r="I1866" t="s">
        <v>11383</v>
      </c>
      <c r="J1866">
        <v>10453</v>
      </c>
      <c r="K1866" t="s">
        <v>11446</v>
      </c>
      <c r="L1866" t="s">
        <v>12064</v>
      </c>
      <c r="P1866" t="s">
        <v>14797</v>
      </c>
      <c r="Q1866" t="s">
        <v>11448</v>
      </c>
      <c r="S1866" t="s">
        <v>14827</v>
      </c>
      <c r="V1866">
        <v>856.0599999999999</v>
      </c>
      <c r="W1866" t="s">
        <v>14858</v>
      </c>
      <c r="X1866" t="s">
        <v>14868</v>
      </c>
      <c r="Z1866" t="s">
        <v>16511</v>
      </c>
      <c r="AB1866" t="s">
        <v>21553</v>
      </c>
      <c r="AC1866">
        <v>0</v>
      </c>
      <c r="AD1866" t="s">
        <v>24595</v>
      </c>
      <c r="AE1866" t="s">
        <v>11459</v>
      </c>
      <c r="AF1866">
        <v>23</v>
      </c>
      <c r="AG1866">
        <v>2</v>
      </c>
      <c r="AH1866">
        <v>2</v>
      </c>
      <c r="AI1866">
        <v>37.93</v>
      </c>
      <c r="AL1866" t="s">
        <v>24632</v>
      </c>
      <c r="AM1866">
        <v>9768</v>
      </c>
      <c r="AS1866">
        <v>8.4</v>
      </c>
      <c r="AT1866" t="s">
        <v>478</v>
      </c>
      <c r="AU1866" t="s">
        <v>237</v>
      </c>
      <c r="AV1866" t="s">
        <v>25335</v>
      </c>
      <c r="AW1866" t="s">
        <v>11447</v>
      </c>
    </row>
    <row r="1867" spans="1:49">
      <c r="A1867" s="1">
        <f>HYPERLINK("https://lsnyc.legalserver.org/matter/dynamic-profile/view/1906765","19-1906765")</f>
        <v>0</v>
      </c>
      <c r="B1867" t="s">
        <v>167</v>
      </c>
      <c r="C1867" t="s">
        <v>620</v>
      </c>
      <c r="E1867" t="s">
        <v>2087</v>
      </c>
      <c r="F1867" t="s">
        <v>4632</v>
      </c>
      <c r="G1867" t="s">
        <v>7647</v>
      </c>
      <c r="I1867" t="s">
        <v>11391</v>
      </c>
      <c r="J1867">
        <v>11691</v>
      </c>
      <c r="K1867" t="s">
        <v>11447</v>
      </c>
      <c r="M1867" t="s">
        <v>11601</v>
      </c>
      <c r="N1867" t="s">
        <v>14781</v>
      </c>
      <c r="P1867" t="s">
        <v>14797</v>
      </c>
      <c r="S1867" t="s">
        <v>14827</v>
      </c>
      <c r="V1867">
        <v>1650</v>
      </c>
      <c r="W1867" t="s">
        <v>14861</v>
      </c>
      <c r="Z1867" t="s">
        <v>16512</v>
      </c>
      <c r="AB1867" t="s">
        <v>21554</v>
      </c>
      <c r="AC1867">
        <v>0</v>
      </c>
      <c r="AD1867" t="s">
        <v>11479</v>
      </c>
      <c r="AE1867" t="s">
        <v>11459</v>
      </c>
      <c r="AF1867">
        <v>2</v>
      </c>
      <c r="AG1867">
        <v>1</v>
      </c>
      <c r="AH1867">
        <v>0</v>
      </c>
      <c r="AI1867">
        <v>38.43</v>
      </c>
      <c r="AL1867" t="s">
        <v>5011</v>
      </c>
      <c r="AM1867">
        <v>4800</v>
      </c>
      <c r="AS1867">
        <v>3.25</v>
      </c>
      <c r="AT1867" t="s">
        <v>509</v>
      </c>
      <c r="AU1867" t="s">
        <v>25231</v>
      </c>
      <c r="AW1867" t="s">
        <v>11447</v>
      </c>
    </row>
    <row r="1868" spans="1:49">
      <c r="A1868" s="1">
        <f>HYPERLINK("https://lsnyc.legalserver.org/matter/dynamic-profile/view/1905350","19-1905350")</f>
        <v>0</v>
      </c>
      <c r="B1868" t="s">
        <v>209</v>
      </c>
      <c r="C1868" t="s">
        <v>619</v>
      </c>
      <c r="E1868" t="s">
        <v>1132</v>
      </c>
      <c r="F1868" t="s">
        <v>4633</v>
      </c>
      <c r="G1868" t="s">
        <v>7648</v>
      </c>
      <c r="H1868" t="s">
        <v>10486</v>
      </c>
      <c r="I1868" t="s">
        <v>11402</v>
      </c>
      <c r="J1868">
        <v>11422</v>
      </c>
      <c r="K1868" t="s">
        <v>11446</v>
      </c>
      <c r="L1868" t="s">
        <v>12065</v>
      </c>
      <c r="M1868" t="s">
        <v>14743</v>
      </c>
      <c r="N1868" t="s">
        <v>14778</v>
      </c>
      <c r="P1868" t="s">
        <v>14797</v>
      </c>
      <c r="Q1868" t="s">
        <v>11448</v>
      </c>
      <c r="S1868" t="s">
        <v>14827</v>
      </c>
      <c r="T1868" t="s">
        <v>14832</v>
      </c>
      <c r="V1868">
        <v>1300</v>
      </c>
      <c r="W1868" t="s">
        <v>14861</v>
      </c>
      <c r="X1868" t="s">
        <v>14865</v>
      </c>
      <c r="Z1868" t="s">
        <v>16513</v>
      </c>
      <c r="AB1868" t="s">
        <v>21555</v>
      </c>
      <c r="AC1868">
        <v>2</v>
      </c>
      <c r="AD1868" t="s">
        <v>24600</v>
      </c>
      <c r="AE1868" t="s">
        <v>11459</v>
      </c>
      <c r="AF1868">
        <v>10</v>
      </c>
      <c r="AG1868">
        <v>1</v>
      </c>
      <c r="AH1868">
        <v>0</v>
      </c>
      <c r="AI1868">
        <v>40.03</v>
      </c>
      <c r="AL1868" t="s">
        <v>5011</v>
      </c>
      <c r="AM1868">
        <v>5000</v>
      </c>
      <c r="AS1868">
        <v>2.35</v>
      </c>
      <c r="AT1868" t="s">
        <v>377</v>
      </c>
      <c r="AU1868" t="s">
        <v>25233</v>
      </c>
      <c r="AV1868" t="s">
        <v>25335</v>
      </c>
      <c r="AW1868" t="s">
        <v>11447</v>
      </c>
    </row>
    <row r="1869" spans="1:49">
      <c r="A1869" s="1">
        <f>HYPERLINK("https://lsnyc.legalserver.org/matter/dynamic-profile/view/1911976","19-1911976")</f>
        <v>0</v>
      </c>
      <c r="B1869" t="s">
        <v>197</v>
      </c>
      <c r="C1869" t="s">
        <v>586</v>
      </c>
      <c r="E1869" t="s">
        <v>1323</v>
      </c>
      <c r="F1869" t="s">
        <v>1375</v>
      </c>
      <c r="G1869" t="s">
        <v>7649</v>
      </c>
      <c r="H1869" t="s">
        <v>10537</v>
      </c>
      <c r="I1869" t="s">
        <v>11383</v>
      </c>
      <c r="J1869">
        <v>10453</v>
      </c>
      <c r="K1869" t="s">
        <v>11446</v>
      </c>
      <c r="N1869" t="s">
        <v>14778</v>
      </c>
      <c r="P1869" t="s">
        <v>14797</v>
      </c>
      <c r="S1869" t="s">
        <v>14827</v>
      </c>
      <c r="V1869">
        <v>0</v>
      </c>
      <c r="W1869" t="s">
        <v>14858</v>
      </c>
      <c r="Z1869" t="s">
        <v>16514</v>
      </c>
      <c r="AB1869" t="s">
        <v>21556</v>
      </c>
      <c r="AC1869">
        <v>0</v>
      </c>
      <c r="AF1869">
        <v>0</v>
      </c>
      <c r="AG1869">
        <v>1</v>
      </c>
      <c r="AH1869">
        <v>0</v>
      </c>
      <c r="AI1869">
        <v>40.3</v>
      </c>
      <c r="AL1869" t="s">
        <v>5011</v>
      </c>
      <c r="AM1869">
        <v>5033</v>
      </c>
      <c r="AS1869">
        <v>1.15</v>
      </c>
      <c r="AT1869" t="s">
        <v>506</v>
      </c>
      <c r="AU1869" t="s">
        <v>197</v>
      </c>
      <c r="AV1869" t="s">
        <v>25335</v>
      </c>
      <c r="AW1869" t="s">
        <v>11447</v>
      </c>
    </row>
    <row r="1870" spans="1:49">
      <c r="A1870" s="1">
        <f>HYPERLINK("https://lsnyc.legalserver.org/matter/dynamic-profile/view/1914467","19-1914467")</f>
        <v>0</v>
      </c>
      <c r="B1870" t="s">
        <v>120</v>
      </c>
      <c r="C1870" t="s">
        <v>506</v>
      </c>
      <c r="E1870" t="s">
        <v>1339</v>
      </c>
      <c r="F1870" t="s">
        <v>4634</v>
      </c>
      <c r="G1870" t="s">
        <v>7650</v>
      </c>
      <c r="H1870">
        <v>2</v>
      </c>
      <c r="I1870" t="s">
        <v>11385</v>
      </c>
      <c r="J1870">
        <v>11233</v>
      </c>
      <c r="K1870" t="s">
        <v>11447</v>
      </c>
      <c r="L1870" t="s">
        <v>12066</v>
      </c>
      <c r="M1870" t="s">
        <v>14743</v>
      </c>
      <c r="N1870" t="s">
        <v>14782</v>
      </c>
      <c r="P1870" t="s">
        <v>14797</v>
      </c>
      <c r="Q1870" t="s">
        <v>11448</v>
      </c>
      <c r="S1870" t="s">
        <v>14827</v>
      </c>
      <c r="V1870">
        <v>1515</v>
      </c>
      <c r="W1870" t="s">
        <v>14859</v>
      </c>
      <c r="X1870" t="s">
        <v>14755</v>
      </c>
      <c r="Z1870" t="s">
        <v>16515</v>
      </c>
      <c r="AB1870" t="s">
        <v>21557</v>
      </c>
      <c r="AC1870">
        <v>3</v>
      </c>
      <c r="AD1870" t="s">
        <v>24600</v>
      </c>
      <c r="AE1870" t="s">
        <v>24616</v>
      </c>
      <c r="AF1870">
        <v>1</v>
      </c>
      <c r="AG1870">
        <v>2</v>
      </c>
      <c r="AH1870">
        <v>1</v>
      </c>
      <c r="AI1870">
        <v>41.91</v>
      </c>
      <c r="AL1870" t="s">
        <v>5011</v>
      </c>
      <c r="AM1870">
        <v>8940</v>
      </c>
      <c r="AS1870">
        <v>0</v>
      </c>
      <c r="AU1870" t="s">
        <v>120</v>
      </c>
      <c r="AW1870" t="s">
        <v>11447</v>
      </c>
    </row>
    <row r="1871" spans="1:49">
      <c r="A1871" s="1">
        <f>HYPERLINK("https://lsnyc.legalserver.org/matter/dynamic-profile/view/1910745","19-1910745")</f>
        <v>0</v>
      </c>
      <c r="B1871" t="s">
        <v>78</v>
      </c>
      <c r="C1871" t="s">
        <v>663</v>
      </c>
      <c r="E1871" t="s">
        <v>1307</v>
      </c>
      <c r="F1871" t="s">
        <v>4272</v>
      </c>
      <c r="G1871" t="s">
        <v>7651</v>
      </c>
      <c r="I1871" t="s">
        <v>11383</v>
      </c>
      <c r="J1871">
        <v>10459</v>
      </c>
      <c r="K1871" t="s">
        <v>11447</v>
      </c>
      <c r="L1871" t="s">
        <v>12067</v>
      </c>
      <c r="M1871" t="s">
        <v>14743</v>
      </c>
      <c r="P1871" t="s">
        <v>14797</v>
      </c>
      <c r="Q1871" t="s">
        <v>11448</v>
      </c>
      <c r="S1871" t="s">
        <v>14827</v>
      </c>
      <c r="V1871">
        <v>1650</v>
      </c>
      <c r="W1871" t="s">
        <v>14858</v>
      </c>
      <c r="Z1871" t="s">
        <v>16516</v>
      </c>
      <c r="AA1871" t="s">
        <v>19478</v>
      </c>
      <c r="AB1871" t="s">
        <v>21558</v>
      </c>
      <c r="AC1871">
        <v>0</v>
      </c>
      <c r="AD1871" t="s">
        <v>11479</v>
      </c>
      <c r="AE1871" t="s">
        <v>11459</v>
      </c>
      <c r="AF1871">
        <v>12</v>
      </c>
      <c r="AG1871">
        <v>1</v>
      </c>
      <c r="AH1871">
        <v>3</v>
      </c>
      <c r="AI1871">
        <v>41.94</v>
      </c>
      <c r="AL1871" t="s">
        <v>5011</v>
      </c>
      <c r="AM1871">
        <v>10800</v>
      </c>
      <c r="AS1871">
        <v>4.4</v>
      </c>
      <c r="AT1871" t="s">
        <v>472</v>
      </c>
      <c r="AU1871" t="s">
        <v>25231</v>
      </c>
      <c r="AV1871" t="s">
        <v>25334</v>
      </c>
      <c r="AW1871" t="s">
        <v>11447</v>
      </c>
    </row>
    <row r="1872" spans="1:49">
      <c r="A1872" s="1">
        <f>HYPERLINK("https://lsnyc.legalserver.org/matter/dynamic-profile/view/1910170","19-1910170")</f>
        <v>0</v>
      </c>
      <c r="B1872" t="s">
        <v>67</v>
      </c>
      <c r="C1872" t="s">
        <v>528</v>
      </c>
      <c r="E1872" t="s">
        <v>2088</v>
      </c>
      <c r="F1872" t="s">
        <v>4635</v>
      </c>
      <c r="G1872" t="s">
        <v>7595</v>
      </c>
      <c r="H1872" t="s">
        <v>10559</v>
      </c>
      <c r="I1872" t="s">
        <v>11383</v>
      </c>
      <c r="J1872">
        <v>10456</v>
      </c>
      <c r="K1872" t="s">
        <v>11446</v>
      </c>
      <c r="M1872" t="s">
        <v>14762</v>
      </c>
      <c r="N1872" t="s">
        <v>14783</v>
      </c>
      <c r="P1872" t="s">
        <v>14797</v>
      </c>
      <c r="Q1872" t="s">
        <v>11446</v>
      </c>
      <c r="S1872" t="s">
        <v>14827</v>
      </c>
      <c r="V1872">
        <v>1050</v>
      </c>
      <c r="W1872" t="s">
        <v>14858</v>
      </c>
      <c r="X1872" t="s">
        <v>14864</v>
      </c>
      <c r="Z1872" t="s">
        <v>16517</v>
      </c>
      <c r="AB1872" t="s">
        <v>21559</v>
      </c>
      <c r="AC1872">
        <v>30</v>
      </c>
      <c r="AD1872" t="s">
        <v>24595</v>
      </c>
      <c r="AE1872" t="s">
        <v>11459</v>
      </c>
      <c r="AF1872">
        <v>8</v>
      </c>
      <c r="AG1872">
        <v>1</v>
      </c>
      <c r="AH1872">
        <v>3</v>
      </c>
      <c r="AI1872">
        <v>41.94</v>
      </c>
      <c r="AL1872" t="s">
        <v>14755</v>
      </c>
      <c r="AM1872">
        <v>10800</v>
      </c>
      <c r="AS1872">
        <v>0</v>
      </c>
      <c r="AU1872" t="s">
        <v>25242</v>
      </c>
      <c r="AV1872" t="s">
        <v>25335</v>
      </c>
      <c r="AW1872" t="s">
        <v>11447</v>
      </c>
    </row>
    <row r="1873" spans="1:49">
      <c r="A1873" s="1">
        <f>HYPERLINK("https://lsnyc.legalserver.org/matter/dynamic-profile/view/1910167","19-1910167")</f>
        <v>0</v>
      </c>
      <c r="B1873" t="s">
        <v>67</v>
      </c>
      <c r="C1873" t="s">
        <v>528</v>
      </c>
      <c r="E1873" t="s">
        <v>2088</v>
      </c>
      <c r="F1873" t="s">
        <v>4635</v>
      </c>
      <c r="G1873" t="s">
        <v>7595</v>
      </c>
      <c r="H1873" t="s">
        <v>10559</v>
      </c>
      <c r="I1873" t="s">
        <v>11383</v>
      </c>
      <c r="J1873">
        <v>10456</v>
      </c>
      <c r="K1873" t="s">
        <v>11446</v>
      </c>
      <c r="L1873" t="s">
        <v>12028</v>
      </c>
      <c r="M1873" t="s">
        <v>14746</v>
      </c>
      <c r="N1873" t="s">
        <v>14781</v>
      </c>
      <c r="P1873" t="s">
        <v>14797</v>
      </c>
      <c r="Q1873" t="s">
        <v>11446</v>
      </c>
      <c r="S1873" t="s">
        <v>14827</v>
      </c>
      <c r="V1873">
        <v>1050</v>
      </c>
      <c r="W1873" t="s">
        <v>14858</v>
      </c>
      <c r="X1873" t="s">
        <v>14864</v>
      </c>
      <c r="Z1873" t="s">
        <v>16517</v>
      </c>
      <c r="AB1873" t="s">
        <v>21559</v>
      </c>
      <c r="AC1873">
        <v>30</v>
      </c>
      <c r="AD1873" t="s">
        <v>24595</v>
      </c>
      <c r="AE1873" t="s">
        <v>11459</v>
      </c>
      <c r="AF1873">
        <v>8</v>
      </c>
      <c r="AG1873">
        <v>1</v>
      </c>
      <c r="AH1873">
        <v>3</v>
      </c>
      <c r="AI1873">
        <v>41.94</v>
      </c>
      <c r="AL1873" t="s">
        <v>14755</v>
      </c>
      <c r="AM1873">
        <v>10800</v>
      </c>
      <c r="AS1873">
        <v>0</v>
      </c>
      <c r="AU1873" t="s">
        <v>25242</v>
      </c>
      <c r="AV1873" t="s">
        <v>25335</v>
      </c>
      <c r="AW1873" t="s">
        <v>11447</v>
      </c>
    </row>
    <row r="1874" spans="1:49">
      <c r="A1874" s="1">
        <f>HYPERLINK("https://lsnyc.legalserver.org/matter/dynamic-profile/view/1914685","19-1914685")</f>
        <v>0</v>
      </c>
      <c r="B1874" t="s">
        <v>126</v>
      </c>
      <c r="C1874" t="s">
        <v>533</v>
      </c>
      <c r="E1874" t="s">
        <v>1350</v>
      </c>
      <c r="F1874" t="s">
        <v>3547</v>
      </c>
      <c r="G1874" t="s">
        <v>7652</v>
      </c>
      <c r="H1874" t="s">
        <v>10484</v>
      </c>
      <c r="I1874" t="s">
        <v>11383</v>
      </c>
      <c r="J1874">
        <v>10471</v>
      </c>
      <c r="K1874" t="s">
        <v>11446</v>
      </c>
      <c r="N1874" t="s">
        <v>14778</v>
      </c>
      <c r="P1874" t="s">
        <v>14797</v>
      </c>
      <c r="Q1874" t="s">
        <v>11448</v>
      </c>
      <c r="S1874" t="s">
        <v>14827</v>
      </c>
      <c r="V1874">
        <v>987</v>
      </c>
      <c r="W1874" t="s">
        <v>14858</v>
      </c>
      <c r="X1874" t="s">
        <v>14864</v>
      </c>
      <c r="Z1874" t="s">
        <v>16212</v>
      </c>
      <c r="AA1874" t="s">
        <v>19479</v>
      </c>
      <c r="AB1874" t="s">
        <v>21541</v>
      </c>
      <c r="AC1874">
        <v>0</v>
      </c>
      <c r="AE1874" t="s">
        <v>24610</v>
      </c>
      <c r="AF1874">
        <v>4</v>
      </c>
      <c r="AG1874">
        <v>1</v>
      </c>
      <c r="AH1874">
        <v>1</v>
      </c>
      <c r="AI1874">
        <v>42.58</v>
      </c>
      <c r="AL1874" t="s">
        <v>5011</v>
      </c>
      <c r="AM1874">
        <v>7200</v>
      </c>
      <c r="AS1874">
        <v>0</v>
      </c>
      <c r="AU1874" t="s">
        <v>237</v>
      </c>
      <c r="AV1874" t="s">
        <v>25335</v>
      </c>
      <c r="AW1874" t="s">
        <v>11447</v>
      </c>
    </row>
    <row r="1875" spans="1:49">
      <c r="A1875" s="1">
        <f>HYPERLINK("https://lsnyc.legalserver.org/matter/dynamic-profile/view/1911754","19-1911754")</f>
        <v>0</v>
      </c>
      <c r="B1875" t="s">
        <v>76</v>
      </c>
      <c r="C1875" t="s">
        <v>645</v>
      </c>
      <c r="E1875" t="s">
        <v>1035</v>
      </c>
      <c r="F1875" t="s">
        <v>4636</v>
      </c>
      <c r="G1875" t="s">
        <v>7653</v>
      </c>
      <c r="H1875">
        <v>3</v>
      </c>
      <c r="I1875" t="s">
        <v>11385</v>
      </c>
      <c r="J1875">
        <v>11233</v>
      </c>
      <c r="K1875" t="s">
        <v>11448</v>
      </c>
      <c r="L1875" t="s">
        <v>12068</v>
      </c>
      <c r="M1875" t="s">
        <v>14746</v>
      </c>
      <c r="P1875" t="s">
        <v>14797</v>
      </c>
      <c r="Q1875" t="s">
        <v>11448</v>
      </c>
      <c r="S1875" t="s">
        <v>14827</v>
      </c>
      <c r="V1875">
        <v>1700</v>
      </c>
      <c r="W1875" t="s">
        <v>14859</v>
      </c>
      <c r="X1875" t="s">
        <v>14863</v>
      </c>
      <c r="Z1875" t="s">
        <v>16518</v>
      </c>
      <c r="AA1875" t="s">
        <v>19435</v>
      </c>
      <c r="AB1875" t="s">
        <v>21560</v>
      </c>
      <c r="AC1875">
        <v>0</v>
      </c>
      <c r="AD1875" t="s">
        <v>24600</v>
      </c>
      <c r="AE1875" t="s">
        <v>24611</v>
      </c>
      <c r="AF1875">
        <v>1</v>
      </c>
      <c r="AG1875">
        <v>3</v>
      </c>
      <c r="AH1875">
        <v>0</v>
      </c>
      <c r="AI1875">
        <v>43.32</v>
      </c>
      <c r="AL1875" t="s">
        <v>5011</v>
      </c>
      <c r="AM1875">
        <v>9240</v>
      </c>
      <c r="AS1875">
        <v>2.7</v>
      </c>
      <c r="AT1875" t="s">
        <v>509</v>
      </c>
      <c r="AU1875" t="s">
        <v>66</v>
      </c>
      <c r="AV1875" t="s">
        <v>11459</v>
      </c>
      <c r="AW1875" t="s">
        <v>11447</v>
      </c>
    </row>
    <row r="1876" spans="1:49">
      <c r="A1876" s="1">
        <f>HYPERLINK("https://lsnyc.legalserver.org/matter/dynamic-profile/view/1904754","19-1904754")</f>
        <v>0</v>
      </c>
      <c r="B1876" t="s">
        <v>100</v>
      </c>
      <c r="C1876" t="s">
        <v>365</v>
      </c>
      <c r="E1876" t="s">
        <v>1320</v>
      </c>
      <c r="F1876" t="s">
        <v>3675</v>
      </c>
      <c r="G1876" t="s">
        <v>7654</v>
      </c>
      <c r="H1876" t="s">
        <v>10552</v>
      </c>
      <c r="I1876" t="s">
        <v>11383</v>
      </c>
      <c r="J1876">
        <v>10456</v>
      </c>
      <c r="K1876" t="s">
        <v>11446</v>
      </c>
      <c r="M1876" t="s">
        <v>14762</v>
      </c>
      <c r="N1876" t="s">
        <v>14783</v>
      </c>
      <c r="P1876" t="s">
        <v>14797</v>
      </c>
      <c r="Q1876" t="s">
        <v>11446</v>
      </c>
      <c r="S1876" t="s">
        <v>14827</v>
      </c>
      <c r="V1876">
        <v>380.89</v>
      </c>
      <c r="W1876" t="s">
        <v>14858</v>
      </c>
      <c r="X1876" t="s">
        <v>14871</v>
      </c>
      <c r="Z1876" t="s">
        <v>16519</v>
      </c>
      <c r="AB1876" t="s">
        <v>21561</v>
      </c>
      <c r="AC1876">
        <v>17</v>
      </c>
      <c r="AD1876" t="s">
        <v>24599</v>
      </c>
      <c r="AE1876" t="s">
        <v>24613</v>
      </c>
      <c r="AF1876">
        <v>50</v>
      </c>
      <c r="AG1876">
        <v>3</v>
      </c>
      <c r="AH1876">
        <v>0</v>
      </c>
      <c r="AI1876">
        <v>43.38</v>
      </c>
      <c r="AL1876" t="s">
        <v>24632</v>
      </c>
      <c r="AM1876">
        <v>9252</v>
      </c>
      <c r="AS1876">
        <v>0.5</v>
      </c>
      <c r="AT1876" t="s">
        <v>365</v>
      </c>
      <c r="AU1876" t="s">
        <v>230</v>
      </c>
      <c r="AV1876" t="s">
        <v>25335</v>
      </c>
      <c r="AW1876" t="s">
        <v>11447</v>
      </c>
    </row>
    <row r="1877" spans="1:49">
      <c r="A1877" s="1">
        <f>HYPERLINK("https://lsnyc.legalserver.org/matter/dynamic-profile/view/1913401","19-1913401")</f>
        <v>0</v>
      </c>
      <c r="B1877" t="s">
        <v>165</v>
      </c>
      <c r="C1877" t="s">
        <v>686</v>
      </c>
      <c r="E1877" t="s">
        <v>2089</v>
      </c>
      <c r="F1877" t="s">
        <v>2002</v>
      </c>
      <c r="G1877" t="s">
        <v>7655</v>
      </c>
      <c r="H1877" t="s">
        <v>10882</v>
      </c>
      <c r="I1877" t="s">
        <v>11384</v>
      </c>
      <c r="J1877">
        <v>10301</v>
      </c>
      <c r="K1877" t="s">
        <v>11447</v>
      </c>
      <c r="L1877" t="s">
        <v>11456</v>
      </c>
      <c r="M1877" t="s">
        <v>11601</v>
      </c>
      <c r="P1877" t="s">
        <v>14797</v>
      </c>
      <c r="Q1877" t="s">
        <v>11448</v>
      </c>
      <c r="S1877" t="s">
        <v>14827</v>
      </c>
      <c r="V1877">
        <v>1350</v>
      </c>
      <c r="W1877" t="s">
        <v>14862</v>
      </c>
      <c r="X1877" t="s">
        <v>14868</v>
      </c>
      <c r="Z1877" t="s">
        <v>16520</v>
      </c>
      <c r="AB1877" t="s">
        <v>21562</v>
      </c>
      <c r="AC1877">
        <v>4</v>
      </c>
      <c r="AD1877" t="s">
        <v>24600</v>
      </c>
      <c r="AE1877" t="s">
        <v>24616</v>
      </c>
      <c r="AF1877">
        <v>5</v>
      </c>
      <c r="AG1877">
        <v>1</v>
      </c>
      <c r="AH1877">
        <v>4</v>
      </c>
      <c r="AI1877">
        <v>44.27</v>
      </c>
      <c r="AL1877" t="s">
        <v>24632</v>
      </c>
      <c r="AM1877">
        <v>13356</v>
      </c>
      <c r="AS1877">
        <v>1.2</v>
      </c>
      <c r="AT1877" t="s">
        <v>516</v>
      </c>
      <c r="AU1877" t="s">
        <v>25270</v>
      </c>
      <c r="AW1877" t="s">
        <v>11447</v>
      </c>
    </row>
    <row r="1878" spans="1:49">
      <c r="A1878" s="1">
        <f>HYPERLINK("https://lsnyc.legalserver.org/matter/dynamic-profile/view/1914812","19-1914812")</f>
        <v>0</v>
      </c>
      <c r="B1878" t="s">
        <v>71</v>
      </c>
      <c r="C1878" t="s">
        <v>592</v>
      </c>
      <c r="E1878" t="s">
        <v>1206</v>
      </c>
      <c r="F1878" t="s">
        <v>4637</v>
      </c>
      <c r="G1878" t="s">
        <v>7656</v>
      </c>
      <c r="H1878" t="s">
        <v>10589</v>
      </c>
      <c r="I1878" t="s">
        <v>11383</v>
      </c>
      <c r="J1878">
        <v>10468</v>
      </c>
      <c r="K1878" t="s">
        <v>11447</v>
      </c>
      <c r="M1878" t="s">
        <v>14748</v>
      </c>
      <c r="N1878" t="s">
        <v>14779</v>
      </c>
      <c r="P1878" t="s">
        <v>14797</v>
      </c>
      <c r="S1878" t="s">
        <v>14829</v>
      </c>
      <c r="V1878">
        <v>0</v>
      </c>
      <c r="W1878" t="s">
        <v>14858</v>
      </c>
      <c r="Z1878" t="s">
        <v>16521</v>
      </c>
      <c r="AB1878" t="s">
        <v>21563</v>
      </c>
      <c r="AC1878">
        <v>0</v>
      </c>
      <c r="AF1878">
        <v>0</v>
      </c>
      <c r="AG1878">
        <v>2</v>
      </c>
      <c r="AH1878">
        <v>1</v>
      </c>
      <c r="AI1878">
        <v>44.39</v>
      </c>
      <c r="AL1878" t="s">
        <v>5011</v>
      </c>
      <c r="AM1878">
        <v>9468</v>
      </c>
      <c r="AS1878">
        <v>1.75</v>
      </c>
      <c r="AT1878" t="s">
        <v>521</v>
      </c>
      <c r="AU1878" t="s">
        <v>71</v>
      </c>
      <c r="AW1878" t="s">
        <v>11447</v>
      </c>
    </row>
    <row r="1879" spans="1:49">
      <c r="A1879" s="1">
        <f>HYPERLINK("https://lsnyc.legalserver.org/matter/dynamic-profile/view/1915151","19-1915151")</f>
        <v>0</v>
      </c>
      <c r="B1879" t="s">
        <v>230</v>
      </c>
      <c r="C1879" t="s">
        <v>516</v>
      </c>
      <c r="E1879" t="s">
        <v>2090</v>
      </c>
      <c r="F1879" t="s">
        <v>1346</v>
      </c>
      <c r="G1879" t="s">
        <v>7254</v>
      </c>
      <c r="H1879" t="s">
        <v>10883</v>
      </c>
      <c r="I1879" t="s">
        <v>11383</v>
      </c>
      <c r="J1879">
        <v>10452</v>
      </c>
      <c r="K1879" t="s">
        <v>11446</v>
      </c>
      <c r="M1879" t="s">
        <v>11601</v>
      </c>
      <c r="N1879" t="s">
        <v>14778</v>
      </c>
      <c r="P1879" t="s">
        <v>14797</v>
      </c>
      <c r="Q1879" t="s">
        <v>11448</v>
      </c>
      <c r="S1879" t="s">
        <v>14827</v>
      </c>
      <c r="V1879">
        <v>410</v>
      </c>
      <c r="W1879" t="s">
        <v>14858</v>
      </c>
      <c r="X1879" t="s">
        <v>14864</v>
      </c>
      <c r="Z1879" t="s">
        <v>14958</v>
      </c>
      <c r="AB1879" t="s">
        <v>21564</v>
      </c>
      <c r="AC1879">
        <v>0</v>
      </c>
      <c r="AD1879" t="s">
        <v>24604</v>
      </c>
      <c r="AE1879" t="s">
        <v>24610</v>
      </c>
      <c r="AF1879">
        <v>19</v>
      </c>
      <c r="AG1879">
        <v>2</v>
      </c>
      <c r="AH1879">
        <v>0</v>
      </c>
      <c r="AI1879">
        <v>44.49</v>
      </c>
      <c r="AL1879" t="s">
        <v>24632</v>
      </c>
      <c r="AM1879">
        <v>7524</v>
      </c>
      <c r="AS1879">
        <v>0.5</v>
      </c>
      <c r="AT1879" t="s">
        <v>521</v>
      </c>
      <c r="AU1879" t="s">
        <v>230</v>
      </c>
      <c r="AV1879" t="s">
        <v>25335</v>
      </c>
      <c r="AW1879" t="s">
        <v>11447</v>
      </c>
    </row>
    <row r="1880" spans="1:49">
      <c r="A1880" s="1">
        <f>HYPERLINK("https://lsnyc.legalserver.org/matter/dynamic-profile/view/1914621","19-1914621")</f>
        <v>0</v>
      </c>
      <c r="B1880" t="s">
        <v>78</v>
      </c>
      <c r="C1880" t="s">
        <v>491</v>
      </c>
      <c r="E1880" t="s">
        <v>2091</v>
      </c>
      <c r="F1880" t="s">
        <v>3682</v>
      </c>
      <c r="G1880" t="s">
        <v>7657</v>
      </c>
      <c r="H1880" t="s">
        <v>10884</v>
      </c>
      <c r="I1880" t="s">
        <v>11383</v>
      </c>
      <c r="J1880">
        <v>10459</v>
      </c>
      <c r="K1880" t="s">
        <v>11446</v>
      </c>
      <c r="M1880" t="s">
        <v>11601</v>
      </c>
      <c r="N1880" t="s">
        <v>14778</v>
      </c>
      <c r="P1880" t="s">
        <v>14797</v>
      </c>
      <c r="Q1880" t="s">
        <v>11448</v>
      </c>
      <c r="S1880" t="s">
        <v>14827</v>
      </c>
      <c r="V1880">
        <v>1798.8</v>
      </c>
      <c r="W1880" t="s">
        <v>14858</v>
      </c>
      <c r="Z1880" t="s">
        <v>16522</v>
      </c>
      <c r="AA1880" t="s">
        <v>19480</v>
      </c>
      <c r="AB1880" t="s">
        <v>21565</v>
      </c>
      <c r="AC1880">
        <v>0</v>
      </c>
      <c r="AD1880" t="s">
        <v>24595</v>
      </c>
      <c r="AE1880" t="s">
        <v>24615</v>
      </c>
      <c r="AF1880">
        <v>3</v>
      </c>
      <c r="AG1880">
        <v>1</v>
      </c>
      <c r="AH1880">
        <v>2</v>
      </c>
      <c r="AI1880">
        <v>44.56</v>
      </c>
      <c r="AL1880" t="s">
        <v>5011</v>
      </c>
      <c r="AM1880">
        <v>9504</v>
      </c>
      <c r="AS1880">
        <v>1.8</v>
      </c>
      <c r="AT1880" t="s">
        <v>521</v>
      </c>
      <c r="AU1880" t="s">
        <v>25229</v>
      </c>
      <c r="AV1880" t="s">
        <v>25335</v>
      </c>
      <c r="AW1880" t="s">
        <v>11447</v>
      </c>
    </row>
    <row r="1881" spans="1:49">
      <c r="A1881" s="1">
        <f>HYPERLINK("https://lsnyc.legalserver.org/matter/dynamic-profile/view/1914409","19-1914409")</f>
        <v>0</v>
      </c>
      <c r="B1881" t="s">
        <v>197</v>
      </c>
      <c r="C1881" t="s">
        <v>506</v>
      </c>
      <c r="E1881" t="s">
        <v>1330</v>
      </c>
      <c r="F1881" t="s">
        <v>4638</v>
      </c>
      <c r="G1881" t="s">
        <v>7658</v>
      </c>
      <c r="H1881" t="s">
        <v>10555</v>
      </c>
      <c r="I1881" t="s">
        <v>11383</v>
      </c>
      <c r="J1881">
        <v>10457</v>
      </c>
      <c r="K1881" t="s">
        <v>11446</v>
      </c>
      <c r="N1881" t="s">
        <v>14778</v>
      </c>
      <c r="P1881" t="s">
        <v>14797</v>
      </c>
      <c r="S1881" t="s">
        <v>14827</v>
      </c>
      <c r="V1881">
        <v>0</v>
      </c>
      <c r="W1881" t="s">
        <v>14858</v>
      </c>
      <c r="Z1881" t="s">
        <v>16523</v>
      </c>
      <c r="AA1881" t="s">
        <v>19481</v>
      </c>
      <c r="AB1881" t="s">
        <v>21566</v>
      </c>
      <c r="AC1881">
        <v>0</v>
      </c>
      <c r="AF1881">
        <v>0</v>
      </c>
      <c r="AG1881">
        <v>2</v>
      </c>
      <c r="AH1881">
        <v>3</v>
      </c>
      <c r="AI1881">
        <v>44.59</v>
      </c>
      <c r="AL1881" t="s">
        <v>5011</v>
      </c>
      <c r="AM1881">
        <v>13452</v>
      </c>
      <c r="AS1881">
        <v>0.75</v>
      </c>
      <c r="AT1881" t="s">
        <v>506</v>
      </c>
      <c r="AU1881" t="s">
        <v>197</v>
      </c>
      <c r="AV1881" t="s">
        <v>25335</v>
      </c>
      <c r="AW1881" t="s">
        <v>11447</v>
      </c>
    </row>
    <row r="1882" spans="1:49">
      <c r="A1882" s="1">
        <f>HYPERLINK("https://lsnyc.legalserver.org/matter/dynamic-profile/view/1913913","19-1913913")</f>
        <v>0</v>
      </c>
      <c r="B1882" t="s">
        <v>126</v>
      </c>
      <c r="C1882" t="s">
        <v>533</v>
      </c>
      <c r="E1882" t="s">
        <v>1297</v>
      </c>
      <c r="F1882" t="s">
        <v>4639</v>
      </c>
      <c r="G1882" t="s">
        <v>7659</v>
      </c>
      <c r="H1882" t="s">
        <v>10575</v>
      </c>
      <c r="I1882" t="s">
        <v>11383</v>
      </c>
      <c r="J1882">
        <v>10451</v>
      </c>
      <c r="K1882" t="s">
        <v>11447</v>
      </c>
      <c r="N1882" t="s">
        <v>14778</v>
      </c>
      <c r="P1882" t="s">
        <v>14797</v>
      </c>
      <c r="S1882" t="s">
        <v>14827</v>
      </c>
      <c r="V1882">
        <v>0</v>
      </c>
      <c r="W1882" t="s">
        <v>14858</v>
      </c>
      <c r="Z1882" t="s">
        <v>16524</v>
      </c>
      <c r="AB1882" t="s">
        <v>21567</v>
      </c>
      <c r="AC1882">
        <v>0</v>
      </c>
      <c r="AF1882">
        <v>0</v>
      </c>
      <c r="AG1882">
        <v>2</v>
      </c>
      <c r="AH1882">
        <v>1</v>
      </c>
      <c r="AI1882">
        <v>45.01</v>
      </c>
      <c r="AL1882" t="s">
        <v>5011</v>
      </c>
      <c r="AM1882">
        <v>9600</v>
      </c>
      <c r="AS1882">
        <v>0</v>
      </c>
      <c r="AU1882" t="s">
        <v>126</v>
      </c>
      <c r="AW1882" t="s">
        <v>11447</v>
      </c>
    </row>
    <row r="1883" spans="1:49">
      <c r="A1883" s="1">
        <f>HYPERLINK("https://lsnyc.legalserver.org/matter/dynamic-profile/view/1911119","19-1911119")</f>
        <v>0</v>
      </c>
      <c r="B1883" t="s">
        <v>239</v>
      </c>
      <c r="C1883" t="s">
        <v>475</v>
      </c>
      <c r="E1883" t="s">
        <v>2092</v>
      </c>
      <c r="F1883" t="s">
        <v>4640</v>
      </c>
      <c r="G1883" t="s">
        <v>7660</v>
      </c>
      <c r="H1883" t="s">
        <v>10885</v>
      </c>
      <c r="I1883" t="s">
        <v>11383</v>
      </c>
      <c r="J1883">
        <v>10455</v>
      </c>
      <c r="K1883" t="s">
        <v>11447</v>
      </c>
      <c r="P1883" t="s">
        <v>14797</v>
      </c>
      <c r="S1883" t="s">
        <v>14829</v>
      </c>
      <c r="V1883">
        <v>0</v>
      </c>
      <c r="W1883" t="s">
        <v>14858</v>
      </c>
      <c r="Z1883" t="s">
        <v>16525</v>
      </c>
      <c r="AB1883" t="s">
        <v>21568</v>
      </c>
      <c r="AC1883">
        <v>0</v>
      </c>
      <c r="AF1883">
        <v>0</v>
      </c>
      <c r="AG1883">
        <v>2</v>
      </c>
      <c r="AH1883">
        <v>4</v>
      </c>
      <c r="AI1883">
        <v>45.7</v>
      </c>
      <c r="AL1883" t="s">
        <v>5011</v>
      </c>
      <c r="AM1883">
        <v>15808</v>
      </c>
      <c r="AS1883">
        <v>4</v>
      </c>
      <c r="AT1883" t="s">
        <v>645</v>
      </c>
      <c r="AU1883" t="s">
        <v>25287</v>
      </c>
      <c r="AW1883" t="s">
        <v>11447</v>
      </c>
    </row>
    <row r="1884" spans="1:49">
      <c r="A1884" s="1">
        <f>HYPERLINK("https://lsnyc.legalserver.org/matter/dynamic-profile/view/1915112","19-1915112")</f>
        <v>0</v>
      </c>
      <c r="B1884" t="s">
        <v>97</v>
      </c>
      <c r="C1884" t="s">
        <v>516</v>
      </c>
      <c r="E1884" t="s">
        <v>1025</v>
      </c>
      <c r="F1884" t="s">
        <v>4519</v>
      </c>
      <c r="G1884" t="s">
        <v>7661</v>
      </c>
      <c r="H1884" t="s">
        <v>10670</v>
      </c>
      <c r="I1884" t="s">
        <v>11383</v>
      </c>
      <c r="J1884">
        <v>10457</v>
      </c>
      <c r="K1884" t="s">
        <v>11448</v>
      </c>
      <c r="M1884" t="s">
        <v>14745</v>
      </c>
      <c r="N1884" t="s">
        <v>14780</v>
      </c>
      <c r="P1884" t="s">
        <v>14797</v>
      </c>
      <c r="Q1884" t="s">
        <v>11446</v>
      </c>
      <c r="S1884" t="s">
        <v>14827</v>
      </c>
      <c r="V1884">
        <v>1255.98</v>
      </c>
      <c r="W1884" t="s">
        <v>14858</v>
      </c>
      <c r="Z1884" t="s">
        <v>15251</v>
      </c>
      <c r="AB1884" t="s">
        <v>21569</v>
      </c>
      <c r="AC1884">
        <v>0</v>
      </c>
      <c r="AD1884" t="s">
        <v>24595</v>
      </c>
      <c r="AE1884" t="s">
        <v>11459</v>
      </c>
      <c r="AF1884">
        <v>17</v>
      </c>
      <c r="AG1884">
        <v>2</v>
      </c>
      <c r="AH1884">
        <v>1</v>
      </c>
      <c r="AI1884">
        <v>45.79</v>
      </c>
      <c r="AL1884" t="s">
        <v>24632</v>
      </c>
      <c r="AM1884">
        <v>9768</v>
      </c>
      <c r="AS1884">
        <v>3.1</v>
      </c>
      <c r="AT1884" t="s">
        <v>495</v>
      </c>
      <c r="AU1884" t="s">
        <v>25268</v>
      </c>
      <c r="AV1884" t="s">
        <v>25335</v>
      </c>
      <c r="AW1884" t="s">
        <v>11447</v>
      </c>
    </row>
    <row r="1885" spans="1:49">
      <c r="A1885" s="1">
        <f>HYPERLINK("https://lsnyc.legalserver.org/matter/dynamic-profile/view/1914587","19-1914587")</f>
        <v>0</v>
      </c>
      <c r="B1885" t="s">
        <v>126</v>
      </c>
      <c r="C1885" t="s">
        <v>533</v>
      </c>
      <c r="E1885" t="s">
        <v>2093</v>
      </c>
      <c r="F1885" t="s">
        <v>3547</v>
      </c>
      <c r="G1885" t="s">
        <v>7021</v>
      </c>
      <c r="H1885" t="s">
        <v>10474</v>
      </c>
      <c r="I1885" t="s">
        <v>11383</v>
      </c>
      <c r="J1885">
        <v>10452</v>
      </c>
      <c r="K1885" t="s">
        <v>11446</v>
      </c>
      <c r="N1885" t="s">
        <v>14778</v>
      </c>
      <c r="P1885" t="s">
        <v>14797</v>
      </c>
      <c r="Q1885" t="s">
        <v>11446</v>
      </c>
      <c r="S1885" t="s">
        <v>14827</v>
      </c>
      <c r="V1885">
        <v>980</v>
      </c>
      <c r="W1885" t="s">
        <v>14858</v>
      </c>
      <c r="X1885" t="s">
        <v>14864</v>
      </c>
      <c r="Z1885" t="s">
        <v>16526</v>
      </c>
      <c r="AC1885">
        <v>63</v>
      </c>
      <c r="AD1885" t="s">
        <v>24595</v>
      </c>
      <c r="AE1885" t="s">
        <v>14755</v>
      </c>
      <c r="AF1885">
        <v>16</v>
      </c>
      <c r="AG1885">
        <v>2</v>
      </c>
      <c r="AH1885">
        <v>1</v>
      </c>
      <c r="AI1885">
        <v>46.81</v>
      </c>
      <c r="AL1885" t="s">
        <v>24632</v>
      </c>
      <c r="AM1885">
        <v>9984</v>
      </c>
      <c r="AS1885">
        <v>0</v>
      </c>
      <c r="AU1885" t="s">
        <v>237</v>
      </c>
      <c r="AV1885" t="s">
        <v>25335</v>
      </c>
      <c r="AW1885" t="s">
        <v>11447</v>
      </c>
    </row>
    <row r="1886" spans="1:49">
      <c r="A1886" s="1">
        <f>HYPERLINK("https://lsnyc.legalserver.org/matter/dynamic-profile/view/1914836","19-1914836")</f>
        <v>0</v>
      </c>
      <c r="B1886" t="s">
        <v>126</v>
      </c>
      <c r="C1886" t="s">
        <v>537</v>
      </c>
      <c r="E1886" t="s">
        <v>2093</v>
      </c>
      <c r="F1886" t="s">
        <v>3547</v>
      </c>
      <c r="G1886" t="s">
        <v>7021</v>
      </c>
      <c r="H1886" t="s">
        <v>10474</v>
      </c>
      <c r="I1886" t="s">
        <v>11383</v>
      </c>
      <c r="J1886">
        <v>10452</v>
      </c>
      <c r="K1886" t="s">
        <v>11448</v>
      </c>
      <c r="N1886" t="s">
        <v>14782</v>
      </c>
      <c r="P1886" t="s">
        <v>14797</v>
      </c>
      <c r="Q1886" t="s">
        <v>11446</v>
      </c>
      <c r="S1886" t="s">
        <v>14827</v>
      </c>
      <c r="V1886">
        <v>980</v>
      </c>
      <c r="W1886" t="s">
        <v>14858</v>
      </c>
      <c r="X1886" t="s">
        <v>14864</v>
      </c>
      <c r="Z1886" t="s">
        <v>16526</v>
      </c>
      <c r="AC1886">
        <v>63</v>
      </c>
      <c r="AD1886" t="s">
        <v>24595</v>
      </c>
      <c r="AE1886" t="s">
        <v>14755</v>
      </c>
      <c r="AF1886">
        <v>16</v>
      </c>
      <c r="AG1886">
        <v>2</v>
      </c>
      <c r="AH1886">
        <v>1</v>
      </c>
      <c r="AI1886">
        <v>46.81</v>
      </c>
      <c r="AL1886" t="s">
        <v>24632</v>
      </c>
      <c r="AM1886">
        <v>9984</v>
      </c>
      <c r="AS1886">
        <v>0</v>
      </c>
      <c r="AU1886" t="s">
        <v>245</v>
      </c>
      <c r="AW1886" t="s">
        <v>11447</v>
      </c>
    </row>
    <row r="1887" spans="1:49">
      <c r="A1887" s="1">
        <f>HYPERLINK("https://lsnyc.legalserver.org/matter/dynamic-profile/view/1876048","18-1876048")</f>
        <v>0</v>
      </c>
      <c r="B1887" t="s">
        <v>240</v>
      </c>
      <c r="C1887" t="s">
        <v>670</v>
      </c>
      <c r="E1887" t="s">
        <v>2094</v>
      </c>
      <c r="F1887" t="s">
        <v>3975</v>
      </c>
      <c r="G1887" t="s">
        <v>7662</v>
      </c>
      <c r="I1887" t="s">
        <v>11385</v>
      </c>
      <c r="J1887">
        <v>11224</v>
      </c>
      <c r="K1887" t="s">
        <v>11447</v>
      </c>
      <c r="L1887" t="s">
        <v>12069</v>
      </c>
      <c r="M1887" t="s">
        <v>14743</v>
      </c>
      <c r="N1887" t="s">
        <v>14781</v>
      </c>
      <c r="P1887" t="s">
        <v>14797</v>
      </c>
      <c r="S1887" t="s">
        <v>14827</v>
      </c>
      <c r="V1887">
        <v>2135</v>
      </c>
      <c r="W1887" t="s">
        <v>14859</v>
      </c>
      <c r="X1887" t="s">
        <v>14865</v>
      </c>
      <c r="Z1887" t="s">
        <v>16527</v>
      </c>
      <c r="AC1887">
        <v>0</v>
      </c>
      <c r="AE1887" t="s">
        <v>24610</v>
      </c>
      <c r="AF1887">
        <v>30</v>
      </c>
      <c r="AG1887">
        <v>3</v>
      </c>
      <c r="AH1887">
        <v>0</v>
      </c>
      <c r="AI1887">
        <v>46.87</v>
      </c>
      <c r="AL1887" t="s">
        <v>5011</v>
      </c>
      <c r="AM1887">
        <v>9740.4</v>
      </c>
      <c r="AS1887">
        <v>56.45</v>
      </c>
      <c r="AT1887" t="s">
        <v>601</v>
      </c>
      <c r="AU1887" t="s">
        <v>25285</v>
      </c>
      <c r="AW1887" t="s">
        <v>11447</v>
      </c>
    </row>
    <row r="1888" spans="1:49">
      <c r="A1888" s="1">
        <f>HYPERLINK("https://lsnyc.legalserver.org/matter/dynamic-profile/view/1912381","19-1912381")</f>
        <v>0</v>
      </c>
      <c r="B1888" t="s">
        <v>107</v>
      </c>
      <c r="C1888" t="s">
        <v>473</v>
      </c>
      <c r="E1888" t="s">
        <v>2095</v>
      </c>
      <c r="F1888" t="s">
        <v>4360</v>
      </c>
      <c r="G1888" t="s">
        <v>7152</v>
      </c>
      <c r="H1888" t="s">
        <v>10886</v>
      </c>
      <c r="I1888" t="s">
        <v>11385</v>
      </c>
      <c r="J1888">
        <v>11233</v>
      </c>
      <c r="K1888" t="s">
        <v>11447</v>
      </c>
      <c r="L1888" t="s">
        <v>11456</v>
      </c>
      <c r="M1888" t="s">
        <v>11601</v>
      </c>
      <c r="P1888" t="s">
        <v>14797</v>
      </c>
      <c r="Q1888" t="s">
        <v>11446</v>
      </c>
      <c r="S1888" t="s">
        <v>14827</v>
      </c>
      <c r="V1888">
        <v>1375</v>
      </c>
      <c r="W1888" t="s">
        <v>14859</v>
      </c>
      <c r="X1888" t="s">
        <v>14868</v>
      </c>
      <c r="Z1888" t="s">
        <v>16528</v>
      </c>
      <c r="AC1888">
        <v>359</v>
      </c>
      <c r="AD1888" t="s">
        <v>24595</v>
      </c>
      <c r="AE1888" t="s">
        <v>11459</v>
      </c>
      <c r="AF1888">
        <v>10</v>
      </c>
      <c r="AG1888">
        <v>2</v>
      </c>
      <c r="AH1888">
        <v>0</v>
      </c>
      <c r="AI1888">
        <v>47.31</v>
      </c>
      <c r="AL1888" t="s">
        <v>5011</v>
      </c>
      <c r="AM1888">
        <v>8000</v>
      </c>
      <c r="AS1888">
        <v>0</v>
      </c>
      <c r="AU1888" t="s">
        <v>120</v>
      </c>
      <c r="AW1888" t="s">
        <v>11447</v>
      </c>
    </row>
    <row r="1889" spans="1:49">
      <c r="A1889" s="1">
        <f>HYPERLINK("https://lsnyc.legalserver.org/matter/dynamic-profile/view/1911630","19-1911630")</f>
        <v>0</v>
      </c>
      <c r="B1889" t="s">
        <v>103</v>
      </c>
      <c r="C1889" t="s">
        <v>526</v>
      </c>
      <c r="E1889" t="s">
        <v>2096</v>
      </c>
      <c r="F1889" t="s">
        <v>4252</v>
      </c>
      <c r="G1889" t="s">
        <v>7663</v>
      </c>
      <c r="I1889" t="s">
        <v>11385</v>
      </c>
      <c r="J1889">
        <v>11207</v>
      </c>
      <c r="K1889" t="s">
        <v>11446</v>
      </c>
      <c r="L1889" t="s">
        <v>12070</v>
      </c>
      <c r="M1889" t="s">
        <v>14744</v>
      </c>
      <c r="N1889" t="s">
        <v>14782</v>
      </c>
      <c r="P1889" t="s">
        <v>14797</v>
      </c>
      <c r="Q1889" t="s">
        <v>11448</v>
      </c>
      <c r="S1889" t="s">
        <v>14827</v>
      </c>
      <c r="T1889" t="s">
        <v>14832</v>
      </c>
      <c r="V1889">
        <v>1441</v>
      </c>
      <c r="W1889" t="s">
        <v>14859</v>
      </c>
      <c r="X1889" t="s">
        <v>14867</v>
      </c>
      <c r="Z1889" t="s">
        <v>16529</v>
      </c>
      <c r="AA1889" t="s">
        <v>19418</v>
      </c>
      <c r="AB1889" t="s">
        <v>21570</v>
      </c>
      <c r="AC1889">
        <v>-2</v>
      </c>
      <c r="AD1889" t="s">
        <v>24605</v>
      </c>
      <c r="AE1889" t="s">
        <v>24614</v>
      </c>
      <c r="AF1889">
        <v>0</v>
      </c>
      <c r="AG1889">
        <v>6</v>
      </c>
      <c r="AH1889">
        <v>2</v>
      </c>
      <c r="AI1889">
        <v>47.89</v>
      </c>
      <c r="AL1889" t="s">
        <v>24632</v>
      </c>
      <c r="AM1889">
        <v>20800</v>
      </c>
      <c r="AS1889">
        <v>4</v>
      </c>
      <c r="AT1889" t="s">
        <v>533</v>
      </c>
      <c r="AU1889" t="s">
        <v>66</v>
      </c>
      <c r="AV1889" t="s">
        <v>25335</v>
      </c>
      <c r="AW1889" t="s">
        <v>11447</v>
      </c>
    </row>
    <row r="1890" spans="1:49">
      <c r="A1890" s="1">
        <f>HYPERLINK("https://lsnyc.legalserver.org/matter/dynamic-profile/view/1888652","19-1888652")</f>
        <v>0</v>
      </c>
      <c r="B1890" t="s">
        <v>148</v>
      </c>
      <c r="C1890" t="s">
        <v>501</v>
      </c>
      <c r="E1890" t="s">
        <v>1144</v>
      </c>
      <c r="F1890" t="s">
        <v>4641</v>
      </c>
      <c r="G1890" t="s">
        <v>7664</v>
      </c>
      <c r="H1890" t="s">
        <v>10887</v>
      </c>
      <c r="I1890" t="s">
        <v>11384</v>
      </c>
      <c r="J1890">
        <v>10301</v>
      </c>
      <c r="K1890" t="s">
        <v>11447</v>
      </c>
      <c r="P1890" t="s">
        <v>14797</v>
      </c>
      <c r="S1890" t="s">
        <v>14827</v>
      </c>
      <c r="V1890">
        <v>0</v>
      </c>
      <c r="W1890" t="s">
        <v>14862</v>
      </c>
      <c r="Z1890" t="s">
        <v>16530</v>
      </c>
      <c r="AB1890" t="s">
        <v>21571</v>
      </c>
      <c r="AC1890">
        <v>0</v>
      </c>
      <c r="AF1890">
        <v>0</v>
      </c>
      <c r="AG1890">
        <v>2</v>
      </c>
      <c r="AH1890">
        <v>2</v>
      </c>
      <c r="AI1890">
        <v>48.22</v>
      </c>
      <c r="AL1890" t="s">
        <v>5011</v>
      </c>
      <c r="AM1890">
        <v>12416</v>
      </c>
      <c r="AS1890">
        <v>8.15</v>
      </c>
      <c r="AT1890" t="s">
        <v>492</v>
      </c>
      <c r="AU1890" t="s">
        <v>25271</v>
      </c>
      <c r="AW1890" t="s">
        <v>11447</v>
      </c>
    </row>
    <row r="1891" spans="1:49">
      <c r="A1891" s="1">
        <f>HYPERLINK("https://lsnyc.legalserver.org/matter/dynamic-profile/view/1906016","19-1906016")</f>
        <v>0</v>
      </c>
      <c r="B1891" t="s">
        <v>167</v>
      </c>
      <c r="C1891" t="s">
        <v>461</v>
      </c>
      <c r="E1891" t="s">
        <v>1372</v>
      </c>
      <c r="F1891" t="s">
        <v>4642</v>
      </c>
      <c r="G1891" t="s">
        <v>7665</v>
      </c>
      <c r="H1891" t="s">
        <v>10676</v>
      </c>
      <c r="I1891" t="s">
        <v>11389</v>
      </c>
      <c r="J1891">
        <v>11354</v>
      </c>
      <c r="K1891" t="s">
        <v>11447</v>
      </c>
      <c r="L1891" t="s">
        <v>11790</v>
      </c>
      <c r="M1891" t="s">
        <v>14762</v>
      </c>
      <c r="N1891" t="s">
        <v>14783</v>
      </c>
      <c r="P1891" t="s">
        <v>14797</v>
      </c>
      <c r="Q1891" t="s">
        <v>11446</v>
      </c>
      <c r="S1891" t="s">
        <v>14827</v>
      </c>
      <c r="T1891" t="s">
        <v>14832</v>
      </c>
      <c r="V1891">
        <v>1025</v>
      </c>
      <c r="W1891" t="s">
        <v>14861</v>
      </c>
      <c r="X1891" t="s">
        <v>14879</v>
      </c>
      <c r="Z1891" t="s">
        <v>16531</v>
      </c>
      <c r="AB1891" t="s">
        <v>19344</v>
      </c>
      <c r="AC1891">
        <v>91</v>
      </c>
      <c r="AD1891" t="s">
        <v>24595</v>
      </c>
      <c r="AE1891" t="s">
        <v>11459</v>
      </c>
      <c r="AF1891">
        <v>34</v>
      </c>
      <c r="AG1891">
        <v>3</v>
      </c>
      <c r="AH1891">
        <v>0</v>
      </c>
      <c r="AI1891">
        <v>48.38</v>
      </c>
      <c r="AL1891" t="s">
        <v>24632</v>
      </c>
      <c r="AM1891">
        <v>10320</v>
      </c>
      <c r="AS1891">
        <v>0.4</v>
      </c>
      <c r="AT1891" t="s">
        <v>14841</v>
      </c>
      <c r="AU1891" t="s">
        <v>292</v>
      </c>
      <c r="AW1891" t="s">
        <v>11447</v>
      </c>
    </row>
    <row r="1892" spans="1:49">
      <c r="A1892" s="1">
        <f>HYPERLINK("https://lsnyc.legalserver.org/matter/dynamic-profile/view/1911183","19-1911183")</f>
        <v>0</v>
      </c>
      <c r="B1892" t="s">
        <v>214</v>
      </c>
      <c r="C1892" t="s">
        <v>475</v>
      </c>
      <c r="E1892" t="s">
        <v>1259</v>
      </c>
      <c r="F1892" t="s">
        <v>4643</v>
      </c>
      <c r="G1892" t="s">
        <v>7666</v>
      </c>
      <c r="I1892" t="s">
        <v>11385</v>
      </c>
      <c r="J1892">
        <v>11212</v>
      </c>
      <c r="K1892" t="s">
        <v>11446</v>
      </c>
      <c r="L1892" t="s">
        <v>12071</v>
      </c>
      <c r="P1892" t="s">
        <v>14797</v>
      </c>
      <c r="S1892" t="s">
        <v>14827</v>
      </c>
      <c r="V1892">
        <v>0</v>
      </c>
      <c r="W1892" t="s">
        <v>14859</v>
      </c>
      <c r="X1892" t="s">
        <v>14871</v>
      </c>
      <c r="Z1892" t="s">
        <v>16532</v>
      </c>
      <c r="AB1892" t="s">
        <v>21572</v>
      </c>
      <c r="AC1892">
        <v>0</v>
      </c>
      <c r="AF1892">
        <v>3</v>
      </c>
      <c r="AG1892">
        <v>3</v>
      </c>
      <c r="AH1892">
        <v>2</v>
      </c>
      <c r="AI1892">
        <v>48.54</v>
      </c>
      <c r="AL1892" t="s">
        <v>24632</v>
      </c>
      <c r="AM1892">
        <v>14644</v>
      </c>
      <c r="AS1892">
        <v>0</v>
      </c>
      <c r="AU1892" t="s">
        <v>25275</v>
      </c>
      <c r="AV1892" t="s">
        <v>25335</v>
      </c>
      <c r="AW1892" t="s">
        <v>11447</v>
      </c>
    </row>
    <row r="1893" spans="1:49">
      <c r="A1893" s="1">
        <f>HYPERLINK("https://lsnyc.legalserver.org/matter/dynamic-profile/view/1871476","18-1871476")</f>
        <v>0</v>
      </c>
      <c r="B1893" t="s">
        <v>208</v>
      </c>
      <c r="C1893" t="s">
        <v>687</v>
      </c>
      <c r="E1893" t="s">
        <v>1030</v>
      </c>
      <c r="F1893" t="s">
        <v>3738</v>
      </c>
      <c r="G1893" t="s">
        <v>7667</v>
      </c>
      <c r="H1893">
        <v>10037</v>
      </c>
      <c r="I1893" t="s">
        <v>11386</v>
      </c>
      <c r="J1893">
        <v>10037</v>
      </c>
      <c r="K1893" t="s">
        <v>11447</v>
      </c>
      <c r="N1893" t="s">
        <v>14781</v>
      </c>
      <c r="P1893" t="s">
        <v>14797</v>
      </c>
      <c r="S1893" t="s">
        <v>14827</v>
      </c>
      <c r="V1893">
        <v>0</v>
      </c>
      <c r="W1893" t="s">
        <v>14860</v>
      </c>
      <c r="Z1893" t="s">
        <v>16533</v>
      </c>
      <c r="AB1893" t="s">
        <v>21573</v>
      </c>
      <c r="AC1893">
        <v>0</v>
      </c>
      <c r="AF1893">
        <v>0</v>
      </c>
      <c r="AG1893">
        <v>3</v>
      </c>
      <c r="AH1893">
        <v>0</v>
      </c>
      <c r="AI1893">
        <v>48.66</v>
      </c>
      <c r="AL1893" t="s">
        <v>5011</v>
      </c>
      <c r="AM1893">
        <v>9936</v>
      </c>
      <c r="AS1893">
        <v>31.3</v>
      </c>
      <c r="AT1893" t="s">
        <v>559</v>
      </c>
      <c r="AU1893" t="s">
        <v>208</v>
      </c>
      <c r="AW1893" t="s">
        <v>11447</v>
      </c>
    </row>
    <row r="1894" spans="1:49">
      <c r="A1894" s="1">
        <f>HYPERLINK("https://lsnyc.legalserver.org/matter/dynamic-profile/view/1912019","19-1912019")</f>
        <v>0</v>
      </c>
      <c r="B1894" t="s">
        <v>218</v>
      </c>
      <c r="C1894" t="s">
        <v>586</v>
      </c>
      <c r="E1894" t="s">
        <v>2097</v>
      </c>
      <c r="F1894" t="s">
        <v>4644</v>
      </c>
      <c r="G1894" t="s">
        <v>7668</v>
      </c>
      <c r="H1894" t="s">
        <v>10594</v>
      </c>
      <c r="I1894" t="s">
        <v>11386</v>
      </c>
      <c r="J1894">
        <v>10030</v>
      </c>
      <c r="K1894" t="s">
        <v>11447</v>
      </c>
      <c r="P1894" t="s">
        <v>14797</v>
      </c>
      <c r="S1894" t="s">
        <v>14827</v>
      </c>
      <c r="V1894">
        <v>0</v>
      </c>
      <c r="W1894" t="s">
        <v>14860</v>
      </c>
      <c r="Z1894" t="s">
        <v>16534</v>
      </c>
      <c r="AB1894" t="s">
        <v>21574</v>
      </c>
      <c r="AC1894">
        <v>0</v>
      </c>
      <c r="AF1894">
        <v>0</v>
      </c>
      <c r="AG1894">
        <v>1</v>
      </c>
      <c r="AH1894">
        <v>1</v>
      </c>
      <c r="AI1894">
        <v>49.8</v>
      </c>
      <c r="AL1894" t="s">
        <v>5011</v>
      </c>
      <c r="AM1894">
        <v>8422</v>
      </c>
      <c r="AS1894">
        <v>1.5</v>
      </c>
      <c r="AT1894" t="s">
        <v>592</v>
      </c>
      <c r="AU1894" t="s">
        <v>25286</v>
      </c>
      <c r="AW1894" t="s">
        <v>11447</v>
      </c>
    </row>
    <row r="1895" spans="1:49">
      <c r="A1895" s="1">
        <f>HYPERLINK("https://lsnyc.legalserver.org/matter/dynamic-profile/view/1914594","19-1914594")</f>
        <v>0</v>
      </c>
      <c r="B1895" t="s">
        <v>126</v>
      </c>
      <c r="C1895" t="s">
        <v>533</v>
      </c>
      <c r="E1895" t="s">
        <v>2098</v>
      </c>
      <c r="F1895" t="s">
        <v>4046</v>
      </c>
      <c r="G1895" t="s">
        <v>7669</v>
      </c>
      <c r="H1895" t="s">
        <v>10888</v>
      </c>
      <c r="I1895" t="s">
        <v>11430</v>
      </c>
      <c r="J1895">
        <v>10542</v>
      </c>
      <c r="K1895" t="s">
        <v>11446</v>
      </c>
      <c r="N1895" t="s">
        <v>14778</v>
      </c>
      <c r="P1895" t="s">
        <v>14797</v>
      </c>
      <c r="Q1895" t="s">
        <v>11446</v>
      </c>
      <c r="S1895" t="s">
        <v>14827</v>
      </c>
      <c r="V1895">
        <v>0</v>
      </c>
      <c r="W1895" t="s">
        <v>14858</v>
      </c>
      <c r="X1895" t="s">
        <v>14864</v>
      </c>
      <c r="Z1895" t="s">
        <v>16535</v>
      </c>
      <c r="AB1895" t="s">
        <v>21575</v>
      </c>
      <c r="AC1895">
        <v>63</v>
      </c>
      <c r="AE1895" t="s">
        <v>24613</v>
      </c>
      <c r="AF1895">
        <v>43</v>
      </c>
      <c r="AG1895">
        <v>2</v>
      </c>
      <c r="AH1895">
        <v>0</v>
      </c>
      <c r="AI1895">
        <v>50.6</v>
      </c>
      <c r="AL1895" t="s">
        <v>24632</v>
      </c>
      <c r="AM1895">
        <v>8556</v>
      </c>
      <c r="AS1895">
        <v>0</v>
      </c>
      <c r="AU1895" t="s">
        <v>237</v>
      </c>
      <c r="AV1895" t="s">
        <v>25335</v>
      </c>
      <c r="AW1895" t="s">
        <v>11447</v>
      </c>
    </row>
    <row r="1896" spans="1:49">
      <c r="A1896" s="1">
        <f>HYPERLINK("https://lsnyc.legalserver.org/matter/dynamic-profile/view/1914798","19-1914798")</f>
        <v>0</v>
      </c>
      <c r="B1896" t="s">
        <v>126</v>
      </c>
      <c r="C1896" t="s">
        <v>592</v>
      </c>
      <c r="E1896" t="s">
        <v>2098</v>
      </c>
      <c r="F1896" t="s">
        <v>4046</v>
      </c>
      <c r="G1896" t="s">
        <v>7669</v>
      </c>
      <c r="H1896" t="s">
        <v>10888</v>
      </c>
      <c r="I1896" t="s">
        <v>11430</v>
      </c>
      <c r="J1896">
        <v>10542</v>
      </c>
      <c r="K1896" t="s">
        <v>11446</v>
      </c>
      <c r="P1896" t="s">
        <v>14797</v>
      </c>
      <c r="Q1896" t="s">
        <v>11446</v>
      </c>
      <c r="S1896" t="s">
        <v>14827</v>
      </c>
      <c r="V1896">
        <v>0</v>
      </c>
      <c r="W1896" t="s">
        <v>14858</v>
      </c>
      <c r="X1896" t="s">
        <v>14864</v>
      </c>
      <c r="Z1896" t="s">
        <v>16535</v>
      </c>
      <c r="AB1896" t="s">
        <v>21575</v>
      </c>
      <c r="AC1896">
        <v>63</v>
      </c>
      <c r="AD1896" t="s">
        <v>11479</v>
      </c>
      <c r="AE1896" t="s">
        <v>24613</v>
      </c>
      <c r="AF1896">
        <v>43</v>
      </c>
      <c r="AG1896">
        <v>2</v>
      </c>
      <c r="AH1896">
        <v>0</v>
      </c>
      <c r="AI1896">
        <v>50.6</v>
      </c>
      <c r="AL1896" t="s">
        <v>24632</v>
      </c>
      <c r="AM1896">
        <v>8556</v>
      </c>
      <c r="AS1896">
        <v>0</v>
      </c>
      <c r="AU1896" t="s">
        <v>237</v>
      </c>
      <c r="AV1896" t="s">
        <v>25335</v>
      </c>
      <c r="AW1896" t="s">
        <v>11447</v>
      </c>
    </row>
    <row r="1897" spans="1:49">
      <c r="A1897" s="1">
        <f>HYPERLINK("https://lsnyc.legalserver.org/matter/dynamic-profile/view/1913939","19-1913939")</f>
        <v>0</v>
      </c>
      <c r="B1897" t="s">
        <v>226</v>
      </c>
      <c r="C1897" t="s">
        <v>490</v>
      </c>
      <c r="E1897" t="s">
        <v>1909</v>
      </c>
      <c r="F1897" t="s">
        <v>4645</v>
      </c>
      <c r="G1897" t="s">
        <v>7670</v>
      </c>
      <c r="I1897" t="s">
        <v>11385</v>
      </c>
      <c r="J1897">
        <v>11233</v>
      </c>
      <c r="K1897" t="s">
        <v>11447</v>
      </c>
      <c r="L1897" t="s">
        <v>12072</v>
      </c>
      <c r="M1897" t="s">
        <v>14743</v>
      </c>
      <c r="N1897" t="s">
        <v>14782</v>
      </c>
      <c r="P1897" t="s">
        <v>14797</v>
      </c>
      <c r="Q1897" t="s">
        <v>11448</v>
      </c>
      <c r="S1897" t="s">
        <v>14827</v>
      </c>
      <c r="V1897">
        <v>0</v>
      </c>
      <c r="W1897" t="s">
        <v>14859</v>
      </c>
      <c r="X1897" t="s">
        <v>14863</v>
      </c>
      <c r="Z1897" t="s">
        <v>16536</v>
      </c>
      <c r="AA1897" t="s">
        <v>11459</v>
      </c>
      <c r="AB1897" t="s">
        <v>21576</v>
      </c>
      <c r="AC1897">
        <v>2</v>
      </c>
      <c r="AD1897" t="s">
        <v>24600</v>
      </c>
      <c r="AE1897" t="s">
        <v>11459</v>
      </c>
      <c r="AF1897">
        <v>4</v>
      </c>
      <c r="AG1897">
        <v>1</v>
      </c>
      <c r="AH1897">
        <v>0</v>
      </c>
      <c r="AI1897">
        <v>51.21</v>
      </c>
      <c r="AL1897" t="s">
        <v>5011</v>
      </c>
      <c r="AM1897">
        <v>6396</v>
      </c>
      <c r="AS1897">
        <v>4.5</v>
      </c>
      <c r="AT1897" t="s">
        <v>521</v>
      </c>
      <c r="AU1897" t="s">
        <v>25226</v>
      </c>
      <c r="AW1897" t="s">
        <v>11447</v>
      </c>
    </row>
    <row r="1898" spans="1:49">
      <c r="A1898" s="1">
        <f>HYPERLINK("https://lsnyc.legalserver.org/matter/dynamic-profile/view/1907544","19-1907544")</f>
        <v>0</v>
      </c>
      <c r="B1898" t="s">
        <v>168</v>
      </c>
      <c r="C1898" t="s">
        <v>410</v>
      </c>
      <c r="E1898" t="s">
        <v>2099</v>
      </c>
      <c r="F1898" t="s">
        <v>3876</v>
      </c>
      <c r="G1898" t="s">
        <v>7671</v>
      </c>
      <c r="H1898" t="s">
        <v>10501</v>
      </c>
      <c r="I1898" t="s">
        <v>11384</v>
      </c>
      <c r="J1898">
        <v>10312</v>
      </c>
      <c r="K1898" t="s">
        <v>11446</v>
      </c>
      <c r="L1898" t="s">
        <v>12073</v>
      </c>
      <c r="M1898" t="s">
        <v>14743</v>
      </c>
      <c r="P1898" t="s">
        <v>14797</v>
      </c>
      <c r="Q1898" t="s">
        <v>11448</v>
      </c>
      <c r="S1898" t="s">
        <v>14827</v>
      </c>
      <c r="T1898" t="s">
        <v>14832</v>
      </c>
      <c r="V1898">
        <v>1534</v>
      </c>
      <c r="W1898" t="s">
        <v>14862</v>
      </c>
      <c r="X1898" t="s">
        <v>14863</v>
      </c>
      <c r="Z1898" t="s">
        <v>16537</v>
      </c>
      <c r="AB1898" t="s">
        <v>21577</v>
      </c>
      <c r="AC1898">
        <v>2</v>
      </c>
      <c r="AD1898" t="s">
        <v>24600</v>
      </c>
      <c r="AE1898" t="s">
        <v>24616</v>
      </c>
      <c r="AF1898">
        <v>1</v>
      </c>
      <c r="AG1898">
        <v>1</v>
      </c>
      <c r="AH1898">
        <v>2</v>
      </c>
      <c r="AI1898">
        <v>52.55</v>
      </c>
      <c r="AL1898" t="s">
        <v>24649</v>
      </c>
      <c r="AM1898">
        <v>11208</v>
      </c>
      <c r="AS1898">
        <v>8.5</v>
      </c>
      <c r="AT1898" t="s">
        <v>509</v>
      </c>
      <c r="AU1898" t="s">
        <v>25270</v>
      </c>
      <c r="AV1898" t="s">
        <v>25335</v>
      </c>
      <c r="AW1898" t="s">
        <v>11447</v>
      </c>
    </row>
    <row r="1899" spans="1:49">
      <c r="A1899" s="1">
        <f>HYPERLINK("https://lsnyc.legalserver.org/matter/dynamic-profile/view/1906715","19-1906715")</f>
        <v>0</v>
      </c>
      <c r="B1899" t="s">
        <v>172</v>
      </c>
      <c r="C1899" t="s">
        <v>620</v>
      </c>
      <c r="E1899" t="s">
        <v>1842</v>
      </c>
      <c r="F1899" t="s">
        <v>3699</v>
      </c>
      <c r="G1899" t="s">
        <v>7672</v>
      </c>
      <c r="H1899">
        <v>64</v>
      </c>
      <c r="I1899" t="s">
        <v>11386</v>
      </c>
      <c r="J1899">
        <v>10031</v>
      </c>
      <c r="K1899" t="s">
        <v>11448</v>
      </c>
      <c r="N1899" t="s">
        <v>14780</v>
      </c>
      <c r="P1899" t="s">
        <v>14797</v>
      </c>
      <c r="Q1899" t="s">
        <v>11448</v>
      </c>
      <c r="S1899" t="s">
        <v>14827</v>
      </c>
      <c r="V1899">
        <v>0</v>
      </c>
      <c r="W1899" t="s">
        <v>14860</v>
      </c>
      <c r="Z1899" t="s">
        <v>16538</v>
      </c>
      <c r="AC1899">
        <v>0</v>
      </c>
      <c r="AD1899" t="s">
        <v>24595</v>
      </c>
      <c r="AE1899" t="s">
        <v>11459</v>
      </c>
      <c r="AF1899">
        <v>0</v>
      </c>
      <c r="AG1899">
        <v>5</v>
      </c>
      <c r="AH1899">
        <v>1</v>
      </c>
      <c r="AI1899">
        <v>52.62</v>
      </c>
      <c r="AM1899">
        <v>18200</v>
      </c>
      <c r="AS1899">
        <v>7.2</v>
      </c>
      <c r="AT1899" t="s">
        <v>526</v>
      </c>
      <c r="AU1899" t="s">
        <v>137</v>
      </c>
      <c r="AW1899" t="s">
        <v>11447</v>
      </c>
    </row>
    <row r="1900" spans="1:49">
      <c r="A1900" s="1">
        <f>HYPERLINK("https://lsnyc.legalserver.org/matter/dynamic-profile/view/1910768","19-1910768")</f>
        <v>0</v>
      </c>
      <c r="B1900" t="s">
        <v>241</v>
      </c>
      <c r="C1900" t="s">
        <v>663</v>
      </c>
      <c r="E1900" t="s">
        <v>1249</v>
      </c>
      <c r="F1900" t="s">
        <v>3682</v>
      </c>
      <c r="G1900" t="s">
        <v>7673</v>
      </c>
      <c r="H1900" t="s">
        <v>10889</v>
      </c>
      <c r="I1900" t="s">
        <v>11383</v>
      </c>
      <c r="J1900">
        <v>10462</v>
      </c>
      <c r="K1900" t="s">
        <v>11446</v>
      </c>
      <c r="L1900" t="s">
        <v>11704</v>
      </c>
      <c r="M1900" t="s">
        <v>14758</v>
      </c>
      <c r="N1900" t="s">
        <v>14780</v>
      </c>
      <c r="P1900" t="s">
        <v>14797</v>
      </c>
      <c r="Q1900" t="s">
        <v>11448</v>
      </c>
      <c r="R1900" t="s">
        <v>14797</v>
      </c>
      <c r="S1900" t="s">
        <v>14829</v>
      </c>
      <c r="T1900" t="s">
        <v>14832</v>
      </c>
      <c r="V1900">
        <v>0</v>
      </c>
      <c r="W1900" t="s">
        <v>14858</v>
      </c>
      <c r="X1900" t="s">
        <v>14871</v>
      </c>
      <c r="Z1900" t="s">
        <v>16539</v>
      </c>
      <c r="AA1900" t="s">
        <v>19482</v>
      </c>
      <c r="AB1900" t="s">
        <v>21578</v>
      </c>
      <c r="AC1900">
        <v>0</v>
      </c>
      <c r="AD1900" t="s">
        <v>24605</v>
      </c>
      <c r="AE1900" t="s">
        <v>24610</v>
      </c>
      <c r="AF1900">
        <v>0</v>
      </c>
      <c r="AG1900">
        <v>1</v>
      </c>
      <c r="AH1900">
        <v>1</v>
      </c>
      <c r="AI1900">
        <v>53.15</v>
      </c>
      <c r="AL1900" t="s">
        <v>5011</v>
      </c>
      <c r="AM1900">
        <v>8988</v>
      </c>
      <c r="AS1900">
        <v>22.1</v>
      </c>
      <c r="AT1900" t="s">
        <v>495</v>
      </c>
      <c r="AU1900" t="s">
        <v>145</v>
      </c>
      <c r="AV1900" t="s">
        <v>25334</v>
      </c>
      <c r="AW1900" t="s">
        <v>11447</v>
      </c>
    </row>
    <row r="1901" spans="1:49">
      <c r="A1901" s="1">
        <f>HYPERLINK("https://lsnyc.legalserver.org/matter/dynamic-profile/view/1915404","19-1915404")</f>
        <v>0</v>
      </c>
      <c r="B1901" t="s">
        <v>119</v>
      </c>
      <c r="C1901" t="s">
        <v>495</v>
      </c>
      <c r="E1901" t="s">
        <v>1057</v>
      </c>
      <c r="F1901" t="s">
        <v>3579</v>
      </c>
      <c r="G1901" t="s">
        <v>7674</v>
      </c>
      <c r="H1901" t="s">
        <v>10476</v>
      </c>
      <c r="I1901" t="s">
        <v>11383</v>
      </c>
      <c r="J1901">
        <v>10453</v>
      </c>
      <c r="K1901" t="s">
        <v>11446</v>
      </c>
      <c r="L1901" t="s">
        <v>12074</v>
      </c>
      <c r="M1901" t="s">
        <v>14744</v>
      </c>
      <c r="N1901" t="s">
        <v>14781</v>
      </c>
      <c r="P1901" t="s">
        <v>14797</v>
      </c>
      <c r="Q1901" t="s">
        <v>11448</v>
      </c>
      <c r="S1901" t="s">
        <v>14827</v>
      </c>
      <c r="T1901" t="s">
        <v>14837</v>
      </c>
      <c r="V1901">
        <v>1268</v>
      </c>
      <c r="W1901" t="s">
        <v>14858</v>
      </c>
      <c r="X1901" t="s">
        <v>14865</v>
      </c>
      <c r="Z1901" t="s">
        <v>16540</v>
      </c>
      <c r="AA1901" t="s">
        <v>19483</v>
      </c>
      <c r="AC1901">
        <v>70</v>
      </c>
      <c r="AD1901" t="s">
        <v>24595</v>
      </c>
      <c r="AE1901" t="s">
        <v>24617</v>
      </c>
      <c r="AF1901">
        <v>3</v>
      </c>
      <c r="AG1901">
        <v>2</v>
      </c>
      <c r="AH1901">
        <v>0</v>
      </c>
      <c r="AI1901">
        <v>53.44</v>
      </c>
      <c r="AL1901" t="s">
        <v>5011</v>
      </c>
      <c r="AM1901">
        <v>9036</v>
      </c>
      <c r="AS1901">
        <v>0.4</v>
      </c>
      <c r="AT1901" t="s">
        <v>495</v>
      </c>
      <c r="AU1901" t="s">
        <v>245</v>
      </c>
      <c r="AW1901" t="s">
        <v>11447</v>
      </c>
    </row>
    <row r="1902" spans="1:49">
      <c r="A1902" s="1">
        <f>HYPERLINK("https://lsnyc.legalserver.org/matter/dynamic-profile/view/1909026","19-1909026")</f>
        <v>0</v>
      </c>
      <c r="B1902" t="s">
        <v>69</v>
      </c>
      <c r="C1902" t="s">
        <v>641</v>
      </c>
      <c r="E1902" t="s">
        <v>2100</v>
      </c>
      <c r="F1902" t="s">
        <v>4646</v>
      </c>
      <c r="G1902" t="s">
        <v>7675</v>
      </c>
      <c r="H1902" t="s">
        <v>10547</v>
      </c>
      <c r="I1902" t="s">
        <v>11383</v>
      </c>
      <c r="J1902">
        <v>10467</v>
      </c>
      <c r="K1902" t="s">
        <v>11446</v>
      </c>
      <c r="M1902" t="s">
        <v>14748</v>
      </c>
      <c r="N1902" t="s">
        <v>14780</v>
      </c>
      <c r="P1902" t="s">
        <v>14797</v>
      </c>
      <c r="Q1902" t="s">
        <v>11448</v>
      </c>
      <c r="S1902" t="s">
        <v>14829</v>
      </c>
      <c r="V1902">
        <v>1333.64</v>
      </c>
      <c r="W1902" t="s">
        <v>14858</v>
      </c>
      <c r="X1902" t="s">
        <v>14868</v>
      </c>
      <c r="Z1902" t="s">
        <v>16541</v>
      </c>
      <c r="AB1902" t="s">
        <v>21579</v>
      </c>
      <c r="AC1902">
        <v>48</v>
      </c>
      <c r="AD1902" t="s">
        <v>24595</v>
      </c>
      <c r="AE1902" t="s">
        <v>11459</v>
      </c>
      <c r="AF1902">
        <v>0</v>
      </c>
      <c r="AG1902">
        <v>4</v>
      </c>
      <c r="AH1902">
        <v>0</v>
      </c>
      <c r="AI1902">
        <v>54.34</v>
      </c>
      <c r="AL1902" t="s">
        <v>5011</v>
      </c>
      <c r="AM1902">
        <v>13992</v>
      </c>
      <c r="AS1902">
        <v>1</v>
      </c>
      <c r="AT1902" t="s">
        <v>472</v>
      </c>
      <c r="AU1902" t="s">
        <v>25239</v>
      </c>
      <c r="AV1902" t="s">
        <v>25335</v>
      </c>
      <c r="AW1902" t="s">
        <v>11447</v>
      </c>
    </row>
    <row r="1903" spans="1:49">
      <c r="A1903" s="1">
        <f>HYPERLINK("https://lsnyc.legalserver.org/matter/dynamic-profile/view/1837952","17-1837952")</f>
        <v>0</v>
      </c>
      <c r="B1903" t="s">
        <v>228</v>
      </c>
      <c r="C1903" t="s">
        <v>688</v>
      </c>
      <c r="E1903" t="s">
        <v>1176</v>
      </c>
      <c r="F1903" t="s">
        <v>1606</v>
      </c>
      <c r="G1903" t="s">
        <v>7676</v>
      </c>
      <c r="H1903">
        <v>2448</v>
      </c>
      <c r="I1903" t="s">
        <v>11385</v>
      </c>
      <c r="J1903">
        <v>11224</v>
      </c>
      <c r="K1903" t="s">
        <v>11448</v>
      </c>
      <c r="L1903" t="s">
        <v>12075</v>
      </c>
      <c r="M1903" t="s">
        <v>14744</v>
      </c>
      <c r="N1903" t="s">
        <v>14781</v>
      </c>
      <c r="P1903" t="s">
        <v>14797</v>
      </c>
      <c r="R1903" t="s">
        <v>14812</v>
      </c>
      <c r="S1903" t="s">
        <v>14827</v>
      </c>
      <c r="V1903">
        <v>1697</v>
      </c>
      <c r="W1903" t="s">
        <v>14859</v>
      </c>
      <c r="Z1903" t="s">
        <v>16542</v>
      </c>
      <c r="AB1903" t="s">
        <v>21580</v>
      </c>
      <c r="AC1903">
        <v>0</v>
      </c>
      <c r="AD1903" t="s">
        <v>24596</v>
      </c>
      <c r="AF1903">
        <v>22</v>
      </c>
      <c r="AG1903">
        <v>2</v>
      </c>
      <c r="AH1903">
        <v>0</v>
      </c>
      <c r="AI1903">
        <v>55.64</v>
      </c>
      <c r="AL1903" t="s">
        <v>5011</v>
      </c>
      <c r="AM1903">
        <v>9036</v>
      </c>
      <c r="AS1903">
        <v>36.15</v>
      </c>
      <c r="AT1903" t="s">
        <v>780</v>
      </c>
      <c r="AU1903" t="s">
        <v>25241</v>
      </c>
      <c r="AW1903" t="s">
        <v>11447</v>
      </c>
    </row>
    <row r="1904" spans="1:49">
      <c r="A1904" s="1">
        <f>HYPERLINK("https://lsnyc.legalserver.org/matter/dynamic-profile/view/0830558","17-0830558")</f>
        <v>0</v>
      </c>
      <c r="B1904" t="s">
        <v>178</v>
      </c>
      <c r="C1904" t="s">
        <v>689</v>
      </c>
      <c r="E1904" t="s">
        <v>1877</v>
      </c>
      <c r="F1904" t="s">
        <v>4647</v>
      </c>
      <c r="G1904" t="s">
        <v>7677</v>
      </c>
      <c r="H1904">
        <v>36</v>
      </c>
      <c r="I1904" t="s">
        <v>11386</v>
      </c>
      <c r="J1904">
        <v>10034</v>
      </c>
      <c r="K1904" t="s">
        <v>11448</v>
      </c>
      <c r="M1904" t="s">
        <v>14746</v>
      </c>
      <c r="N1904" t="s">
        <v>14779</v>
      </c>
      <c r="P1904" t="s">
        <v>14797</v>
      </c>
      <c r="Q1904" t="s">
        <v>11448</v>
      </c>
      <c r="S1904" t="s">
        <v>14827</v>
      </c>
      <c r="V1904">
        <v>1300</v>
      </c>
      <c r="W1904" t="s">
        <v>14860</v>
      </c>
      <c r="X1904" t="s">
        <v>14868</v>
      </c>
      <c r="Z1904" t="s">
        <v>15995</v>
      </c>
      <c r="AB1904" t="s">
        <v>21581</v>
      </c>
      <c r="AC1904">
        <v>30</v>
      </c>
      <c r="AD1904" t="s">
        <v>24595</v>
      </c>
      <c r="AE1904" t="s">
        <v>24610</v>
      </c>
      <c r="AF1904">
        <v>41</v>
      </c>
      <c r="AG1904">
        <v>2</v>
      </c>
      <c r="AH1904">
        <v>0</v>
      </c>
      <c r="AI1904">
        <v>56.08</v>
      </c>
      <c r="AL1904" t="s">
        <v>24632</v>
      </c>
      <c r="AM1904">
        <v>9108</v>
      </c>
      <c r="AS1904">
        <v>1.9</v>
      </c>
      <c r="AT1904" t="s">
        <v>25137</v>
      </c>
      <c r="AU1904" t="s">
        <v>25266</v>
      </c>
      <c r="AV1904" t="s">
        <v>25335</v>
      </c>
      <c r="AW1904" t="s">
        <v>11446</v>
      </c>
    </row>
    <row r="1905" spans="1:49">
      <c r="A1905" s="1">
        <f>HYPERLINK("https://lsnyc.legalserver.org/matter/dynamic-profile/view/1907850","19-1907850")</f>
        <v>0</v>
      </c>
      <c r="B1905" t="s">
        <v>140</v>
      </c>
      <c r="C1905" t="s">
        <v>524</v>
      </c>
      <c r="E1905" t="s">
        <v>2101</v>
      </c>
      <c r="F1905" t="s">
        <v>1272</v>
      </c>
      <c r="G1905" t="s">
        <v>7678</v>
      </c>
      <c r="H1905" t="s">
        <v>10890</v>
      </c>
      <c r="I1905" t="s">
        <v>11383</v>
      </c>
      <c r="J1905">
        <v>10460</v>
      </c>
      <c r="K1905" t="s">
        <v>11446</v>
      </c>
      <c r="L1905" t="s">
        <v>12076</v>
      </c>
      <c r="M1905" t="s">
        <v>14744</v>
      </c>
      <c r="N1905" t="s">
        <v>14781</v>
      </c>
      <c r="P1905" t="s">
        <v>14797</v>
      </c>
      <c r="Q1905" t="s">
        <v>11448</v>
      </c>
      <c r="S1905" t="s">
        <v>14827</v>
      </c>
      <c r="V1905">
        <v>1550</v>
      </c>
      <c r="W1905" t="s">
        <v>14858</v>
      </c>
      <c r="X1905" t="s">
        <v>14873</v>
      </c>
      <c r="Z1905" t="s">
        <v>16543</v>
      </c>
      <c r="AB1905" t="s">
        <v>21582</v>
      </c>
      <c r="AC1905">
        <v>177</v>
      </c>
      <c r="AF1905">
        <v>1</v>
      </c>
      <c r="AG1905">
        <v>1</v>
      </c>
      <c r="AH1905">
        <v>2</v>
      </c>
      <c r="AI1905">
        <v>56.26</v>
      </c>
      <c r="AL1905" t="s">
        <v>5011</v>
      </c>
      <c r="AM1905">
        <v>12000</v>
      </c>
      <c r="AS1905">
        <v>5</v>
      </c>
      <c r="AT1905" t="s">
        <v>1021</v>
      </c>
      <c r="AU1905" t="s">
        <v>25238</v>
      </c>
      <c r="AV1905" t="s">
        <v>25335</v>
      </c>
      <c r="AW1905" t="s">
        <v>11447</v>
      </c>
    </row>
    <row r="1906" spans="1:49">
      <c r="A1906" s="1">
        <f>HYPERLINK("https://lsnyc.legalserver.org/matter/dynamic-profile/view/1889641","19-1889641")</f>
        <v>0</v>
      </c>
      <c r="B1906" t="s">
        <v>218</v>
      </c>
      <c r="C1906" t="s">
        <v>690</v>
      </c>
      <c r="E1906" t="s">
        <v>2102</v>
      </c>
      <c r="F1906" t="s">
        <v>4305</v>
      </c>
      <c r="G1906" t="s">
        <v>7679</v>
      </c>
      <c r="H1906" t="s">
        <v>10481</v>
      </c>
      <c r="I1906" t="s">
        <v>11428</v>
      </c>
      <c r="J1906">
        <v>10030</v>
      </c>
      <c r="K1906" t="s">
        <v>11448</v>
      </c>
      <c r="M1906" t="s">
        <v>11601</v>
      </c>
      <c r="N1906" t="s">
        <v>14782</v>
      </c>
      <c r="P1906" t="s">
        <v>14797</v>
      </c>
      <c r="Q1906" t="s">
        <v>11448</v>
      </c>
      <c r="S1906" t="s">
        <v>14827</v>
      </c>
      <c r="V1906">
        <v>697.34</v>
      </c>
      <c r="W1906" t="s">
        <v>14860</v>
      </c>
      <c r="X1906" t="s">
        <v>14868</v>
      </c>
      <c r="Z1906" t="s">
        <v>16544</v>
      </c>
      <c r="AB1906" t="s">
        <v>21583</v>
      </c>
      <c r="AC1906">
        <v>0</v>
      </c>
      <c r="AD1906" t="s">
        <v>24595</v>
      </c>
      <c r="AE1906" t="s">
        <v>11459</v>
      </c>
      <c r="AF1906">
        <v>20</v>
      </c>
      <c r="AG1906">
        <v>1</v>
      </c>
      <c r="AH1906">
        <v>4</v>
      </c>
      <c r="AI1906">
        <v>56.99</v>
      </c>
      <c r="AL1906" t="s">
        <v>5011</v>
      </c>
      <c r="AM1906">
        <v>17193.42</v>
      </c>
      <c r="AQ1906" t="s">
        <v>24986</v>
      </c>
      <c r="AR1906" t="s">
        <v>25038</v>
      </c>
      <c r="AS1906">
        <v>4.9</v>
      </c>
      <c r="AT1906" t="s">
        <v>659</v>
      </c>
      <c r="AU1906" t="s">
        <v>153</v>
      </c>
      <c r="AW1906" t="s">
        <v>11448</v>
      </c>
    </row>
    <row r="1907" spans="1:49">
      <c r="A1907" s="1">
        <f>HYPERLINK("https://lsnyc.legalserver.org/matter/dynamic-profile/view/1898611","19-1898611")</f>
        <v>0</v>
      </c>
      <c r="B1907" t="s">
        <v>193</v>
      </c>
      <c r="C1907" t="s">
        <v>677</v>
      </c>
      <c r="E1907" t="s">
        <v>2017</v>
      </c>
      <c r="F1907" t="s">
        <v>4551</v>
      </c>
      <c r="G1907" t="s">
        <v>7680</v>
      </c>
      <c r="H1907" t="s">
        <v>10586</v>
      </c>
      <c r="I1907" t="s">
        <v>11385</v>
      </c>
      <c r="J1907">
        <v>11233</v>
      </c>
      <c r="K1907" t="s">
        <v>11447</v>
      </c>
      <c r="N1907" t="s">
        <v>14781</v>
      </c>
      <c r="P1907" t="s">
        <v>14797</v>
      </c>
      <c r="S1907" t="s">
        <v>14827</v>
      </c>
      <c r="V1907">
        <v>1900</v>
      </c>
      <c r="W1907" t="s">
        <v>14859</v>
      </c>
      <c r="X1907" t="s">
        <v>14755</v>
      </c>
      <c r="Z1907" t="s">
        <v>16385</v>
      </c>
      <c r="AB1907" t="s">
        <v>21440</v>
      </c>
      <c r="AC1907">
        <v>0</v>
      </c>
      <c r="AD1907" t="s">
        <v>11479</v>
      </c>
      <c r="AE1907" t="s">
        <v>24611</v>
      </c>
      <c r="AF1907">
        <v>0</v>
      </c>
      <c r="AG1907">
        <v>2</v>
      </c>
      <c r="AH1907">
        <v>0</v>
      </c>
      <c r="AI1907">
        <v>57.34</v>
      </c>
      <c r="AL1907" t="s">
        <v>5011</v>
      </c>
      <c r="AM1907">
        <v>9696</v>
      </c>
      <c r="AS1907">
        <v>7.6</v>
      </c>
      <c r="AT1907" t="s">
        <v>493</v>
      </c>
      <c r="AU1907" t="s">
        <v>25273</v>
      </c>
      <c r="AW1907" t="s">
        <v>11447</v>
      </c>
    </row>
    <row r="1908" spans="1:49">
      <c r="A1908" s="1">
        <f>HYPERLINK("https://lsnyc.legalserver.org/matter/dynamic-profile/view/1899756","19-1899756")</f>
        <v>0</v>
      </c>
      <c r="B1908" t="s">
        <v>117</v>
      </c>
      <c r="C1908" t="s">
        <v>543</v>
      </c>
      <c r="E1908" t="s">
        <v>2103</v>
      </c>
      <c r="F1908" t="s">
        <v>4648</v>
      </c>
      <c r="G1908" t="s">
        <v>7681</v>
      </c>
      <c r="H1908" t="s">
        <v>10513</v>
      </c>
      <c r="I1908" t="s">
        <v>11384</v>
      </c>
      <c r="J1908">
        <v>10301</v>
      </c>
      <c r="K1908" t="s">
        <v>11447</v>
      </c>
      <c r="L1908" t="s">
        <v>12077</v>
      </c>
      <c r="M1908" t="s">
        <v>14744</v>
      </c>
      <c r="P1908" t="s">
        <v>14797</v>
      </c>
      <c r="S1908" t="s">
        <v>14827</v>
      </c>
      <c r="V1908">
        <v>1200</v>
      </c>
      <c r="W1908" t="s">
        <v>14862</v>
      </c>
      <c r="X1908" t="s">
        <v>14755</v>
      </c>
      <c r="Z1908" t="s">
        <v>16545</v>
      </c>
      <c r="AB1908" t="s">
        <v>21584</v>
      </c>
      <c r="AC1908">
        <v>5</v>
      </c>
      <c r="AD1908" t="s">
        <v>11479</v>
      </c>
      <c r="AE1908" t="s">
        <v>11459</v>
      </c>
      <c r="AF1908">
        <v>3</v>
      </c>
      <c r="AG1908">
        <v>1</v>
      </c>
      <c r="AH1908">
        <v>0</v>
      </c>
      <c r="AI1908">
        <v>57.65</v>
      </c>
      <c r="AL1908" t="s">
        <v>5011</v>
      </c>
      <c r="AM1908">
        <v>7200</v>
      </c>
      <c r="AS1908">
        <v>0.5</v>
      </c>
      <c r="AT1908" t="s">
        <v>543</v>
      </c>
      <c r="AU1908" t="s">
        <v>25244</v>
      </c>
      <c r="AW1908" t="s">
        <v>11447</v>
      </c>
    </row>
    <row r="1909" spans="1:49">
      <c r="A1909" s="1">
        <f>HYPERLINK("https://lsnyc.legalserver.org/matter/dynamic-profile/view/1914745","19-1914745")</f>
        <v>0</v>
      </c>
      <c r="B1909" t="s">
        <v>119</v>
      </c>
      <c r="C1909" t="s">
        <v>592</v>
      </c>
      <c r="E1909" t="s">
        <v>2104</v>
      </c>
      <c r="F1909" t="s">
        <v>4649</v>
      </c>
      <c r="G1909" t="s">
        <v>7015</v>
      </c>
      <c r="H1909" t="s">
        <v>10523</v>
      </c>
      <c r="I1909" t="s">
        <v>11383</v>
      </c>
      <c r="J1909">
        <v>10453</v>
      </c>
      <c r="K1909" t="s">
        <v>11446</v>
      </c>
      <c r="L1909" t="s">
        <v>12078</v>
      </c>
      <c r="M1909" t="s">
        <v>14744</v>
      </c>
      <c r="N1909" t="s">
        <v>14781</v>
      </c>
      <c r="P1909" t="s">
        <v>14797</v>
      </c>
      <c r="Q1909" t="s">
        <v>11448</v>
      </c>
      <c r="S1909" t="s">
        <v>14827</v>
      </c>
      <c r="T1909" t="s">
        <v>14832</v>
      </c>
      <c r="V1909">
        <v>463</v>
      </c>
      <c r="W1909" t="s">
        <v>14858</v>
      </c>
      <c r="X1909" t="s">
        <v>14871</v>
      </c>
      <c r="Z1909" t="s">
        <v>16546</v>
      </c>
      <c r="AB1909" t="s">
        <v>21585</v>
      </c>
      <c r="AC1909">
        <v>167</v>
      </c>
      <c r="AD1909" t="s">
        <v>24595</v>
      </c>
      <c r="AE1909" t="s">
        <v>24610</v>
      </c>
      <c r="AF1909">
        <v>10</v>
      </c>
      <c r="AG1909">
        <v>2</v>
      </c>
      <c r="AH1909">
        <v>4</v>
      </c>
      <c r="AI1909">
        <v>58.98</v>
      </c>
      <c r="AL1909" t="s">
        <v>24632</v>
      </c>
      <c r="AM1909">
        <v>20400</v>
      </c>
      <c r="AS1909">
        <v>4.5</v>
      </c>
      <c r="AT1909" t="s">
        <v>521</v>
      </c>
      <c r="AU1909" t="s">
        <v>245</v>
      </c>
      <c r="AV1909" t="s">
        <v>25335</v>
      </c>
      <c r="AW1909" t="s">
        <v>11447</v>
      </c>
    </row>
    <row r="1910" spans="1:49">
      <c r="A1910" s="1">
        <f>HYPERLINK("https://lsnyc.legalserver.org/matter/dynamic-profile/view/1906780","19-1906780")</f>
        <v>0</v>
      </c>
      <c r="B1910" t="s">
        <v>126</v>
      </c>
      <c r="C1910" t="s">
        <v>354</v>
      </c>
      <c r="E1910" t="s">
        <v>1320</v>
      </c>
      <c r="F1910" t="s">
        <v>3614</v>
      </c>
      <c r="G1910" t="s">
        <v>7021</v>
      </c>
      <c r="H1910" t="s">
        <v>10559</v>
      </c>
      <c r="I1910" t="s">
        <v>11383</v>
      </c>
      <c r="J1910">
        <v>10452</v>
      </c>
      <c r="K1910" t="s">
        <v>11446</v>
      </c>
      <c r="P1910" t="s">
        <v>14797</v>
      </c>
      <c r="Q1910" t="s">
        <v>11446</v>
      </c>
      <c r="S1910" t="s">
        <v>14827</v>
      </c>
      <c r="V1910">
        <v>1724.69</v>
      </c>
      <c r="W1910" t="s">
        <v>14858</v>
      </c>
      <c r="X1910" t="s">
        <v>14876</v>
      </c>
      <c r="Z1910" t="s">
        <v>16547</v>
      </c>
      <c r="AB1910" t="s">
        <v>21586</v>
      </c>
      <c r="AC1910">
        <v>65</v>
      </c>
      <c r="AD1910" t="s">
        <v>24595</v>
      </c>
      <c r="AE1910" t="s">
        <v>11459</v>
      </c>
      <c r="AF1910">
        <v>25</v>
      </c>
      <c r="AG1910">
        <v>3</v>
      </c>
      <c r="AH1910">
        <v>0</v>
      </c>
      <c r="AI1910">
        <v>59.07</v>
      </c>
      <c r="AL1910" t="s">
        <v>24632</v>
      </c>
      <c r="AM1910">
        <v>12600</v>
      </c>
      <c r="AS1910">
        <v>0</v>
      </c>
      <c r="AU1910" t="s">
        <v>245</v>
      </c>
      <c r="AW1910" t="s">
        <v>11447</v>
      </c>
    </row>
    <row r="1911" spans="1:49">
      <c r="A1911" s="1">
        <f>HYPERLINK("https://lsnyc.legalserver.org/matter/dynamic-profile/view/1914806","19-1914806")</f>
        <v>0</v>
      </c>
      <c r="B1911" t="s">
        <v>126</v>
      </c>
      <c r="C1911" t="s">
        <v>592</v>
      </c>
      <c r="E1911" t="s">
        <v>1320</v>
      </c>
      <c r="F1911" t="s">
        <v>3614</v>
      </c>
      <c r="G1911" t="s">
        <v>7021</v>
      </c>
      <c r="H1911" t="s">
        <v>10559</v>
      </c>
      <c r="I1911" t="s">
        <v>11383</v>
      </c>
      <c r="J1911">
        <v>10452</v>
      </c>
      <c r="K1911" t="s">
        <v>11446</v>
      </c>
      <c r="P1911" t="s">
        <v>14797</v>
      </c>
      <c r="Q1911" t="s">
        <v>11446</v>
      </c>
      <c r="S1911" t="s">
        <v>14827</v>
      </c>
      <c r="V1911">
        <v>1724.69</v>
      </c>
      <c r="W1911" t="s">
        <v>14858</v>
      </c>
      <c r="X1911" t="s">
        <v>14864</v>
      </c>
      <c r="Z1911" t="s">
        <v>16547</v>
      </c>
      <c r="AB1911" t="s">
        <v>21586</v>
      </c>
      <c r="AC1911">
        <v>63</v>
      </c>
      <c r="AD1911" t="s">
        <v>24595</v>
      </c>
      <c r="AE1911" t="s">
        <v>11459</v>
      </c>
      <c r="AF1911">
        <v>25</v>
      </c>
      <c r="AG1911">
        <v>3</v>
      </c>
      <c r="AH1911">
        <v>0</v>
      </c>
      <c r="AI1911">
        <v>59.07</v>
      </c>
      <c r="AL1911" t="s">
        <v>24632</v>
      </c>
      <c r="AM1911">
        <v>12600</v>
      </c>
      <c r="AS1911">
        <v>0</v>
      </c>
      <c r="AU1911" t="s">
        <v>237</v>
      </c>
      <c r="AV1911" t="s">
        <v>25335</v>
      </c>
      <c r="AW1911" t="s">
        <v>11447</v>
      </c>
    </row>
    <row r="1912" spans="1:49">
      <c r="A1912" s="1">
        <f>HYPERLINK("https://lsnyc.legalserver.org/matter/dynamic-profile/view/1914143","19-1914143")</f>
        <v>0</v>
      </c>
      <c r="B1912" t="s">
        <v>67</v>
      </c>
      <c r="C1912" t="s">
        <v>580</v>
      </c>
      <c r="E1912" t="s">
        <v>2105</v>
      </c>
      <c r="F1912" t="s">
        <v>4650</v>
      </c>
      <c r="G1912" t="s">
        <v>7596</v>
      </c>
      <c r="H1912" t="s">
        <v>10594</v>
      </c>
      <c r="I1912" t="s">
        <v>11383</v>
      </c>
      <c r="J1912">
        <v>10456</v>
      </c>
      <c r="K1912" t="s">
        <v>11447</v>
      </c>
      <c r="M1912" t="s">
        <v>14762</v>
      </c>
      <c r="N1912" t="s">
        <v>14783</v>
      </c>
      <c r="P1912" t="s">
        <v>14797</v>
      </c>
      <c r="Q1912" t="s">
        <v>11446</v>
      </c>
      <c r="S1912" t="s">
        <v>14827</v>
      </c>
      <c r="V1912">
        <v>1150</v>
      </c>
      <c r="W1912" t="s">
        <v>14858</v>
      </c>
      <c r="X1912" t="s">
        <v>14864</v>
      </c>
      <c r="Z1912" t="s">
        <v>16548</v>
      </c>
      <c r="AB1912" t="s">
        <v>21587</v>
      </c>
      <c r="AC1912">
        <v>30</v>
      </c>
      <c r="AD1912" t="s">
        <v>24595</v>
      </c>
      <c r="AF1912">
        <v>23</v>
      </c>
      <c r="AG1912">
        <v>2</v>
      </c>
      <c r="AH1912">
        <v>2</v>
      </c>
      <c r="AI1912">
        <v>60.58</v>
      </c>
      <c r="AL1912" t="s">
        <v>5011</v>
      </c>
      <c r="AM1912">
        <v>15600</v>
      </c>
      <c r="AS1912">
        <v>0</v>
      </c>
      <c r="AU1912" t="s">
        <v>67</v>
      </c>
      <c r="AW1912" t="s">
        <v>11447</v>
      </c>
    </row>
    <row r="1913" spans="1:49">
      <c r="A1913" s="1">
        <f>HYPERLINK("https://lsnyc.legalserver.org/matter/dynamic-profile/view/1875921","18-1875921")</f>
        <v>0</v>
      </c>
      <c r="B1913" t="s">
        <v>174</v>
      </c>
      <c r="C1913" t="s">
        <v>605</v>
      </c>
      <c r="E1913" t="s">
        <v>1041</v>
      </c>
      <c r="F1913" t="s">
        <v>4651</v>
      </c>
      <c r="G1913" t="s">
        <v>7581</v>
      </c>
      <c r="H1913" t="s">
        <v>10891</v>
      </c>
      <c r="I1913" t="s">
        <v>11385</v>
      </c>
      <c r="J1913">
        <v>11225</v>
      </c>
      <c r="K1913" t="s">
        <v>11446</v>
      </c>
      <c r="L1913" t="s">
        <v>11601</v>
      </c>
      <c r="M1913" t="s">
        <v>11601</v>
      </c>
      <c r="N1913" t="s">
        <v>14779</v>
      </c>
      <c r="P1913" t="s">
        <v>14797</v>
      </c>
      <c r="Q1913" t="s">
        <v>11448</v>
      </c>
      <c r="S1913" t="s">
        <v>14827</v>
      </c>
      <c r="V1913">
        <v>795.52</v>
      </c>
      <c r="W1913" t="s">
        <v>14859</v>
      </c>
      <c r="X1913" t="s">
        <v>14864</v>
      </c>
      <c r="Z1913" t="s">
        <v>16549</v>
      </c>
      <c r="AB1913" t="s">
        <v>21588</v>
      </c>
      <c r="AC1913">
        <v>89</v>
      </c>
      <c r="AD1913" t="s">
        <v>24595</v>
      </c>
      <c r="AE1913" t="s">
        <v>24610</v>
      </c>
      <c r="AF1913">
        <v>35</v>
      </c>
      <c r="AG1913">
        <v>2</v>
      </c>
      <c r="AH1913">
        <v>0</v>
      </c>
      <c r="AI1913">
        <v>60.66</v>
      </c>
      <c r="AL1913" t="s">
        <v>5011</v>
      </c>
      <c r="AM1913">
        <v>9984</v>
      </c>
      <c r="AN1913" t="s">
        <v>24789</v>
      </c>
      <c r="AS1913">
        <v>0</v>
      </c>
      <c r="AU1913" t="s">
        <v>66</v>
      </c>
      <c r="AW1913" t="s">
        <v>11446</v>
      </c>
    </row>
    <row r="1914" spans="1:49">
      <c r="A1914" s="1">
        <f>HYPERLINK("https://lsnyc.legalserver.org/matter/dynamic-profile/view/1893344","19-1893344")</f>
        <v>0</v>
      </c>
      <c r="B1914" t="s">
        <v>165</v>
      </c>
      <c r="C1914" t="s">
        <v>691</v>
      </c>
      <c r="E1914" t="s">
        <v>2106</v>
      </c>
      <c r="F1914" t="s">
        <v>3877</v>
      </c>
      <c r="G1914" t="s">
        <v>7682</v>
      </c>
      <c r="H1914" t="s">
        <v>10522</v>
      </c>
      <c r="I1914" t="s">
        <v>11384</v>
      </c>
      <c r="J1914">
        <v>10301</v>
      </c>
      <c r="K1914" t="s">
        <v>11446</v>
      </c>
      <c r="L1914" t="s">
        <v>12079</v>
      </c>
      <c r="M1914" t="s">
        <v>14744</v>
      </c>
      <c r="N1914" t="s">
        <v>14781</v>
      </c>
      <c r="P1914" t="s">
        <v>14797</v>
      </c>
      <c r="Q1914" t="s">
        <v>11448</v>
      </c>
      <c r="S1914" t="s">
        <v>14827</v>
      </c>
      <c r="T1914" t="s">
        <v>14837</v>
      </c>
      <c r="V1914">
        <v>600</v>
      </c>
      <c r="W1914" t="s">
        <v>14862</v>
      </c>
      <c r="Z1914" t="s">
        <v>16094</v>
      </c>
      <c r="AB1914" t="s">
        <v>21589</v>
      </c>
      <c r="AC1914">
        <v>15</v>
      </c>
      <c r="AD1914" t="s">
        <v>24595</v>
      </c>
      <c r="AE1914" t="s">
        <v>11459</v>
      </c>
      <c r="AF1914">
        <v>0</v>
      </c>
      <c r="AG1914">
        <v>2</v>
      </c>
      <c r="AH1914">
        <v>0</v>
      </c>
      <c r="AI1914">
        <v>60.89</v>
      </c>
      <c r="AL1914" t="s">
        <v>5011</v>
      </c>
      <c r="AM1914">
        <v>10296</v>
      </c>
      <c r="AS1914">
        <v>33.1</v>
      </c>
      <c r="AT1914" t="s">
        <v>495</v>
      </c>
      <c r="AU1914" t="s">
        <v>25271</v>
      </c>
      <c r="AW1914" t="s">
        <v>11447</v>
      </c>
    </row>
    <row r="1915" spans="1:49">
      <c r="A1915" s="1">
        <f>HYPERLINK("https://lsnyc.legalserver.org/matter/dynamic-profile/view/1846318","17-1846318")</f>
        <v>0</v>
      </c>
      <c r="B1915" t="s">
        <v>242</v>
      </c>
      <c r="C1915" t="s">
        <v>408</v>
      </c>
      <c r="E1915" t="s">
        <v>1127</v>
      </c>
      <c r="F1915" t="s">
        <v>3809</v>
      </c>
      <c r="G1915" t="s">
        <v>7683</v>
      </c>
      <c r="H1915" t="s">
        <v>10892</v>
      </c>
      <c r="I1915" t="s">
        <v>11386</v>
      </c>
      <c r="J1915">
        <v>10002</v>
      </c>
      <c r="K1915" t="s">
        <v>11447</v>
      </c>
      <c r="N1915" t="s">
        <v>14780</v>
      </c>
      <c r="P1915" t="s">
        <v>14797</v>
      </c>
      <c r="R1915" t="s">
        <v>14811</v>
      </c>
      <c r="S1915" t="s">
        <v>14830</v>
      </c>
      <c r="V1915">
        <v>0</v>
      </c>
      <c r="W1915" t="s">
        <v>14860</v>
      </c>
      <c r="Z1915" t="s">
        <v>16550</v>
      </c>
      <c r="AC1915">
        <v>0</v>
      </c>
      <c r="AF1915">
        <v>0</v>
      </c>
      <c r="AG1915">
        <v>2</v>
      </c>
      <c r="AH1915">
        <v>0</v>
      </c>
      <c r="AI1915">
        <v>61.33</v>
      </c>
      <c r="AL1915" t="s">
        <v>24632</v>
      </c>
      <c r="AM1915">
        <v>9960</v>
      </c>
      <c r="AS1915">
        <v>8</v>
      </c>
      <c r="AT1915" t="s">
        <v>548</v>
      </c>
      <c r="AU1915" t="s">
        <v>25288</v>
      </c>
      <c r="AW1915" t="s">
        <v>11447</v>
      </c>
    </row>
    <row r="1916" spans="1:49">
      <c r="A1916" s="1">
        <f>HYPERLINK("https://lsnyc.legalserver.org/matter/dynamic-profile/view/1907485","19-1907485")</f>
        <v>0</v>
      </c>
      <c r="B1916" t="s">
        <v>100</v>
      </c>
      <c r="C1916" t="s">
        <v>465</v>
      </c>
      <c r="E1916" t="s">
        <v>1354</v>
      </c>
      <c r="F1916" t="s">
        <v>3662</v>
      </c>
      <c r="G1916" t="s">
        <v>7287</v>
      </c>
      <c r="H1916" t="s">
        <v>10547</v>
      </c>
      <c r="I1916" t="s">
        <v>11383</v>
      </c>
      <c r="J1916">
        <v>10455</v>
      </c>
      <c r="K1916" t="s">
        <v>11446</v>
      </c>
      <c r="N1916" t="s">
        <v>14779</v>
      </c>
      <c r="P1916" t="s">
        <v>14797</v>
      </c>
      <c r="Q1916" t="s">
        <v>11446</v>
      </c>
      <c r="S1916" t="s">
        <v>14827</v>
      </c>
      <c r="V1916">
        <v>347</v>
      </c>
      <c r="W1916" t="s">
        <v>14858</v>
      </c>
      <c r="X1916" t="s">
        <v>14868</v>
      </c>
      <c r="Z1916" t="s">
        <v>15982</v>
      </c>
      <c r="AB1916" t="s">
        <v>21070</v>
      </c>
      <c r="AC1916">
        <v>40</v>
      </c>
      <c r="AD1916" t="s">
        <v>24595</v>
      </c>
      <c r="AF1916">
        <v>42</v>
      </c>
      <c r="AG1916">
        <v>2</v>
      </c>
      <c r="AH1916">
        <v>0</v>
      </c>
      <c r="AI1916">
        <v>61.5</v>
      </c>
      <c r="AL1916" t="s">
        <v>5011</v>
      </c>
      <c r="AM1916">
        <v>10400</v>
      </c>
      <c r="AS1916">
        <v>6.5</v>
      </c>
      <c r="AT1916" t="s">
        <v>465</v>
      </c>
      <c r="AU1916" t="s">
        <v>57</v>
      </c>
      <c r="AV1916" t="s">
        <v>25335</v>
      </c>
      <c r="AW1916" t="s">
        <v>11447</v>
      </c>
    </row>
    <row r="1917" spans="1:49">
      <c r="A1917" s="1">
        <f>HYPERLINK("https://lsnyc.legalserver.org/matter/dynamic-profile/view/1856982","18-1856982")</f>
        <v>0</v>
      </c>
      <c r="B1917" t="s">
        <v>100</v>
      </c>
      <c r="C1917" t="s">
        <v>673</v>
      </c>
      <c r="E1917" t="s">
        <v>2107</v>
      </c>
      <c r="F1917" t="s">
        <v>4652</v>
      </c>
      <c r="G1917" t="s">
        <v>7569</v>
      </c>
      <c r="H1917" t="s">
        <v>10893</v>
      </c>
      <c r="I1917" t="s">
        <v>11383</v>
      </c>
      <c r="J1917">
        <v>10452</v>
      </c>
      <c r="K1917" t="s">
        <v>11447</v>
      </c>
      <c r="L1917" t="s">
        <v>12031</v>
      </c>
      <c r="M1917" t="s">
        <v>14756</v>
      </c>
      <c r="N1917" t="s">
        <v>14783</v>
      </c>
      <c r="P1917" t="s">
        <v>14797</v>
      </c>
      <c r="Q1917" t="s">
        <v>11446</v>
      </c>
      <c r="S1917" t="s">
        <v>14827</v>
      </c>
      <c r="V1917">
        <v>1197.41</v>
      </c>
      <c r="W1917" t="s">
        <v>14858</v>
      </c>
      <c r="X1917" t="s">
        <v>14864</v>
      </c>
      <c r="Z1917" t="s">
        <v>16551</v>
      </c>
      <c r="AA1917" t="s">
        <v>19484</v>
      </c>
      <c r="AC1917">
        <v>0</v>
      </c>
      <c r="AF1917">
        <v>0</v>
      </c>
      <c r="AG1917">
        <v>2</v>
      </c>
      <c r="AH1917">
        <v>5</v>
      </c>
      <c r="AI1917">
        <v>61.93</v>
      </c>
      <c r="AL1917" t="s">
        <v>5011</v>
      </c>
      <c r="AM1917">
        <v>23000.04</v>
      </c>
      <c r="AN1917" t="s">
        <v>24794</v>
      </c>
      <c r="AS1917">
        <v>0</v>
      </c>
      <c r="AU1917" t="s">
        <v>25268</v>
      </c>
      <c r="AW1917" t="s">
        <v>11446</v>
      </c>
    </row>
    <row r="1918" spans="1:49">
      <c r="A1918" s="1">
        <f>HYPERLINK("https://lsnyc.legalserver.org/matter/dynamic-profile/view/1857459","18-1857459")</f>
        <v>0</v>
      </c>
      <c r="B1918" t="s">
        <v>100</v>
      </c>
      <c r="C1918" t="s">
        <v>675</v>
      </c>
      <c r="E1918" t="s">
        <v>2107</v>
      </c>
      <c r="F1918" t="s">
        <v>4652</v>
      </c>
      <c r="G1918" t="s">
        <v>7569</v>
      </c>
      <c r="H1918" t="s">
        <v>10893</v>
      </c>
      <c r="I1918" t="s">
        <v>11383</v>
      </c>
      <c r="J1918">
        <v>10452</v>
      </c>
      <c r="K1918" t="s">
        <v>11447</v>
      </c>
      <c r="L1918" t="s">
        <v>12032</v>
      </c>
      <c r="M1918" t="s">
        <v>14756</v>
      </c>
      <c r="N1918" t="s">
        <v>14783</v>
      </c>
      <c r="P1918" t="s">
        <v>14797</v>
      </c>
      <c r="Q1918" t="s">
        <v>11446</v>
      </c>
      <c r="S1918" t="s">
        <v>14827</v>
      </c>
      <c r="V1918">
        <v>1197.41</v>
      </c>
      <c r="W1918" t="s">
        <v>14858</v>
      </c>
      <c r="X1918" t="s">
        <v>14864</v>
      </c>
      <c r="Z1918" t="s">
        <v>16551</v>
      </c>
      <c r="AA1918" t="s">
        <v>19485</v>
      </c>
      <c r="AC1918">
        <v>122</v>
      </c>
      <c r="AD1918" t="s">
        <v>24595</v>
      </c>
      <c r="AE1918" t="s">
        <v>11459</v>
      </c>
      <c r="AF1918">
        <v>0</v>
      </c>
      <c r="AG1918">
        <v>2</v>
      </c>
      <c r="AH1918">
        <v>5</v>
      </c>
      <c r="AI1918">
        <v>61.93</v>
      </c>
      <c r="AL1918" t="s">
        <v>5011</v>
      </c>
      <c r="AM1918">
        <v>23000</v>
      </c>
      <c r="AN1918" t="s">
        <v>24794</v>
      </c>
      <c r="AS1918">
        <v>0</v>
      </c>
      <c r="AU1918" t="s">
        <v>25268</v>
      </c>
      <c r="AW1918" t="s">
        <v>11446</v>
      </c>
    </row>
    <row r="1919" spans="1:49">
      <c r="A1919" s="1">
        <f>HYPERLINK("https://lsnyc.legalserver.org/matter/dynamic-profile/view/1913315","19-1913315")</f>
        <v>0</v>
      </c>
      <c r="B1919" t="s">
        <v>167</v>
      </c>
      <c r="C1919" t="s">
        <v>483</v>
      </c>
      <c r="E1919" t="s">
        <v>1399</v>
      </c>
      <c r="F1919" t="s">
        <v>3614</v>
      </c>
      <c r="G1919" t="s">
        <v>7684</v>
      </c>
      <c r="I1919" t="s">
        <v>11418</v>
      </c>
      <c r="J1919">
        <v>11412</v>
      </c>
      <c r="K1919" t="s">
        <v>11446</v>
      </c>
      <c r="L1919" t="s">
        <v>12080</v>
      </c>
      <c r="M1919" t="s">
        <v>14743</v>
      </c>
      <c r="N1919" t="s">
        <v>14779</v>
      </c>
      <c r="P1919" t="s">
        <v>14797</v>
      </c>
      <c r="Q1919" t="s">
        <v>11448</v>
      </c>
      <c r="S1919" t="s">
        <v>14827</v>
      </c>
      <c r="V1919">
        <v>900</v>
      </c>
      <c r="W1919" t="s">
        <v>14861</v>
      </c>
      <c r="X1919" t="s">
        <v>14865</v>
      </c>
      <c r="Z1919" t="s">
        <v>16552</v>
      </c>
      <c r="AA1919" t="s">
        <v>19486</v>
      </c>
      <c r="AB1919" t="s">
        <v>21590</v>
      </c>
      <c r="AC1919">
        <v>1</v>
      </c>
      <c r="AD1919" t="s">
        <v>24600</v>
      </c>
      <c r="AE1919" t="s">
        <v>11459</v>
      </c>
      <c r="AF1919">
        <v>8</v>
      </c>
      <c r="AG1919">
        <v>1</v>
      </c>
      <c r="AH1919">
        <v>1</v>
      </c>
      <c r="AI1919">
        <v>62.09</v>
      </c>
      <c r="AL1919" t="s">
        <v>5011</v>
      </c>
      <c r="AM1919">
        <v>10500</v>
      </c>
      <c r="AS1919">
        <v>1.63</v>
      </c>
      <c r="AT1919" t="s">
        <v>509</v>
      </c>
      <c r="AU1919" t="s">
        <v>25233</v>
      </c>
      <c r="AV1919" t="s">
        <v>25335</v>
      </c>
      <c r="AW1919" t="s">
        <v>11447</v>
      </c>
    </row>
    <row r="1920" spans="1:49">
      <c r="A1920" s="1">
        <f>HYPERLINK("https://lsnyc.legalserver.org/matter/dynamic-profile/view/0806186","16-0806186")</f>
        <v>0</v>
      </c>
      <c r="B1920" t="s">
        <v>100</v>
      </c>
      <c r="C1920" t="s">
        <v>672</v>
      </c>
      <c r="E1920" t="s">
        <v>2107</v>
      </c>
      <c r="F1920" t="s">
        <v>4652</v>
      </c>
      <c r="G1920" t="s">
        <v>7569</v>
      </c>
      <c r="H1920" t="s">
        <v>10893</v>
      </c>
      <c r="I1920" t="s">
        <v>11383</v>
      </c>
      <c r="J1920">
        <v>10452</v>
      </c>
      <c r="K1920" t="s">
        <v>11448</v>
      </c>
      <c r="L1920" t="s">
        <v>12030</v>
      </c>
      <c r="M1920" t="s">
        <v>14763</v>
      </c>
      <c r="N1920" t="s">
        <v>14781</v>
      </c>
      <c r="P1920" t="s">
        <v>14797</v>
      </c>
      <c r="Q1920" t="s">
        <v>11446</v>
      </c>
      <c r="S1920" t="s">
        <v>14827</v>
      </c>
      <c r="V1920">
        <v>1197.41</v>
      </c>
      <c r="W1920" t="s">
        <v>14858</v>
      </c>
      <c r="X1920" t="s">
        <v>14864</v>
      </c>
      <c r="Z1920" t="s">
        <v>16551</v>
      </c>
      <c r="AA1920" t="s">
        <v>19485</v>
      </c>
      <c r="AC1920">
        <v>122</v>
      </c>
      <c r="AD1920" t="s">
        <v>24595</v>
      </c>
      <c r="AE1920" t="s">
        <v>11459</v>
      </c>
      <c r="AF1920">
        <v>8</v>
      </c>
      <c r="AG1920">
        <v>2</v>
      </c>
      <c r="AH1920">
        <v>5</v>
      </c>
      <c r="AI1920">
        <v>62.62</v>
      </c>
      <c r="AL1920" t="s">
        <v>5011</v>
      </c>
      <c r="AM1920">
        <v>23000</v>
      </c>
      <c r="AN1920" t="s">
        <v>24795</v>
      </c>
      <c r="AS1920">
        <v>0.1</v>
      </c>
      <c r="AT1920" t="s">
        <v>25136</v>
      </c>
      <c r="AU1920" t="s">
        <v>186</v>
      </c>
      <c r="AW1920" t="s">
        <v>11446</v>
      </c>
    </row>
    <row r="1921" spans="1:49">
      <c r="A1921" s="1">
        <f>HYPERLINK("https://lsnyc.legalserver.org/matter/dynamic-profile/view/1906228","19-1906228")</f>
        <v>0</v>
      </c>
      <c r="B1921" t="s">
        <v>216</v>
      </c>
      <c r="C1921" t="s">
        <v>553</v>
      </c>
      <c r="E1921" t="s">
        <v>1224</v>
      </c>
      <c r="F1921" t="s">
        <v>4653</v>
      </c>
      <c r="G1921" t="s">
        <v>7685</v>
      </c>
      <c r="H1921" t="s">
        <v>10481</v>
      </c>
      <c r="I1921" t="s">
        <v>11383</v>
      </c>
      <c r="J1921">
        <v>10463</v>
      </c>
      <c r="K1921" t="s">
        <v>11448</v>
      </c>
      <c r="N1921" t="s">
        <v>14782</v>
      </c>
      <c r="P1921" t="s">
        <v>14797</v>
      </c>
      <c r="Q1921" t="s">
        <v>11448</v>
      </c>
      <c r="S1921" t="s">
        <v>14827</v>
      </c>
      <c r="V1921">
        <v>975.72</v>
      </c>
      <c r="W1921" t="s">
        <v>14860</v>
      </c>
      <c r="X1921" t="s">
        <v>14867</v>
      </c>
      <c r="Z1921" t="s">
        <v>16553</v>
      </c>
      <c r="AB1921" t="s">
        <v>21591</v>
      </c>
      <c r="AC1921">
        <v>41</v>
      </c>
      <c r="AD1921" t="s">
        <v>24595</v>
      </c>
      <c r="AE1921" t="s">
        <v>11459</v>
      </c>
      <c r="AF1921">
        <v>21</v>
      </c>
      <c r="AG1921">
        <v>1</v>
      </c>
      <c r="AH1921">
        <v>1</v>
      </c>
      <c r="AI1921">
        <v>62.73</v>
      </c>
      <c r="AL1921" t="s">
        <v>24632</v>
      </c>
      <c r="AM1921">
        <v>10608</v>
      </c>
      <c r="AN1921" t="s">
        <v>24796</v>
      </c>
      <c r="AS1921">
        <v>0</v>
      </c>
      <c r="AU1921" t="s">
        <v>137</v>
      </c>
      <c r="AV1921" t="s">
        <v>25335</v>
      </c>
      <c r="AW1921" t="s">
        <v>11447</v>
      </c>
    </row>
    <row r="1922" spans="1:49">
      <c r="A1922" s="1">
        <f>HYPERLINK("https://lsnyc.legalserver.org/matter/dynamic-profile/view/1905447","19-1905447")</f>
        <v>0</v>
      </c>
      <c r="B1922" t="s">
        <v>230</v>
      </c>
      <c r="C1922" t="s">
        <v>480</v>
      </c>
      <c r="E1922" t="s">
        <v>1256</v>
      </c>
      <c r="F1922" t="s">
        <v>4654</v>
      </c>
      <c r="G1922" t="s">
        <v>7686</v>
      </c>
      <c r="H1922" t="s">
        <v>10598</v>
      </c>
      <c r="I1922" t="s">
        <v>11383</v>
      </c>
      <c r="J1922">
        <v>10451</v>
      </c>
      <c r="K1922" t="s">
        <v>11446</v>
      </c>
      <c r="M1922" t="s">
        <v>14747</v>
      </c>
      <c r="N1922" t="s">
        <v>14778</v>
      </c>
      <c r="P1922" t="s">
        <v>14797</v>
      </c>
      <c r="Q1922" t="s">
        <v>11448</v>
      </c>
      <c r="S1922" t="s">
        <v>14827</v>
      </c>
      <c r="V1922">
        <v>1200</v>
      </c>
      <c r="W1922" t="s">
        <v>14858</v>
      </c>
      <c r="X1922" t="s">
        <v>14864</v>
      </c>
      <c r="Z1922" t="s">
        <v>16554</v>
      </c>
      <c r="AC1922">
        <v>93</v>
      </c>
      <c r="AD1922" t="s">
        <v>24595</v>
      </c>
      <c r="AE1922" t="s">
        <v>24611</v>
      </c>
      <c r="AF1922">
        <v>13</v>
      </c>
      <c r="AG1922">
        <v>1</v>
      </c>
      <c r="AH1922">
        <v>0</v>
      </c>
      <c r="AI1922">
        <v>63.41</v>
      </c>
      <c r="AL1922" t="s">
        <v>5011</v>
      </c>
      <c r="AM1922">
        <v>7920</v>
      </c>
      <c r="AN1922" t="s">
        <v>24797</v>
      </c>
      <c r="AS1922">
        <v>1</v>
      </c>
      <c r="AT1922" t="s">
        <v>480</v>
      </c>
      <c r="AU1922" t="s">
        <v>230</v>
      </c>
      <c r="AV1922" t="s">
        <v>11459</v>
      </c>
      <c r="AW1922" t="s">
        <v>11447</v>
      </c>
    </row>
    <row r="1923" spans="1:49">
      <c r="A1923" s="1">
        <f>HYPERLINK("https://lsnyc.legalserver.org/matter/dynamic-profile/view/1912700","19-1912700")</f>
        <v>0</v>
      </c>
      <c r="B1923" t="s">
        <v>140</v>
      </c>
      <c r="C1923" t="s">
        <v>578</v>
      </c>
      <c r="E1923" t="s">
        <v>2108</v>
      </c>
      <c r="F1923" t="s">
        <v>3758</v>
      </c>
      <c r="G1923" t="s">
        <v>7687</v>
      </c>
      <c r="H1923" t="s">
        <v>10510</v>
      </c>
      <c r="I1923" t="s">
        <v>11383</v>
      </c>
      <c r="J1923">
        <v>10453</v>
      </c>
      <c r="K1923" t="s">
        <v>11446</v>
      </c>
      <c r="L1923" t="s">
        <v>12081</v>
      </c>
      <c r="M1923" t="s">
        <v>14744</v>
      </c>
      <c r="P1923" t="s">
        <v>14797</v>
      </c>
      <c r="Q1923" t="s">
        <v>11448</v>
      </c>
      <c r="S1923" t="s">
        <v>14827</v>
      </c>
      <c r="V1923">
        <v>1956</v>
      </c>
      <c r="W1923" t="s">
        <v>14858</v>
      </c>
      <c r="X1923" t="s">
        <v>14868</v>
      </c>
      <c r="Z1923" t="s">
        <v>16555</v>
      </c>
      <c r="AB1923" t="s">
        <v>21592</v>
      </c>
      <c r="AC1923">
        <v>0</v>
      </c>
      <c r="AD1923" t="s">
        <v>11479</v>
      </c>
      <c r="AE1923" t="s">
        <v>24616</v>
      </c>
      <c r="AF1923">
        <v>4</v>
      </c>
      <c r="AG1923">
        <v>3</v>
      </c>
      <c r="AH1923">
        <v>4</v>
      </c>
      <c r="AI1923">
        <v>64.59999999999999</v>
      </c>
      <c r="AL1923" t="s">
        <v>5011</v>
      </c>
      <c r="AM1923">
        <v>25200</v>
      </c>
      <c r="AS1923">
        <v>2</v>
      </c>
      <c r="AT1923" t="s">
        <v>578</v>
      </c>
      <c r="AU1923" t="s">
        <v>237</v>
      </c>
      <c r="AV1923" t="s">
        <v>25335</v>
      </c>
      <c r="AW1923" t="s">
        <v>11447</v>
      </c>
    </row>
    <row r="1924" spans="1:49">
      <c r="A1924" s="1">
        <f>HYPERLINK("https://lsnyc.legalserver.org/matter/dynamic-profile/view/1904509","19-1904509")</f>
        <v>0</v>
      </c>
      <c r="B1924" t="s">
        <v>90</v>
      </c>
      <c r="C1924" t="s">
        <v>493</v>
      </c>
      <c r="E1924" t="s">
        <v>2109</v>
      </c>
      <c r="F1924" t="s">
        <v>4655</v>
      </c>
      <c r="G1924" t="s">
        <v>7688</v>
      </c>
      <c r="H1924" t="s">
        <v>10482</v>
      </c>
      <c r="I1924" t="s">
        <v>11383</v>
      </c>
      <c r="J1924">
        <v>10459</v>
      </c>
      <c r="K1924" t="s">
        <v>11446</v>
      </c>
      <c r="L1924" t="s">
        <v>12082</v>
      </c>
      <c r="M1924" t="s">
        <v>14744</v>
      </c>
      <c r="N1924" t="s">
        <v>14781</v>
      </c>
      <c r="P1924" t="s">
        <v>14797</v>
      </c>
      <c r="Q1924" t="s">
        <v>11446</v>
      </c>
      <c r="S1924" t="s">
        <v>14827</v>
      </c>
      <c r="T1924" t="s">
        <v>14832</v>
      </c>
      <c r="V1924">
        <v>450</v>
      </c>
      <c r="W1924" t="s">
        <v>14858</v>
      </c>
      <c r="X1924" t="s">
        <v>14868</v>
      </c>
      <c r="Z1924" t="s">
        <v>16556</v>
      </c>
      <c r="AA1924" t="s">
        <v>19487</v>
      </c>
      <c r="AB1924" t="s">
        <v>21593</v>
      </c>
      <c r="AC1924">
        <v>0</v>
      </c>
      <c r="AD1924" t="s">
        <v>24596</v>
      </c>
      <c r="AE1924" t="s">
        <v>24610</v>
      </c>
      <c r="AF1924">
        <v>23</v>
      </c>
      <c r="AG1924">
        <v>2</v>
      </c>
      <c r="AH1924">
        <v>2</v>
      </c>
      <c r="AI1924">
        <v>65.23999999999999</v>
      </c>
      <c r="AL1924" t="s">
        <v>5011</v>
      </c>
      <c r="AM1924">
        <v>16800</v>
      </c>
      <c r="AS1924">
        <v>4.4</v>
      </c>
      <c r="AT1924" t="s">
        <v>368</v>
      </c>
      <c r="AU1924" t="s">
        <v>90</v>
      </c>
      <c r="AV1924" t="s">
        <v>25334</v>
      </c>
      <c r="AW1924" t="s">
        <v>11447</v>
      </c>
    </row>
    <row r="1925" spans="1:49">
      <c r="A1925" s="1">
        <f>HYPERLINK("https://lsnyc.legalserver.org/matter/dynamic-profile/view/0802051","16-0802051")</f>
        <v>0</v>
      </c>
      <c r="B1925" t="s">
        <v>198</v>
      </c>
      <c r="C1925" t="s">
        <v>692</v>
      </c>
      <c r="E1925" t="s">
        <v>1120</v>
      </c>
      <c r="F1925" t="s">
        <v>4275</v>
      </c>
      <c r="G1925" t="s">
        <v>7689</v>
      </c>
      <c r="H1925" t="s">
        <v>10866</v>
      </c>
      <c r="I1925" t="s">
        <v>11385</v>
      </c>
      <c r="J1925">
        <v>11225</v>
      </c>
      <c r="K1925" t="s">
        <v>11446</v>
      </c>
      <c r="L1925" t="s">
        <v>12083</v>
      </c>
      <c r="M1925" t="s">
        <v>14743</v>
      </c>
      <c r="N1925" t="s">
        <v>14781</v>
      </c>
      <c r="P1925" t="s">
        <v>14797</v>
      </c>
      <c r="Q1925" t="s">
        <v>11448</v>
      </c>
      <c r="R1925" t="s">
        <v>14812</v>
      </c>
      <c r="S1925" t="s">
        <v>14827</v>
      </c>
      <c r="V1925">
        <v>143</v>
      </c>
      <c r="W1925" t="s">
        <v>14859</v>
      </c>
      <c r="X1925" t="s">
        <v>14874</v>
      </c>
      <c r="Z1925" t="s">
        <v>16557</v>
      </c>
      <c r="AA1925" t="s">
        <v>19488</v>
      </c>
      <c r="AB1925" t="s">
        <v>21594</v>
      </c>
      <c r="AC1925">
        <v>0</v>
      </c>
      <c r="AD1925" t="s">
        <v>24599</v>
      </c>
      <c r="AF1925">
        <v>9</v>
      </c>
      <c r="AG1925">
        <v>1</v>
      </c>
      <c r="AH1925">
        <v>0</v>
      </c>
      <c r="AI1925">
        <v>65.66</v>
      </c>
      <c r="AL1925" t="s">
        <v>5011</v>
      </c>
      <c r="AM1925">
        <v>7800</v>
      </c>
      <c r="AS1925">
        <v>30.6</v>
      </c>
      <c r="AT1925" t="s">
        <v>481</v>
      </c>
      <c r="AU1925" t="s">
        <v>263</v>
      </c>
      <c r="AV1925" t="s">
        <v>25334</v>
      </c>
      <c r="AW1925" t="s">
        <v>11447</v>
      </c>
    </row>
    <row r="1926" spans="1:49">
      <c r="A1926" s="1">
        <f>HYPERLINK("https://lsnyc.legalserver.org/matter/dynamic-profile/view/1907493","19-1907493")</f>
        <v>0</v>
      </c>
      <c r="B1926" t="s">
        <v>78</v>
      </c>
      <c r="C1926" t="s">
        <v>465</v>
      </c>
      <c r="E1926" t="s">
        <v>1648</v>
      </c>
      <c r="F1926" t="s">
        <v>4145</v>
      </c>
      <c r="G1926" t="s">
        <v>7089</v>
      </c>
      <c r="H1926" t="s">
        <v>10732</v>
      </c>
      <c r="I1926" t="s">
        <v>11383</v>
      </c>
      <c r="J1926">
        <v>10452</v>
      </c>
      <c r="K1926" t="s">
        <v>11447</v>
      </c>
      <c r="M1926" t="s">
        <v>11601</v>
      </c>
      <c r="N1926" t="s">
        <v>14778</v>
      </c>
      <c r="P1926" t="s">
        <v>14797</v>
      </c>
      <c r="Q1926" t="s">
        <v>11446</v>
      </c>
      <c r="S1926" t="s">
        <v>14827</v>
      </c>
      <c r="T1926" t="s">
        <v>14832</v>
      </c>
      <c r="V1926">
        <v>1400</v>
      </c>
      <c r="W1926" t="s">
        <v>14858</v>
      </c>
      <c r="X1926" t="s">
        <v>14868</v>
      </c>
      <c r="Z1926" t="s">
        <v>15723</v>
      </c>
      <c r="AB1926" t="s">
        <v>21595</v>
      </c>
      <c r="AC1926">
        <v>0</v>
      </c>
      <c r="AD1926" t="s">
        <v>24595</v>
      </c>
      <c r="AE1926" t="s">
        <v>24615</v>
      </c>
      <c r="AF1926">
        <v>5</v>
      </c>
      <c r="AG1926">
        <v>2</v>
      </c>
      <c r="AH1926">
        <v>3</v>
      </c>
      <c r="AI1926">
        <v>66.29000000000001</v>
      </c>
      <c r="AL1926" t="s">
        <v>5011</v>
      </c>
      <c r="AM1926">
        <v>20000</v>
      </c>
      <c r="AS1926">
        <v>0</v>
      </c>
      <c r="AU1926" t="s">
        <v>78</v>
      </c>
      <c r="AW1926" t="s">
        <v>11447</v>
      </c>
    </row>
    <row r="1927" spans="1:49">
      <c r="A1927" s="1">
        <f>HYPERLINK("https://lsnyc.legalserver.org/matter/dynamic-profile/view/1907807","19-1907807")</f>
        <v>0</v>
      </c>
      <c r="B1927" t="s">
        <v>100</v>
      </c>
      <c r="C1927" t="s">
        <v>377</v>
      </c>
      <c r="E1927" t="s">
        <v>2110</v>
      </c>
      <c r="F1927" t="s">
        <v>4656</v>
      </c>
      <c r="G1927" t="s">
        <v>7690</v>
      </c>
      <c r="H1927" t="s">
        <v>10894</v>
      </c>
      <c r="I1927" t="s">
        <v>11383</v>
      </c>
      <c r="J1927">
        <v>10467</v>
      </c>
      <c r="K1927" t="s">
        <v>11446</v>
      </c>
      <c r="P1927" t="s">
        <v>14797</v>
      </c>
      <c r="Q1927" t="s">
        <v>11446</v>
      </c>
      <c r="S1927" t="s">
        <v>14827</v>
      </c>
      <c r="V1927">
        <v>1531.65</v>
      </c>
      <c r="W1927" t="s">
        <v>14858</v>
      </c>
      <c r="X1927" t="s">
        <v>14864</v>
      </c>
      <c r="Z1927" t="s">
        <v>16558</v>
      </c>
      <c r="AA1927">
        <v>4043580</v>
      </c>
      <c r="AB1927" t="s">
        <v>21596</v>
      </c>
      <c r="AC1927">
        <v>0</v>
      </c>
      <c r="AD1927" t="s">
        <v>24595</v>
      </c>
      <c r="AE1927" t="s">
        <v>24610</v>
      </c>
      <c r="AF1927">
        <v>15</v>
      </c>
      <c r="AG1927">
        <v>2</v>
      </c>
      <c r="AH1927">
        <v>0</v>
      </c>
      <c r="AI1927">
        <v>66.48999999999999</v>
      </c>
      <c r="AL1927" t="s">
        <v>5011</v>
      </c>
      <c r="AM1927">
        <v>11244</v>
      </c>
      <c r="AS1927">
        <v>0</v>
      </c>
      <c r="AU1927" t="s">
        <v>25268</v>
      </c>
      <c r="AV1927" t="s">
        <v>25335</v>
      </c>
      <c r="AW1927" t="s">
        <v>11447</v>
      </c>
    </row>
    <row r="1928" spans="1:49">
      <c r="A1928" s="1">
        <f>HYPERLINK("https://lsnyc.legalserver.org/matter/dynamic-profile/view/1914602","19-1914602")</f>
        <v>0</v>
      </c>
      <c r="B1928" t="s">
        <v>126</v>
      </c>
      <c r="C1928" t="s">
        <v>533</v>
      </c>
      <c r="E1928" t="s">
        <v>2111</v>
      </c>
      <c r="F1928" t="s">
        <v>4657</v>
      </c>
      <c r="G1928" t="s">
        <v>7498</v>
      </c>
      <c r="H1928" t="s">
        <v>10860</v>
      </c>
      <c r="I1928" t="s">
        <v>11383</v>
      </c>
      <c r="J1928">
        <v>10453</v>
      </c>
      <c r="K1928" t="s">
        <v>11446</v>
      </c>
      <c r="N1928" t="s">
        <v>14778</v>
      </c>
      <c r="P1928" t="s">
        <v>14797</v>
      </c>
      <c r="Q1928" t="s">
        <v>11448</v>
      </c>
      <c r="S1928" t="s">
        <v>14827</v>
      </c>
      <c r="V1928">
        <v>0</v>
      </c>
      <c r="W1928" t="s">
        <v>14858</v>
      </c>
      <c r="X1928" t="s">
        <v>14864</v>
      </c>
      <c r="AB1928" t="s">
        <v>21375</v>
      </c>
      <c r="AC1928">
        <v>31</v>
      </c>
      <c r="AF1928">
        <v>0</v>
      </c>
      <c r="AG1928">
        <v>2</v>
      </c>
      <c r="AH1928">
        <v>0</v>
      </c>
      <c r="AI1928">
        <v>66.70999999999999</v>
      </c>
      <c r="AL1928" t="s">
        <v>24632</v>
      </c>
      <c r="AM1928">
        <v>11280</v>
      </c>
      <c r="AS1928">
        <v>0</v>
      </c>
      <c r="AU1928" t="s">
        <v>237</v>
      </c>
      <c r="AV1928" t="s">
        <v>25335</v>
      </c>
      <c r="AW1928" t="s">
        <v>11447</v>
      </c>
    </row>
    <row r="1929" spans="1:49">
      <c r="A1929" s="1">
        <f>HYPERLINK("https://lsnyc.legalserver.org/matter/dynamic-profile/view/1912655","19-1912655")</f>
        <v>0</v>
      </c>
      <c r="B1929" t="s">
        <v>57</v>
      </c>
      <c r="C1929" t="s">
        <v>559</v>
      </c>
      <c r="E1929" t="s">
        <v>2112</v>
      </c>
      <c r="F1929" t="s">
        <v>3623</v>
      </c>
      <c r="G1929" t="s">
        <v>7691</v>
      </c>
      <c r="H1929" t="s">
        <v>10559</v>
      </c>
      <c r="I1929" t="s">
        <v>11383</v>
      </c>
      <c r="J1929">
        <v>10472</v>
      </c>
      <c r="K1929" t="s">
        <v>11446</v>
      </c>
      <c r="M1929" t="s">
        <v>11601</v>
      </c>
      <c r="N1929" t="s">
        <v>14778</v>
      </c>
      <c r="P1929" t="s">
        <v>14797</v>
      </c>
      <c r="Q1929" t="s">
        <v>11448</v>
      </c>
      <c r="S1929" t="s">
        <v>14827</v>
      </c>
      <c r="V1929">
        <v>905.4</v>
      </c>
      <c r="W1929" t="s">
        <v>14858</v>
      </c>
      <c r="X1929" t="s">
        <v>14864</v>
      </c>
      <c r="Z1929" t="s">
        <v>16559</v>
      </c>
      <c r="AB1929" t="s">
        <v>21597</v>
      </c>
      <c r="AC1929">
        <v>54</v>
      </c>
      <c r="AD1929" t="s">
        <v>24595</v>
      </c>
      <c r="AE1929" t="s">
        <v>11459</v>
      </c>
      <c r="AF1929">
        <v>26</v>
      </c>
      <c r="AG1929">
        <v>2</v>
      </c>
      <c r="AH1929">
        <v>0</v>
      </c>
      <c r="AI1929">
        <v>66.84999999999999</v>
      </c>
      <c r="AL1929" t="s">
        <v>5011</v>
      </c>
      <c r="AM1929">
        <v>11304.7</v>
      </c>
      <c r="AS1929">
        <v>1</v>
      </c>
      <c r="AT1929" t="s">
        <v>559</v>
      </c>
      <c r="AU1929" t="s">
        <v>57</v>
      </c>
      <c r="AV1929" t="s">
        <v>25335</v>
      </c>
      <c r="AW1929" t="s">
        <v>11447</v>
      </c>
    </row>
    <row r="1930" spans="1:49">
      <c r="A1930" s="1">
        <f>HYPERLINK("https://lsnyc.legalserver.org/matter/dynamic-profile/view/1913384","19-1913384")</f>
        <v>0</v>
      </c>
      <c r="B1930" t="s">
        <v>90</v>
      </c>
      <c r="C1930" t="s">
        <v>483</v>
      </c>
      <c r="E1930" t="s">
        <v>1025</v>
      </c>
      <c r="F1930" t="s">
        <v>3623</v>
      </c>
      <c r="G1930" t="s">
        <v>7015</v>
      </c>
      <c r="H1930" t="s">
        <v>10756</v>
      </c>
      <c r="I1930" t="s">
        <v>11383</v>
      </c>
      <c r="J1930">
        <v>10453</v>
      </c>
      <c r="K1930" t="s">
        <v>11446</v>
      </c>
      <c r="N1930" t="s">
        <v>14778</v>
      </c>
      <c r="P1930" t="s">
        <v>14797</v>
      </c>
      <c r="Q1930" t="s">
        <v>11448</v>
      </c>
      <c r="S1930" t="s">
        <v>14827</v>
      </c>
      <c r="T1930" t="s">
        <v>14832</v>
      </c>
      <c r="V1930">
        <v>750.73</v>
      </c>
      <c r="W1930" t="s">
        <v>14858</v>
      </c>
      <c r="X1930" t="s">
        <v>14876</v>
      </c>
      <c r="Z1930" t="s">
        <v>16560</v>
      </c>
      <c r="AB1930" t="s">
        <v>21598</v>
      </c>
      <c r="AC1930">
        <v>0</v>
      </c>
      <c r="AD1930" t="s">
        <v>24595</v>
      </c>
      <c r="AE1930" t="s">
        <v>24610</v>
      </c>
      <c r="AF1930">
        <v>2</v>
      </c>
      <c r="AG1930">
        <v>2</v>
      </c>
      <c r="AH1930">
        <v>1</v>
      </c>
      <c r="AI1930">
        <v>67.04000000000001</v>
      </c>
      <c r="AL1930" t="s">
        <v>5011</v>
      </c>
      <c r="AM1930">
        <v>14300</v>
      </c>
      <c r="AS1930">
        <v>0.1</v>
      </c>
      <c r="AT1930" t="s">
        <v>476</v>
      </c>
      <c r="AU1930" t="s">
        <v>90</v>
      </c>
      <c r="AV1930" t="s">
        <v>25335</v>
      </c>
      <c r="AW1930" t="s">
        <v>11447</v>
      </c>
    </row>
    <row r="1931" spans="1:49">
      <c r="A1931" s="1">
        <f>HYPERLINK("https://lsnyc.legalserver.org/matter/dynamic-profile/view/1906591","19-1906591")</f>
        <v>0</v>
      </c>
      <c r="B1931" t="s">
        <v>126</v>
      </c>
      <c r="C1931" t="s">
        <v>373</v>
      </c>
      <c r="E1931" t="s">
        <v>2113</v>
      </c>
      <c r="F1931" t="s">
        <v>3730</v>
      </c>
      <c r="G1931" t="s">
        <v>7021</v>
      </c>
      <c r="H1931" t="s">
        <v>10451</v>
      </c>
      <c r="I1931" t="s">
        <v>11383</v>
      </c>
      <c r="J1931">
        <v>10452</v>
      </c>
      <c r="K1931" t="s">
        <v>11446</v>
      </c>
      <c r="P1931" t="s">
        <v>14797</v>
      </c>
      <c r="Q1931" t="s">
        <v>11446</v>
      </c>
      <c r="S1931" t="s">
        <v>14827</v>
      </c>
      <c r="V1931">
        <v>1260</v>
      </c>
      <c r="W1931" t="s">
        <v>14858</v>
      </c>
      <c r="X1931" t="s">
        <v>14876</v>
      </c>
      <c r="Z1931" t="s">
        <v>16561</v>
      </c>
      <c r="AB1931" t="s">
        <v>21599</v>
      </c>
      <c r="AC1931">
        <v>65</v>
      </c>
      <c r="AD1931" t="s">
        <v>24595</v>
      </c>
      <c r="AE1931" t="s">
        <v>24615</v>
      </c>
      <c r="AF1931">
        <v>44</v>
      </c>
      <c r="AG1931">
        <v>1</v>
      </c>
      <c r="AH1931">
        <v>0</v>
      </c>
      <c r="AI1931">
        <v>67.25</v>
      </c>
      <c r="AL1931" t="s">
        <v>24632</v>
      </c>
      <c r="AM1931">
        <v>8400</v>
      </c>
      <c r="AS1931">
        <v>142.95</v>
      </c>
      <c r="AT1931" t="s">
        <v>495</v>
      </c>
      <c r="AU1931" t="s">
        <v>245</v>
      </c>
      <c r="AW1931" t="s">
        <v>11447</v>
      </c>
    </row>
    <row r="1932" spans="1:49">
      <c r="A1932" s="1">
        <f>HYPERLINK("https://lsnyc.legalserver.org/matter/dynamic-profile/view/1906891","19-1906891")</f>
        <v>0</v>
      </c>
      <c r="B1932" t="s">
        <v>126</v>
      </c>
      <c r="C1932" t="s">
        <v>354</v>
      </c>
      <c r="E1932" t="s">
        <v>2114</v>
      </c>
      <c r="F1932" t="s">
        <v>4211</v>
      </c>
      <c r="G1932" t="s">
        <v>7021</v>
      </c>
      <c r="H1932" t="s">
        <v>10575</v>
      </c>
      <c r="I1932" t="s">
        <v>11383</v>
      </c>
      <c r="J1932">
        <v>10452</v>
      </c>
      <c r="K1932" t="s">
        <v>11446</v>
      </c>
      <c r="P1932" t="s">
        <v>14797</v>
      </c>
      <c r="Q1932" t="s">
        <v>11446</v>
      </c>
      <c r="S1932" t="s">
        <v>14827</v>
      </c>
      <c r="V1932">
        <v>0</v>
      </c>
      <c r="W1932" t="s">
        <v>14858</v>
      </c>
      <c r="X1932" t="s">
        <v>14868</v>
      </c>
      <c r="Z1932" t="s">
        <v>16433</v>
      </c>
      <c r="AB1932" t="s">
        <v>21600</v>
      </c>
      <c r="AC1932">
        <v>65</v>
      </c>
      <c r="AD1932" t="s">
        <v>11479</v>
      </c>
      <c r="AE1932" t="s">
        <v>24610</v>
      </c>
      <c r="AF1932">
        <v>18</v>
      </c>
      <c r="AG1932">
        <v>1</v>
      </c>
      <c r="AH1932">
        <v>0</v>
      </c>
      <c r="AI1932">
        <v>67.25</v>
      </c>
      <c r="AL1932" t="s">
        <v>24632</v>
      </c>
      <c r="AM1932">
        <v>8400</v>
      </c>
      <c r="AS1932">
        <v>1</v>
      </c>
      <c r="AT1932" t="s">
        <v>495</v>
      </c>
      <c r="AU1932" t="s">
        <v>245</v>
      </c>
      <c r="AW1932" t="s">
        <v>11447</v>
      </c>
    </row>
    <row r="1933" spans="1:49">
      <c r="A1933" s="1">
        <f>HYPERLINK("https://lsnyc.legalserver.org/matter/dynamic-profile/view/1914800","19-1914800")</f>
        <v>0</v>
      </c>
      <c r="B1933" t="s">
        <v>243</v>
      </c>
      <c r="C1933" t="s">
        <v>592</v>
      </c>
      <c r="E1933" t="s">
        <v>2114</v>
      </c>
      <c r="F1933" t="s">
        <v>4211</v>
      </c>
      <c r="G1933" t="s">
        <v>7021</v>
      </c>
      <c r="H1933" t="s">
        <v>10575</v>
      </c>
      <c r="I1933" t="s">
        <v>11383</v>
      </c>
      <c r="J1933">
        <v>10452</v>
      </c>
      <c r="K1933" t="s">
        <v>11446</v>
      </c>
      <c r="P1933" t="s">
        <v>14797</v>
      </c>
      <c r="Q1933" t="s">
        <v>11446</v>
      </c>
      <c r="S1933" t="s">
        <v>14827</v>
      </c>
      <c r="V1933">
        <v>0</v>
      </c>
      <c r="W1933" t="s">
        <v>14858</v>
      </c>
      <c r="X1933" t="s">
        <v>14868</v>
      </c>
      <c r="Z1933" t="s">
        <v>16433</v>
      </c>
      <c r="AB1933" t="s">
        <v>21600</v>
      </c>
      <c r="AC1933">
        <v>65</v>
      </c>
      <c r="AE1933" t="s">
        <v>24610</v>
      </c>
      <c r="AF1933">
        <v>18</v>
      </c>
      <c r="AG1933">
        <v>1</v>
      </c>
      <c r="AH1933">
        <v>0</v>
      </c>
      <c r="AI1933">
        <v>67.25</v>
      </c>
      <c r="AL1933" t="s">
        <v>24632</v>
      </c>
      <c r="AM1933">
        <v>8400</v>
      </c>
      <c r="AS1933">
        <v>0</v>
      </c>
      <c r="AU1933" t="s">
        <v>237</v>
      </c>
      <c r="AV1933" t="s">
        <v>25335</v>
      </c>
      <c r="AW1933" t="s">
        <v>11447</v>
      </c>
    </row>
    <row r="1934" spans="1:49">
      <c r="A1934" s="1">
        <f>HYPERLINK("https://lsnyc.legalserver.org/matter/dynamic-profile/view/1883887","18-1883887")</f>
        <v>0</v>
      </c>
      <c r="B1934" t="s">
        <v>177</v>
      </c>
      <c r="C1934" t="s">
        <v>693</v>
      </c>
      <c r="E1934" t="s">
        <v>1276</v>
      </c>
      <c r="F1934" t="s">
        <v>4658</v>
      </c>
      <c r="G1934" t="s">
        <v>7579</v>
      </c>
      <c r="H1934" t="s">
        <v>10598</v>
      </c>
      <c r="I1934" t="s">
        <v>11385</v>
      </c>
      <c r="J1934">
        <v>11226</v>
      </c>
      <c r="K1934" t="s">
        <v>11447</v>
      </c>
      <c r="P1934" t="s">
        <v>14797</v>
      </c>
      <c r="R1934" t="s">
        <v>14820</v>
      </c>
      <c r="S1934" t="s">
        <v>14827</v>
      </c>
      <c r="V1934">
        <v>0</v>
      </c>
      <c r="W1934" t="s">
        <v>14859</v>
      </c>
      <c r="Z1934" t="s">
        <v>16562</v>
      </c>
      <c r="AB1934" t="s">
        <v>21601</v>
      </c>
      <c r="AC1934">
        <v>0</v>
      </c>
      <c r="AF1934">
        <v>0</v>
      </c>
      <c r="AG1934">
        <v>2</v>
      </c>
      <c r="AH1934">
        <v>0</v>
      </c>
      <c r="AI1934">
        <v>67.58</v>
      </c>
      <c r="AL1934" t="s">
        <v>5011</v>
      </c>
      <c r="AM1934">
        <v>11124</v>
      </c>
      <c r="AS1934">
        <v>12.7</v>
      </c>
      <c r="AT1934" t="s">
        <v>458</v>
      </c>
      <c r="AU1934" t="s">
        <v>177</v>
      </c>
      <c r="AW1934" t="s">
        <v>11447</v>
      </c>
    </row>
    <row r="1935" spans="1:49">
      <c r="A1935" s="1">
        <f>HYPERLINK("https://lsnyc.legalserver.org/matter/dynamic-profile/view/1904778","19-1904778")</f>
        <v>0</v>
      </c>
      <c r="B1935" t="s">
        <v>166</v>
      </c>
      <c r="C1935" t="s">
        <v>555</v>
      </c>
      <c r="E1935" t="s">
        <v>1277</v>
      </c>
      <c r="F1935" t="s">
        <v>3864</v>
      </c>
      <c r="G1935" t="s">
        <v>7692</v>
      </c>
      <c r="H1935" t="s">
        <v>10522</v>
      </c>
      <c r="I1935" t="s">
        <v>11384</v>
      </c>
      <c r="J1935">
        <v>10301</v>
      </c>
      <c r="K1935" t="s">
        <v>11446</v>
      </c>
      <c r="L1935" t="s">
        <v>12084</v>
      </c>
      <c r="M1935" t="s">
        <v>14743</v>
      </c>
      <c r="N1935" t="s">
        <v>14781</v>
      </c>
      <c r="P1935" t="s">
        <v>14797</v>
      </c>
      <c r="Q1935" t="s">
        <v>11448</v>
      </c>
      <c r="S1935" t="s">
        <v>14830</v>
      </c>
      <c r="T1935" t="s">
        <v>14832</v>
      </c>
      <c r="V1935">
        <v>243</v>
      </c>
      <c r="W1935" t="s">
        <v>14862</v>
      </c>
      <c r="Z1935" t="s">
        <v>16563</v>
      </c>
      <c r="AB1935" t="s">
        <v>21602</v>
      </c>
      <c r="AC1935">
        <v>0</v>
      </c>
      <c r="AD1935" t="s">
        <v>24596</v>
      </c>
      <c r="AE1935" t="s">
        <v>11459</v>
      </c>
      <c r="AF1935">
        <v>3</v>
      </c>
      <c r="AG1935">
        <v>1</v>
      </c>
      <c r="AH1935">
        <v>0</v>
      </c>
      <c r="AI1935">
        <v>68.89</v>
      </c>
      <c r="AL1935" t="s">
        <v>5011</v>
      </c>
      <c r="AM1935">
        <v>8604</v>
      </c>
      <c r="AS1935">
        <v>28.9</v>
      </c>
      <c r="AT1935" t="s">
        <v>509</v>
      </c>
      <c r="AU1935" t="s">
        <v>25270</v>
      </c>
      <c r="AV1935" t="s">
        <v>25335</v>
      </c>
      <c r="AW1935" t="s">
        <v>11447</v>
      </c>
    </row>
    <row r="1936" spans="1:49">
      <c r="A1936" s="1">
        <f>HYPERLINK("https://lsnyc.legalserver.org/matter/dynamic-profile/view/1913383","19-1913383")</f>
        <v>0</v>
      </c>
      <c r="B1936" t="s">
        <v>95</v>
      </c>
      <c r="C1936" t="s">
        <v>483</v>
      </c>
      <c r="E1936" t="s">
        <v>2115</v>
      </c>
      <c r="F1936" t="s">
        <v>2906</v>
      </c>
      <c r="G1936" t="s">
        <v>7693</v>
      </c>
      <c r="H1936" t="s">
        <v>10834</v>
      </c>
      <c r="I1936" t="s">
        <v>11386</v>
      </c>
      <c r="J1936">
        <v>10025</v>
      </c>
      <c r="K1936" t="s">
        <v>11446</v>
      </c>
      <c r="L1936" t="s">
        <v>12085</v>
      </c>
      <c r="M1936" t="s">
        <v>14768</v>
      </c>
      <c r="N1936" t="s">
        <v>14781</v>
      </c>
      <c r="P1936" t="s">
        <v>14797</v>
      </c>
      <c r="Q1936" t="s">
        <v>11446</v>
      </c>
      <c r="S1936" t="s">
        <v>14831</v>
      </c>
      <c r="T1936" t="s">
        <v>14832</v>
      </c>
      <c r="V1936">
        <v>0</v>
      </c>
      <c r="W1936" t="s">
        <v>14858</v>
      </c>
      <c r="X1936" t="s">
        <v>14870</v>
      </c>
      <c r="Z1936" t="s">
        <v>16564</v>
      </c>
      <c r="AB1936" t="s">
        <v>21603</v>
      </c>
      <c r="AC1936">
        <v>899</v>
      </c>
      <c r="AD1936" t="s">
        <v>11479</v>
      </c>
      <c r="AE1936" t="s">
        <v>24611</v>
      </c>
      <c r="AF1936">
        <v>5</v>
      </c>
      <c r="AG1936">
        <v>2</v>
      </c>
      <c r="AH1936">
        <v>0</v>
      </c>
      <c r="AI1936">
        <v>69.19</v>
      </c>
      <c r="AL1936" t="s">
        <v>5011</v>
      </c>
      <c r="AM1936">
        <v>11700</v>
      </c>
      <c r="AS1936">
        <v>1.9</v>
      </c>
      <c r="AT1936" t="s">
        <v>495</v>
      </c>
      <c r="AU1936" t="s">
        <v>245</v>
      </c>
      <c r="AV1936" t="s">
        <v>25335</v>
      </c>
      <c r="AW1936" t="s">
        <v>11447</v>
      </c>
    </row>
    <row r="1937" spans="1:49">
      <c r="A1937" s="1">
        <f>HYPERLINK("https://lsnyc.legalserver.org/matter/dynamic-profile/view/1914583","19-1914583")</f>
        <v>0</v>
      </c>
      <c r="B1937" t="s">
        <v>126</v>
      </c>
      <c r="C1937" t="s">
        <v>533</v>
      </c>
      <c r="E1937" t="s">
        <v>2116</v>
      </c>
      <c r="F1937" t="s">
        <v>4659</v>
      </c>
      <c r="G1937" t="s">
        <v>7021</v>
      </c>
      <c r="H1937" t="s">
        <v>10481</v>
      </c>
      <c r="I1937" t="s">
        <v>11383</v>
      </c>
      <c r="J1937">
        <v>10452</v>
      </c>
      <c r="K1937" t="s">
        <v>11446</v>
      </c>
      <c r="N1937" t="s">
        <v>14778</v>
      </c>
      <c r="P1937" t="s">
        <v>14797</v>
      </c>
      <c r="Q1937" t="s">
        <v>11446</v>
      </c>
      <c r="S1937" t="s">
        <v>14827</v>
      </c>
      <c r="V1937">
        <v>962</v>
      </c>
      <c r="W1937" t="s">
        <v>14858</v>
      </c>
      <c r="X1937" t="s">
        <v>14864</v>
      </c>
      <c r="Z1937" t="s">
        <v>16565</v>
      </c>
      <c r="AB1937" t="s">
        <v>21604</v>
      </c>
      <c r="AC1937">
        <v>63</v>
      </c>
      <c r="AD1937" t="s">
        <v>24595</v>
      </c>
      <c r="AE1937" t="s">
        <v>24613</v>
      </c>
      <c r="AF1937">
        <v>44</v>
      </c>
      <c r="AG1937">
        <v>2</v>
      </c>
      <c r="AH1937">
        <v>2</v>
      </c>
      <c r="AI1937">
        <v>69.90000000000001</v>
      </c>
      <c r="AL1937" t="s">
        <v>5011</v>
      </c>
      <c r="AM1937">
        <v>18000</v>
      </c>
      <c r="AS1937">
        <v>0</v>
      </c>
      <c r="AU1937" t="s">
        <v>237</v>
      </c>
      <c r="AV1937" t="s">
        <v>25335</v>
      </c>
      <c r="AW1937" t="s">
        <v>11447</v>
      </c>
    </row>
    <row r="1938" spans="1:49">
      <c r="A1938" s="1">
        <f>HYPERLINK("https://lsnyc.legalserver.org/matter/dynamic-profile/view/1914847","19-1914847")</f>
        <v>0</v>
      </c>
      <c r="B1938" t="s">
        <v>126</v>
      </c>
      <c r="C1938" t="s">
        <v>537</v>
      </c>
      <c r="E1938" t="s">
        <v>2116</v>
      </c>
      <c r="F1938" t="s">
        <v>4659</v>
      </c>
      <c r="G1938" t="s">
        <v>7021</v>
      </c>
      <c r="H1938" t="s">
        <v>10481</v>
      </c>
      <c r="I1938" t="s">
        <v>11383</v>
      </c>
      <c r="J1938">
        <v>10452</v>
      </c>
      <c r="K1938" t="s">
        <v>11446</v>
      </c>
      <c r="N1938" t="s">
        <v>14782</v>
      </c>
      <c r="P1938" t="s">
        <v>14797</v>
      </c>
      <c r="Q1938" t="s">
        <v>11446</v>
      </c>
      <c r="S1938" t="s">
        <v>14827</v>
      </c>
      <c r="V1938">
        <v>962</v>
      </c>
      <c r="W1938" t="s">
        <v>14858</v>
      </c>
      <c r="X1938" t="s">
        <v>14864</v>
      </c>
      <c r="Z1938" t="s">
        <v>16565</v>
      </c>
      <c r="AB1938" t="s">
        <v>21604</v>
      </c>
      <c r="AC1938">
        <v>63</v>
      </c>
      <c r="AD1938" t="s">
        <v>24595</v>
      </c>
      <c r="AE1938" t="s">
        <v>24613</v>
      </c>
      <c r="AF1938">
        <v>44</v>
      </c>
      <c r="AG1938">
        <v>2</v>
      </c>
      <c r="AH1938">
        <v>2</v>
      </c>
      <c r="AI1938">
        <v>69.90000000000001</v>
      </c>
      <c r="AL1938" t="s">
        <v>5011</v>
      </c>
      <c r="AM1938">
        <v>18000</v>
      </c>
      <c r="AS1938">
        <v>0</v>
      </c>
      <c r="AU1938" t="s">
        <v>245</v>
      </c>
      <c r="AW1938" t="s">
        <v>11447</v>
      </c>
    </row>
    <row r="1939" spans="1:49">
      <c r="A1939" s="1">
        <f>HYPERLINK("https://lsnyc.legalserver.org/matter/dynamic-profile/view/1913878","19-1913878")</f>
        <v>0</v>
      </c>
      <c r="B1939" t="s">
        <v>126</v>
      </c>
      <c r="C1939" t="s">
        <v>533</v>
      </c>
      <c r="E1939" t="s">
        <v>1120</v>
      </c>
      <c r="F1939" t="s">
        <v>3890</v>
      </c>
      <c r="G1939" t="s">
        <v>7106</v>
      </c>
      <c r="H1939">
        <v>49</v>
      </c>
      <c r="I1939" t="s">
        <v>11383</v>
      </c>
      <c r="J1939">
        <v>10453</v>
      </c>
      <c r="K1939" t="s">
        <v>11447</v>
      </c>
      <c r="N1939" t="s">
        <v>14778</v>
      </c>
      <c r="P1939" t="s">
        <v>14797</v>
      </c>
      <c r="S1939" t="s">
        <v>14827</v>
      </c>
      <c r="V1939">
        <v>0</v>
      </c>
      <c r="W1939" t="s">
        <v>14858</v>
      </c>
      <c r="Z1939" t="s">
        <v>16566</v>
      </c>
      <c r="AB1939" t="s">
        <v>21605</v>
      </c>
      <c r="AC1939">
        <v>0</v>
      </c>
      <c r="AF1939">
        <v>0</v>
      </c>
      <c r="AG1939">
        <v>1</v>
      </c>
      <c r="AH1939">
        <v>0</v>
      </c>
      <c r="AI1939">
        <v>70.23</v>
      </c>
      <c r="AL1939" t="s">
        <v>5011</v>
      </c>
      <c r="AM1939">
        <v>8772</v>
      </c>
      <c r="AS1939">
        <v>0</v>
      </c>
      <c r="AU1939" t="s">
        <v>126</v>
      </c>
      <c r="AW1939" t="s">
        <v>11447</v>
      </c>
    </row>
    <row r="1940" spans="1:49">
      <c r="A1940" s="1">
        <f>HYPERLINK("https://lsnyc.legalserver.org/matter/dynamic-profile/view/1914690","19-1914690")</f>
        <v>0</v>
      </c>
      <c r="B1940" t="s">
        <v>126</v>
      </c>
      <c r="C1940" t="s">
        <v>533</v>
      </c>
      <c r="E1940" t="s">
        <v>1120</v>
      </c>
      <c r="F1940" t="s">
        <v>3890</v>
      </c>
      <c r="G1940" t="s">
        <v>7106</v>
      </c>
      <c r="I1940" t="s">
        <v>11383</v>
      </c>
      <c r="J1940">
        <v>10453</v>
      </c>
      <c r="K1940" t="s">
        <v>11446</v>
      </c>
      <c r="N1940" t="s">
        <v>14778</v>
      </c>
      <c r="P1940" t="s">
        <v>14797</v>
      </c>
      <c r="Q1940" t="s">
        <v>11448</v>
      </c>
      <c r="S1940" t="s">
        <v>14827</v>
      </c>
      <c r="V1940">
        <v>226</v>
      </c>
      <c r="W1940" t="s">
        <v>14858</v>
      </c>
      <c r="X1940" t="s">
        <v>14864</v>
      </c>
      <c r="Z1940" t="s">
        <v>16566</v>
      </c>
      <c r="AB1940" t="s">
        <v>21605</v>
      </c>
      <c r="AC1940">
        <v>0</v>
      </c>
      <c r="AD1940" t="s">
        <v>11479</v>
      </c>
      <c r="AE1940" t="s">
        <v>24611</v>
      </c>
      <c r="AF1940">
        <v>2</v>
      </c>
      <c r="AG1940">
        <v>1</v>
      </c>
      <c r="AH1940">
        <v>0</v>
      </c>
      <c r="AI1940">
        <v>70.23</v>
      </c>
      <c r="AL1940" t="s">
        <v>5011</v>
      </c>
      <c r="AM1940">
        <v>8772</v>
      </c>
      <c r="AS1940">
        <v>0</v>
      </c>
      <c r="AU1940" t="s">
        <v>237</v>
      </c>
      <c r="AV1940" t="s">
        <v>25335</v>
      </c>
      <c r="AW1940" t="s">
        <v>11447</v>
      </c>
    </row>
    <row r="1941" spans="1:49">
      <c r="A1941" s="1">
        <f>HYPERLINK("https://lsnyc.legalserver.org/matter/dynamic-profile/view/1915344","19-1915344")</f>
        <v>0</v>
      </c>
      <c r="B1941" t="s">
        <v>169</v>
      </c>
      <c r="C1941" t="s">
        <v>495</v>
      </c>
      <c r="E1941" t="s">
        <v>1144</v>
      </c>
      <c r="F1941" t="s">
        <v>3730</v>
      </c>
      <c r="G1941" t="s">
        <v>7422</v>
      </c>
      <c r="H1941" t="s">
        <v>10462</v>
      </c>
      <c r="I1941" t="s">
        <v>11384</v>
      </c>
      <c r="J1941">
        <v>10304</v>
      </c>
      <c r="K1941" t="s">
        <v>11447</v>
      </c>
      <c r="L1941" t="s">
        <v>11456</v>
      </c>
      <c r="M1941" t="s">
        <v>14746</v>
      </c>
      <c r="P1941" t="s">
        <v>14797</v>
      </c>
      <c r="S1941" t="s">
        <v>14827</v>
      </c>
      <c r="V1941">
        <v>0</v>
      </c>
      <c r="W1941" t="s">
        <v>14862</v>
      </c>
      <c r="X1941" t="s">
        <v>14879</v>
      </c>
      <c r="Z1941" t="s">
        <v>16567</v>
      </c>
      <c r="AB1941" t="s">
        <v>21606</v>
      </c>
      <c r="AC1941">
        <v>0</v>
      </c>
      <c r="AF1941">
        <v>2</v>
      </c>
      <c r="AG1941">
        <v>1</v>
      </c>
      <c r="AH1941">
        <v>0</v>
      </c>
      <c r="AI1941">
        <v>70.42</v>
      </c>
      <c r="AL1941" t="s">
        <v>5011</v>
      </c>
      <c r="AM1941">
        <v>8796</v>
      </c>
      <c r="AS1941">
        <v>0.3</v>
      </c>
      <c r="AT1941" t="s">
        <v>495</v>
      </c>
      <c r="AU1941" t="s">
        <v>25270</v>
      </c>
      <c r="AW1941" t="s">
        <v>11447</v>
      </c>
    </row>
    <row r="1942" spans="1:49">
      <c r="A1942" s="1">
        <f>HYPERLINK("https://lsnyc.legalserver.org/matter/dynamic-profile/view/1904384","19-1904384")</f>
        <v>0</v>
      </c>
      <c r="B1942" t="s">
        <v>221</v>
      </c>
      <c r="C1942" t="s">
        <v>593</v>
      </c>
      <c r="E1942" t="s">
        <v>1045</v>
      </c>
      <c r="F1942" t="s">
        <v>4660</v>
      </c>
      <c r="G1942" t="s">
        <v>7694</v>
      </c>
      <c r="H1942" t="s">
        <v>10522</v>
      </c>
      <c r="I1942" t="s">
        <v>11384</v>
      </c>
      <c r="J1942">
        <v>10304</v>
      </c>
      <c r="K1942" t="s">
        <v>11446</v>
      </c>
      <c r="L1942" t="s">
        <v>11474</v>
      </c>
      <c r="M1942" t="s">
        <v>11601</v>
      </c>
      <c r="N1942" t="s">
        <v>14780</v>
      </c>
      <c r="P1942" t="s">
        <v>14797</v>
      </c>
      <c r="Q1942" t="s">
        <v>11448</v>
      </c>
      <c r="S1942" t="s">
        <v>14827</v>
      </c>
      <c r="T1942" t="s">
        <v>14832</v>
      </c>
      <c r="V1942">
        <v>890</v>
      </c>
      <c r="W1942" t="s">
        <v>14862</v>
      </c>
      <c r="X1942" t="s">
        <v>14868</v>
      </c>
      <c r="Z1942" t="s">
        <v>16568</v>
      </c>
      <c r="AB1942" t="s">
        <v>21607</v>
      </c>
      <c r="AC1942">
        <v>104</v>
      </c>
      <c r="AD1942" t="s">
        <v>24595</v>
      </c>
      <c r="AE1942" t="s">
        <v>24610</v>
      </c>
      <c r="AF1942">
        <v>31</v>
      </c>
      <c r="AG1942">
        <v>1</v>
      </c>
      <c r="AH1942">
        <v>0</v>
      </c>
      <c r="AI1942">
        <v>70.52</v>
      </c>
      <c r="AL1942" t="s">
        <v>5011</v>
      </c>
      <c r="AM1942">
        <v>8808</v>
      </c>
      <c r="AS1942">
        <v>9.699999999999999</v>
      </c>
      <c r="AT1942" t="s">
        <v>574</v>
      </c>
      <c r="AU1942" t="s">
        <v>25270</v>
      </c>
      <c r="AV1942" t="s">
        <v>25335</v>
      </c>
      <c r="AW1942" t="s">
        <v>11447</v>
      </c>
    </row>
    <row r="1943" spans="1:49">
      <c r="A1943" s="1">
        <f>HYPERLINK("https://lsnyc.legalserver.org/matter/dynamic-profile/view/0745411","13-0745411")</f>
        <v>0</v>
      </c>
      <c r="B1943" t="s">
        <v>244</v>
      </c>
      <c r="C1943" t="s">
        <v>694</v>
      </c>
      <c r="E1943" t="s">
        <v>2117</v>
      </c>
      <c r="F1943" t="s">
        <v>4661</v>
      </c>
      <c r="G1943" t="s">
        <v>7695</v>
      </c>
      <c r="I1943" t="s">
        <v>11385</v>
      </c>
      <c r="J1943">
        <v>11211</v>
      </c>
      <c r="K1943" t="s">
        <v>11448</v>
      </c>
      <c r="L1943" t="s">
        <v>12086</v>
      </c>
      <c r="N1943" t="s">
        <v>14781</v>
      </c>
      <c r="P1943" t="s">
        <v>14797</v>
      </c>
      <c r="R1943" t="s">
        <v>14812</v>
      </c>
      <c r="S1943" t="s">
        <v>14827</v>
      </c>
      <c r="V1943">
        <v>0</v>
      </c>
      <c r="W1943" t="s">
        <v>14859</v>
      </c>
      <c r="Z1943" t="s">
        <v>16569</v>
      </c>
      <c r="AB1943" t="s">
        <v>21608</v>
      </c>
      <c r="AC1943">
        <v>0</v>
      </c>
      <c r="AF1943">
        <v>0</v>
      </c>
      <c r="AG1943">
        <v>4</v>
      </c>
      <c r="AH1943">
        <v>4</v>
      </c>
      <c r="AI1943">
        <v>70.65000000000001</v>
      </c>
      <c r="AL1943" t="s">
        <v>5011</v>
      </c>
      <c r="AM1943">
        <v>28000</v>
      </c>
      <c r="AS1943">
        <v>849.95</v>
      </c>
      <c r="AT1943" t="s">
        <v>360</v>
      </c>
      <c r="AU1943" t="s">
        <v>25289</v>
      </c>
      <c r="AW1943" t="s">
        <v>11447</v>
      </c>
    </row>
    <row r="1944" spans="1:49">
      <c r="A1944" s="1">
        <f>HYPERLINK("https://lsnyc.legalserver.org/matter/dynamic-profile/view/1878038","18-1878038")</f>
        <v>0</v>
      </c>
      <c r="B1944" t="s">
        <v>124</v>
      </c>
      <c r="C1944" t="s">
        <v>390</v>
      </c>
      <c r="E1944" t="s">
        <v>1289</v>
      </c>
      <c r="F1944" t="s">
        <v>4662</v>
      </c>
      <c r="G1944" t="s">
        <v>7344</v>
      </c>
      <c r="H1944">
        <v>509</v>
      </c>
      <c r="I1944" t="s">
        <v>11389</v>
      </c>
      <c r="J1944">
        <v>11354</v>
      </c>
      <c r="K1944" t="s">
        <v>11448</v>
      </c>
      <c r="L1944" t="s">
        <v>11465</v>
      </c>
      <c r="M1944" t="s">
        <v>11601</v>
      </c>
      <c r="N1944" t="s">
        <v>14780</v>
      </c>
      <c r="P1944" t="s">
        <v>14797</v>
      </c>
      <c r="Q1944" t="s">
        <v>11448</v>
      </c>
      <c r="S1944" t="s">
        <v>14827</v>
      </c>
      <c r="T1944" t="s">
        <v>14832</v>
      </c>
      <c r="V1944">
        <v>541</v>
      </c>
      <c r="W1944" t="s">
        <v>14861</v>
      </c>
      <c r="X1944" t="s">
        <v>14867</v>
      </c>
      <c r="Z1944" t="s">
        <v>16570</v>
      </c>
      <c r="AC1944">
        <v>80</v>
      </c>
      <c r="AD1944" t="s">
        <v>11479</v>
      </c>
      <c r="AE1944" t="s">
        <v>11459</v>
      </c>
      <c r="AF1944">
        <v>23</v>
      </c>
      <c r="AG1944">
        <v>1</v>
      </c>
      <c r="AH1944">
        <v>0</v>
      </c>
      <c r="AI1944">
        <v>70.70999999999999</v>
      </c>
      <c r="AL1944" t="s">
        <v>24632</v>
      </c>
      <c r="AM1944">
        <v>8584</v>
      </c>
      <c r="AS1944">
        <v>2.65</v>
      </c>
      <c r="AT1944" t="s">
        <v>555</v>
      </c>
      <c r="AU1944" t="s">
        <v>25233</v>
      </c>
      <c r="AW1944" t="s">
        <v>11446</v>
      </c>
    </row>
    <row r="1945" spans="1:49">
      <c r="A1945" s="1">
        <f>HYPERLINK("https://lsnyc.legalserver.org/matter/dynamic-profile/view/1914412","19-1914412")</f>
        <v>0</v>
      </c>
      <c r="B1945" t="s">
        <v>67</v>
      </c>
      <c r="C1945" t="s">
        <v>506</v>
      </c>
      <c r="E1945" t="s">
        <v>2118</v>
      </c>
      <c r="F1945" t="s">
        <v>4663</v>
      </c>
      <c r="G1945" t="s">
        <v>6479</v>
      </c>
      <c r="H1945" t="s">
        <v>10738</v>
      </c>
      <c r="I1945" t="s">
        <v>11383</v>
      </c>
      <c r="J1945">
        <v>10474</v>
      </c>
      <c r="K1945" t="s">
        <v>11447</v>
      </c>
      <c r="M1945" t="s">
        <v>14745</v>
      </c>
      <c r="N1945" t="s">
        <v>14779</v>
      </c>
      <c r="P1945" t="s">
        <v>14797</v>
      </c>
      <c r="Q1945" t="s">
        <v>11448</v>
      </c>
      <c r="S1945" t="s">
        <v>14827</v>
      </c>
      <c r="V1945">
        <v>1450</v>
      </c>
      <c r="W1945" t="s">
        <v>14858</v>
      </c>
      <c r="X1945" t="s">
        <v>14868</v>
      </c>
      <c r="Z1945" t="s">
        <v>16571</v>
      </c>
      <c r="AB1945" t="s">
        <v>21609</v>
      </c>
      <c r="AC1945">
        <v>47</v>
      </c>
      <c r="AD1945" t="s">
        <v>24595</v>
      </c>
      <c r="AF1945">
        <v>2</v>
      </c>
      <c r="AG1945">
        <v>2</v>
      </c>
      <c r="AH1945">
        <v>0</v>
      </c>
      <c r="AI1945">
        <v>70.95999999999999</v>
      </c>
      <c r="AL1945" t="s">
        <v>5011</v>
      </c>
      <c r="AM1945">
        <v>12000</v>
      </c>
      <c r="AS1945">
        <v>1</v>
      </c>
      <c r="AT1945" t="s">
        <v>539</v>
      </c>
      <c r="AU1945" t="s">
        <v>67</v>
      </c>
      <c r="AW1945" t="s">
        <v>11447</v>
      </c>
    </row>
    <row r="1946" spans="1:49">
      <c r="A1946" s="1">
        <f>HYPERLINK("https://lsnyc.legalserver.org/matter/dynamic-profile/view/1905563","19-1905563")</f>
        <v>0</v>
      </c>
      <c r="B1946" t="s">
        <v>67</v>
      </c>
      <c r="C1946" t="s">
        <v>555</v>
      </c>
      <c r="E1946" t="s">
        <v>2119</v>
      </c>
      <c r="F1946" t="s">
        <v>4664</v>
      </c>
      <c r="G1946" t="s">
        <v>6457</v>
      </c>
      <c r="H1946" t="s">
        <v>10448</v>
      </c>
      <c r="I1946" t="s">
        <v>11383</v>
      </c>
      <c r="J1946">
        <v>10459</v>
      </c>
      <c r="K1946" t="s">
        <v>11446</v>
      </c>
      <c r="L1946" t="s">
        <v>12087</v>
      </c>
      <c r="M1946" t="s">
        <v>14753</v>
      </c>
      <c r="N1946" t="s">
        <v>14779</v>
      </c>
      <c r="P1946" t="s">
        <v>14797</v>
      </c>
      <c r="Q1946" t="s">
        <v>11448</v>
      </c>
      <c r="S1946" t="s">
        <v>14827</v>
      </c>
      <c r="T1946" t="s">
        <v>14832</v>
      </c>
      <c r="V1946">
        <v>168</v>
      </c>
      <c r="W1946" t="s">
        <v>14858</v>
      </c>
      <c r="X1946" t="s">
        <v>14864</v>
      </c>
      <c r="Z1946" t="s">
        <v>16572</v>
      </c>
      <c r="AB1946" t="s">
        <v>21610</v>
      </c>
      <c r="AC1946">
        <v>20</v>
      </c>
      <c r="AD1946" t="s">
        <v>24596</v>
      </c>
      <c r="AE1946" t="s">
        <v>24610</v>
      </c>
      <c r="AF1946">
        <v>18</v>
      </c>
      <c r="AG1946">
        <v>1</v>
      </c>
      <c r="AH1946">
        <v>0</v>
      </c>
      <c r="AI1946">
        <v>71.09999999999999</v>
      </c>
      <c r="AL1946" t="s">
        <v>5011</v>
      </c>
      <c r="AM1946">
        <v>8880</v>
      </c>
      <c r="AS1946">
        <v>6.25</v>
      </c>
      <c r="AT1946" t="s">
        <v>475</v>
      </c>
      <c r="AU1946" t="s">
        <v>25236</v>
      </c>
      <c r="AV1946" t="s">
        <v>25335</v>
      </c>
      <c r="AW1946" t="s">
        <v>11447</v>
      </c>
    </row>
    <row r="1947" spans="1:49">
      <c r="A1947" s="1">
        <f>HYPERLINK("https://lsnyc.legalserver.org/matter/dynamic-profile/view/1905515","19-1905515")</f>
        <v>0</v>
      </c>
      <c r="B1947" t="s">
        <v>116</v>
      </c>
      <c r="C1947" t="s">
        <v>520</v>
      </c>
      <c r="E1947" t="s">
        <v>2120</v>
      </c>
      <c r="F1947" t="s">
        <v>1588</v>
      </c>
      <c r="G1947" t="s">
        <v>7117</v>
      </c>
      <c r="H1947" t="s">
        <v>10895</v>
      </c>
      <c r="I1947" t="s">
        <v>11383</v>
      </c>
      <c r="J1947">
        <v>10452</v>
      </c>
      <c r="K1947" t="s">
        <v>11447</v>
      </c>
      <c r="L1947" t="s">
        <v>12088</v>
      </c>
      <c r="M1947" t="s">
        <v>14746</v>
      </c>
      <c r="N1947" t="s">
        <v>14781</v>
      </c>
      <c r="P1947" t="s">
        <v>14797</v>
      </c>
      <c r="Q1947" t="s">
        <v>11448</v>
      </c>
      <c r="S1947" t="s">
        <v>14827</v>
      </c>
      <c r="V1947">
        <v>1078.15</v>
      </c>
      <c r="W1947" t="s">
        <v>14858</v>
      </c>
      <c r="X1947" t="s">
        <v>14864</v>
      </c>
      <c r="Z1947" t="s">
        <v>16573</v>
      </c>
      <c r="AB1947" t="s">
        <v>21611</v>
      </c>
      <c r="AC1947">
        <v>59</v>
      </c>
      <c r="AD1947" t="s">
        <v>24595</v>
      </c>
      <c r="AF1947">
        <v>30</v>
      </c>
      <c r="AG1947">
        <v>1</v>
      </c>
      <c r="AH1947">
        <v>1</v>
      </c>
      <c r="AI1947">
        <v>71.59999999999999</v>
      </c>
      <c r="AL1947" t="s">
        <v>5011</v>
      </c>
      <c r="AM1947">
        <v>12108</v>
      </c>
      <c r="AN1947" t="s">
        <v>24798</v>
      </c>
      <c r="AS1947">
        <v>3.1</v>
      </c>
      <c r="AT1947" t="s">
        <v>375</v>
      </c>
      <c r="AU1947" t="s">
        <v>116</v>
      </c>
      <c r="AW1947" t="s">
        <v>11447</v>
      </c>
    </row>
    <row r="1948" spans="1:49">
      <c r="A1948" s="1">
        <f>HYPERLINK("https://lsnyc.legalserver.org/matter/dynamic-profile/view/1913985","19-1913985")</f>
        <v>0</v>
      </c>
      <c r="B1948" t="s">
        <v>183</v>
      </c>
      <c r="C1948" t="s">
        <v>490</v>
      </c>
      <c r="E1948" t="s">
        <v>2121</v>
      </c>
      <c r="F1948" t="s">
        <v>3873</v>
      </c>
      <c r="G1948" t="s">
        <v>7696</v>
      </c>
      <c r="H1948" t="s">
        <v>10575</v>
      </c>
      <c r="I1948" t="s">
        <v>11385</v>
      </c>
      <c r="J1948">
        <v>11212</v>
      </c>
      <c r="K1948" t="s">
        <v>11448</v>
      </c>
      <c r="L1948" t="s">
        <v>12089</v>
      </c>
      <c r="M1948" t="s">
        <v>14744</v>
      </c>
      <c r="P1948" t="s">
        <v>14797</v>
      </c>
      <c r="Q1948" t="s">
        <v>11448</v>
      </c>
      <c r="S1948" t="s">
        <v>14827</v>
      </c>
      <c r="T1948" t="s">
        <v>14832</v>
      </c>
      <c r="V1948">
        <v>1577</v>
      </c>
      <c r="W1948" t="s">
        <v>14859</v>
      </c>
      <c r="X1948" t="s">
        <v>14868</v>
      </c>
      <c r="Z1948" t="s">
        <v>16574</v>
      </c>
      <c r="AA1948" t="s">
        <v>19489</v>
      </c>
      <c r="AB1948" t="s">
        <v>21612</v>
      </c>
      <c r="AC1948">
        <v>6</v>
      </c>
      <c r="AD1948" t="s">
        <v>24595</v>
      </c>
      <c r="AE1948" t="s">
        <v>14755</v>
      </c>
      <c r="AF1948">
        <v>20</v>
      </c>
      <c r="AG1948">
        <v>1</v>
      </c>
      <c r="AH1948">
        <v>0</v>
      </c>
      <c r="AI1948">
        <v>71.95999999999999</v>
      </c>
      <c r="AL1948" t="s">
        <v>5011</v>
      </c>
      <c r="AM1948">
        <v>8988</v>
      </c>
      <c r="AS1948">
        <v>0</v>
      </c>
      <c r="AU1948" t="s">
        <v>66</v>
      </c>
      <c r="AV1948" t="s">
        <v>11459</v>
      </c>
      <c r="AW1948" t="s">
        <v>11447</v>
      </c>
    </row>
    <row r="1949" spans="1:49">
      <c r="A1949" s="1">
        <f>HYPERLINK("https://lsnyc.legalserver.org/matter/dynamic-profile/view/1907936","19-1907936")</f>
        <v>0</v>
      </c>
      <c r="B1949" t="s">
        <v>67</v>
      </c>
      <c r="C1949" t="s">
        <v>458</v>
      </c>
      <c r="E1949" t="s">
        <v>1478</v>
      </c>
      <c r="F1949" t="s">
        <v>4665</v>
      </c>
      <c r="G1949" t="s">
        <v>7697</v>
      </c>
      <c r="H1949" t="s">
        <v>10471</v>
      </c>
      <c r="I1949" t="s">
        <v>11383</v>
      </c>
      <c r="J1949">
        <v>10460</v>
      </c>
      <c r="K1949" t="s">
        <v>11448</v>
      </c>
      <c r="M1949" t="s">
        <v>14768</v>
      </c>
      <c r="N1949" t="s">
        <v>14783</v>
      </c>
      <c r="P1949" t="s">
        <v>14797</v>
      </c>
      <c r="Q1949" t="s">
        <v>11448</v>
      </c>
      <c r="S1949" t="s">
        <v>14831</v>
      </c>
      <c r="V1949">
        <v>1419</v>
      </c>
      <c r="W1949" t="s">
        <v>14858</v>
      </c>
      <c r="X1949" t="s">
        <v>14755</v>
      </c>
      <c r="Z1949" t="s">
        <v>16575</v>
      </c>
      <c r="AB1949" t="s">
        <v>21613</v>
      </c>
      <c r="AC1949">
        <v>18</v>
      </c>
      <c r="AD1949" t="s">
        <v>24595</v>
      </c>
      <c r="AE1949" t="s">
        <v>24610</v>
      </c>
      <c r="AF1949">
        <v>3</v>
      </c>
      <c r="AG1949">
        <v>4</v>
      </c>
      <c r="AH1949">
        <v>0</v>
      </c>
      <c r="AI1949">
        <v>72.23</v>
      </c>
      <c r="AL1949" t="s">
        <v>5011</v>
      </c>
      <c r="AM1949">
        <v>18600</v>
      </c>
      <c r="AS1949">
        <v>38.2</v>
      </c>
      <c r="AT1949" t="s">
        <v>477</v>
      </c>
      <c r="AU1949" t="s">
        <v>25242</v>
      </c>
      <c r="AV1949" t="s">
        <v>11459</v>
      </c>
      <c r="AW1949" t="s">
        <v>11447</v>
      </c>
    </row>
    <row r="1950" spans="1:49">
      <c r="A1950" s="1">
        <f>HYPERLINK("https://lsnyc.legalserver.org/matter/dynamic-profile/view/1910076","19-1910076")</f>
        <v>0</v>
      </c>
      <c r="B1950" t="s">
        <v>67</v>
      </c>
      <c r="C1950" t="s">
        <v>471</v>
      </c>
      <c r="E1950" t="s">
        <v>1478</v>
      </c>
      <c r="F1950" t="s">
        <v>4665</v>
      </c>
      <c r="G1950" t="s">
        <v>7697</v>
      </c>
      <c r="H1950" t="s">
        <v>10471</v>
      </c>
      <c r="I1950" t="s">
        <v>11383</v>
      </c>
      <c r="J1950">
        <v>10460</v>
      </c>
      <c r="K1950" t="s">
        <v>11447</v>
      </c>
      <c r="M1950" t="s">
        <v>14753</v>
      </c>
      <c r="N1950" t="s">
        <v>14780</v>
      </c>
      <c r="P1950" t="s">
        <v>14797</v>
      </c>
      <c r="Q1950" t="s">
        <v>11448</v>
      </c>
      <c r="S1950" t="s">
        <v>14830</v>
      </c>
      <c r="V1950">
        <v>0</v>
      </c>
      <c r="W1950" t="s">
        <v>14858</v>
      </c>
      <c r="Z1950" t="s">
        <v>16575</v>
      </c>
      <c r="AB1950" t="s">
        <v>21613</v>
      </c>
      <c r="AC1950">
        <v>0</v>
      </c>
      <c r="AF1950">
        <v>0</v>
      </c>
      <c r="AG1950">
        <v>4</v>
      </c>
      <c r="AH1950">
        <v>0</v>
      </c>
      <c r="AI1950">
        <v>72.23</v>
      </c>
      <c r="AL1950" t="s">
        <v>5011</v>
      </c>
      <c r="AM1950">
        <v>18600</v>
      </c>
      <c r="AS1950">
        <v>5</v>
      </c>
      <c r="AT1950" t="s">
        <v>467</v>
      </c>
      <c r="AU1950" t="s">
        <v>67</v>
      </c>
      <c r="AW1950" t="s">
        <v>11447</v>
      </c>
    </row>
    <row r="1951" spans="1:49">
      <c r="A1951" s="1">
        <f>HYPERLINK("https://lsnyc.legalserver.org/matter/dynamic-profile/view/1906837","19-1906837")</f>
        <v>0</v>
      </c>
      <c r="B1951" t="s">
        <v>166</v>
      </c>
      <c r="C1951" t="s">
        <v>366</v>
      </c>
      <c r="E1951" t="s">
        <v>2094</v>
      </c>
      <c r="F1951" t="s">
        <v>3965</v>
      </c>
      <c r="G1951" t="s">
        <v>7698</v>
      </c>
      <c r="H1951" t="s">
        <v>10896</v>
      </c>
      <c r="I1951" t="s">
        <v>11384</v>
      </c>
      <c r="J1951">
        <v>10304</v>
      </c>
      <c r="K1951" t="s">
        <v>11446</v>
      </c>
      <c r="L1951" t="s">
        <v>12090</v>
      </c>
      <c r="M1951" t="s">
        <v>14744</v>
      </c>
      <c r="P1951" t="s">
        <v>14797</v>
      </c>
      <c r="Q1951" t="s">
        <v>11448</v>
      </c>
      <c r="S1951" t="s">
        <v>14830</v>
      </c>
      <c r="T1951" t="s">
        <v>14832</v>
      </c>
      <c r="V1951">
        <v>1949</v>
      </c>
      <c r="W1951" t="s">
        <v>14862</v>
      </c>
      <c r="X1951" t="s">
        <v>14868</v>
      </c>
      <c r="Z1951" t="s">
        <v>16576</v>
      </c>
      <c r="AB1951" t="s">
        <v>21614</v>
      </c>
      <c r="AC1951">
        <v>0</v>
      </c>
      <c r="AD1951" t="s">
        <v>24596</v>
      </c>
      <c r="AE1951" t="s">
        <v>11459</v>
      </c>
      <c r="AF1951">
        <v>3</v>
      </c>
      <c r="AG1951">
        <v>1</v>
      </c>
      <c r="AH1951">
        <v>3</v>
      </c>
      <c r="AI1951">
        <v>72.7</v>
      </c>
      <c r="AL1951" t="s">
        <v>5011</v>
      </c>
      <c r="AM1951">
        <v>18720</v>
      </c>
      <c r="AS1951">
        <v>37.25</v>
      </c>
      <c r="AT1951" t="s">
        <v>509</v>
      </c>
      <c r="AU1951" t="s">
        <v>25270</v>
      </c>
      <c r="AV1951" t="s">
        <v>25335</v>
      </c>
      <c r="AW1951" t="s">
        <v>11447</v>
      </c>
    </row>
    <row r="1952" spans="1:49">
      <c r="A1952" s="1">
        <f>HYPERLINK("https://lsnyc.legalserver.org/matter/dynamic-profile/view/1906941","19-1906941")</f>
        <v>0</v>
      </c>
      <c r="B1952" t="s">
        <v>126</v>
      </c>
      <c r="C1952" t="s">
        <v>354</v>
      </c>
      <c r="E1952" t="s">
        <v>1191</v>
      </c>
      <c r="F1952" t="s">
        <v>4163</v>
      </c>
      <c r="G1952" t="s">
        <v>7021</v>
      </c>
      <c r="H1952" t="s">
        <v>10579</v>
      </c>
      <c r="I1952" t="s">
        <v>11383</v>
      </c>
      <c r="J1952">
        <v>10452</v>
      </c>
      <c r="K1952" t="s">
        <v>11446</v>
      </c>
      <c r="P1952" t="s">
        <v>14797</v>
      </c>
      <c r="Q1952" t="s">
        <v>11446</v>
      </c>
      <c r="S1952" t="s">
        <v>14827</v>
      </c>
      <c r="V1952">
        <v>1659</v>
      </c>
      <c r="W1952" t="s">
        <v>14858</v>
      </c>
      <c r="X1952" t="s">
        <v>14876</v>
      </c>
      <c r="Z1952" t="s">
        <v>16577</v>
      </c>
      <c r="AB1952" t="s">
        <v>21615</v>
      </c>
      <c r="AC1952">
        <v>65</v>
      </c>
      <c r="AD1952" t="s">
        <v>11479</v>
      </c>
      <c r="AE1952" t="s">
        <v>24610</v>
      </c>
      <c r="AF1952">
        <v>19</v>
      </c>
      <c r="AG1952">
        <v>1</v>
      </c>
      <c r="AH1952">
        <v>0</v>
      </c>
      <c r="AI1952">
        <v>72.92</v>
      </c>
      <c r="AL1952" t="s">
        <v>24632</v>
      </c>
      <c r="AM1952">
        <v>9108</v>
      </c>
      <c r="AS1952">
        <v>0.8</v>
      </c>
      <c r="AT1952" t="s">
        <v>604</v>
      </c>
      <c r="AU1952" t="s">
        <v>245</v>
      </c>
      <c r="AW1952" t="s">
        <v>11447</v>
      </c>
    </row>
    <row r="1953" spans="1:49">
      <c r="A1953" s="1">
        <f>HYPERLINK("https://lsnyc.legalserver.org/matter/dynamic-profile/view/1914932","19-1914932")</f>
        <v>0</v>
      </c>
      <c r="B1953" t="s">
        <v>126</v>
      </c>
      <c r="C1953" t="s">
        <v>537</v>
      </c>
      <c r="E1953" t="s">
        <v>1191</v>
      </c>
      <c r="F1953" t="s">
        <v>4163</v>
      </c>
      <c r="G1953" t="s">
        <v>7021</v>
      </c>
      <c r="H1953" t="s">
        <v>10579</v>
      </c>
      <c r="I1953" t="s">
        <v>11383</v>
      </c>
      <c r="J1953">
        <v>10452</v>
      </c>
      <c r="K1953" t="s">
        <v>11447</v>
      </c>
      <c r="P1953" t="s">
        <v>14797</v>
      </c>
      <c r="Q1953" t="s">
        <v>11446</v>
      </c>
      <c r="S1953" t="s">
        <v>14827</v>
      </c>
      <c r="V1953">
        <v>1659</v>
      </c>
      <c r="W1953" t="s">
        <v>14858</v>
      </c>
      <c r="X1953" t="s">
        <v>14864</v>
      </c>
      <c r="Z1953" t="s">
        <v>16577</v>
      </c>
      <c r="AB1953" t="s">
        <v>21615</v>
      </c>
      <c r="AC1953">
        <v>65</v>
      </c>
      <c r="AD1953" t="s">
        <v>11479</v>
      </c>
      <c r="AE1953" t="s">
        <v>24610</v>
      </c>
      <c r="AF1953">
        <v>19</v>
      </c>
      <c r="AG1953">
        <v>1</v>
      </c>
      <c r="AH1953">
        <v>0</v>
      </c>
      <c r="AI1953">
        <v>72.92</v>
      </c>
      <c r="AL1953" t="s">
        <v>24632</v>
      </c>
      <c r="AM1953">
        <v>9108</v>
      </c>
      <c r="AS1953">
        <v>0</v>
      </c>
      <c r="AU1953" t="s">
        <v>25268</v>
      </c>
      <c r="AW1953" t="s">
        <v>11447</v>
      </c>
    </row>
    <row r="1954" spans="1:49">
      <c r="A1954" s="1">
        <f>HYPERLINK("https://lsnyc.legalserver.org/matter/dynamic-profile/view/1908016","19-1908016")</f>
        <v>0</v>
      </c>
      <c r="B1954" t="s">
        <v>119</v>
      </c>
      <c r="C1954" t="s">
        <v>455</v>
      </c>
      <c r="E1954" t="s">
        <v>1663</v>
      </c>
      <c r="F1954" t="s">
        <v>3547</v>
      </c>
      <c r="G1954" t="s">
        <v>7085</v>
      </c>
      <c r="H1954" t="s">
        <v>10897</v>
      </c>
      <c r="I1954" t="s">
        <v>11383</v>
      </c>
      <c r="J1954">
        <v>10457</v>
      </c>
      <c r="K1954" t="s">
        <v>11446</v>
      </c>
      <c r="L1954" t="s">
        <v>12091</v>
      </c>
      <c r="M1954" t="s">
        <v>14762</v>
      </c>
      <c r="N1954" t="s">
        <v>14783</v>
      </c>
      <c r="P1954" t="s">
        <v>14797</v>
      </c>
      <c r="Q1954" t="s">
        <v>11446</v>
      </c>
      <c r="S1954" t="s">
        <v>14827</v>
      </c>
      <c r="V1954">
        <v>385</v>
      </c>
      <c r="W1954" t="s">
        <v>14858</v>
      </c>
      <c r="X1954" t="s">
        <v>14864</v>
      </c>
      <c r="Z1954" t="s">
        <v>16578</v>
      </c>
      <c r="AB1954" t="s">
        <v>21616</v>
      </c>
      <c r="AC1954">
        <v>48</v>
      </c>
      <c r="AD1954" t="s">
        <v>24595</v>
      </c>
      <c r="AE1954" t="s">
        <v>24610</v>
      </c>
      <c r="AF1954">
        <v>5</v>
      </c>
      <c r="AG1954">
        <v>1</v>
      </c>
      <c r="AH1954">
        <v>0</v>
      </c>
      <c r="AI1954">
        <v>73.69</v>
      </c>
      <c r="AL1954" t="s">
        <v>24632</v>
      </c>
      <c r="AM1954">
        <v>9204</v>
      </c>
      <c r="AS1954">
        <v>1.1</v>
      </c>
      <c r="AT1954" t="s">
        <v>641</v>
      </c>
      <c r="AU1954" t="s">
        <v>245</v>
      </c>
      <c r="AW1954" t="s">
        <v>11447</v>
      </c>
    </row>
    <row r="1955" spans="1:49">
      <c r="A1955" s="1">
        <f>HYPERLINK("https://lsnyc.legalserver.org/matter/dynamic-profile/view/1868852","18-1868852")</f>
        <v>0</v>
      </c>
      <c r="B1955" t="s">
        <v>203</v>
      </c>
      <c r="C1955" t="s">
        <v>695</v>
      </c>
      <c r="E1955" t="s">
        <v>1843</v>
      </c>
      <c r="F1955" t="s">
        <v>4666</v>
      </c>
      <c r="G1955" t="s">
        <v>7087</v>
      </c>
      <c r="H1955" t="s">
        <v>10506</v>
      </c>
      <c r="I1955" t="s">
        <v>11385</v>
      </c>
      <c r="J1955">
        <v>11233</v>
      </c>
      <c r="K1955" t="s">
        <v>11446</v>
      </c>
      <c r="L1955" t="s">
        <v>11601</v>
      </c>
      <c r="M1955" t="s">
        <v>14745</v>
      </c>
      <c r="N1955" t="s">
        <v>14779</v>
      </c>
      <c r="P1955" t="s">
        <v>14797</v>
      </c>
      <c r="Q1955" t="s">
        <v>11446</v>
      </c>
      <c r="S1955" t="s">
        <v>14827</v>
      </c>
      <c r="V1955">
        <v>900</v>
      </c>
      <c r="W1955" t="s">
        <v>14859</v>
      </c>
      <c r="X1955" t="s">
        <v>14868</v>
      </c>
      <c r="Z1955" t="s">
        <v>16579</v>
      </c>
      <c r="AB1955" t="s">
        <v>21617</v>
      </c>
      <c r="AC1955">
        <v>6</v>
      </c>
      <c r="AD1955" t="s">
        <v>24595</v>
      </c>
      <c r="AE1955" t="s">
        <v>24615</v>
      </c>
      <c r="AF1955">
        <v>15</v>
      </c>
      <c r="AG1955">
        <v>2</v>
      </c>
      <c r="AH1955">
        <v>0</v>
      </c>
      <c r="AI1955">
        <v>73.95</v>
      </c>
      <c r="AL1955" t="s">
        <v>5011</v>
      </c>
      <c r="AM1955">
        <v>12172</v>
      </c>
      <c r="AS1955">
        <v>26.6</v>
      </c>
      <c r="AT1955" t="s">
        <v>511</v>
      </c>
      <c r="AU1955" t="s">
        <v>25290</v>
      </c>
      <c r="AV1955" t="s">
        <v>25335</v>
      </c>
      <c r="AW1955" t="s">
        <v>11447</v>
      </c>
    </row>
    <row r="1956" spans="1:49">
      <c r="A1956" s="1">
        <f>HYPERLINK("https://lsnyc.legalserver.org/matter/dynamic-profile/view/1907529","19-1907529")</f>
        <v>0</v>
      </c>
      <c r="B1956" t="s">
        <v>67</v>
      </c>
      <c r="C1956" t="s">
        <v>465</v>
      </c>
      <c r="E1956" t="s">
        <v>1372</v>
      </c>
      <c r="F1956" t="s">
        <v>3966</v>
      </c>
      <c r="G1956" t="s">
        <v>6479</v>
      </c>
      <c r="H1956" t="s">
        <v>10568</v>
      </c>
      <c r="I1956" t="s">
        <v>11383</v>
      </c>
      <c r="J1956">
        <v>10474</v>
      </c>
      <c r="K1956" t="s">
        <v>11447</v>
      </c>
      <c r="L1956" t="s">
        <v>12025</v>
      </c>
      <c r="M1956" t="s">
        <v>14762</v>
      </c>
      <c r="N1956" t="s">
        <v>14783</v>
      </c>
      <c r="P1956" t="s">
        <v>14797</v>
      </c>
      <c r="S1956" t="s">
        <v>14827</v>
      </c>
      <c r="V1956">
        <v>0</v>
      </c>
      <c r="W1956" t="s">
        <v>14858</v>
      </c>
      <c r="Z1956" t="s">
        <v>16580</v>
      </c>
      <c r="AC1956">
        <v>0</v>
      </c>
      <c r="AF1956">
        <v>0</v>
      </c>
      <c r="AG1956">
        <v>1</v>
      </c>
      <c r="AH1956">
        <v>0</v>
      </c>
      <c r="AI1956">
        <v>73.98</v>
      </c>
      <c r="AL1956" t="s">
        <v>24632</v>
      </c>
      <c r="AM1956">
        <v>9240</v>
      </c>
      <c r="AS1956">
        <v>0</v>
      </c>
      <c r="AU1956" t="s">
        <v>67</v>
      </c>
      <c r="AW1956" t="s">
        <v>11447</v>
      </c>
    </row>
    <row r="1957" spans="1:49">
      <c r="A1957" s="1">
        <f>HYPERLINK("https://lsnyc.legalserver.org/matter/dynamic-profile/view/1907093","19-1907093")</f>
        <v>0</v>
      </c>
      <c r="B1957" t="s">
        <v>67</v>
      </c>
      <c r="C1957" t="s">
        <v>564</v>
      </c>
      <c r="E1957" t="s">
        <v>1372</v>
      </c>
      <c r="F1957" t="s">
        <v>3966</v>
      </c>
      <c r="G1957" t="s">
        <v>6479</v>
      </c>
      <c r="H1957" t="s">
        <v>10568</v>
      </c>
      <c r="I1957" t="s">
        <v>11383</v>
      </c>
      <c r="J1957">
        <v>10474</v>
      </c>
      <c r="K1957" t="s">
        <v>11446</v>
      </c>
      <c r="L1957" t="s">
        <v>11496</v>
      </c>
      <c r="M1957" t="s">
        <v>14746</v>
      </c>
      <c r="N1957" t="s">
        <v>14781</v>
      </c>
      <c r="P1957" t="s">
        <v>14797</v>
      </c>
      <c r="Q1957" t="s">
        <v>11446</v>
      </c>
      <c r="S1957" t="s">
        <v>14827</v>
      </c>
      <c r="V1957">
        <v>576</v>
      </c>
      <c r="W1957" t="s">
        <v>14858</v>
      </c>
      <c r="X1957" t="s">
        <v>14864</v>
      </c>
      <c r="Z1957" t="s">
        <v>16580</v>
      </c>
      <c r="AA1957" t="s">
        <v>19490</v>
      </c>
      <c r="AC1957">
        <v>45</v>
      </c>
      <c r="AD1957" t="s">
        <v>24595</v>
      </c>
      <c r="AE1957" t="s">
        <v>24610</v>
      </c>
      <c r="AF1957">
        <v>48</v>
      </c>
      <c r="AG1957">
        <v>1</v>
      </c>
      <c r="AH1957">
        <v>0</v>
      </c>
      <c r="AI1957">
        <v>73.98</v>
      </c>
      <c r="AL1957" t="s">
        <v>24632</v>
      </c>
      <c r="AM1957">
        <v>9240</v>
      </c>
      <c r="AS1957">
        <v>0</v>
      </c>
      <c r="AU1957" t="s">
        <v>237</v>
      </c>
      <c r="AV1957" t="s">
        <v>25335</v>
      </c>
      <c r="AW1957" t="s">
        <v>11447</v>
      </c>
    </row>
    <row r="1958" spans="1:49">
      <c r="A1958" s="1">
        <f>HYPERLINK("https://lsnyc.legalserver.org/matter/dynamic-profile/view/1909393","19-1909393")</f>
        <v>0</v>
      </c>
      <c r="B1958" t="s">
        <v>119</v>
      </c>
      <c r="C1958" t="s">
        <v>412</v>
      </c>
      <c r="E1958" t="s">
        <v>1430</v>
      </c>
      <c r="F1958" t="s">
        <v>4359</v>
      </c>
      <c r="G1958" t="s">
        <v>7085</v>
      </c>
      <c r="H1958" t="s">
        <v>10812</v>
      </c>
      <c r="I1958" t="s">
        <v>11383</v>
      </c>
      <c r="J1958">
        <v>10457</v>
      </c>
      <c r="K1958" t="s">
        <v>11446</v>
      </c>
      <c r="L1958" t="s">
        <v>12052</v>
      </c>
      <c r="M1958" t="s">
        <v>14762</v>
      </c>
      <c r="N1958" t="s">
        <v>14783</v>
      </c>
      <c r="P1958" t="s">
        <v>14797</v>
      </c>
      <c r="Q1958" t="s">
        <v>11448</v>
      </c>
      <c r="S1958" t="s">
        <v>14827</v>
      </c>
      <c r="V1958">
        <v>816</v>
      </c>
      <c r="W1958" t="s">
        <v>14858</v>
      </c>
      <c r="X1958" t="s">
        <v>14868</v>
      </c>
      <c r="Z1958" t="s">
        <v>14919</v>
      </c>
      <c r="AB1958" t="s">
        <v>21149</v>
      </c>
      <c r="AC1958">
        <v>47</v>
      </c>
      <c r="AD1958" t="s">
        <v>24595</v>
      </c>
      <c r="AE1958" t="s">
        <v>24610</v>
      </c>
      <c r="AF1958">
        <v>10</v>
      </c>
      <c r="AG1958">
        <v>1</v>
      </c>
      <c r="AH1958">
        <v>0</v>
      </c>
      <c r="AI1958">
        <v>73.98</v>
      </c>
      <c r="AL1958" t="s">
        <v>5011</v>
      </c>
      <c r="AM1958">
        <v>9240</v>
      </c>
      <c r="AS1958">
        <v>9</v>
      </c>
      <c r="AT1958" t="s">
        <v>540</v>
      </c>
      <c r="AU1958" t="s">
        <v>245</v>
      </c>
      <c r="AW1958" t="s">
        <v>11447</v>
      </c>
    </row>
    <row r="1959" spans="1:49">
      <c r="A1959" s="1">
        <f>HYPERLINK("https://lsnyc.legalserver.org/matter/dynamic-profile/view/1903928","19-1903928")</f>
        <v>0</v>
      </c>
      <c r="B1959" t="s">
        <v>127</v>
      </c>
      <c r="C1959" t="s">
        <v>378</v>
      </c>
      <c r="E1959" t="s">
        <v>2122</v>
      </c>
      <c r="F1959" t="s">
        <v>4667</v>
      </c>
      <c r="G1959" t="s">
        <v>7699</v>
      </c>
      <c r="H1959" t="s">
        <v>10450</v>
      </c>
      <c r="I1959" t="s">
        <v>11385</v>
      </c>
      <c r="J1959">
        <v>11239</v>
      </c>
      <c r="K1959" t="s">
        <v>11446</v>
      </c>
      <c r="L1959" t="s">
        <v>12092</v>
      </c>
      <c r="M1959" t="s">
        <v>14743</v>
      </c>
      <c r="N1959" t="s">
        <v>14782</v>
      </c>
      <c r="P1959" t="s">
        <v>14797</v>
      </c>
      <c r="S1959" t="s">
        <v>14827</v>
      </c>
      <c r="V1959">
        <v>100</v>
      </c>
      <c r="W1959" t="s">
        <v>14859</v>
      </c>
      <c r="X1959" t="s">
        <v>14865</v>
      </c>
      <c r="Z1959" t="s">
        <v>14929</v>
      </c>
      <c r="AB1959" t="s">
        <v>21618</v>
      </c>
      <c r="AC1959">
        <v>20</v>
      </c>
      <c r="AF1959">
        <v>3</v>
      </c>
      <c r="AG1959">
        <v>1</v>
      </c>
      <c r="AH1959">
        <v>0</v>
      </c>
      <c r="AI1959">
        <v>74.08</v>
      </c>
      <c r="AL1959" t="s">
        <v>5011</v>
      </c>
      <c r="AM1959">
        <v>9252</v>
      </c>
      <c r="AS1959">
        <v>6.8</v>
      </c>
      <c r="AT1959" t="s">
        <v>578</v>
      </c>
      <c r="AU1959" t="s">
        <v>25235</v>
      </c>
      <c r="AV1959" t="s">
        <v>25335</v>
      </c>
      <c r="AW1959" t="s">
        <v>11447</v>
      </c>
    </row>
    <row r="1960" spans="1:49">
      <c r="A1960" s="1">
        <f>HYPERLINK("https://lsnyc.legalserver.org/matter/dynamic-profile/view/1914391","19-1914391")</f>
        <v>0</v>
      </c>
      <c r="B1960" t="s">
        <v>197</v>
      </c>
      <c r="C1960" t="s">
        <v>506</v>
      </c>
      <c r="E1960" t="s">
        <v>1163</v>
      </c>
      <c r="F1960" t="s">
        <v>3554</v>
      </c>
      <c r="G1960" t="s">
        <v>7700</v>
      </c>
      <c r="H1960" t="s">
        <v>10898</v>
      </c>
      <c r="I1960" t="s">
        <v>11383</v>
      </c>
      <c r="J1960">
        <v>10463</v>
      </c>
      <c r="K1960" t="s">
        <v>11446</v>
      </c>
      <c r="N1960" t="s">
        <v>14782</v>
      </c>
      <c r="P1960" t="s">
        <v>14797</v>
      </c>
      <c r="S1960" t="s">
        <v>14827</v>
      </c>
      <c r="V1960">
        <v>0</v>
      </c>
      <c r="W1960" t="s">
        <v>14858</v>
      </c>
      <c r="Z1960" t="s">
        <v>16581</v>
      </c>
      <c r="AB1960" t="s">
        <v>21619</v>
      </c>
      <c r="AC1960">
        <v>0</v>
      </c>
      <c r="AF1960">
        <v>0</v>
      </c>
      <c r="AG1960">
        <v>1</v>
      </c>
      <c r="AH1960">
        <v>0</v>
      </c>
      <c r="AI1960">
        <v>74.08</v>
      </c>
      <c r="AL1960" t="s">
        <v>24632</v>
      </c>
      <c r="AM1960">
        <v>9252</v>
      </c>
      <c r="AS1960">
        <v>3.7</v>
      </c>
      <c r="AT1960" t="s">
        <v>495</v>
      </c>
      <c r="AU1960" t="s">
        <v>197</v>
      </c>
      <c r="AV1960" t="s">
        <v>25335</v>
      </c>
      <c r="AW1960" t="s">
        <v>11447</v>
      </c>
    </row>
    <row r="1961" spans="1:49">
      <c r="A1961" s="1">
        <f>HYPERLINK("https://lsnyc.legalserver.org/matter/dynamic-profile/view/1904971","19-1904971")</f>
        <v>0</v>
      </c>
      <c r="B1961" t="s">
        <v>116</v>
      </c>
      <c r="C1961" t="s">
        <v>593</v>
      </c>
      <c r="E1961" t="s">
        <v>1025</v>
      </c>
      <c r="F1961" t="s">
        <v>3675</v>
      </c>
      <c r="G1961" t="s">
        <v>7701</v>
      </c>
      <c r="H1961" t="s">
        <v>10899</v>
      </c>
      <c r="I1961" t="s">
        <v>11383</v>
      </c>
      <c r="J1961">
        <v>10457</v>
      </c>
      <c r="K1961" t="s">
        <v>11447</v>
      </c>
      <c r="M1961" t="s">
        <v>14753</v>
      </c>
      <c r="N1961" t="s">
        <v>14780</v>
      </c>
      <c r="P1961" t="s">
        <v>14797</v>
      </c>
      <c r="Q1961" t="s">
        <v>11448</v>
      </c>
      <c r="S1961" t="s">
        <v>14830</v>
      </c>
      <c r="V1961">
        <v>0</v>
      </c>
      <c r="W1961" t="s">
        <v>14858</v>
      </c>
      <c r="X1961" t="s">
        <v>14867</v>
      </c>
      <c r="Z1961" t="s">
        <v>16582</v>
      </c>
      <c r="AA1961" t="s">
        <v>19491</v>
      </c>
      <c r="AB1961" t="s">
        <v>21620</v>
      </c>
      <c r="AC1961">
        <v>71</v>
      </c>
      <c r="AD1961" t="s">
        <v>24595</v>
      </c>
      <c r="AE1961" t="s">
        <v>24610</v>
      </c>
      <c r="AF1961">
        <v>39</v>
      </c>
      <c r="AG1961">
        <v>1</v>
      </c>
      <c r="AH1961">
        <v>0</v>
      </c>
      <c r="AI1961">
        <v>74.08</v>
      </c>
      <c r="AL1961" t="s">
        <v>24632</v>
      </c>
      <c r="AM1961">
        <v>9252</v>
      </c>
      <c r="AS1961">
        <v>6.1</v>
      </c>
      <c r="AT1961" t="s">
        <v>574</v>
      </c>
      <c r="AU1961" t="s">
        <v>25225</v>
      </c>
      <c r="AV1961" t="s">
        <v>25334</v>
      </c>
      <c r="AW1961" t="s">
        <v>11447</v>
      </c>
    </row>
    <row r="1962" spans="1:49">
      <c r="A1962" s="1">
        <f>HYPERLINK("https://lsnyc.legalserver.org/matter/dynamic-profile/view/1906975","19-1906975")</f>
        <v>0</v>
      </c>
      <c r="B1962" t="s">
        <v>95</v>
      </c>
      <c r="C1962" t="s">
        <v>354</v>
      </c>
      <c r="E1962" t="s">
        <v>2123</v>
      </c>
      <c r="F1962" t="s">
        <v>4668</v>
      </c>
      <c r="G1962" t="s">
        <v>6452</v>
      </c>
      <c r="H1962" t="s">
        <v>10900</v>
      </c>
      <c r="I1962" t="s">
        <v>11383</v>
      </c>
      <c r="J1962">
        <v>10453</v>
      </c>
      <c r="K1962" t="s">
        <v>11446</v>
      </c>
      <c r="L1962" t="s">
        <v>11465</v>
      </c>
      <c r="M1962" t="s">
        <v>11601</v>
      </c>
      <c r="N1962" t="s">
        <v>14778</v>
      </c>
      <c r="P1962" t="s">
        <v>14797</v>
      </c>
      <c r="Q1962" t="s">
        <v>11448</v>
      </c>
      <c r="S1962" t="s">
        <v>14830</v>
      </c>
      <c r="T1962" t="s">
        <v>14832</v>
      </c>
      <c r="V1962">
        <v>0</v>
      </c>
      <c r="W1962" t="s">
        <v>14858</v>
      </c>
      <c r="X1962" t="s">
        <v>14868</v>
      </c>
      <c r="Z1962" t="s">
        <v>16583</v>
      </c>
      <c r="AB1962" t="s">
        <v>21621</v>
      </c>
      <c r="AC1962">
        <v>44</v>
      </c>
      <c r="AD1962" t="s">
        <v>24604</v>
      </c>
      <c r="AE1962" t="s">
        <v>24610</v>
      </c>
      <c r="AF1962">
        <v>0</v>
      </c>
      <c r="AG1962">
        <v>1</v>
      </c>
      <c r="AH1962">
        <v>0</v>
      </c>
      <c r="AI1962">
        <v>74.08</v>
      </c>
      <c r="AL1962" t="s">
        <v>5011</v>
      </c>
      <c r="AM1962">
        <v>9252</v>
      </c>
      <c r="AS1962">
        <v>1</v>
      </c>
      <c r="AT1962" t="s">
        <v>640</v>
      </c>
      <c r="AU1962" t="s">
        <v>95</v>
      </c>
      <c r="AV1962" t="s">
        <v>25335</v>
      </c>
      <c r="AW1962" t="s">
        <v>11447</v>
      </c>
    </row>
    <row r="1963" spans="1:49">
      <c r="A1963" s="1">
        <f>HYPERLINK("https://lsnyc.legalserver.org/matter/dynamic-profile/view/1913321","19-1913321")</f>
        <v>0</v>
      </c>
      <c r="B1963" t="s">
        <v>90</v>
      </c>
      <c r="C1963" t="s">
        <v>483</v>
      </c>
      <c r="E1963" t="s">
        <v>1618</v>
      </c>
      <c r="F1963" t="s">
        <v>4113</v>
      </c>
      <c r="G1963" t="s">
        <v>7042</v>
      </c>
      <c r="H1963" t="s">
        <v>10574</v>
      </c>
      <c r="I1963" t="s">
        <v>11383</v>
      </c>
      <c r="J1963">
        <v>10453</v>
      </c>
      <c r="K1963" t="s">
        <v>11446</v>
      </c>
      <c r="L1963" t="s">
        <v>12093</v>
      </c>
      <c r="M1963" t="s">
        <v>14744</v>
      </c>
      <c r="N1963" t="s">
        <v>14778</v>
      </c>
      <c r="P1963" t="s">
        <v>14797</v>
      </c>
      <c r="Q1963" t="s">
        <v>11448</v>
      </c>
      <c r="S1963" t="s">
        <v>14827</v>
      </c>
      <c r="T1963" t="s">
        <v>14832</v>
      </c>
      <c r="V1963">
        <v>895.88</v>
      </c>
      <c r="W1963" t="s">
        <v>14858</v>
      </c>
      <c r="X1963" t="s">
        <v>14868</v>
      </c>
      <c r="Z1963" t="s">
        <v>15674</v>
      </c>
      <c r="AB1963" t="s">
        <v>20775</v>
      </c>
      <c r="AC1963">
        <v>0</v>
      </c>
      <c r="AD1963" t="s">
        <v>24595</v>
      </c>
      <c r="AF1963">
        <v>29</v>
      </c>
      <c r="AG1963">
        <v>1</v>
      </c>
      <c r="AH1963">
        <v>0</v>
      </c>
      <c r="AI1963">
        <v>74.08</v>
      </c>
      <c r="AL1963" t="s">
        <v>5011</v>
      </c>
      <c r="AM1963">
        <v>9252</v>
      </c>
      <c r="AS1963">
        <v>0.1</v>
      </c>
      <c r="AT1963" t="s">
        <v>476</v>
      </c>
      <c r="AU1963" t="s">
        <v>90</v>
      </c>
      <c r="AV1963" t="s">
        <v>25335</v>
      </c>
      <c r="AW1963" t="s">
        <v>11447</v>
      </c>
    </row>
    <row r="1964" spans="1:49">
      <c r="A1964" s="1">
        <f>HYPERLINK("https://lsnyc.legalserver.org/matter/dynamic-profile/view/1914257","19-1914257")</f>
        <v>0</v>
      </c>
      <c r="B1964" t="s">
        <v>126</v>
      </c>
      <c r="C1964" t="s">
        <v>539</v>
      </c>
      <c r="E1964" t="s">
        <v>1043</v>
      </c>
      <c r="F1964" t="s">
        <v>3547</v>
      </c>
      <c r="G1964" t="s">
        <v>7134</v>
      </c>
      <c r="H1964" t="s">
        <v>10901</v>
      </c>
      <c r="I1964" t="s">
        <v>11383</v>
      </c>
      <c r="J1964">
        <v>10452</v>
      </c>
      <c r="K1964" t="s">
        <v>11447</v>
      </c>
      <c r="M1964" t="s">
        <v>11601</v>
      </c>
      <c r="N1964" t="s">
        <v>14778</v>
      </c>
      <c r="P1964" t="s">
        <v>14797</v>
      </c>
      <c r="S1964" t="s">
        <v>14827</v>
      </c>
      <c r="V1964">
        <v>168</v>
      </c>
      <c r="W1964" t="s">
        <v>14858</v>
      </c>
      <c r="X1964" t="s">
        <v>14864</v>
      </c>
      <c r="Z1964" t="s">
        <v>16387</v>
      </c>
      <c r="AB1964" t="s">
        <v>21622</v>
      </c>
      <c r="AC1964">
        <v>0</v>
      </c>
      <c r="AD1964" t="s">
        <v>11479</v>
      </c>
      <c r="AE1964" t="s">
        <v>24610</v>
      </c>
      <c r="AF1964">
        <v>28</v>
      </c>
      <c r="AG1964">
        <v>1</v>
      </c>
      <c r="AH1964">
        <v>0</v>
      </c>
      <c r="AI1964">
        <v>74.08</v>
      </c>
      <c r="AL1964" t="s">
        <v>24632</v>
      </c>
      <c r="AM1964">
        <v>9252</v>
      </c>
      <c r="AS1964">
        <v>0</v>
      </c>
      <c r="AU1964" t="s">
        <v>25268</v>
      </c>
      <c r="AW1964" t="s">
        <v>11447</v>
      </c>
    </row>
    <row r="1965" spans="1:49">
      <c r="A1965" s="1">
        <f>HYPERLINK("https://lsnyc.legalserver.org/matter/dynamic-profile/view/1914942","19-1914942")</f>
        <v>0</v>
      </c>
      <c r="B1965" t="s">
        <v>126</v>
      </c>
      <c r="C1965" t="s">
        <v>537</v>
      </c>
      <c r="E1965" t="s">
        <v>2113</v>
      </c>
      <c r="F1965" t="s">
        <v>3730</v>
      </c>
      <c r="G1965" t="s">
        <v>7021</v>
      </c>
      <c r="H1965" t="s">
        <v>10451</v>
      </c>
      <c r="I1965" t="s">
        <v>11383</v>
      </c>
      <c r="J1965">
        <v>10452</v>
      </c>
      <c r="K1965" t="s">
        <v>11447</v>
      </c>
      <c r="P1965" t="s">
        <v>14797</v>
      </c>
      <c r="Q1965" t="s">
        <v>11446</v>
      </c>
      <c r="S1965" t="s">
        <v>14827</v>
      </c>
      <c r="V1965">
        <v>1260</v>
      </c>
      <c r="W1965" t="s">
        <v>14858</v>
      </c>
      <c r="X1965" t="s">
        <v>14864</v>
      </c>
      <c r="Z1965" t="s">
        <v>16561</v>
      </c>
      <c r="AB1965" t="s">
        <v>21623</v>
      </c>
      <c r="AC1965">
        <v>65</v>
      </c>
      <c r="AD1965" t="s">
        <v>24595</v>
      </c>
      <c r="AE1965" t="s">
        <v>24615</v>
      </c>
      <c r="AF1965">
        <v>44</v>
      </c>
      <c r="AG1965">
        <v>1</v>
      </c>
      <c r="AH1965">
        <v>0</v>
      </c>
      <c r="AI1965">
        <v>74.08</v>
      </c>
      <c r="AL1965" t="s">
        <v>24632</v>
      </c>
      <c r="AM1965">
        <v>9252</v>
      </c>
      <c r="AS1965">
        <v>0</v>
      </c>
      <c r="AU1965" t="s">
        <v>25268</v>
      </c>
      <c r="AW1965" t="s">
        <v>11447</v>
      </c>
    </row>
    <row r="1966" spans="1:49">
      <c r="A1966" s="1">
        <f>HYPERLINK("https://lsnyc.legalserver.org/matter/dynamic-profile/view/1911773","19-1911773")</f>
        <v>0</v>
      </c>
      <c r="B1966" t="s">
        <v>123</v>
      </c>
      <c r="C1966" t="s">
        <v>505</v>
      </c>
      <c r="E1966" t="s">
        <v>1824</v>
      </c>
      <c r="F1966" t="s">
        <v>4334</v>
      </c>
      <c r="G1966" t="s">
        <v>7293</v>
      </c>
      <c r="H1966" t="s">
        <v>10589</v>
      </c>
      <c r="I1966" t="s">
        <v>11385</v>
      </c>
      <c r="J1966">
        <v>11226</v>
      </c>
      <c r="K1966" t="s">
        <v>11448</v>
      </c>
      <c r="N1966" t="s">
        <v>14781</v>
      </c>
      <c r="P1966" t="s">
        <v>14797</v>
      </c>
      <c r="S1966" t="s">
        <v>14827</v>
      </c>
      <c r="V1966">
        <v>0</v>
      </c>
      <c r="W1966" t="s">
        <v>14859</v>
      </c>
      <c r="Z1966" t="s">
        <v>16029</v>
      </c>
      <c r="AC1966">
        <v>16</v>
      </c>
      <c r="AF1966">
        <v>0</v>
      </c>
      <c r="AG1966">
        <v>2</v>
      </c>
      <c r="AH1966">
        <v>0</v>
      </c>
      <c r="AI1966">
        <v>74.51000000000001</v>
      </c>
      <c r="AL1966" t="s">
        <v>5011</v>
      </c>
      <c r="AM1966">
        <v>12600</v>
      </c>
      <c r="AS1966">
        <v>0</v>
      </c>
      <c r="AU1966" t="s">
        <v>75</v>
      </c>
      <c r="AW1966" t="s">
        <v>11447</v>
      </c>
    </row>
    <row r="1967" spans="1:49">
      <c r="A1967" s="1">
        <f>HYPERLINK("https://lsnyc.legalserver.org/matter/dynamic-profile/view/1910392","19-1910392")</f>
        <v>0</v>
      </c>
      <c r="B1967" t="s">
        <v>138</v>
      </c>
      <c r="C1967" t="s">
        <v>508</v>
      </c>
      <c r="E1967" t="s">
        <v>2124</v>
      </c>
      <c r="F1967" t="s">
        <v>4669</v>
      </c>
      <c r="G1967" t="s">
        <v>7702</v>
      </c>
      <c r="H1967">
        <v>2</v>
      </c>
      <c r="I1967" t="s">
        <v>11400</v>
      </c>
      <c r="J1967">
        <v>11385</v>
      </c>
      <c r="K1967" t="s">
        <v>11447</v>
      </c>
      <c r="L1967" t="s">
        <v>12094</v>
      </c>
      <c r="M1967" t="s">
        <v>14760</v>
      </c>
      <c r="P1967" t="s">
        <v>14797</v>
      </c>
      <c r="S1967" t="s">
        <v>14827</v>
      </c>
      <c r="V1967">
        <v>1450</v>
      </c>
      <c r="W1967" t="s">
        <v>14861</v>
      </c>
      <c r="Z1967" t="s">
        <v>16584</v>
      </c>
      <c r="AB1967" t="s">
        <v>21624</v>
      </c>
      <c r="AC1967">
        <v>2</v>
      </c>
      <c r="AD1967" t="s">
        <v>11479</v>
      </c>
      <c r="AE1967" t="s">
        <v>11459</v>
      </c>
      <c r="AF1967">
        <v>3</v>
      </c>
      <c r="AG1967">
        <v>2</v>
      </c>
      <c r="AH1967">
        <v>2</v>
      </c>
      <c r="AI1967">
        <v>74.56</v>
      </c>
      <c r="AL1967" t="s">
        <v>5011</v>
      </c>
      <c r="AM1967">
        <v>19200</v>
      </c>
      <c r="AS1967">
        <v>5.33</v>
      </c>
      <c r="AT1967" t="s">
        <v>477</v>
      </c>
      <c r="AU1967" t="s">
        <v>25233</v>
      </c>
      <c r="AW1967" t="s">
        <v>11447</v>
      </c>
    </row>
    <row r="1968" spans="1:49">
      <c r="A1968" s="1">
        <f>HYPERLINK("https://lsnyc.legalserver.org/matter/dynamic-profile/view/1890485","19-1890485")</f>
        <v>0</v>
      </c>
      <c r="B1968" t="s">
        <v>110</v>
      </c>
      <c r="C1968" t="s">
        <v>676</v>
      </c>
      <c r="E1968" t="s">
        <v>1057</v>
      </c>
      <c r="F1968" t="s">
        <v>4670</v>
      </c>
      <c r="G1968" t="s">
        <v>7703</v>
      </c>
      <c r="H1968" t="s">
        <v>10902</v>
      </c>
      <c r="I1968" t="s">
        <v>11391</v>
      </c>
      <c r="J1968">
        <v>11691</v>
      </c>
      <c r="K1968" t="s">
        <v>11447</v>
      </c>
      <c r="M1968" t="s">
        <v>11601</v>
      </c>
      <c r="N1968" t="s">
        <v>14781</v>
      </c>
      <c r="P1968" t="s">
        <v>14797</v>
      </c>
      <c r="Q1968" t="s">
        <v>11448</v>
      </c>
      <c r="S1968" t="s">
        <v>14827</v>
      </c>
      <c r="T1968" t="s">
        <v>14832</v>
      </c>
      <c r="V1968">
        <v>155</v>
      </c>
      <c r="W1968" t="s">
        <v>14861</v>
      </c>
      <c r="X1968" t="s">
        <v>14869</v>
      </c>
      <c r="Z1968" t="s">
        <v>16585</v>
      </c>
      <c r="AB1968" t="s">
        <v>21625</v>
      </c>
      <c r="AC1968">
        <v>200</v>
      </c>
      <c r="AD1968" t="s">
        <v>24595</v>
      </c>
      <c r="AE1968" t="s">
        <v>11459</v>
      </c>
      <c r="AF1968">
        <v>19</v>
      </c>
      <c r="AG1968">
        <v>1</v>
      </c>
      <c r="AH1968">
        <v>0</v>
      </c>
      <c r="AI1968">
        <v>74.75</v>
      </c>
      <c r="AL1968" t="s">
        <v>5011</v>
      </c>
      <c r="AM1968">
        <v>9336</v>
      </c>
      <c r="AS1968">
        <v>10.4</v>
      </c>
      <c r="AT1968" t="s">
        <v>484</v>
      </c>
      <c r="AU1968" t="s">
        <v>25236</v>
      </c>
      <c r="AW1968" t="s">
        <v>11447</v>
      </c>
    </row>
    <row r="1969" spans="1:49">
      <c r="A1969" s="1">
        <f>HYPERLINK("https://lsnyc.legalserver.org/matter/dynamic-profile/view/1905047","19-1905047")</f>
        <v>0</v>
      </c>
      <c r="B1969" t="s">
        <v>140</v>
      </c>
      <c r="C1969" t="s">
        <v>456</v>
      </c>
      <c r="E1969" t="s">
        <v>1653</v>
      </c>
      <c r="F1969" t="s">
        <v>4671</v>
      </c>
      <c r="G1969" t="s">
        <v>7704</v>
      </c>
      <c r="H1969" t="s">
        <v>10787</v>
      </c>
      <c r="I1969" t="s">
        <v>11383</v>
      </c>
      <c r="J1969">
        <v>10453</v>
      </c>
      <c r="K1969" t="s">
        <v>11447</v>
      </c>
      <c r="P1969" t="s">
        <v>14797</v>
      </c>
      <c r="S1969" t="s">
        <v>14827</v>
      </c>
      <c r="V1969">
        <v>963.8</v>
      </c>
      <c r="W1969" t="s">
        <v>14858</v>
      </c>
      <c r="X1969" t="s">
        <v>14868</v>
      </c>
      <c r="Z1969" t="s">
        <v>16586</v>
      </c>
      <c r="AB1969" t="s">
        <v>21626</v>
      </c>
      <c r="AC1969">
        <v>100</v>
      </c>
      <c r="AD1969" t="s">
        <v>24599</v>
      </c>
      <c r="AE1969" t="s">
        <v>24610</v>
      </c>
      <c r="AF1969">
        <v>28</v>
      </c>
      <c r="AG1969">
        <v>1</v>
      </c>
      <c r="AH1969">
        <v>0</v>
      </c>
      <c r="AI1969">
        <v>74.94</v>
      </c>
      <c r="AL1969" t="s">
        <v>5011</v>
      </c>
      <c r="AM1969">
        <v>9360</v>
      </c>
      <c r="AN1969" t="s">
        <v>24799</v>
      </c>
      <c r="AS1969">
        <v>13</v>
      </c>
      <c r="AT1969" t="s">
        <v>476</v>
      </c>
      <c r="AU1969" t="s">
        <v>25226</v>
      </c>
      <c r="AW1969" t="s">
        <v>11447</v>
      </c>
    </row>
    <row r="1970" spans="1:49">
      <c r="A1970" s="1">
        <f>HYPERLINK("https://lsnyc.legalserver.org/matter/dynamic-profile/view/1907315","19-1907315")</f>
        <v>0</v>
      </c>
      <c r="B1970" t="s">
        <v>100</v>
      </c>
      <c r="C1970" t="s">
        <v>620</v>
      </c>
      <c r="E1970" t="s">
        <v>1282</v>
      </c>
      <c r="F1970" t="s">
        <v>3746</v>
      </c>
      <c r="G1970" t="s">
        <v>7705</v>
      </c>
      <c r="H1970">
        <v>9</v>
      </c>
      <c r="I1970" t="s">
        <v>11383</v>
      </c>
      <c r="J1970">
        <v>10451</v>
      </c>
      <c r="K1970" t="s">
        <v>11446</v>
      </c>
      <c r="N1970" t="s">
        <v>14778</v>
      </c>
      <c r="P1970" t="s">
        <v>14797</v>
      </c>
      <c r="Q1970" t="s">
        <v>11446</v>
      </c>
      <c r="S1970" t="s">
        <v>14827</v>
      </c>
      <c r="V1970">
        <v>1142</v>
      </c>
      <c r="W1970" t="s">
        <v>14858</v>
      </c>
      <c r="X1970" t="s">
        <v>14864</v>
      </c>
      <c r="Z1970" t="s">
        <v>16587</v>
      </c>
      <c r="AB1970" t="s">
        <v>21627</v>
      </c>
      <c r="AC1970">
        <v>14</v>
      </c>
      <c r="AD1970" t="s">
        <v>11479</v>
      </c>
      <c r="AE1970" t="s">
        <v>11459</v>
      </c>
      <c r="AF1970">
        <v>14</v>
      </c>
      <c r="AG1970">
        <v>3</v>
      </c>
      <c r="AH1970">
        <v>3</v>
      </c>
      <c r="AI1970">
        <v>75.17</v>
      </c>
      <c r="AL1970" t="s">
        <v>24632</v>
      </c>
      <c r="AM1970">
        <v>26000</v>
      </c>
      <c r="AS1970">
        <v>0</v>
      </c>
      <c r="AU1970" t="s">
        <v>237</v>
      </c>
      <c r="AV1970" t="s">
        <v>25335</v>
      </c>
      <c r="AW1970" t="s">
        <v>11447</v>
      </c>
    </row>
    <row r="1971" spans="1:49">
      <c r="A1971" s="1">
        <f>HYPERLINK("https://lsnyc.legalserver.org/matter/dynamic-profile/view/1912949","19-1912949")</f>
        <v>0</v>
      </c>
      <c r="B1971" t="s">
        <v>90</v>
      </c>
      <c r="C1971" t="s">
        <v>574</v>
      </c>
      <c r="E1971" t="s">
        <v>2125</v>
      </c>
      <c r="F1971" t="s">
        <v>3667</v>
      </c>
      <c r="G1971" t="s">
        <v>7706</v>
      </c>
      <c r="H1971" t="s">
        <v>10635</v>
      </c>
      <c r="I1971" t="s">
        <v>11383</v>
      </c>
      <c r="J1971">
        <v>10453</v>
      </c>
      <c r="K1971" t="s">
        <v>11446</v>
      </c>
      <c r="L1971" t="s">
        <v>12095</v>
      </c>
      <c r="N1971" t="s">
        <v>14781</v>
      </c>
      <c r="P1971" t="s">
        <v>14797</v>
      </c>
      <c r="S1971" t="s">
        <v>14827</v>
      </c>
      <c r="V1971">
        <v>445</v>
      </c>
      <c r="W1971" t="s">
        <v>14858</v>
      </c>
      <c r="X1971" t="s">
        <v>14871</v>
      </c>
      <c r="Z1971" t="s">
        <v>16588</v>
      </c>
      <c r="AB1971" t="s">
        <v>21628</v>
      </c>
      <c r="AC1971">
        <v>0</v>
      </c>
      <c r="AD1971" t="s">
        <v>24596</v>
      </c>
      <c r="AE1971" t="s">
        <v>24610</v>
      </c>
      <c r="AF1971">
        <v>40</v>
      </c>
      <c r="AG1971">
        <v>2</v>
      </c>
      <c r="AH1971">
        <v>0</v>
      </c>
      <c r="AI1971">
        <v>75.72</v>
      </c>
      <c r="AL1971" t="s">
        <v>5011</v>
      </c>
      <c r="AM1971">
        <v>12804</v>
      </c>
      <c r="AS1971">
        <v>3.7</v>
      </c>
      <c r="AT1971" t="s">
        <v>478</v>
      </c>
      <c r="AU1971" t="s">
        <v>90</v>
      </c>
      <c r="AV1971" t="s">
        <v>25335</v>
      </c>
      <c r="AW1971" t="s">
        <v>11447</v>
      </c>
    </row>
    <row r="1972" spans="1:49">
      <c r="A1972" s="1">
        <f>HYPERLINK("https://lsnyc.legalserver.org/matter/dynamic-profile/view/1906734","19-1906734")</f>
        <v>0</v>
      </c>
      <c r="B1972" t="s">
        <v>119</v>
      </c>
      <c r="C1972" t="s">
        <v>373</v>
      </c>
      <c r="E1972" t="s">
        <v>1621</v>
      </c>
      <c r="F1972" t="s">
        <v>4116</v>
      </c>
      <c r="G1972" t="s">
        <v>7045</v>
      </c>
      <c r="H1972" t="s">
        <v>10903</v>
      </c>
      <c r="I1972" t="s">
        <v>11383</v>
      </c>
      <c r="J1972">
        <v>10457</v>
      </c>
      <c r="K1972" t="s">
        <v>11448</v>
      </c>
      <c r="M1972" t="s">
        <v>11601</v>
      </c>
      <c r="N1972" t="s">
        <v>14778</v>
      </c>
      <c r="P1972" t="s">
        <v>14797</v>
      </c>
      <c r="Q1972" t="s">
        <v>11446</v>
      </c>
      <c r="S1972" t="s">
        <v>14827</v>
      </c>
      <c r="V1972">
        <v>371</v>
      </c>
      <c r="W1972" t="s">
        <v>14858</v>
      </c>
      <c r="X1972" t="s">
        <v>14864</v>
      </c>
      <c r="Z1972" t="s">
        <v>15677</v>
      </c>
      <c r="AA1972" t="s">
        <v>19369</v>
      </c>
      <c r="AB1972" t="s">
        <v>20779</v>
      </c>
      <c r="AC1972">
        <v>20</v>
      </c>
      <c r="AD1972" t="s">
        <v>24595</v>
      </c>
      <c r="AF1972">
        <v>17</v>
      </c>
      <c r="AG1972">
        <v>1</v>
      </c>
      <c r="AH1972">
        <v>0</v>
      </c>
      <c r="AI1972">
        <v>76</v>
      </c>
      <c r="AL1972" t="s">
        <v>5011</v>
      </c>
      <c r="AM1972">
        <v>9492</v>
      </c>
      <c r="AN1972" t="s">
        <v>24800</v>
      </c>
      <c r="AS1972">
        <v>6.55</v>
      </c>
      <c r="AT1972" t="s">
        <v>516</v>
      </c>
      <c r="AU1972" t="s">
        <v>25268</v>
      </c>
      <c r="AV1972" t="s">
        <v>25334</v>
      </c>
      <c r="AW1972" t="s">
        <v>11447</v>
      </c>
    </row>
    <row r="1973" spans="1:49">
      <c r="A1973" s="1">
        <f>HYPERLINK("https://lsnyc.legalserver.org/matter/dynamic-profile/view/1861154","18-1861154")</f>
        <v>0</v>
      </c>
      <c r="B1973" t="s">
        <v>107</v>
      </c>
      <c r="C1973" t="s">
        <v>696</v>
      </c>
      <c r="E1973" t="s">
        <v>1071</v>
      </c>
      <c r="F1973" t="s">
        <v>4672</v>
      </c>
      <c r="G1973" t="s">
        <v>7707</v>
      </c>
      <c r="H1973" t="s">
        <v>10904</v>
      </c>
      <c r="I1973" t="s">
        <v>11385</v>
      </c>
      <c r="J1973">
        <v>11212</v>
      </c>
      <c r="K1973" t="s">
        <v>11448</v>
      </c>
      <c r="L1973" t="s">
        <v>11601</v>
      </c>
      <c r="P1973" t="s">
        <v>14797</v>
      </c>
      <c r="S1973" t="s">
        <v>14827</v>
      </c>
      <c r="V1973">
        <v>48</v>
      </c>
      <c r="W1973" t="s">
        <v>14859</v>
      </c>
      <c r="X1973" t="s">
        <v>14867</v>
      </c>
      <c r="Z1973" t="s">
        <v>16589</v>
      </c>
      <c r="AB1973" t="s">
        <v>21629</v>
      </c>
      <c r="AC1973">
        <v>43</v>
      </c>
      <c r="AD1973" t="s">
        <v>24595</v>
      </c>
      <c r="AE1973" t="s">
        <v>24610</v>
      </c>
      <c r="AF1973">
        <v>9</v>
      </c>
      <c r="AG1973">
        <v>1</v>
      </c>
      <c r="AH1973">
        <v>0</v>
      </c>
      <c r="AI1973">
        <v>76.11</v>
      </c>
      <c r="AL1973" t="s">
        <v>24632</v>
      </c>
      <c r="AM1973">
        <v>9240</v>
      </c>
      <c r="AS1973">
        <v>1.75</v>
      </c>
      <c r="AT1973" t="s">
        <v>25138</v>
      </c>
      <c r="AU1973" t="s">
        <v>25229</v>
      </c>
      <c r="AW1973" t="s">
        <v>11447</v>
      </c>
    </row>
    <row r="1974" spans="1:49">
      <c r="A1974" s="1">
        <f>HYPERLINK("https://lsnyc.legalserver.org/matter/dynamic-profile/view/1899921","19-1899921")</f>
        <v>0</v>
      </c>
      <c r="B1974" t="s">
        <v>240</v>
      </c>
      <c r="C1974" t="s">
        <v>370</v>
      </c>
      <c r="E1974" t="s">
        <v>1911</v>
      </c>
      <c r="F1974" t="s">
        <v>4673</v>
      </c>
      <c r="G1974" t="s">
        <v>7708</v>
      </c>
      <c r="H1974" t="s">
        <v>10905</v>
      </c>
      <c r="I1974" t="s">
        <v>11385</v>
      </c>
      <c r="J1974">
        <v>11226</v>
      </c>
      <c r="K1974" t="s">
        <v>11447</v>
      </c>
      <c r="L1974" t="s">
        <v>12096</v>
      </c>
      <c r="M1974" t="s">
        <v>14744</v>
      </c>
      <c r="P1974" t="s">
        <v>14797</v>
      </c>
      <c r="Q1974" t="s">
        <v>11446</v>
      </c>
      <c r="S1974" t="s">
        <v>14827</v>
      </c>
      <c r="V1974">
        <v>771.66</v>
      </c>
      <c r="W1974" t="s">
        <v>14859</v>
      </c>
      <c r="X1974" t="s">
        <v>14868</v>
      </c>
      <c r="Z1974" t="s">
        <v>16590</v>
      </c>
      <c r="AA1974">
        <v>35037572</v>
      </c>
      <c r="AB1974" t="s">
        <v>21630</v>
      </c>
      <c r="AC1974">
        <v>16</v>
      </c>
      <c r="AD1974" t="s">
        <v>24595</v>
      </c>
      <c r="AF1974">
        <v>36</v>
      </c>
      <c r="AG1974">
        <v>4</v>
      </c>
      <c r="AH1974">
        <v>1</v>
      </c>
      <c r="AI1974">
        <v>76.23</v>
      </c>
      <c r="AL1974" t="s">
        <v>5011</v>
      </c>
      <c r="AM1974">
        <v>23000</v>
      </c>
      <c r="AS1974">
        <v>18.5</v>
      </c>
      <c r="AT1974" t="s">
        <v>495</v>
      </c>
      <c r="AU1974" t="s">
        <v>25291</v>
      </c>
      <c r="AW1974" t="s">
        <v>11447</v>
      </c>
    </row>
    <row r="1975" spans="1:49">
      <c r="A1975" s="1">
        <f>HYPERLINK("https://lsnyc.legalserver.org/matter/dynamic-profile/view/1870491","18-1870491")</f>
        <v>0</v>
      </c>
      <c r="B1975" t="s">
        <v>72</v>
      </c>
      <c r="C1975" t="s">
        <v>430</v>
      </c>
      <c r="E1975" t="s">
        <v>1285</v>
      </c>
      <c r="F1975" t="s">
        <v>4156</v>
      </c>
      <c r="G1975" t="s">
        <v>7584</v>
      </c>
      <c r="H1975" t="s">
        <v>10552</v>
      </c>
      <c r="I1975" t="s">
        <v>11385</v>
      </c>
      <c r="J1975">
        <v>11208</v>
      </c>
      <c r="K1975" t="s">
        <v>11447</v>
      </c>
      <c r="L1975" t="s">
        <v>12021</v>
      </c>
      <c r="M1975" t="s">
        <v>14746</v>
      </c>
      <c r="P1975" t="s">
        <v>14797</v>
      </c>
      <c r="S1975" t="s">
        <v>14827</v>
      </c>
      <c r="V1975">
        <v>800</v>
      </c>
      <c r="W1975" t="s">
        <v>14859</v>
      </c>
      <c r="Z1975" t="s">
        <v>16591</v>
      </c>
      <c r="AB1975" t="s">
        <v>21631</v>
      </c>
      <c r="AC1975">
        <v>11</v>
      </c>
      <c r="AD1975" t="s">
        <v>24600</v>
      </c>
      <c r="AF1975">
        <v>2</v>
      </c>
      <c r="AG1975">
        <v>1</v>
      </c>
      <c r="AH1975">
        <v>1</v>
      </c>
      <c r="AI1975">
        <v>76.48</v>
      </c>
      <c r="AL1975" t="s">
        <v>5011</v>
      </c>
      <c r="AM1975">
        <v>12588</v>
      </c>
      <c r="AS1975">
        <v>35</v>
      </c>
      <c r="AT1975" t="s">
        <v>654</v>
      </c>
      <c r="AU1975" t="s">
        <v>25275</v>
      </c>
      <c r="AW1975" t="s">
        <v>11447</v>
      </c>
    </row>
    <row r="1976" spans="1:49">
      <c r="A1976" s="1">
        <f>HYPERLINK("https://lsnyc.legalserver.org/matter/dynamic-profile/view/1913690","19-1913690")</f>
        <v>0</v>
      </c>
      <c r="B1976" t="s">
        <v>77</v>
      </c>
      <c r="C1976" t="s">
        <v>476</v>
      </c>
      <c r="E1976" t="s">
        <v>1590</v>
      </c>
      <c r="F1976" t="s">
        <v>4284</v>
      </c>
      <c r="G1976" t="s">
        <v>7709</v>
      </c>
      <c r="H1976">
        <v>1</v>
      </c>
      <c r="I1976" t="s">
        <v>11385</v>
      </c>
      <c r="J1976">
        <v>11233</v>
      </c>
      <c r="K1976" t="s">
        <v>11446</v>
      </c>
      <c r="L1976" t="s">
        <v>12097</v>
      </c>
      <c r="M1976" t="s">
        <v>14744</v>
      </c>
      <c r="P1976" t="s">
        <v>14797</v>
      </c>
      <c r="Q1976" t="s">
        <v>11448</v>
      </c>
      <c r="S1976" t="s">
        <v>14827</v>
      </c>
      <c r="T1976" t="s">
        <v>14832</v>
      </c>
      <c r="V1976">
        <v>1550</v>
      </c>
      <c r="W1976" t="s">
        <v>14859</v>
      </c>
      <c r="X1976" t="s">
        <v>14863</v>
      </c>
      <c r="Z1976" t="s">
        <v>16592</v>
      </c>
      <c r="AB1976" t="s">
        <v>21632</v>
      </c>
      <c r="AC1976">
        <v>5</v>
      </c>
      <c r="AD1976" t="s">
        <v>24600</v>
      </c>
      <c r="AE1976" t="s">
        <v>24611</v>
      </c>
      <c r="AF1976">
        <v>2</v>
      </c>
      <c r="AG1976">
        <v>1</v>
      </c>
      <c r="AH1976">
        <v>0</v>
      </c>
      <c r="AI1976">
        <v>76.77</v>
      </c>
      <c r="AL1976" t="s">
        <v>5011</v>
      </c>
      <c r="AM1976">
        <v>9588</v>
      </c>
      <c r="AS1976">
        <v>0.5</v>
      </c>
      <c r="AT1976" t="s">
        <v>491</v>
      </c>
      <c r="AU1976" t="s">
        <v>66</v>
      </c>
      <c r="AV1976" t="s">
        <v>25335</v>
      </c>
      <c r="AW1976" t="s">
        <v>11447</v>
      </c>
    </row>
    <row r="1977" spans="1:49">
      <c r="A1977" s="1">
        <f>HYPERLINK("https://lsnyc.legalserver.org/matter/dynamic-profile/view/1907058","19-1907058")</f>
        <v>0</v>
      </c>
      <c r="B1977" t="s">
        <v>126</v>
      </c>
      <c r="C1977" t="s">
        <v>373</v>
      </c>
      <c r="E1977" t="s">
        <v>1591</v>
      </c>
      <c r="F1977" t="s">
        <v>4083</v>
      </c>
      <c r="G1977" t="s">
        <v>6997</v>
      </c>
      <c r="H1977">
        <v>2</v>
      </c>
      <c r="I1977" t="s">
        <v>11383</v>
      </c>
      <c r="J1977">
        <v>10473</v>
      </c>
      <c r="K1977" t="s">
        <v>11446</v>
      </c>
      <c r="M1977" t="s">
        <v>14746</v>
      </c>
      <c r="N1977" t="s">
        <v>14781</v>
      </c>
      <c r="P1977" t="s">
        <v>14797</v>
      </c>
      <c r="Q1977" t="s">
        <v>11448</v>
      </c>
      <c r="S1977" t="s">
        <v>14827</v>
      </c>
      <c r="V1977">
        <v>0</v>
      </c>
      <c r="W1977" t="s">
        <v>14858</v>
      </c>
      <c r="X1977" t="s">
        <v>14864</v>
      </c>
      <c r="Z1977" t="s">
        <v>15630</v>
      </c>
      <c r="AC1977">
        <v>3</v>
      </c>
      <c r="AD1977" t="s">
        <v>11479</v>
      </c>
      <c r="AE1977" t="s">
        <v>24616</v>
      </c>
      <c r="AF1977">
        <v>2</v>
      </c>
      <c r="AG1977">
        <v>1</v>
      </c>
      <c r="AH1977">
        <v>0</v>
      </c>
      <c r="AI1977">
        <v>76.86</v>
      </c>
      <c r="AL1977" t="s">
        <v>5011</v>
      </c>
      <c r="AM1977">
        <v>9600</v>
      </c>
      <c r="AS1977">
        <v>6</v>
      </c>
      <c r="AT1977" t="s">
        <v>645</v>
      </c>
      <c r="AU1977" t="s">
        <v>237</v>
      </c>
      <c r="AV1977" t="s">
        <v>25335</v>
      </c>
      <c r="AW1977" t="s">
        <v>11447</v>
      </c>
    </row>
    <row r="1978" spans="1:49">
      <c r="A1978" s="1">
        <f>HYPERLINK("https://lsnyc.legalserver.org/matter/dynamic-profile/view/1913397","19-1913397")</f>
        <v>0</v>
      </c>
      <c r="B1978" t="s">
        <v>90</v>
      </c>
      <c r="C1978" t="s">
        <v>483</v>
      </c>
      <c r="E1978" t="s">
        <v>1025</v>
      </c>
      <c r="F1978" t="s">
        <v>3987</v>
      </c>
      <c r="G1978" t="s">
        <v>6855</v>
      </c>
      <c r="H1978" t="s">
        <v>10679</v>
      </c>
      <c r="I1978" t="s">
        <v>11383</v>
      </c>
      <c r="J1978">
        <v>10452</v>
      </c>
      <c r="K1978" t="s">
        <v>11446</v>
      </c>
      <c r="N1978" t="s">
        <v>14778</v>
      </c>
      <c r="P1978" t="s">
        <v>14797</v>
      </c>
      <c r="S1978" t="s">
        <v>14829</v>
      </c>
      <c r="V1978">
        <v>641.28</v>
      </c>
      <c r="W1978" t="s">
        <v>14858</v>
      </c>
      <c r="Z1978" t="s">
        <v>15485</v>
      </c>
      <c r="AB1978" t="s">
        <v>20605</v>
      </c>
      <c r="AC1978">
        <v>0</v>
      </c>
      <c r="AD1978" t="s">
        <v>24595</v>
      </c>
      <c r="AE1978" t="s">
        <v>24613</v>
      </c>
      <c r="AF1978">
        <v>50</v>
      </c>
      <c r="AG1978">
        <v>1</v>
      </c>
      <c r="AH1978">
        <v>0</v>
      </c>
      <c r="AI1978">
        <v>76.86</v>
      </c>
      <c r="AL1978" t="s">
        <v>24632</v>
      </c>
      <c r="AM1978">
        <v>9600</v>
      </c>
      <c r="AS1978">
        <v>0.1</v>
      </c>
      <c r="AT1978" t="s">
        <v>476</v>
      </c>
      <c r="AU1978" t="s">
        <v>90</v>
      </c>
      <c r="AV1978" t="s">
        <v>25335</v>
      </c>
      <c r="AW1978" t="s">
        <v>11447</v>
      </c>
    </row>
    <row r="1979" spans="1:49">
      <c r="A1979" s="1">
        <f>HYPERLINK("https://lsnyc.legalserver.org/matter/dynamic-profile/view/1905894","19-1905894")</f>
        <v>0</v>
      </c>
      <c r="B1979" t="s">
        <v>116</v>
      </c>
      <c r="C1979" t="s">
        <v>500</v>
      </c>
      <c r="E1979" t="s">
        <v>2126</v>
      </c>
      <c r="F1979" t="s">
        <v>4674</v>
      </c>
      <c r="G1979" t="s">
        <v>7596</v>
      </c>
      <c r="H1979" t="s">
        <v>10581</v>
      </c>
      <c r="I1979" t="s">
        <v>11383</v>
      </c>
      <c r="J1979">
        <v>10456</v>
      </c>
      <c r="K1979" t="s">
        <v>11446</v>
      </c>
      <c r="N1979" t="s">
        <v>14778</v>
      </c>
      <c r="P1979" t="s">
        <v>14797</v>
      </c>
      <c r="Q1979" t="s">
        <v>11448</v>
      </c>
      <c r="S1979" t="s">
        <v>14827</v>
      </c>
      <c r="V1979">
        <v>1511.88</v>
      </c>
      <c r="W1979" t="s">
        <v>14858</v>
      </c>
      <c r="X1979" t="s">
        <v>14864</v>
      </c>
      <c r="Z1979" t="s">
        <v>16593</v>
      </c>
      <c r="AB1979" t="s">
        <v>21633</v>
      </c>
      <c r="AC1979">
        <v>30</v>
      </c>
      <c r="AD1979" t="s">
        <v>24595</v>
      </c>
      <c r="AE1979" t="s">
        <v>11459</v>
      </c>
      <c r="AF1979">
        <v>5</v>
      </c>
      <c r="AG1979">
        <v>1</v>
      </c>
      <c r="AH1979">
        <v>1</v>
      </c>
      <c r="AI1979">
        <v>76.88</v>
      </c>
      <c r="AL1979" t="s">
        <v>5011</v>
      </c>
      <c r="AM1979">
        <v>13000</v>
      </c>
      <c r="AS1979">
        <v>0</v>
      </c>
      <c r="AU1979" t="s">
        <v>25242</v>
      </c>
      <c r="AV1979" t="s">
        <v>25335</v>
      </c>
      <c r="AW1979" t="s">
        <v>11447</v>
      </c>
    </row>
    <row r="1980" spans="1:49">
      <c r="A1980" s="1">
        <f>HYPERLINK("https://lsnyc.legalserver.org/matter/dynamic-profile/view/1915005","19-1915005")</f>
        <v>0</v>
      </c>
      <c r="B1980" t="s">
        <v>100</v>
      </c>
      <c r="C1980" t="s">
        <v>521</v>
      </c>
      <c r="E1980" t="s">
        <v>2127</v>
      </c>
      <c r="F1980" t="s">
        <v>4675</v>
      </c>
      <c r="G1980" t="s">
        <v>6868</v>
      </c>
      <c r="I1980" t="s">
        <v>11383</v>
      </c>
      <c r="J1980">
        <v>10456</v>
      </c>
      <c r="K1980" t="s">
        <v>11446</v>
      </c>
      <c r="N1980" t="s">
        <v>14783</v>
      </c>
      <c r="P1980" t="s">
        <v>14797</v>
      </c>
      <c r="Q1980" t="s">
        <v>11446</v>
      </c>
      <c r="S1980" t="s">
        <v>14827</v>
      </c>
      <c r="V1980">
        <v>1238.23</v>
      </c>
      <c r="W1980" t="s">
        <v>14858</v>
      </c>
      <c r="X1980" t="s">
        <v>14868</v>
      </c>
      <c r="Z1980" t="s">
        <v>16594</v>
      </c>
      <c r="AB1980" t="s">
        <v>21634</v>
      </c>
      <c r="AC1980">
        <v>131</v>
      </c>
      <c r="AD1980" t="s">
        <v>24595</v>
      </c>
      <c r="AE1980" t="s">
        <v>11459</v>
      </c>
      <c r="AF1980">
        <v>11</v>
      </c>
      <c r="AG1980">
        <v>1</v>
      </c>
      <c r="AH1980">
        <v>1</v>
      </c>
      <c r="AI1980">
        <v>76.88</v>
      </c>
      <c r="AL1980" t="s">
        <v>5011</v>
      </c>
      <c r="AM1980">
        <v>13000</v>
      </c>
      <c r="AS1980">
        <v>0</v>
      </c>
      <c r="AU1980" t="s">
        <v>25242</v>
      </c>
      <c r="AV1980" t="s">
        <v>25335</v>
      </c>
      <c r="AW1980" t="s">
        <v>11447</v>
      </c>
    </row>
    <row r="1981" spans="1:49">
      <c r="A1981" s="1">
        <f>HYPERLINK("https://lsnyc.legalserver.org/matter/dynamic-profile/view/1906928","19-1906928")</f>
        <v>0</v>
      </c>
      <c r="B1981" t="s">
        <v>126</v>
      </c>
      <c r="C1981" t="s">
        <v>354</v>
      </c>
      <c r="E1981" t="s">
        <v>2128</v>
      </c>
      <c r="F1981" t="s">
        <v>3839</v>
      </c>
      <c r="G1981" t="s">
        <v>7021</v>
      </c>
      <c r="H1981" t="s">
        <v>10509</v>
      </c>
      <c r="I1981" t="s">
        <v>11383</v>
      </c>
      <c r="J1981">
        <v>10452</v>
      </c>
      <c r="K1981" t="s">
        <v>11446</v>
      </c>
      <c r="P1981" t="s">
        <v>14797</v>
      </c>
      <c r="Q1981" t="s">
        <v>11446</v>
      </c>
      <c r="S1981" t="s">
        <v>14827</v>
      </c>
      <c r="V1981">
        <v>0</v>
      </c>
      <c r="W1981" t="s">
        <v>14858</v>
      </c>
      <c r="X1981" t="s">
        <v>14876</v>
      </c>
      <c r="Z1981" t="s">
        <v>16595</v>
      </c>
      <c r="AB1981" t="s">
        <v>21635</v>
      </c>
      <c r="AC1981">
        <v>63</v>
      </c>
      <c r="AD1981" t="s">
        <v>11479</v>
      </c>
      <c r="AE1981" t="s">
        <v>24610</v>
      </c>
      <c r="AF1981">
        <v>20</v>
      </c>
      <c r="AG1981">
        <v>1</v>
      </c>
      <c r="AH1981">
        <v>0</v>
      </c>
      <c r="AI1981">
        <v>77.34</v>
      </c>
      <c r="AL1981" t="s">
        <v>24632</v>
      </c>
      <c r="AM1981">
        <v>9660</v>
      </c>
      <c r="AS1981">
        <v>0</v>
      </c>
      <c r="AU1981" t="s">
        <v>245</v>
      </c>
      <c r="AW1981" t="s">
        <v>11447</v>
      </c>
    </row>
    <row r="1982" spans="1:49">
      <c r="A1982" s="1">
        <f>HYPERLINK("https://lsnyc.legalserver.org/matter/dynamic-profile/view/1914804","19-1914804")</f>
        <v>0</v>
      </c>
      <c r="B1982" t="s">
        <v>126</v>
      </c>
      <c r="C1982" t="s">
        <v>592</v>
      </c>
      <c r="E1982" t="s">
        <v>2128</v>
      </c>
      <c r="F1982" t="s">
        <v>3839</v>
      </c>
      <c r="G1982" t="s">
        <v>7021</v>
      </c>
      <c r="H1982" t="s">
        <v>10509</v>
      </c>
      <c r="I1982" t="s">
        <v>11383</v>
      </c>
      <c r="J1982">
        <v>10452</v>
      </c>
      <c r="K1982" t="s">
        <v>11446</v>
      </c>
      <c r="P1982" t="s">
        <v>14797</v>
      </c>
      <c r="Q1982" t="s">
        <v>11446</v>
      </c>
      <c r="S1982" t="s">
        <v>14827</v>
      </c>
      <c r="V1982">
        <v>0</v>
      </c>
      <c r="W1982" t="s">
        <v>14858</v>
      </c>
      <c r="X1982" t="s">
        <v>14876</v>
      </c>
      <c r="Z1982" t="s">
        <v>16595</v>
      </c>
      <c r="AB1982" t="s">
        <v>21635</v>
      </c>
      <c r="AC1982">
        <v>63</v>
      </c>
      <c r="AD1982" t="s">
        <v>11479</v>
      </c>
      <c r="AE1982" t="s">
        <v>24610</v>
      </c>
      <c r="AF1982">
        <v>20</v>
      </c>
      <c r="AG1982">
        <v>1</v>
      </c>
      <c r="AH1982">
        <v>0</v>
      </c>
      <c r="AI1982">
        <v>77.34</v>
      </c>
      <c r="AL1982" t="s">
        <v>24632</v>
      </c>
      <c r="AM1982">
        <v>9660</v>
      </c>
      <c r="AS1982">
        <v>0</v>
      </c>
      <c r="AU1982" t="s">
        <v>237</v>
      </c>
      <c r="AV1982" t="s">
        <v>25335</v>
      </c>
      <c r="AW1982" t="s">
        <v>11447</v>
      </c>
    </row>
    <row r="1983" spans="1:49">
      <c r="A1983" s="1">
        <f>HYPERLINK("https://lsnyc.legalserver.org/matter/dynamic-profile/view/1910089","19-1910089")</f>
        <v>0</v>
      </c>
      <c r="B1983" t="s">
        <v>51</v>
      </c>
      <c r="C1983" t="s">
        <v>471</v>
      </c>
      <c r="E1983" t="s">
        <v>1320</v>
      </c>
      <c r="F1983" t="s">
        <v>3695</v>
      </c>
      <c r="G1983" t="s">
        <v>7710</v>
      </c>
      <c r="H1983" t="s">
        <v>10906</v>
      </c>
      <c r="I1983" t="s">
        <v>11383</v>
      </c>
      <c r="J1983">
        <v>10451</v>
      </c>
      <c r="K1983" t="s">
        <v>11446</v>
      </c>
      <c r="N1983" t="s">
        <v>14778</v>
      </c>
      <c r="P1983" t="s">
        <v>14797</v>
      </c>
      <c r="S1983" t="s">
        <v>14827</v>
      </c>
      <c r="V1983">
        <v>191</v>
      </c>
      <c r="W1983" t="s">
        <v>14858</v>
      </c>
      <c r="X1983" t="s">
        <v>14864</v>
      </c>
      <c r="Z1983" t="s">
        <v>16596</v>
      </c>
      <c r="AB1983" t="s">
        <v>21636</v>
      </c>
      <c r="AC1983">
        <v>0</v>
      </c>
      <c r="AD1983" t="s">
        <v>11479</v>
      </c>
      <c r="AE1983" t="s">
        <v>24610</v>
      </c>
      <c r="AF1983">
        <v>10</v>
      </c>
      <c r="AG1983">
        <v>1</v>
      </c>
      <c r="AH1983">
        <v>0</v>
      </c>
      <c r="AI1983">
        <v>77.34</v>
      </c>
      <c r="AL1983" t="s">
        <v>5011</v>
      </c>
      <c r="AM1983">
        <v>9660</v>
      </c>
      <c r="AS1983">
        <v>1.3</v>
      </c>
      <c r="AT1983" t="s">
        <v>506</v>
      </c>
      <c r="AU1983" t="s">
        <v>51</v>
      </c>
      <c r="AV1983" t="s">
        <v>25335</v>
      </c>
      <c r="AW1983" t="s">
        <v>11447</v>
      </c>
    </row>
    <row r="1984" spans="1:49">
      <c r="A1984" s="1">
        <f>HYPERLINK("https://lsnyc.legalserver.org/matter/dynamic-profile/view/1843143","17-1843143")</f>
        <v>0</v>
      </c>
      <c r="B1984" t="s">
        <v>156</v>
      </c>
      <c r="C1984" t="s">
        <v>697</v>
      </c>
      <c r="E1984" t="s">
        <v>2129</v>
      </c>
      <c r="F1984" t="s">
        <v>3581</v>
      </c>
      <c r="G1984" t="s">
        <v>7711</v>
      </c>
      <c r="H1984">
        <v>2</v>
      </c>
      <c r="I1984" t="s">
        <v>11386</v>
      </c>
      <c r="J1984">
        <v>10002</v>
      </c>
      <c r="K1984" t="s">
        <v>11447</v>
      </c>
      <c r="M1984" t="s">
        <v>11601</v>
      </c>
      <c r="N1984" t="s">
        <v>14781</v>
      </c>
      <c r="P1984" t="s">
        <v>14797</v>
      </c>
      <c r="R1984" t="s">
        <v>14811</v>
      </c>
      <c r="S1984" t="s">
        <v>14827</v>
      </c>
      <c r="V1984">
        <v>0</v>
      </c>
      <c r="W1984" t="s">
        <v>14860</v>
      </c>
      <c r="Z1984" t="s">
        <v>16597</v>
      </c>
      <c r="AB1984" t="s">
        <v>21637</v>
      </c>
      <c r="AC1984">
        <v>0</v>
      </c>
      <c r="AF1984">
        <v>0</v>
      </c>
      <c r="AG1984">
        <v>2</v>
      </c>
      <c r="AH1984">
        <v>2</v>
      </c>
      <c r="AI1984">
        <v>78.05</v>
      </c>
      <c r="AM1984">
        <v>38400</v>
      </c>
      <c r="AS1984">
        <v>45.15</v>
      </c>
      <c r="AT1984" t="s">
        <v>361</v>
      </c>
      <c r="AU1984" t="s">
        <v>25282</v>
      </c>
      <c r="AW1984" t="s">
        <v>11447</v>
      </c>
    </row>
    <row r="1985" spans="1:49">
      <c r="A1985" s="1">
        <f>HYPERLINK("https://lsnyc.legalserver.org/matter/dynamic-profile/view/1907499","19-1907499")</f>
        <v>0</v>
      </c>
      <c r="B1985" t="s">
        <v>186</v>
      </c>
      <c r="C1985" t="s">
        <v>564</v>
      </c>
      <c r="E1985" t="s">
        <v>1850</v>
      </c>
      <c r="F1985" t="s">
        <v>4676</v>
      </c>
      <c r="G1985" t="s">
        <v>7712</v>
      </c>
      <c r="H1985">
        <v>2</v>
      </c>
      <c r="I1985" t="s">
        <v>11383</v>
      </c>
      <c r="J1985">
        <v>10464</v>
      </c>
      <c r="K1985" t="s">
        <v>11446</v>
      </c>
      <c r="P1985" t="s">
        <v>14797</v>
      </c>
      <c r="Q1985" t="s">
        <v>11446</v>
      </c>
      <c r="S1985" t="s">
        <v>14827</v>
      </c>
      <c r="V1985">
        <v>2700</v>
      </c>
      <c r="W1985" t="s">
        <v>14858</v>
      </c>
      <c r="X1985" t="s">
        <v>14864</v>
      </c>
      <c r="Z1985" t="s">
        <v>16090</v>
      </c>
      <c r="AB1985" t="s">
        <v>21638</v>
      </c>
      <c r="AC1985">
        <v>0</v>
      </c>
      <c r="AD1985" t="s">
        <v>11479</v>
      </c>
      <c r="AE1985" t="s">
        <v>24616</v>
      </c>
      <c r="AF1985">
        <v>4</v>
      </c>
      <c r="AG1985">
        <v>1</v>
      </c>
      <c r="AH1985">
        <v>0</v>
      </c>
      <c r="AI1985">
        <v>78.20999999999999</v>
      </c>
      <c r="AL1985" t="s">
        <v>5011</v>
      </c>
      <c r="AM1985">
        <v>9768</v>
      </c>
      <c r="AS1985">
        <v>0.5</v>
      </c>
      <c r="AT1985" t="s">
        <v>458</v>
      </c>
      <c r="AU1985" t="s">
        <v>25268</v>
      </c>
      <c r="AV1985" t="s">
        <v>25335</v>
      </c>
      <c r="AW1985" t="s">
        <v>11447</v>
      </c>
    </row>
    <row r="1986" spans="1:49">
      <c r="A1986" s="1">
        <f>HYPERLINK("https://lsnyc.legalserver.org/matter/dynamic-profile/view/1915427","19-1915427")</f>
        <v>0</v>
      </c>
      <c r="B1986" t="s">
        <v>197</v>
      </c>
      <c r="C1986" t="s">
        <v>495</v>
      </c>
      <c r="E1986" t="s">
        <v>1025</v>
      </c>
      <c r="F1986" t="s">
        <v>4519</v>
      </c>
      <c r="G1986" t="s">
        <v>7713</v>
      </c>
      <c r="H1986" t="s">
        <v>10670</v>
      </c>
      <c r="I1986" t="s">
        <v>11383</v>
      </c>
      <c r="J1986">
        <v>10457</v>
      </c>
      <c r="K1986" t="s">
        <v>11446</v>
      </c>
      <c r="L1986" t="s">
        <v>12098</v>
      </c>
      <c r="P1986" t="s">
        <v>14797</v>
      </c>
      <c r="Q1986" t="s">
        <v>11448</v>
      </c>
      <c r="S1986" t="s">
        <v>14827</v>
      </c>
      <c r="V1986">
        <v>1255.98</v>
      </c>
      <c r="W1986" t="s">
        <v>14858</v>
      </c>
      <c r="X1986" t="s">
        <v>14864</v>
      </c>
      <c r="Z1986" t="s">
        <v>15251</v>
      </c>
      <c r="AA1986" t="s">
        <v>19492</v>
      </c>
      <c r="AB1986" t="s">
        <v>21569</v>
      </c>
      <c r="AC1986">
        <v>55</v>
      </c>
      <c r="AD1986" t="s">
        <v>24595</v>
      </c>
      <c r="AE1986" t="s">
        <v>24610</v>
      </c>
      <c r="AF1986">
        <v>17</v>
      </c>
      <c r="AG1986">
        <v>1</v>
      </c>
      <c r="AH1986">
        <v>0</v>
      </c>
      <c r="AI1986">
        <v>78.20999999999999</v>
      </c>
      <c r="AL1986" t="s">
        <v>24632</v>
      </c>
      <c r="AM1986">
        <v>9768</v>
      </c>
      <c r="AS1986">
        <v>0</v>
      </c>
      <c r="AU1986" t="s">
        <v>245</v>
      </c>
      <c r="AW1986" t="s">
        <v>11447</v>
      </c>
    </row>
    <row r="1987" spans="1:49">
      <c r="A1987" s="1">
        <f>HYPERLINK("https://lsnyc.legalserver.org/matter/dynamic-profile/view/1912980","19-1912980")</f>
        <v>0</v>
      </c>
      <c r="B1987" t="s">
        <v>67</v>
      </c>
      <c r="C1987" t="s">
        <v>574</v>
      </c>
      <c r="E1987" t="s">
        <v>2130</v>
      </c>
      <c r="F1987" t="s">
        <v>3815</v>
      </c>
      <c r="G1987" t="s">
        <v>7638</v>
      </c>
      <c r="H1987" t="s">
        <v>10661</v>
      </c>
      <c r="I1987" t="s">
        <v>11383</v>
      </c>
      <c r="J1987">
        <v>10452</v>
      </c>
      <c r="K1987" t="s">
        <v>11446</v>
      </c>
      <c r="L1987" t="s">
        <v>12057</v>
      </c>
      <c r="M1987" t="s">
        <v>14762</v>
      </c>
      <c r="N1987" t="s">
        <v>14783</v>
      </c>
      <c r="P1987" t="s">
        <v>14797</v>
      </c>
      <c r="Q1987" t="s">
        <v>11446</v>
      </c>
      <c r="S1987" t="s">
        <v>14827</v>
      </c>
      <c r="V1987">
        <v>971.7</v>
      </c>
      <c r="W1987" t="s">
        <v>14858</v>
      </c>
      <c r="X1987" t="s">
        <v>14863</v>
      </c>
      <c r="Z1987" t="s">
        <v>16598</v>
      </c>
      <c r="AB1987" t="s">
        <v>21639</v>
      </c>
      <c r="AC1987">
        <v>67</v>
      </c>
      <c r="AD1987" t="s">
        <v>24595</v>
      </c>
      <c r="AE1987" t="s">
        <v>11459</v>
      </c>
      <c r="AF1987">
        <v>21</v>
      </c>
      <c r="AG1987">
        <v>1</v>
      </c>
      <c r="AH1987">
        <v>0</v>
      </c>
      <c r="AI1987">
        <v>78.20999999999999</v>
      </c>
      <c r="AL1987" t="s">
        <v>24632</v>
      </c>
      <c r="AM1987">
        <v>9768</v>
      </c>
      <c r="AS1987">
        <v>0</v>
      </c>
      <c r="AU1987" t="s">
        <v>25242</v>
      </c>
      <c r="AV1987" t="s">
        <v>25335</v>
      </c>
      <c r="AW1987" t="s">
        <v>11447</v>
      </c>
    </row>
    <row r="1988" spans="1:49">
      <c r="A1988" s="1">
        <f>HYPERLINK("https://lsnyc.legalserver.org/matter/dynamic-profile/view/1906755","19-1906755")</f>
        <v>0</v>
      </c>
      <c r="B1988" t="s">
        <v>126</v>
      </c>
      <c r="C1988" t="s">
        <v>620</v>
      </c>
      <c r="E1988" t="s">
        <v>1455</v>
      </c>
      <c r="F1988" t="s">
        <v>4677</v>
      </c>
      <c r="G1988" t="s">
        <v>7021</v>
      </c>
      <c r="H1988" t="s">
        <v>10467</v>
      </c>
      <c r="I1988" t="s">
        <v>11383</v>
      </c>
      <c r="J1988">
        <v>10452</v>
      </c>
      <c r="K1988" t="s">
        <v>11446</v>
      </c>
      <c r="P1988" t="s">
        <v>14797</v>
      </c>
      <c r="Q1988" t="s">
        <v>11446</v>
      </c>
      <c r="S1988" t="s">
        <v>14827</v>
      </c>
      <c r="V1988">
        <v>450</v>
      </c>
      <c r="W1988" t="s">
        <v>14858</v>
      </c>
      <c r="X1988" t="s">
        <v>14864</v>
      </c>
      <c r="Z1988" t="s">
        <v>16599</v>
      </c>
      <c r="AB1988" t="s">
        <v>21640</v>
      </c>
      <c r="AC1988">
        <v>65</v>
      </c>
      <c r="AD1988" t="s">
        <v>24595</v>
      </c>
      <c r="AE1988" t="s">
        <v>24610</v>
      </c>
      <c r="AF1988">
        <v>28</v>
      </c>
      <c r="AG1988">
        <v>1</v>
      </c>
      <c r="AH1988">
        <v>0</v>
      </c>
      <c r="AI1988">
        <v>78.20999999999999</v>
      </c>
      <c r="AL1988" t="s">
        <v>24632</v>
      </c>
      <c r="AM1988">
        <v>9768</v>
      </c>
      <c r="AS1988">
        <v>0</v>
      </c>
      <c r="AU1988" t="s">
        <v>245</v>
      </c>
      <c r="AW1988" t="s">
        <v>11447</v>
      </c>
    </row>
    <row r="1989" spans="1:49">
      <c r="A1989" s="1">
        <f>HYPERLINK("https://lsnyc.legalserver.org/matter/dynamic-profile/view/1914858","19-1914858")</f>
        <v>0</v>
      </c>
      <c r="B1989" t="s">
        <v>126</v>
      </c>
      <c r="C1989" t="s">
        <v>537</v>
      </c>
      <c r="E1989" t="s">
        <v>1455</v>
      </c>
      <c r="F1989" t="s">
        <v>4677</v>
      </c>
      <c r="G1989" t="s">
        <v>7021</v>
      </c>
      <c r="H1989" t="s">
        <v>10467</v>
      </c>
      <c r="I1989" t="s">
        <v>11383</v>
      </c>
      <c r="J1989">
        <v>10452</v>
      </c>
      <c r="K1989" t="s">
        <v>11446</v>
      </c>
      <c r="N1989" t="s">
        <v>14782</v>
      </c>
      <c r="P1989" t="s">
        <v>14797</v>
      </c>
      <c r="Q1989" t="s">
        <v>11446</v>
      </c>
      <c r="S1989" t="s">
        <v>14827</v>
      </c>
      <c r="V1989">
        <v>450</v>
      </c>
      <c r="W1989" t="s">
        <v>14858</v>
      </c>
      <c r="X1989" t="s">
        <v>14864</v>
      </c>
      <c r="Z1989" t="s">
        <v>16599</v>
      </c>
      <c r="AB1989" t="s">
        <v>21640</v>
      </c>
      <c r="AC1989">
        <v>65</v>
      </c>
      <c r="AD1989" t="s">
        <v>24595</v>
      </c>
      <c r="AE1989" t="s">
        <v>24610</v>
      </c>
      <c r="AF1989">
        <v>28</v>
      </c>
      <c r="AG1989">
        <v>1</v>
      </c>
      <c r="AH1989">
        <v>0</v>
      </c>
      <c r="AI1989">
        <v>78.20999999999999</v>
      </c>
      <c r="AL1989" t="s">
        <v>24632</v>
      </c>
      <c r="AM1989">
        <v>9768</v>
      </c>
      <c r="AS1989">
        <v>0</v>
      </c>
      <c r="AU1989" t="s">
        <v>245</v>
      </c>
      <c r="AW1989" t="s">
        <v>11447</v>
      </c>
    </row>
    <row r="1990" spans="1:49">
      <c r="A1990" s="1">
        <f>HYPERLINK("https://lsnyc.legalserver.org/matter/dynamic-profile/view/1914342","19-1914342")</f>
        <v>0</v>
      </c>
      <c r="B1990" t="s">
        <v>76</v>
      </c>
      <c r="C1990" t="s">
        <v>506</v>
      </c>
      <c r="E1990" t="s">
        <v>1441</v>
      </c>
      <c r="F1990" t="s">
        <v>4678</v>
      </c>
      <c r="G1990" t="s">
        <v>7714</v>
      </c>
      <c r="H1990" t="s">
        <v>10636</v>
      </c>
      <c r="I1990" t="s">
        <v>11385</v>
      </c>
      <c r="J1990">
        <v>11233</v>
      </c>
      <c r="K1990" t="s">
        <v>11448</v>
      </c>
      <c r="L1990" t="s">
        <v>12099</v>
      </c>
      <c r="M1990" t="s">
        <v>14743</v>
      </c>
      <c r="P1990" t="s">
        <v>14797</v>
      </c>
      <c r="Q1990" t="s">
        <v>11448</v>
      </c>
      <c r="S1990" t="s">
        <v>14827</v>
      </c>
      <c r="V1990">
        <v>1818</v>
      </c>
      <c r="W1990" t="s">
        <v>14859</v>
      </c>
      <c r="X1990" t="s">
        <v>14866</v>
      </c>
      <c r="Z1990" t="s">
        <v>16600</v>
      </c>
      <c r="AB1990" t="s">
        <v>21641</v>
      </c>
      <c r="AC1990">
        <v>3</v>
      </c>
      <c r="AD1990" t="s">
        <v>24600</v>
      </c>
      <c r="AE1990" t="s">
        <v>24610</v>
      </c>
      <c r="AF1990">
        <v>5</v>
      </c>
      <c r="AG1990">
        <v>3</v>
      </c>
      <c r="AH1990">
        <v>0</v>
      </c>
      <c r="AI1990">
        <v>79.72</v>
      </c>
      <c r="AL1990" t="s">
        <v>5011</v>
      </c>
      <c r="AM1990">
        <v>17004</v>
      </c>
      <c r="AS1990">
        <v>1.2</v>
      </c>
      <c r="AT1990" t="s">
        <v>478</v>
      </c>
      <c r="AU1990" t="s">
        <v>25226</v>
      </c>
      <c r="AV1990" t="s">
        <v>11459</v>
      </c>
      <c r="AW1990" t="s">
        <v>11447</v>
      </c>
    </row>
    <row r="1991" spans="1:49">
      <c r="A1991" s="1">
        <f>HYPERLINK("https://lsnyc.legalserver.org/matter/dynamic-profile/view/1906190","19-1906190")</f>
        <v>0</v>
      </c>
      <c r="B1991" t="s">
        <v>92</v>
      </c>
      <c r="C1991" t="s">
        <v>553</v>
      </c>
      <c r="E1991" t="s">
        <v>1218</v>
      </c>
      <c r="F1991" t="s">
        <v>4679</v>
      </c>
      <c r="G1991" t="s">
        <v>6443</v>
      </c>
      <c r="H1991" t="s">
        <v>10907</v>
      </c>
      <c r="I1991" t="s">
        <v>11383</v>
      </c>
      <c r="J1991">
        <v>10460</v>
      </c>
      <c r="K1991" t="s">
        <v>11446</v>
      </c>
      <c r="L1991" t="s">
        <v>12100</v>
      </c>
      <c r="M1991" t="s">
        <v>14743</v>
      </c>
      <c r="N1991" t="s">
        <v>14781</v>
      </c>
      <c r="P1991" t="s">
        <v>14797</v>
      </c>
      <c r="Q1991" t="s">
        <v>11448</v>
      </c>
      <c r="S1991" t="s">
        <v>14827</v>
      </c>
      <c r="V1991">
        <v>239</v>
      </c>
      <c r="W1991" t="s">
        <v>14858</v>
      </c>
      <c r="X1991" t="s">
        <v>14864</v>
      </c>
      <c r="Z1991" t="s">
        <v>16601</v>
      </c>
      <c r="AB1991" t="s">
        <v>21642</v>
      </c>
      <c r="AC1991">
        <v>169</v>
      </c>
      <c r="AD1991" t="s">
        <v>24605</v>
      </c>
      <c r="AE1991" t="s">
        <v>24610</v>
      </c>
      <c r="AF1991">
        <v>45</v>
      </c>
      <c r="AG1991">
        <v>1</v>
      </c>
      <c r="AH1991">
        <v>0</v>
      </c>
      <c r="AI1991">
        <v>79.73999999999999</v>
      </c>
      <c r="AM1991">
        <v>9960</v>
      </c>
      <c r="AS1991">
        <v>5</v>
      </c>
      <c r="AT1991" t="s">
        <v>633</v>
      </c>
      <c r="AU1991" t="s">
        <v>245</v>
      </c>
      <c r="AW1991" t="s">
        <v>11447</v>
      </c>
    </row>
    <row r="1992" spans="1:49">
      <c r="A1992" s="1">
        <f>HYPERLINK("https://lsnyc.legalserver.org/matter/dynamic-profile/view/1908249","19-1908249")</f>
        <v>0</v>
      </c>
      <c r="B1992" t="s">
        <v>172</v>
      </c>
      <c r="C1992" t="s">
        <v>375</v>
      </c>
      <c r="E1992" t="s">
        <v>1057</v>
      </c>
      <c r="F1992" t="s">
        <v>4680</v>
      </c>
      <c r="G1992" t="s">
        <v>7210</v>
      </c>
      <c r="H1992" t="s">
        <v>10579</v>
      </c>
      <c r="I1992" t="s">
        <v>11386</v>
      </c>
      <c r="J1992">
        <v>10034</v>
      </c>
      <c r="K1992" t="s">
        <v>11446</v>
      </c>
      <c r="L1992" t="s">
        <v>12101</v>
      </c>
      <c r="M1992" t="s">
        <v>14744</v>
      </c>
      <c r="N1992" t="s">
        <v>14781</v>
      </c>
      <c r="P1992" t="s">
        <v>14797</v>
      </c>
      <c r="Q1992" t="s">
        <v>11448</v>
      </c>
      <c r="S1992" t="s">
        <v>14827</v>
      </c>
      <c r="V1992">
        <v>1270</v>
      </c>
      <c r="W1992" t="s">
        <v>14860</v>
      </c>
      <c r="X1992" t="s">
        <v>14868</v>
      </c>
      <c r="Z1992" t="s">
        <v>16602</v>
      </c>
      <c r="AA1992" t="s">
        <v>19493</v>
      </c>
      <c r="AB1992" t="s">
        <v>21643</v>
      </c>
      <c r="AC1992">
        <v>44</v>
      </c>
      <c r="AD1992" t="s">
        <v>24595</v>
      </c>
      <c r="AF1992">
        <v>5</v>
      </c>
      <c r="AG1992">
        <v>1</v>
      </c>
      <c r="AH1992">
        <v>0</v>
      </c>
      <c r="AI1992">
        <v>80.06</v>
      </c>
      <c r="AL1992" t="s">
        <v>5011</v>
      </c>
      <c r="AM1992">
        <v>10000</v>
      </c>
      <c r="AS1992">
        <v>7.95</v>
      </c>
      <c r="AT1992" t="s">
        <v>603</v>
      </c>
      <c r="AU1992" t="s">
        <v>25276</v>
      </c>
      <c r="AV1992" t="s">
        <v>25334</v>
      </c>
      <c r="AW1992" t="s">
        <v>11447</v>
      </c>
    </row>
    <row r="1993" spans="1:49">
      <c r="A1993" s="1">
        <f>HYPERLINK("https://lsnyc.legalserver.org/matter/dynamic-profile/view/1904435","19-1904435")</f>
        <v>0</v>
      </c>
      <c r="B1993" t="s">
        <v>204</v>
      </c>
      <c r="C1993" t="s">
        <v>607</v>
      </c>
      <c r="E1993" t="s">
        <v>2131</v>
      </c>
      <c r="F1993" t="s">
        <v>1093</v>
      </c>
      <c r="G1993" t="s">
        <v>7715</v>
      </c>
      <c r="I1993" t="s">
        <v>11431</v>
      </c>
      <c r="J1993">
        <v>14212</v>
      </c>
      <c r="K1993" t="s">
        <v>11447</v>
      </c>
      <c r="L1993" t="s">
        <v>12102</v>
      </c>
      <c r="M1993" t="s">
        <v>14760</v>
      </c>
      <c r="N1993" t="s">
        <v>14781</v>
      </c>
      <c r="P1993" t="s">
        <v>14797</v>
      </c>
      <c r="Q1993" t="s">
        <v>11448</v>
      </c>
      <c r="S1993" t="s">
        <v>14829</v>
      </c>
      <c r="T1993" t="s">
        <v>14832</v>
      </c>
      <c r="V1993">
        <v>0</v>
      </c>
      <c r="W1993" t="s">
        <v>14861</v>
      </c>
      <c r="X1993" t="s">
        <v>14868</v>
      </c>
      <c r="Z1993" t="s">
        <v>16603</v>
      </c>
      <c r="AB1993" t="s">
        <v>21644</v>
      </c>
      <c r="AC1993">
        <v>1</v>
      </c>
      <c r="AD1993" t="s">
        <v>11479</v>
      </c>
      <c r="AE1993" t="s">
        <v>11459</v>
      </c>
      <c r="AF1993">
        <v>-1</v>
      </c>
      <c r="AG1993">
        <v>3</v>
      </c>
      <c r="AH1993">
        <v>1</v>
      </c>
      <c r="AI1993">
        <v>80.39</v>
      </c>
      <c r="AL1993" t="s">
        <v>5011</v>
      </c>
      <c r="AM1993">
        <v>20700</v>
      </c>
      <c r="AS1993">
        <v>39.4</v>
      </c>
      <c r="AT1993" t="s">
        <v>571</v>
      </c>
      <c r="AU1993" t="s">
        <v>204</v>
      </c>
      <c r="AW1993" t="s">
        <v>11447</v>
      </c>
    </row>
    <row r="1994" spans="1:49">
      <c r="A1994" s="1">
        <f>HYPERLINK("https://lsnyc.legalserver.org/matter/dynamic-profile/view/1913698","19-1913698")</f>
        <v>0</v>
      </c>
      <c r="B1994" t="s">
        <v>177</v>
      </c>
      <c r="C1994" t="s">
        <v>476</v>
      </c>
      <c r="E1994" t="s">
        <v>2132</v>
      </c>
      <c r="F1994" t="s">
        <v>3547</v>
      </c>
      <c r="G1994" t="s">
        <v>7716</v>
      </c>
      <c r="H1994">
        <v>7</v>
      </c>
      <c r="I1994" t="s">
        <v>11385</v>
      </c>
      <c r="J1994">
        <v>11215</v>
      </c>
      <c r="K1994" t="s">
        <v>11447</v>
      </c>
      <c r="N1994" t="s">
        <v>14780</v>
      </c>
      <c r="P1994" t="s">
        <v>14797</v>
      </c>
      <c r="S1994" t="s">
        <v>14827</v>
      </c>
      <c r="V1994">
        <v>0</v>
      </c>
      <c r="W1994" t="s">
        <v>14859</v>
      </c>
      <c r="Z1994" t="s">
        <v>16604</v>
      </c>
      <c r="AB1994" t="s">
        <v>21645</v>
      </c>
      <c r="AC1994">
        <v>0</v>
      </c>
      <c r="AF1994">
        <v>0</v>
      </c>
      <c r="AG1994">
        <v>1</v>
      </c>
      <c r="AH1994">
        <v>0</v>
      </c>
      <c r="AI1994">
        <v>80.42</v>
      </c>
      <c r="AL1994" t="s">
        <v>5011</v>
      </c>
      <c r="AM1994">
        <v>10044</v>
      </c>
      <c r="AS1994">
        <v>2.9</v>
      </c>
      <c r="AT1994" t="s">
        <v>506</v>
      </c>
      <c r="AU1994" t="s">
        <v>177</v>
      </c>
      <c r="AW1994" t="s">
        <v>11447</v>
      </c>
    </row>
    <row r="1995" spans="1:49">
      <c r="A1995" s="1">
        <f>HYPERLINK("https://lsnyc.legalserver.org/matter/dynamic-profile/view/1914996","19-1914996")</f>
        <v>0</v>
      </c>
      <c r="B1995" t="s">
        <v>100</v>
      </c>
      <c r="C1995" t="s">
        <v>521</v>
      </c>
      <c r="E1995" t="s">
        <v>1841</v>
      </c>
      <c r="F1995" t="s">
        <v>4681</v>
      </c>
      <c r="G1995" t="s">
        <v>6868</v>
      </c>
      <c r="H1995" t="s">
        <v>10665</v>
      </c>
      <c r="I1995" t="s">
        <v>11383</v>
      </c>
      <c r="J1995">
        <v>10456</v>
      </c>
      <c r="K1995" t="s">
        <v>11446</v>
      </c>
      <c r="M1995" t="s">
        <v>14762</v>
      </c>
      <c r="N1995" t="s">
        <v>14783</v>
      </c>
      <c r="P1995" t="s">
        <v>14797</v>
      </c>
      <c r="S1995" t="s">
        <v>14827</v>
      </c>
      <c r="V1995">
        <v>942</v>
      </c>
      <c r="W1995" t="s">
        <v>14858</v>
      </c>
      <c r="X1995" t="s">
        <v>14868</v>
      </c>
      <c r="Z1995" t="s">
        <v>16605</v>
      </c>
      <c r="AB1995" t="s">
        <v>21646</v>
      </c>
      <c r="AC1995">
        <v>131</v>
      </c>
      <c r="AD1995" t="s">
        <v>24595</v>
      </c>
      <c r="AE1995" t="s">
        <v>11459</v>
      </c>
      <c r="AF1995">
        <v>28</v>
      </c>
      <c r="AG1995">
        <v>1</v>
      </c>
      <c r="AH1995">
        <v>0</v>
      </c>
      <c r="AI1995">
        <v>80.42</v>
      </c>
      <c r="AL1995" t="s">
        <v>24632</v>
      </c>
      <c r="AM1995">
        <v>10044</v>
      </c>
      <c r="AS1995">
        <v>0</v>
      </c>
      <c r="AU1995" t="s">
        <v>25242</v>
      </c>
      <c r="AV1995" t="s">
        <v>25335</v>
      </c>
      <c r="AW1995" t="s">
        <v>11447</v>
      </c>
    </row>
    <row r="1996" spans="1:49">
      <c r="A1996" s="1">
        <f>HYPERLINK("https://lsnyc.legalserver.org/matter/dynamic-profile/view/1910783","19-1910783")</f>
        <v>0</v>
      </c>
      <c r="B1996" t="s">
        <v>100</v>
      </c>
      <c r="C1996" t="s">
        <v>644</v>
      </c>
      <c r="E1996" t="s">
        <v>2008</v>
      </c>
      <c r="F1996" t="s">
        <v>3675</v>
      </c>
      <c r="G1996" t="s">
        <v>7717</v>
      </c>
      <c r="H1996" t="s">
        <v>10498</v>
      </c>
      <c r="I1996" t="s">
        <v>11383</v>
      </c>
      <c r="J1996">
        <v>10456</v>
      </c>
      <c r="K1996" t="s">
        <v>11446</v>
      </c>
      <c r="M1996" t="s">
        <v>11601</v>
      </c>
      <c r="N1996" t="s">
        <v>14778</v>
      </c>
      <c r="P1996" t="s">
        <v>14797</v>
      </c>
      <c r="Q1996" t="s">
        <v>11448</v>
      </c>
      <c r="S1996" t="s">
        <v>14827</v>
      </c>
      <c r="V1996">
        <v>441.73</v>
      </c>
      <c r="W1996" t="s">
        <v>14858</v>
      </c>
      <c r="X1996" t="s">
        <v>14868</v>
      </c>
      <c r="Z1996" t="s">
        <v>16606</v>
      </c>
      <c r="AC1996">
        <v>0</v>
      </c>
      <c r="AD1996" t="s">
        <v>24595</v>
      </c>
      <c r="AE1996" t="s">
        <v>24610</v>
      </c>
      <c r="AF1996">
        <v>47</v>
      </c>
      <c r="AG1996">
        <v>1</v>
      </c>
      <c r="AH1996">
        <v>0</v>
      </c>
      <c r="AI1996">
        <v>80.42</v>
      </c>
      <c r="AL1996" t="s">
        <v>5011</v>
      </c>
      <c r="AM1996">
        <v>10044</v>
      </c>
      <c r="AS1996">
        <v>12.25</v>
      </c>
      <c r="AT1996" t="s">
        <v>491</v>
      </c>
      <c r="AU1996" t="s">
        <v>57</v>
      </c>
      <c r="AV1996" t="s">
        <v>25335</v>
      </c>
      <c r="AW1996" t="s">
        <v>11447</v>
      </c>
    </row>
    <row r="1997" spans="1:49">
      <c r="A1997" s="1">
        <f>HYPERLINK("https://lsnyc.legalserver.org/matter/dynamic-profile/view/1911927","19-1911927")</f>
        <v>0</v>
      </c>
      <c r="B1997" t="s">
        <v>67</v>
      </c>
      <c r="C1997" t="s">
        <v>586</v>
      </c>
      <c r="E1997" t="s">
        <v>1359</v>
      </c>
      <c r="F1997" t="s">
        <v>1035</v>
      </c>
      <c r="G1997" t="s">
        <v>7458</v>
      </c>
      <c r="H1997" t="s">
        <v>10773</v>
      </c>
      <c r="I1997" t="s">
        <v>11383</v>
      </c>
      <c r="J1997">
        <v>10458</v>
      </c>
      <c r="K1997" t="s">
        <v>11446</v>
      </c>
      <c r="M1997" t="s">
        <v>14746</v>
      </c>
      <c r="N1997" t="s">
        <v>14781</v>
      </c>
      <c r="P1997" t="s">
        <v>14797</v>
      </c>
      <c r="Q1997" t="s">
        <v>11446</v>
      </c>
      <c r="S1997" t="s">
        <v>14827</v>
      </c>
      <c r="V1997">
        <v>1052.53</v>
      </c>
      <c r="W1997" t="s">
        <v>14858</v>
      </c>
      <c r="X1997" t="s">
        <v>14864</v>
      </c>
      <c r="Z1997" t="s">
        <v>16243</v>
      </c>
      <c r="AB1997" t="s">
        <v>21318</v>
      </c>
      <c r="AC1997">
        <v>94</v>
      </c>
      <c r="AD1997" t="s">
        <v>11479</v>
      </c>
      <c r="AE1997" t="s">
        <v>11459</v>
      </c>
      <c r="AF1997">
        <v>6</v>
      </c>
      <c r="AG1997">
        <v>1</v>
      </c>
      <c r="AH1997">
        <v>2</v>
      </c>
      <c r="AI1997">
        <v>80.64</v>
      </c>
      <c r="AL1997" t="s">
        <v>5011</v>
      </c>
      <c r="AM1997">
        <v>17200</v>
      </c>
      <c r="AS1997">
        <v>0.5</v>
      </c>
      <c r="AT1997" t="s">
        <v>551</v>
      </c>
      <c r="AU1997" t="s">
        <v>25242</v>
      </c>
      <c r="AV1997" t="s">
        <v>25334</v>
      </c>
      <c r="AW1997" t="s">
        <v>11447</v>
      </c>
    </row>
    <row r="1998" spans="1:49">
      <c r="A1998" s="1">
        <f>HYPERLINK("https://lsnyc.legalserver.org/matter/dynamic-profile/view/1909788","19-1909788")</f>
        <v>0</v>
      </c>
      <c r="B1998" t="s">
        <v>92</v>
      </c>
      <c r="C1998" t="s">
        <v>519</v>
      </c>
      <c r="E1998" t="s">
        <v>1546</v>
      </c>
      <c r="F1998" t="s">
        <v>4045</v>
      </c>
      <c r="G1998" t="s">
        <v>6937</v>
      </c>
      <c r="H1998" t="s">
        <v>10547</v>
      </c>
      <c r="I1998" t="s">
        <v>11383</v>
      </c>
      <c r="J1998">
        <v>10457</v>
      </c>
      <c r="K1998" t="s">
        <v>11446</v>
      </c>
      <c r="P1998" t="s">
        <v>14797</v>
      </c>
      <c r="S1998" t="s">
        <v>14827</v>
      </c>
      <c r="V1998">
        <v>0</v>
      </c>
      <c r="W1998" t="s">
        <v>14858</v>
      </c>
      <c r="Z1998" t="s">
        <v>15569</v>
      </c>
      <c r="AC1998">
        <v>0</v>
      </c>
      <c r="AF1998">
        <v>0</v>
      </c>
      <c r="AG1998">
        <v>1</v>
      </c>
      <c r="AH1998">
        <v>0</v>
      </c>
      <c r="AI1998">
        <v>80.7</v>
      </c>
      <c r="AL1998" t="s">
        <v>5011</v>
      </c>
      <c r="AM1998">
        <v>10080</v>
      </c>
      <c r="AS1998">
        <v>0</v>
      </c>
      <c r="AU1998" t="s">
        <v>92</v>
      </c>
      <c r="AV1998" t="s">
        <v>25335</v>
      </c>
      <c r="AW1998" t="s">
        <v>11447</v>
      </c>
    </row>
    <row r="1999" spans="1:49">
      <c r="A1999" s="1">
        <f>HYPERLINK("https://lsnyc.legalserver.org/matter/dynamic-profile/view/1905887","19-1905887")</f>
        <v>0</v>
      </c>
      <c r="B1999" t="s">
        <v>140</v>
      </c>
      <c r="C1999" t="s">
        <v>500</v>
      </c>
      <c r="E1999" t="s">
        <v>2133</v>
      </c>
      <c r="F1999" t="s">
        <v>4682</v>
      </c>
      <c r="G1999" t="s">
        <v>7718</v>
      </c>
      <c r="H1999" t="s">
        <v>10463</v>
      </c>
      <c r="I1999" t="s">
        <v>11383</v>
      </c>
      <c r="J1999">
        <v>10453</v>
      </c>
      <c r="K1999" t="s">
        <v>11447</v>
      </c>
      <c r="P1999" t="s">
        <v>14797</v>
      </c>
      <c r="S1999" t="s">
        <v>14827</v>
      </c>
      <c r="V1999">
        <v>1126</v>
      </c>
      <c r="W1999" t="s">
        <v>14858</v>
      </c>
      <c r="X1999" t="s">
        <v>14872</v>
      </c>
      <c r="Z1999" t="s">
        <v>16607</v>
      </c>
      <c r="AB1999" t="s">
        <v>21647</v>
      </c>
      <c r="AC1999">
        <v>35</v>
      </c>
      <c r="AE1999" t="s">
        <v>11459</v>
      </c>
      <c r="AF1999">
        <v>16</v>
      </c>
      <c r="AG1999">
        <v>1</v>
      </c>
      <c r="AH1999">
        <v>0</v>
      </c>
      <c r="AI1999">
        <v>80.7</v>
      </c>
      <c r="AL1999" t="s">
        <v>5011</v>
      </c>
      <c r="AM1999">
        <v>10080</v>
      </c>
      <c r="AS1999">
        <v>1</v>
      </c>
      <c r="AT1999" t="s">
        <v>500</v>
      </c>
      <c r="AU1999" t="s">
        <v>25226</v>
      </c>
      <c r="AW1999" t="s">
        <v>11447</v>
      </c>
    </row>
    <row r="2000" spans="1:49">
      <c r="A2000" s="1">
        <f>HYPERLINK("https://lsnyc.legalserver.org/matter/dynamic-profile/view/1906922","19-1906922")</f>
        <v>0</v>
      </c>
      <c r="B2000" t="s">
        <v>245</v>
      </c>
      <c r="C2000" t="s">
        <v>354</v>
      </c>
      <c r="E2000" t="s">
        <v>2134</v>
      </c>
      <c r="F2000" t="s">
        <v>3577</v>
      </c>
      <c r="G2000" t="s">
        <v>7021</v>
      </c>
      <c r="H2000" t="s">
        <v>10594</v>
      </c>
      <c r="I2000" t="s">
        <v>11383</v>
      </c>
      <c r="J2000">
        <v>10452</v>
      </c>
      <c r="K2000" t="s">
        <v>11446</v>
      </c>
      <c r="P2000" t="s">
        <v>14797</v>
      </c>
      <c r="Q2000" t="s">
        <v>11446</v>
      </c>
      <c r="S2000" t="s">
        <v>14827</v>
      </c>
      <c r="V2000">
        <v>671.5</v>
      </c>
      <c r="W2000" t="s">
        <v>14858</v>
      </c>
      <c r="X2000" t="s">
        <v>14876</v>
      </c>
      <c r="Z2000" t="s">
        <v>16608</v>
      </c>
      <c r="AB2000" t="s">
        <v>21648</v>
      </c>
      <c r="AC2000">
        <v>65</v>
      </c>
      <c r="AD2000" t="s">
        <v>24595</v>
      </c>
      <c r="AE2000" t="s">
        <v>11459</v>
      </c>
      <c r="AF2000">
        <v>38</v>
      </c>
      <c r="AG2000">
        <v>1</v>
      </c>
      <c r="AH2000">
        <v>0</v>
      </c>
      <c r="AI2000">
        <v>80.7</v>
      </c>
      <c r="AL2000" t="s">
        <v>24632</v>
      </c>
      <c r="AM2000">
        <v>10080</v>
      </c>
      <c r="AS2000">
        <v>0</v>
      </c>
      <c r="AU2000" t="s">
        <v>245</v>
      </c>
      <c r="AW2000" t="s">
        <v>11447</v>
      </c>
    </row>
    <row r="2001" spans="1:49">
      <c r="A2001" s="1">
        <f>HYPERLINK("https://lsnyc.legalserver.org/matter/dynamic-profile/view/1914959","19-1914959")</f>
        <v>0</v>
      </c>
      <c r="B2001" t="s">
        <v>126</v>
      </c>
      <c r="C2001" t="s">
        <v>537</v>
      </c>
      <c r="E2001" t="s">
        <v>2134</v>
      </c>
      <c r="F2001" t="s">
        <v>3577</v>
      </c>
      <c r="G2001" t="s">
        <v>7021</v>
      </c>
      <c r="H2001" t="s">
        <v>10594</v>
      </c>
      <c r="I2001" t="s">
        <v>11383</v>
      </c>
      <c r="J2001">
        <v>10452</v>
      </c>
      <c r="K2001" t="s">
        <v>11447</v>
      </c>
      <c r="P2001" t="s">
        <v>14797</v>
      </c>
      <c r="Q2001" t="s">
        <v>11446</v>
      </c>
      <c r="S2001" t="s">
        <v>14827</v>
      </c>
      <c r="V2001">
        <v>671.5</v>
      </c>
      <c r="W2001" t="s">
        <v>14858</v>
      </c>
      <c r="X2001" t="s">
        <v>14864</v>
      </c>
      <c r="Z2001" t="s">
        <v>16608</v>
      </c>
      <c r="AB2001" t="s">
        <v>21648</v>
      </c>
      <c r="AC2001">
        <v>65</v>
      </c>
      <c r="AD2001" t="s">
        <v>24595</v>
      </c>
      <c r="AE2001" t="s">
        <v>11459</v>
      </c>
      <c r="AF2001">
        <v>38</v>
      </c>
      <c r="AG2001">
        <v>1</v>
      </c>
      <c r="AH2001">
        <v>0</v>
      </c>
      <c r="AI2001">
        <v>80.7</v>
      </c>
      <c r="AL2001" t="s">
        <v>24632</v>
      </c>
      <c r="AM2001">
        <v>10080</v>
      </c>
      <c r="AS2001">
        <v>0</v>
      </c>
      <c r="AU2001" t="s">
        <v>25268</v>
      </c>
      <c r="AW2001" t="s">
        <v>11447</v>
      </c>
    </row>
    <row r="2002" spans="1:49">
      <c r="A2002" s="1">
        <f>HYPERLINK("https://lsnyc.legalserver.org/matter/dynamic-profile/view/1911242","19-1911242")</f>
        <v>0</v>
      </c>
      <c r="B2002" t="s">
        <v>92</v>
      </c>
      <c r="C2002" t="s">
        <v>511</v>
      </c>
      <c r="E2002" t="s">
        <v>2135</v>
      </c>
      <c r="F2002" t="s">
        <v>4683</v>
      </c>
      <c r="G2002" t="s">
        <v>7719</v>
      </c>
      <c r="H2002" t="s">
        <v>10513</v>
      </c>
      <c r="I2002" t="s">
        <v>11383</v>
      </c>
      <c r="J2002">
        <v>10459</v>
      </c>
      <c r="K2002" t="s">
        <v>11447</v>
      </c>
      <c r="M2002" t="s">
        <v>11601</v>
      </c>
      <c r="N2002" t="s">
        <v>14778</v>
      </c>
      <c r="P2002" t="s">
        <v>14797</v>
      </c>
      <c r="Q2002" t="s">
        <v>11448</v>
      </c>
      <c r="S2002" t="s">
        <v>14827</v>
      </c>
      <c r="V2002">
        <v>171</v>
      </c>
      <c r="W2002" t="s">
        <v>14858</v>
      </c>
      <c r="Z2002" t="s">
        <v>16609</v>
      </c>
      <c r="AB2002" t="s">
        <v>21649</v>
      </c>
      <c r="AC2002">
        <v>4</v>
      </c>
      <c r="AD2002" t="s">
        <v>24596</v>
      </c>
      <c r="AE2002" t="s">
        <v>24610</v>
      </c>
      <c r="AF2002">
        <v>16</v>
      </c>
      <c r="AG2002">
        <v>1</v>
      </c>
      <c r="AH2002">
        <v>0</v>
      </c>
      <c r="AI2002">
        <v>81.18000000000001</v>
      </c>
      <c r="AL2002" t="s">
        <v>24632</v>
      </c>
      <c r="AM2002">
        <v>10140</v>
      </c>
      <c r="AS2002">
        <v>0.75</v>
      </c>
      <c r="AT2002" t="s">
        <v>511</v>
      </c>
      <c r="AU2002" t="s">
        <v>25236</v>
      </c>
      <c r="AW2002" t="s">
        <v>11447</v>
      </c>
    </row>
    <row r="2003" spans="1:49">
      <c r="A2003" s="1">
        <f>HYPERLINK("https://lsnyc.legalserver.org/matter/dynamic-profile/view/0826379","17-0826379")</f>
        <v>0</v>
      </c>
      <c r="B2003" t="s">
        <v>107</v>
      </c>
      <c r="C2003" t="s">
        <v>614</v>
      </c>
      <c r="E2003" t="s">
        <v>2136</v>
      </c>
      <c r="F2003" t="s">
        <v>4684</v>
      </c>
      <c r="G2003" t="s">
        <v>7720</v>
      </c>
      <c r="H2003" t="s">
        <v>10908</v>
      </c>
      <c r="I2003" t="s">
        <v>11385</v>
      </c>
      <c r="J2003">
        <v>11207</v>
      </c>
      <c r="K2003" t="s">
        <v>11446</v>
      </c>
      <c r="N2003" t="s">
        <v>14778</v>
      </c>
      <c r="P2003" t="s">
        <v>14797</v>
      </c>
      <c r="Q2003" t="s">
        <v>11448</v>
      </c>
      <c r="S2003" t="s">
        <v>14827</v>
      </c>
      <c r="V2003">
        <v>1650</v>
      </c>
      <c r="W2003" t="s">
        <v>14859</v>
      </c>
      <c r="X2003" t="s">
        <v>14868</v>
      </c>
      <c r="Z2003" t="s">
        <v>16610</v>
      </c>
      <c r="AB2003" t="s">
        <v>21650</v>
      </c>
      <c r="AC2003">
        <v>5</v>
      </c>
      <c r="AD2003" t="s">
        <v>11479</v>
      </c>
      <c r="AE2003" t="s">
        <v>24610</v>
      </c>
      <c r="AF2003">
        <v>10</v>
      </c>
      <c r="AG2003">
        <v>4</v>
      </c>
      <c r="AH2003">
        <v>3</v>
      </c>
      <c r="AI2003">
        <v>81.84</v>
      </c>
      <c r="AL2003" t="s">
        <v>5011</v>
      </c>
      <c r="AM2003">
        <v>30394</v>
      </c>
      <c r="AN2003" t="s">
        <v>24801</v>
      </c>
      <c r="AS2003">
        <v>0.2</v>
      </c>
      <c r="AT2003" t="s">
        <v>25139</v>
      </c>
      <c r="AU2003" t="s">
        <v>66</v>
      </c>
      <c r="AW2003" t="s">
        <v>11447</v>
      </c>
    </row>
    <row r="2004" spans="1:49">
      <c r="A2004" s="1">
        <f>HYPERLINK("https://lsnyc.legalserver.org/matter/dynamic-profile/view/1913533","19-1913533")</f>
        <v>0</v>
      </c>
      <c r="B2004" t="s">
        <v>116</v>
      </c>
      <c r="C2004" t="s">
        <v>477</v>
      </c>
      <c r="E2004" t="s">
        <v>2137</v>
      </c>
      <c r="F2004" t="s">
        <v>3769</v>
      </c>
      <c r="G2004" t="s">
        <v>7721</v>
      </c>
      <c r="H2004" t="s">
        <v>10620</v>
      </c>
      <c r="I2004" t="s">
        <v>11383</v>
      </c>
      <c r="J2004">
        <v>10459</v>
      </c>
      <c r="K2004" t="s">
        <v>11446</v>
      </c>
      <c r="N2004" t="s">
        <v>14779</v>
      </c>
      <c r="P2004" t="s">
        <v>14797</v>
      </c>
      <c r="Q2004" t="s">
        <v>11448</v>
      </c>
      <c r="S2004" t="s">
        <v>14827</v>
      </c>
      <c r="V2004">
        <v>165</v>
      </c>
      <c r="W2004" t="s">
        <v>14858</v>
      </c>
      <c r="X2004" t="s">
        <v>14872</v>
      </c>
      <c r="Z2004" t="s">
        <v>16611</v>
      </c>
      <c r="AB2004" t="s">
        <v>21651</v>
      </c>
      <c r="AC2004">
        <v>64</v>
      </c>
      <c r="AD2004" t="s">
        <v>24596</v>
      </c>
      <c r="AF2004">
        <v>12</v>
      </c>
      <c r="AG2004">
        <v>1</v>
      </c>
      <c r="AH2004">
        <v>1</v>
      </c>
      <c r="AI2004">
        <v>82.25</v>
      </c>
      <c r="AL2004" t="s">
        <v>5011</v>
      </c>
      <c r="AM2004">
        <v>13908</v>
      </c>
      <c r="AS2004">
        <v>1.8</v>
      </c>
      <c r="AT2004" t="s">
        <v>490</v>
      </c>
      <c r="AU2004" t="s">
        <v>25247</v>
      </c>
      <c r="AV2004" t="s">
        <v>25335</v>
      </c>
      <c r="AW2004" t="s">
        <v>11447</v>
      </c>
    </row>
    <row r="2005" spans="1:49">
      <c r="A2005" s="1">
        <f>HYPERLINK("https://lsnyc.legalserver.org/matter/dynamic-profile/view/1911594","19-1911594")</f>
        <v>0</v>
      </c>
      <c r="B2005" t="s">
        <v>98</v>
      </c>
      <c r="C2005" t="s">
        <v>526</v>
      </c>
      <c r="E2005" t="s">
        <v>1241</v>
      </c>
      <c r="F2005" t="s">
        <v>4685</v>
      </c>
      <c r="G2005" t="s">
        <v>7722</v>
      </c>
      <c r="H2005" t="s">
        <v>10909</v>
      </c>
      <c r="I2005" t="s">
        <v>11385</v>
      </c>
      <c r="J2005">
        <v>11239</v>
      </c>
      <c r="K2005" t="s">
        <v>11446</v>
      </c>
      <c r="L2005" t="s">
        <v>12103</v>
      </c>
      <c r="M2005" t="s">
        <v>11601</v>
      </c>
      <c r="P2005" t="s">
        <v>14797</v>
      </c>
      <c r="Q2005" t="s">
        <v>11448</v>
      </c>
      <c r="S2005" t="s">
        <v>14827</v>
      </c>
      <c r="T2005" t="s">
        <v>14832</v>
      </c>
      <c r="V2005">
        <v>2400</v>
      </c>
      <c r="W2005" t="s">
        <v>14859</v>
      </c>
      <c r="X2005" t="s">
        <v>14868</v>
      </c>
      <c r="Z2005" t="s">
        <v>16612</v>
      </c>
      <c r="AA2005" t="s">
        <v>19494</v>
      </c>
      <c r="AB2005" t="s">
        <v>21652</v>
      </c>
      <c r="AC2005">
        <v>84</v>
      </c>
      <c r="AD2005" t="s">
        <v>24606</v>
      </c>
      <c r="AE2005" t="s">
        <v>24614</v>
      </c>
      <c r="AF2005">
        <v>1</v>
      </c>
      <c r="AG2005">
        <v>1</v>
      </c>
      <c r="AH2005">
        <v>0</v>
      </c>
      <c r="AI2005">
        <v>82.43000000000001</v>
      </c>
      <c r="AL2005" t="s">
        <v>5011</v>
      </c>
      <c r="AM2005">
        <v>10296</v>
      </c>
      <c r="AS2005">
        <v>14.75</v>
      </c>
      <c r="AT2005" t="s">
        <v>491</v>
      </c>
      <c r="AU2005" t="s">
        <v>66</v>
      </c>
      <c r="AV2005" t="s">
        <v>25335</v>
      </c>
      <c r="AW2005" t="s">
        <v>11447</v>
      </c>
    </row>
    <row r="2006" spans="1:49">
      <c r="A2006" s="1">
        <f>HYPERLINK("https://lsnyc.legalserver.org/matter/dynamic-profile/view/1907341","19-1907341")</f>
        <v>0</v>
      </c>
      <c r="B2006" t="s">
        <v>126</v>
      </c>
      <c r="C2006" t="s">
        <v>368</v>
      </c>
      <c r="E2006" t="s">
        <v>2138</v>
      </c>
      <c r="F2006" t="s">
        <v>4686</v>
      </c>
      <c r="G2006" t="s">
        <v>7723</v>
      </c>
      <c r="H2006">
        <v>1205</v>
      </c>
      <c r="I2006" t="s">
        <v>11383</v>
      </c>
      <c r="J2006">
        <v>10456</v>
      </c>
      <c r="K2006" t="s">
        <v>11446</v>
      </c>
      <c r="P2006" t="s">
        <v>14797</v>
      </c>
      <c r="Q2006" t="s">
        <v>11448</v>
      </c>
      <c r="S2006" t="s">
        <v>14827</v>
      </c>
      <c r="V2006">
        <v>257.4</v>
      </c>
      <c r="W2006" t="s">
        <v>14858</v>
      </c>
      <c r="X2006" t="s">
        <v>14755</v>
      </c>
      <c r="Z2006" t="s">
        <v>16613</v>
      </c>
      <c r="AB2006" t="s">
        <v>21653</v>
      </c>
      <c r="AC2006">
        <v>154</v>
      </c>
      <c r="AD2006" t="s">
        <v>11479</v>
      </c>
      <c r="AE2006" t="s">
        <v>24616</v>
      </c>
      <c r="AF2006">
        <v>-1</v>
      </c>
      <c r="AG2006">
        <v>1</v>
      </c>
      <c r="AH2006">
        <v>0</v>
      </c>
      <c r="AI2006">
        <v>82.43000000000001</v>
      </c>
      <c r="AL2006" t="s">
        <v>5011</v>
      </c>
      <c r="AM2006">
        <v>10296</v>
      </c>
      <c r="AS2006">
        <v>27.4</v>
      </c>
      <c r="AT2006" t="s">
        <v>495</v>
      </c>
      <c r="AU2006" t="s">
        <v>245</v>
      </c>
      <c r="AW2006" t="s">
        <v>11447</v>
      </c>
    </row>
    <row r="2007" spans="1:49">
      <c r="A2007" s="1">
        <f>HYPERLINK("https://lsnyc.legalserver.org/matter/dynamic-profile/view/1910194","19-1910194")</f>
        <v>0</v>
      </c>
      <c r="B2007" t="s">
        <v>67</v>
      </c>
      <c r="C2007" t="s">
        <v>528</v>
      </c>
      <c r="E2007" t="s">
        <v>2049</v>
      </c>
      <c r="F2007" t="s">
        <v>4587</v>
      </c>
      <c r="G2007" t="s">
        <v>7595</v>
      </c>
      <c r="H2007" t="s">
        <v>10541</v>
      </c>
      <c r="I2007" t="s">
        <v>11383</v>
      </c>
      <c r="J2007">
        <v>10456</v>
      </c>
      <c r="K2007" t="s">
        <v>11446</v>
      </c>
      <c r="M2007" t="s">
        <v>14762</v>
      </c>
      <c r="N2007" t="s">
        <v>14783</v>
      </c>
      <c r="P2007" t="s">
        <v>14797</v>
      </c>
      <c r="Q2007" t="s">
        <v>11446</v>
      </c>
      <c r="S2007" t="s">
        <v>14827</v>
      </c>
      <c r="V2007">
        <v>911.42</v>
      </c>
      <c r="W2007" t="s">
        <v>14858</v>
      </c>
      <c r="X2007" t="s">
        <v>14864</v>
      </c>
      <c r="Z2007" t="s">
        <v>16614</v>
      </c>
      <c r="AB2007" t="s">
        <v>21654</v>
      </c>
      <c r="AC2007">
        <v>30</v>
      </c>
      <c r="AD2007" t="s">
        <v>11479</v>
      </c>
      <c r="AE2007" t="s">
        <v>11459</v>
      </c>
      <c r="AF2007">
        <v>19</v>
      </c>
      <c r="AG2007">
        <v>1</v>
      </c>
      <c r="AH2007">
        <v>1</v>
      </c>
      <c r="AI2007">
        <v>82.79000000000001</v>
      </c>
      <c r="AL2007" t="s">
        <v>5011</v>
      </c>
      <c r="AM2007">
        <v>14000</v>
      </c>
      <c r="AS2007">
        <v>0</v>
      </c>
      <c r="AU2007" t="s">
        <v>25242</v>
      </c>
      <c r="AV2007" t="s">
        <v>25335</v>
      </c>
      <c r="AW2007" t="s">
        <v>11447</v>
      </c>
    </row>
    <row r="2008" spans="1:49">
      <c r="A2008" s="1">
        <f>HYPERLINK("https://lsnyc.legalserver.org/matter/dynamic-profile/view/1910193","19-1910193")</f>
        <v>0</v>
      </c>
      <c r="B2008" t="s">
        <v>67</v>
      </c>
      <c r="C2008" t="s">
        <v>528</v>
      </c>
      <c r="E2008" t="s">
        <v>2049</v>
      </c>
      <c r="F2008" t="s">
        <v>4587</v>
      </c>
      <c r="G2008" t="s">
        <v>7595</v>
      </c>
      <c r="H2008" t="s">
        <v>10541</v>
      </c>
      <c r="I2008" t="s">
        <v>11383</v>
      </c>
      <c r="J2008">
        <v>10456</v>
      </c>
      <c r="K2008" t="s">
        <v>11446</v>
      </c>
      <c r="L2008" t="s">
        <v>12028</v>
      </c>
      <c r="M2008" t="s">
        <v>14746</v>
      </c>
      <c r="N2008" t="s">
        <v>14781</v>
      </c>
      <c r="P2008" t="s">
        <v>14797</v>
      </c>
      <c r="Q2008" t="s">
        <v>11446</v>
      </c>
      <c r="S2008" t="s">
        <v>14827</v>
      </c>
      <c r="V2008">
        <v>911.42</v>
      </c>
      <c r="W2008" t="s">
        <v>14858</v>
      </c>
      <c r="X2008" t="s">
        <v>14864</v>
      </c>
      <c r="Z2008" t="s">
        <v>16614</v>
      </c>
      <c r="AB2008" t="s">
        <v>21654</v>
      </c>
      <c r="AC2008">
        <v>30</v>
      </c>
      <c r="AD2008" t="s">
        <v>11479</v>
      </c>
      <c r="AE2008" t="s">
        <v>11459</v>
      </c>
      <c r="AF2008">
        <v>19</v>
      </c>
      <c r="AG2008">
        <v>1</v>
      </c>
      <c r="AH2008">
        <v>1</v>
      </c>
      <c r="AI2008">
        <v>82.79000000000001</v>
      </c>
      <c r="AL2008" t="s">
        <v>5011</v>
      </c>
      <c r="AM2008">
        <v>14000</v>
      </c>
      <c r="AS2008">
        <v>0</v>
      </c>
      <c r="AU2008" t="s">
        <v>25242</v>
      </c>
      <c r="AV2008" t="s">
        <v>25335</v>
      </c>
      <c r="AW2008" t="s">
        <v>11447</v>
      </c>
    </row>
    <row r="2009" spans="1:49">
      <c r="A2009" s="1">
        <f>HYPERLINK("https://lsnyc.legalserver.org/matter/dynamic-profile/view/1879615","18-1879615")</f>
        <v>0</v>
      </c>
      <c r="B2009" t="s">
        <v>107</v>
      </c>
      <c r="C2009" t="s">
        <v>450</v>
      </c>
      <c r="E2009" t="s">
        <v>1706</v>
      </c>
      <c r="F2009" t="s">
        <v>4402</v>
      </c>
      <c r="G2009" t="s">
        <v>7463</v>
      </c>
      <c r="H2009" t="s">
        <v>10500</v>
      </c>
      <c r="I2009" t="s">
        <v>11385</v>
      </c>
      <c r="J2009">
        <v>11207</v>
      </c>
      <c r="K2009" t="s">
        <v>11448</v>
      </c>
      <c r="L2009" t="s">
        <v>11601</v>
      </c>
      <c r="M2009" t="s">
        <v>14745</v>
      </c>
      <c r="N2009" t="s">
        <v>14780</v>
      </c>
      <c r="P2009" t="s">
        <v>14797</v>
      </c>
      <c r="Q2009" t="s">
        <v>11446</v>
      </c>
      <c r="S2009" t="s">
        <v>14827</v>
      </c>
      <c r="T2009" t="s">
        <v>14832</v>
      </c>
      <c r="V2009">
        <v>1000</v>
      </c>
      <c r="W2009" t="s">
        <v>14859</v>
      </c>
      <c r="X2009" t="s">
        <v>14868</v>
      </c>
      <c r="Z2009" t="s">
        <v>16251</v>
      </c>
      <c r="AA2009" t="s">
        <v>19354</v>
      </c>
      <c r="AB2009" t="s">
        <v>21326</v>
      </c>
      <c r="AC2009">
        <v>6</v>
      </c>
      <c r="AD2009" t="s">
        <v>24595</v>
      </c>
      <c r="AE2009" t="s">
        <v>11459</v>
      </c>
      <c r="AF2009">
        <v>4</v>
      </c>
      <c r="AG2009">
        <v>1</v>
      </c>
      <c r="AH2009">
        <v>3</v>
      </c>
      <c r="AI2009">
        <v>82.87</v>
      </c>
      <c r="AL2009" t="s">
        <v>5011</v>
      </c>
      <c r="AM2009">
        <v>20800</v>
      </c>
      <c r="AS2009">
        <v>0</v>
      </c>
      <c r="AU2009" t="s">
        <v>66</v>
      </c>
      <c r="AW2009" t="s">
        <v>11448</v>
      </c>
    </row>
    <row r="2010" spans="1:49">
      <c r="A2010" s="1">
        <f>HYPERLINK("https://lsnyc.legalserver.org/matter/dynamic-profile/view/1910407","19-1910407")</f>
        <v>0</v>
      </c>
      <c r="B2010" t="s">
        <v>235</v>
      </c>
      <c r="C2010" t="s">
        <v>508</v>
      </c>
      <c r="E2010" t="s">
        <v>1330</v>
      </c>
      <c r="F2010" t="s">
        <v>3848</v>
      </c>
      <c r="G2010" t="s">
        <v>7724</v>
      </c>
      <c r="H2010" t="s">
        <v>10787</v>
      </c>
      <c r="I2010" t="s">
        <v>11383</v>
      </c>
      <c r="J2010">
        <v>10452</v>
      </c>
      <c r="K2010" t="s">
        <v>11447</v>
      </c>
      <c r="L2010" t="s">
        <v>12104</v>
      </c>
      <c r="M2010" t="s">
        <v>14743</v>
      </c>
      <c r="N2010" t="s">
        <v>14781</v>
      </c>
      <c r="P2010" t="s">
        <v>14797</v>
      </c>
      <c r="Q2010" t="s">
        <v>11448</v>
      </c>
      <c r="S2010" t="s">
        <v>14827</v>
      </c>
      <c r="T2010" t="s">
        <v>14832</v>
      </c>
      <c r="V2010">
        <v>518</v>
      </c>
      <c r="W2010" t="s">
        <v>14858</v>
      </c>
      <c r="X2010" t="s">
        <v>14866</v>
      </c>
      <c r="Z2010" t="s">
        <v>16615</v>
      </c>
      <c r="AB2010" t="s">
        <v>21655</v>
      </c>
      <c r="AC2010">
        <v>40</v>
      </c>
      <c r="AD2010" t="s">
        <v>24595</v>
      </c>
      <c r="AF2010">
        <v>25</v>
      </c>
      <c r="AG2010">
        <v>1</v>
      </c>
      <c r="AH2010">
        <v>0</v>
      </c>
      <c r="AI2010">
        <v>83.27</v>
      </c>
      <c r="AL2010" t="s">
        <v>24632</v>
      </c>
      <c r="AM2010">
        <v>10400</v>
      </c>
      <c r="AS2010">
        <v>12.7</v>
      </c>
      <c r="AT2010" t="s">
        <v>509</v>
      </c>
      <c r="AU2010" t="s">
        <v>25241</v>
      </c>
      <c r="AW2010" t="s">
        <v>11447</v>
      </c>
    </row>
    <row r="2011" spans="1:49">
      <c r="A2011" s="1">
        <f>HYPERLINK("https://lsnyc.legalserver.org/matter/dynamic-profile/view/1905963","19-1905963")</f>
        <v>0</v>
      </c>
      <c r="B2011" t="s">
        <v>95</v>
      </c>
      <c r="C2011" t="s">
        <v>461</v>
      </c>
      <c r="E2011" t="s">
        <v>2139</v>
      </c>
      <c r="F2011" t="s">
        <v>3727</v>
      </c>
      <c r="G2011" t="s">
        <v>6733</v>
      </c>
      <c r="H2011" t="s">
        <v>10736</v>
      </c>
      <c r="I2011" t="s">
        <v>11383</v>
      </c>
      <c r="J2011">
        <v>10460</v>
      </c>
      <c r="K2011" t="s">
        <v>11447</v>
      </c>
      <c r="M2011" t="s">
        <v>11601</v>
      </c>
      <c r="N2011" t="s">
        <v>14778</v>
      </c>
      <c r="P2011" t="s">
        <v>14797</v>
      </c>
      <c r="Q2011" t="s">
        <v>11448</v>
      </c>
      <c r="S2011" t="s">
        <v>14827</v>
      </c>
      <c r="V2011">
        <v>1300</v>
      </c>
      <c r="W2011" t="s">
        <v>14858</v>
      </c>
      <c r="X2011" t="s">
        <v>14868</v>
      </c>
      <c r="Z2011" t="s">
        <v>16616</v>
      </c>
      <c r="AB2011" t="s">
        <v>21656</v>
      </c>
      <c r="AC2011">
        <v>136</v>
      </c>
      <c r="AD2011" t="s">
        <v>24605</v>
      </c>
      <c r="AE2011" t="s">
        <v>24615</v>
      </c>
      <c r="AF2011">
        <v>1</v>
      </c>
      <c r="AG2011">
        <v>1</v>
      </c>
      <c r="AH2011">
        <v>0</v>
      </c>
      <c r="AI2011">
        <v>83.3</v>
      </c>
      <c r="AL2011" t="s">
        <v>5011</v>
      </c>
      <c r="AM2011">
        <v>10404</v>
      </c>
      <c r="AS2011">
        <v>0.66</v>
      </c>
      <c r="AT2011" t="s">
        <v>461</v>
      </c>
      <c r="AU2011" t="s">
        <v>25240</v>
      </c>
      <c r="AW2011" t="s">
        <v>11447</v>
      </c>
    </row>
    <row r="2012" spans="1:49">
      <c r="A2012" s="1">
        <f>HYPERLINK("https://lsnyc.legalserver.org/matter/dynamic-profile/view/1905120","19-1905120")</f>
        <v>0</v>
      </c>
      <c r="B2012" t="s">
        <v>84</v>
      </c>
      <c r="C2012" t="s">
        <v>456</v>
      </c>
      <c r="E2012" t="s">
        <v>2140</v>
      </c>
      <c r="F2012" t="s">
        <v>3927</v>
      </c>
      <c r="G2012" t="s">
        <v>7381</v>
      </c>
      <c r="I2012" t="s">
        <v>11383</v>
      </c>
      <c r="J2012">
        <v>10455</v>
      </c>
      <c r="K2012" t="s">
        <v>11446</v>
      </c>
      <c r="M2012" t="s">
        <v>14762</v>
      </c>
      <c r="N2012" t="s">
        <v>14783</v>
      </c>
      <c r="P2012" t="s">
        <v>14797</v>
      </c>
      <c r="Q2012" t="s">
        <v>11446</v>
      </c>
      <c r="S2012" t="s">
        <v>14827</v>
      </c>
      <c r="V2012">
        <v>222.4</v>
      </c>
      <c r="W2012" t="s">
        <v>14858</v>
      </c>
      <c r="X2012" t="s">
        <v>14868</v>
      </c>
      <c r="Z2012" t="s">
        <v>16617</v>
      </c>
      <c r="AB2012" t="s">
        <v>21657</v>
      </c>
      <c r="AC2012">
        <v>99</v>
      </c>
      <c r="AD2012" t="s">
        <v>24595</v>
      </c>
      <c r="AE2012" t="s">
        <v>11459</v>
      </c>
      <c r="AF2012">
        <v>1</v>
      </c>
      <c r="AG2012">
        <v>1</v>
      </c>
      <c r="AH2012">
        <v>0</v>
      </c>
      <c r="AI2012">
        <v>83.68000000000001</v>
      </c>
      <c r="AL2012" t="s">
        <v>5011</v>
      </c>
      <c r="AM2012">
        <v>10452</v>
      </c>
      <c r="AS2012">
        <v>0</v>
      </c>
      <c r="AU2012" t="s">
        <v>245</v>
      </c>
      <c r="AV2012" t="s">
        <v>25335</v>
      </c>
      <c r="AW2012" t="s">
        <v>11447</v>
      </c>
    </row>
    <row r="2013" spans="1:49">
      <c r="A2013" s="1">
        <f>HYPERLINK("https://lsnyc.legalserver.org/matter/dynamic-profile/view/1899819","19-1899819")</f>
        <v>0</v>
      </c>
      <c r="B2013" t="s">
        <v>84</v>
      </c>
      <c r="C2013" t="s">
        <v>370</v>
      </c>
      <c r="E2013" t="s">
        <v>2140</v>
      </c>
      <c r="F2013" t="s">
        <v>3927</v>
      </c>
      <c r="G2013" t="s">
        <v>7381</v>
      </c>
      <c r="I2013" t="s">
        <v>11383</v>
      </c>
      <c r="J2013">
        <v>10455</v>
      </c>
      <c r="K2013" t="s">
        <v>11446</v>
      </c>
      <c r="M2013" t="s">
        <v>14746</v>
      </c>
      <c r="N2013" t="s">
        <v>14778</v>
      </c>
      <c r="P2013" t="s">
        <v>14797</v>
      </c>
      <c r="Q2013" t="s">
        <v>11446</v>
      </c>
      <c r="S2013" t="s">
        <v>14827</v>
      </c>
      <c r="V2013">
        <v>222.4</v>
      </c>
      <c r="W2013" t="s">
        <v>14858</v>
      </c>
      <c r="X2013" t="s">
        <v>14864</v>
      </c>
      <c r="Z2013" t="s">
        <v>16617</v>
      </c>
      <c r="AB2013" t="s">
        <v>21657</v>
      </c>
      <c r="AC2013">
        <v>99</v>
      </c>
      <c r="AD2013" t="s">
        <v>11479</v>
      </c>
      <c r="AF2013">
        <v>1</v>
      </c>
      <c r="AG2013">
        <v>1</v>
      </c>
      <c r="AH2013">
        <v>0</v>
      </c>
      <c r="AI2013">
        <v>83.68000000000001</v>
      </c>
      <c r="AL2013" t="s">
        <v>5011</v>
      </c>
      <c r="AM2013">
        <v>10452</v>
      </c>
      <c r="AS2013">
        <v>0</v>
      </c>
      <c r="AU2013" t="s">
        <v>245</v>
      </c>
      <c r="AV2013" t="s">
        <v>25335</v>
      </c>
      <c r="AW2013" t="s">
        <v>11447</v>
      </c>
    </row>
    <row r="2014" spans="1:49">
      <c r="A2014" s="1">
        <f>HYPERLINK("https://lsnyc.legalserver.org/matter/dynamic-profile/view/1841799","17-1841799")</f>
        <v>0</v>
      </c>
      <c r="B2014" t="s">
        <v>179</v>
      </c>
      <c r="C2014" t="s">
        <v>698</v>
      </c>
      <c r="E2014" t="s">
        <v>2141</v>
      </c>
      <c r="F2014" t="s">
        <v>4687</v>
      </c>
      <c r="G2014" t="s">
        <v>7725</v>
      </c>
      <c r="H2014" t="s">
        <v>10638</v>
      </c>
      <c r="I2014" t="s">
        <v>11388</v>
      </c>
      <c r="J2014">
        <v>11385</v>
      </c>
      <c r="K2014" t="s">
        <v>11447</v>
      </c>
      <c r="P2014" t="s">
        <v>14797</v>
      </c>
      <c r="S2014" t="s">
        <v>14827</v>
      </c>
      <c r="V2014">
        <v>0</v>
      </c>
      <c r="W2014" t="s">
        <v>14861</v>
      </c>
      <c r="Z2014" t="s">
        <v>16618</v>
      </c>
      <c r="AB2014" t="s">
        <v>21658</v>
      </c>
      <c r="AC2014">
        <v>6</v>
      </c>
      <c r="AF2014">
        <v>33</v>
      </c>
      <c r="AG2014">
        <v>1</v>
      </c>
      <c r="AH2014">
        <v>0</v>
      </c>
      <c r="AI2014">
        <v>83.88</v>
      </c>
      <c r="AL2014" t="s">
        <v>5011</v>
      </c>
      <c r="AM2014">
        <v>10116</v>
      </c>
      <c r="AS2014">
        <v>2</v>
      </c>
      <c r="AT2014" t="s">
        <v>698</v>
      </c>
      <c r="AU2014" t="s">
        <v>25292</v>
      </c>
      <c r="AW2014" t="s">
        <v>11447</v>
      </c>
    </row>
    <row r="2015" spans="1:49">
      <c r="A2015" s="1">
        <f>HYPERLINK("https://lsnyc.legalserver.org/matter/dynamic-profile/view/8000282","S12E-68000282")</f>
        <v>0</v>
      </c>
      <c r="B2015" t="s">
        <v>246</v>
      </c>
      <c r="C2015" t="s">
        <v>699</v>
      </c>
      <c r="E2015" t="s">
        <v>2142</v>
      </c>
      <c r="F2015" t="s">
        <v>4688</v>
      </c>
      <c r="G2015" t="s">
        <v>7726</v>
      </c>
      <c r="I2015" t="s">
        <v>11385</v>
      </c>
      <c r="J2015">
        <v>11209</v>
      </c>
      <c r="K2015" t="s">
        <v>11447</v>
      </c>
      <c r="M2015" t="s">
        <v>14756</v>
      </c>
      <c r="N2015" t="s">
        <v>14783</v>
      </c>
      <c r="P2015" t="s">
        <v>14797</v>
      </c>
      <c r="S2015" t="s">
        <v>14827</v>
      </c>
      <c r="V2015">
        <v>0</v>
      </c>
      <c r="W2015" t="s">
        <v>14859</v>
      </c>
      <c r="Y2015" t="s">
        <v>14896</v>
      </c>
      <c r="Z2015" t="s">
        <v>16619</v>
      </c>
      <c r="AC2015">
        <v>0</v>
      </c>
      <c r="AF2015">
        <v>0</v>
      </c>
      <c r="AG2015">
        <v>1</v>
      </c>
      <c r="AH2015">
        <v>0</v>
      </c>
      <c r="AI2015">
        <v>83.90000000000001</v>
      </c>
      <c r="AL2015" t="s">
        <v>5011</v>
      </c>
      <c r="AM2015">
        <v>9372</v>
      </c>
      <c r="AS2015">
        <v>239.65</v>
      </c>
      <c r="AT2015" t="s">
        <v>632</v>
      </c>
      <c r="AU2015" t="s">
        <v>25293</v>
      </c>
      <c r="AW2015" t="s">
        <v>11447</v>
      </c>
    </row>
    <row r="2016" spans="1:49">
      <c r="A2016" s="1">
        <f>HYPERLINK("https://lsnyc.legalserver.org/matter/dynamic-profile/view/1914473","19-1914473")</f>
        <v>0</v>
      </c>
      <c r="B2016" t="s">
        <v>197</v>
      </c>
      <c r="C2016" t="s">
        <v>506</v>
      </c>
      <c r="E2016" t="s">
        <v>1088</v>
      </c>
      <c r="F2016" t="s">
        <v>3719</v>
      </c>
      <c r="G2016" t="s">
        <v>7727</v>
      </c>
      <c r="H2016" t="s">
        <v>10522</v>
      </c>
      <c r="I2016" t="s">
        <v>11383</v>
      </c>
      <c r="J2016">
        <v>10473</v>
      </c>
      <c r="K2016" t="s">
        <v>11447</v>
      </c>
      <c r="N2016" t="s">
        <v>14778</v>
      </c>
      <c r="P2016" t="s">
        <v>14797</v>
      </c>
      <c r="S2016" t="s">
        <v>14827</v>
      </c>
      <c r="V2016">
        <v>0</v>
      </c>
      <c r="W2016" t="s">
        <v>14858</v>
      </c>
      <c r="Z2016" t="s">
        <v>16620</v>
      </c>
      <c r="AB2016" t="s">
        <v>21659</v>
      </c>
      <c r="AC2016">
        <v>0</v>
      </c>
      <c r="AF2016">
        <v>0</v>
      </c>
      <c r="AG2016">
        <v>1</v>
      </c>
      <c r="AH2016">
        <v>0</v>
      </c>
      <c r="AI2016">
        <v>84.36</v>
      </c>
      <c r="AL2016" t="s">
        <v>5011</v>
      </c>
      <c r="AM2016">
        <v>10536</v>
      </c>
      <c r="AS2016">
        <v>1.05</v>
      </c>
      <c r="AT2016" t="s">
        <v>495</v>
      </c>
      <c r="AU2016" t="s">
        <v>197</v>
      </c>
      <c r="AW2016" t="s">
        <v>11447</v>
      </c>
    </row>
    <row r="2017" spans="1:49">
      <c r="A2017" s="1">
        <f>HYPERLINK("https://lsnyc.legalserver.org/matter/dynamic-profile/view/1909847","19-1909847")</f>
        <v>0</v>
      </c>
      <c r="B2017" t="s">
        <v>116</v>
      </c>
      <c r="C2017" t="s">
        <v>504</v>
      </c>
      <c r="E2017" t="s">
        <v>2143</v>
      </c>
      <c r="F2017" t="s">
        <v>4674</v>
      </c>
      <c r="G2017" t="s">
        <v>7728</v>
      </c>
      <c r="H2017" t="s">
        <v>10570</v>
      </c>
      <c r="I2017" t="s">
        <v>11383</v>
      </c>
      <c r="J2017">
        <v>10452</v>
      </c>
      <c r="K2017" t="s">
        <v>11446</v>
      </c>
      <c r="L2017" t="s">
        <v>12105</v>
      </c>
      <c r="M2017" t="s">
        <v>14754</v>
      </c>
      <c r="N2017" t="s">
        <v>14783</v>
      </c>
      <c r="P2017" t="s">
        <v>14797</v>
      </c>
      <c r="Q2017" t="s">
        <v>11446</v>
      </c>
      <c r="S2017" t="s">
        <v>14827</v>
      </c>
      <c r="V2017">
        <v>0</v>
      </c>
      <c r="W2017" t="s">
        <v>14858</v>
      </c>
      <c r="X2017" t="s">
        <v>14867</v>
      </c>
      <c r="Z2017" t="s">
        <v>16621</v>
      </c>
      <c r="AC2017">
        <v>70</v>
      </c>
      <c r="AD2017" t="s">
        <v>24595</v>
      </c>
      <c r="AF2017">
        <v>0</v>
      </c>
      <c r="AG2017">
        <v>3</v>
      </c>
      <c r="AH2017">
        <v>0</v>
      </c>
      <c r="AI2017">
        <v>84.39</v>
      </c>
      <c r="AL2017" t="s">
        <v>11479</v>
      </c>
      <c r="AM2017">
        <v>18000</v>
      </c>
      <c r="AS2017">
        <v>11.9</v>
      </c>
      <c r="AT2017" t="s">
        <v>540</v>
      </c>
      <c r="AU2017" t="s">
        <v>116</v>
      </c>
      <c r="AW2017" t="s">
        <v>11447</v>
      </c>
    </row>
    <row r="2018" spans="1:49">
      <c r="A2018" s="1">
        <f>HYPERLINK("https://lsnyc.legalserver.org/matter/dynamic-profile/view/1911141","19-1911141")</f>
        <v>0</v>
      </c>
      <c r="B2018" t="s">
        <v>148</v>
      </c>
      <c r="C2018" t="s">
        <v>472</v>
      </c>
      <c r="E2018" t="s">
        <v>1408</v>
      </c>
      <c r="F2018" t="s">
        <v>4689</v>
      </c>
      <c r="G2018" t="s">
        <v>7729</v>
      </c>
      <c r="H2018">
        <v>1</v>
      </c>
      <c r="I2018" t="s">
        <v>11384</v>
      </c>
      <c r="J2018">
        <v>10301</v>
      </c>
      <c r="K2018" t="s">
        <v>11447</v>
      </c>
      <c r="L2018" t="s">
        <v>12106</v>
      </c>
      <c r="M2018" t="s">
        <v>14744</v>
      </c>
      <c r="P2018" t="s">
        <v>14797</v>
      </c>
      <c r="Q2018" t="s">
        <v>11448</v>
      </c>
      <c r="S2018" t="s">
        <v>14827</v>
      </c>
      <c r="T2018" t="s">
        <v>14832</v>
      </c>
      <c r="V2018">
        <v>1557</v>
      </c>
      <c r="W2018" t="s">
        <v>14862</v>
      </c>
      <c r="X2018" t="s">
        <v>14868</v>
      </c>
      <c r="Z2018" t="s">
        <v>16622</v>
      </c>
      <c r="AB2018" t="s">
        <v>21660</v>
      </c>
      <c r="AC2018">
        <v>2</v>
      </c>
      <c r="AD2018" t="s">
        <v>24600</v>
      </c>
      <c r="AE2018" t="s">
        <v>24616</v>
      </c>
      <c r="AF2018">
        <v>5</v>
      </c>
      <c r="AG2018">
        <v>1</v>
      </c>
      <c r="AH2018">
        <v>2</v>
      </c>
      <c r="AI2018">
        <v>84.39</v>
      </c>
      <c r="AL2018" t="s">
        <v>5011</v>
      </c>
      <c r="AM2018">
        <v>18000</v>
      </c>
      <c r="AS2018">
        <v>3</v>
      </c>
      <c r="AT2018" t="s">
        <v>571</v>
      </c>
      <c r="AU2018" t="s">
        <v>25270</v>
      </c>
      <c r="AW2018" t="s">
        <v>11447</v>
      </c>
    </row>
    <row r="2019" spans="1:49">
      <c r="A2019" s="1">
        <f>HYPERLINK("https://lsnyc.legalserver.org/matter/dynamic-profile/view/1914732","19-1914732")</f>
        <v>0</v>
      </c>
      <c r="B2019" t="s">
        <v>56</v>
      </c>
      <c r="C2019" t="s">
        <v>592</v>
      </c>
      <c r="E2019" t="s">
        <v>2144</v>
      </c>
      <c r="F2019" t="s">
        <v>4690</v>
      </c>
      <c r="G2019" t="s">
        <v>7730</v>
      </c>
      <c r="H2019" t="s">
        <v>10910</v>
      </c>
      <c r="I2019" t="s">
        <v>11385</v>
      </c>
      <c r="J2019">
        <v>11212</v>
      </c>
      <c r="K2019" t="s">
        <v>11447</v>
      </c>
      <c r="L2019" t="s">
        <v>12107</v>
      </c>
      <c r="M2019" t="s">
        <v>14744</v>
      </c>
      <c r="N2019" t="s">
        <v>14782</v>
      </c>
      <c r="P2019" t="s">
        <v>14797</v>
      </c>
      <c r="Q2019" t="s">
        <v>11448</v>
      </c>
      <c r="S2019" t="s">
        <v>14827</v>
      </c>
      <c r="V2019">
        <v>570</v>
      </c>
      <c r="W2019" t="s">
        <v>14859</v>
      </c>
      <c r="X2019" t="s">
        <v>14755</v>
      </c>
      <c r="Z2019" t="s">
        <v>16623</v>
      </c>
      <c r="AB2019" t="s">
        <v>21661</v>
      </c>
      <c r="AC2019">
        <v>6</v>
      </c>
      <c r="AD2019" t="s">
        <v>24606</v>
      </c>
      <c r="AF2019">
        <v>38</v>
      </c>
      <c r="AG2019">
        <v>1</v>
      </c>
      <c r="AH2019">
        <v>0</v>
      </c>
      <c r="AI2019">
        <v>84.55</v>
      </c>
      <c r="AL2019" t="s">
        <v>5011</v>
      </c>
      <c r="AM2019">
        <v>10560</v>
      </c>
      <c r="AS2019">
        <v>0.5</v>
      </c>
      <c r="AT2019" t="s">
        <v>592</v>
      </c>
      <c r="AU2019" t="s">
        <v>25238</v>
      </c>
      <c r="AW2019" t="s">
        <v>11447</v>
      </c>
    </row>
    <row r="2020" spans="1:49">
      <c r="A2020" s="1">
        <f>HYPERLINK("https://lsnyc.legalserver.org/matter/dynamic-profile/view/1908942","19-1908942")</f>
        <v>0</v>
      </c>
      <c r="B2020" t="s">
        <v>102</v>
      </c>
      <c r="C2020" t="s">
        <v>640</v>
      </c>
      <c r="E2020" t="s">
        <v>1934</v>
      </c>
      <c r="F2020" t="s">
        <v>3628</v>
      </c>
      <c r="G2020" t="s">
        <v>7731</v>
      </c>
      <c r="H2020" t="s">
        <v>10481</v>
      </c>
      <c r="I2020" t="s">
        <v>11383</v>
      </c>
      <c r="J2020">
        <v>10460</v>
      </c>
      <c r="K2020" t="s">
        <v>11446</v>
      </c>
      <c r="M2020" t="s">
        <v>11601</v>
      </c>
      <c r="N2020" t="s">
        <v>14778</v>
      </c>
      <c r="P2020" t="s">
        <v>14797</v>
      </c>
      <c r="Q2020" t="s">
        <v>11448</v>
      </c>
      <c r="S2020" t="s">
        <v>14827</v>
      </c>
      <c r="V2020">
        <v>818.75</v>
      </c>
      <c r="W2020" t="s">
        <v>14858</v>
      </c>
      <c r="X2020" t="s">
        <v>14864</v>
      </c>
      <c r="Z2020" t="s">
        <v>16624</v>
      </c>
      <c r="AB2020" t="s">
        <v>21662</v>
      </c>
      <c r="AC2020">
        <v>20</v>
      </c>
      <c r="AD2020" t="s">
        <v>24606</v>
      </c>
      <c r="AE2020" t="s">
        <v>11459</v>
      </c>
      <c r="AF2020">
        <v>15</v>
      </c>
      <c r="AG2020">
        <v>2</v>
      </c>
      <c r="AH2020">
        <v>0</v>
      </c>
      <c r="AI2020">
        <v>86.22</v>
      </c>
      <c r="AL2020" t="s">
        <v>5011</v>
      </c>
      <c r="AM2020">
        <v>14580</v>
      </c>
      <c r="AS2020">
        <v>8.6</v>
      </c>
      <c r="AT2020" t="s">
        <v>533</v>
      </c>
      <c r="AU2020" t="s">
        <v>184</v>
      </c>
      <c r="AV2020" t="s">
        <v>25335</v>
      </c>
      <c r="AW2020" t="s">
        <v>11447</v>
      </c>
    </row>
    <row r="2021" spans="1:49">
      <c r="A2021" s="1">
        <f>HYPERLINK("https://lsnyc.legalserver.org/matter/dynamic-profile/view/1912916","19-1912916")</f>
        <v>0</v>
      </c>
      <c r="B2021" t="s">
        <v>67</v>
      </c>
      <c r="C2021" t="s">
        <v>574</v>
      </c>
      <c r="E2021" t="s">
        <v>1952</v>
      </c>
      <c r="F2021" t="s">
        <v>3799</v>
      </c>
      <c r="G2021" t="s">
        <v>6923</v>
      </c>
      <c r="H2021" t="s">
        <v>10585</v>
      </c>
      <c r="I2021" t="s">
        <v>11383</v>
      </c>
      <c r="J2021">
        <v>10458</v>
      </c>
      <c r="K2021" t="s">
        <v>11446</v>
      </c>
      <c r="M2021" t="s">
        <v>14746</v>
      </c>
      <c r="N2021" t="s">
        <v>14781</v>
      </c>
      <c r="P2021" t="s">
        <v>14797</v>
      </c>
      <c r="Q2021" t="s">
        <v>11446</v>
      </c>
      <c r="S2021" t="s">
        <v>14827</v>
      </c>
      <c r="V2021">
        <v>0</v>
      </c>
      <c r="W2021" t="s">
        <v>14858</v>
      </c>
      <c r="X2021" t="s">
        <v>14864</v>
      </c>
      <c r="Z2021" t="s">
        <v>16266</v>
      </c>
      <c r="AB2021" t="s">
        <v>21340</v>
      </c>
      <c r="AC2021">
        <v>94</v>
      </c>
      <c r="AD2021" t="s">
        <v>24595</v>
      </c>
      <c r="AE2021" t="s">
        <v>24616</v>
      </c>
      <c r="AF2021">
        <v>7</v>
      </c>
      <c r="AG2021">
        <v>3</v>
      </c>
      <c r="AH2021">
        <v>1</v>
      </c>
      <c r="AI2021">
        <v>87.56999999999999</v>
      </c>
      <c r="AL2021" t="s">
        <v>24632</v>
      </c>
      <c r="AM2021">
        <v>22548</v>
      </c>
      <c r="AS2021">
        <v>0</v>
      </c>
      <c r="AU2021" t="s">
        <v>25242</v>
      </c>
      <c r="AV2021" t="s">
        <v>25335</v>
      </c>
      <c r="AW2021" t="s">
        <v>11447</v>
      </c>
    </row>
    <row r="2022" spans="1:49">
      <c r="A2022" s="1">
        <f>HYPERLINK("https://lsnyc.legalserver.org/matter/dynamic-profile/view/1843620","17-1843620")</f>
        <v>0</v>
      </c>
      <c r="B2022" t="s">
        <v>55</v>
      </c>
      <c r="C2022" t="s">
        <v>679</v>
      </c>
      <c r="E2022" t="s">
        <v>2145</v>
      </c>
      <c r="F2022" t="s">
        <v>4691</v>
      </c>
      <c r="G2022" t="s">
        <v>7146</v>
      </c>
      <c r="H2022" t="s">
        <v>10460</v>
      </c>
      <c r="I2022" t="s">
        <v>11386</v>
      </c>
      <c r="J2022">
        <v>10040</v>
      </c>
      <c r="K2022" t="s">
        <v>11448</v>
      </c>
      <c r="M2022" t="s">
        <v>14746</v>
      </c>
      <c r="N2022" t="s">
        <v>14783</v>
      </c>
      <c r="P2022" t="s">
        <v>14797</v>
      </c>
      <c r="Q2022" t="s">
        <v>11446</v>
      </c>
      <c r="S2022" t="s">
        <v>14827</v>
      </c>
      <c r="V2022">
        <v>825</v>
      </c>
      <c r="W2022" t="s">
        <v>14860</v>
      </c>
      <c r="X2022" t="s">
        <v>14867</v>
      </c>
      <c r="Z2022" t="s">
        <v>16625</v>
      </c>
      <c r="AC2022">
        <v>44</v>
      </c>
      <c r="AD2022" t="s">
        <v>24595</v>
      </c>
      <c r="AE2022" t="s">
        <v>11459</v>
      </c>
      <c r="AF2022">
        <v>20</v>
      </c>
      <c r="AG2022">
        <v>2</v>
      </c>
      <c r="AH2022">
        <v>1</v>
      </c>
      <c r="AI2022">
        <v>89.13</v>
      </c>
      <c r="AJ2022" t="s">
        <v>24623</v>
      </c>
      <c r="AL2022" t="s">
        <v>24632</v>
      </c>
      <c r="AM2022">
        <v>18200</v>
      </c>
      <c r="AS2022">
        <v>0.11</v>
      </c>
      <c r="AT2022" t="s">
        <v>527</v>
      </c>
      <c r="AU2022" t="s">
        <v>137</v>
      </c>
      <c r="AW2022" t="s">
        <v>11446</v>
      </c>
    </row>
    <row r="2023" spans="1:49">
      <c r="A2023" s="1">
        <f>HYPERLINK("https://lsnyc.legalserver.org/matter/dynamic-profile/view/1914142","19-1914142")</f>
        <v>0</v>
      </c>
      <c r="B2023" t="s">
        <v>235</v>
      </c>
      <c r="C2023" t="s">
        <v>580</v>
      </c>
      <c r="E2023" t="s">
        <v>1273</v>
      </c>
      <c r="F2023" t="s">
        <v>3685</v>
      </c>
      <c r="G2023" t="s">
        <v>7732</v>
      </c>
      <c r="H2023" t="s">
        <v>10911</v>
      </c>
      <c r="I2023" t="s">
        <v>11383</v>
      </c>
      <c r="J2023">
        <v>10457</v>
      </c>
      <c r="K2023" t="s">
        <v>11447</v>
      </c>
      <c r="L2023" t="s">
        <v>12108</v>
      </c>
      <c r="M2023" t="s">
        <v>14744</v>
      </c>
      <c r="P2023" t="s">
        <v>14797</v>
      </c>
      <c r="Q2023" t="s">
        <v>11448</v>
      </c>
      <c r="S2023" t="s">
        <v>14827</v>
      </c>
      <c r="V2023">
        <v>1008</v>
      </c>
      <c r="W2023" t="s">
        <v>14858</v>
      </c>
      <c r="X2023" t="s">
        <v>14866</v>
      </c>
      <c r="Y2023" t="s">
        <v>14890</v>
      </c>
      <c r="Z2023" t="s">
        <v>16626</v>
      </c>
      <c r="AB2023" t="s">
        <v>21663</v>
      </c>
      <c r="AC2023">
        <v>0</v>
      </c>
      <c r="AD2023" t="s">
        <v>11479</v>
      </c>
      <c r="AF2023">
        <v>10</v>
      </c>
      <c r="AG2023">
        <v>1</v>
      </c>
      <c r="AH2023">
        <v>0</v>
      </c>
      <c r="AI2023">
        <v>89.3</v>
      </c>
      <c r="AL2023" t="s">
        <v>24632</v>
      </c>
      <c r="AM2023">
        <v>11154</v>
      </c>
      <c r="AS2023">
        <v>7</v>
      </c>
      <c r="AT2023" t="s">
        <v>495</v>
      </c>
      <c r="AU2023" t="s">
        <v>25241</v>
      </c>
      <c r="AW2023" t="s">
        <v>11447</v>
      </c>
    </row>
    <row r="2024" spans="1:49">
      <c r="A2024" s="1">
        <f>HYPERLINK("https://lsnyc.legalserver.org/matter/dynamic-profile/view/1912568","19-1912568")</f>
        <v>0</v>
      </c>
      <c r="B2024" t="s">
        <v>59</v>
      </c>
      <c r="C2024" t="s">
        <v>472</v>
      </c>
      <c r="E2024" t="s">
        <v>2146</v>
      </c>
      <c r="F2024" t="s">
        <v>4692</v>
      </c>
      <c r="G2024" t="s">
        <v>7733</v>
      </c>
      <c r="H2024" t="s">
        <v>10486</v>
      </c>
      <c r="I2024" t="s">
        <v>11389</v>
      </c>
      <c r="J2024">
        <v>11354</v>
      </c>
      <c r="K2024" t="s">
        <v>11446</v>
      </c>
      <c r="L2024" t="s">
        <v>12109</v>
      </c>
      <c r="M2024" t="s">
        <v>14743</v>
      </c>
      <c r="N2024" t="s">
        <v>14778</v>
      </c>
      <c r="P2024" t="s">
        <v>14797</v>
      </c>
      <c r="Q2024" t="s">
        <v>11448</v>
      </c>
      <c r="S2024" t="s">
        <v>14827</v>
      </c>
      <c r="V2024">
        <v>1600</v>
      </c>
      <c r="W2024" t="s">
        <v>14861</v>
      </c>
      <c r="X2024" t="s">
        <v>14865</v>
      </c>
      <c r="Z2024" t="s">
        <v>16627</v>
      </c>
      <c r="AB2024" t="s">
        <v>21664</v>
      </c>
      <c r="AC2024">
        <v>2</v>
      </c>
      <c r="AD2024" t="s">
        <v>24600</v>
      </c>
      <c r="AE2024" t="s">
        <v>11459</v>
      </c>
      <c r="AF2024">
        <v>4</v>
      </c>
      <c r="AG2024">
        <v>2</v>
      </c>
      <c r="AH2024">
        <v>3</v>
      </c>
      <c r="AI2024">
        <v>89.48999999999999</v>
      </c>
      <c r="AL2024" t="s">
        <v>24633</v>
      </c>
      <c r="AM2024">
        <v>27000</v>
      </c>
      <c r="AS2024">
        <v>2</v>
      </c>
      <c r="AT2024" t="s">
        <v>521</v>
      </c>
      <c r="AU2024" t="s">
        <v>25233</v>
      </c>
      <c r="AV2024" t="s">
        <v>25335</v>
      </c>
      <c r="AW2024" t="s">
        <v>11447</v>
      </c>
    </row>
    <row r="2025" spans="1:49">
      <c r="A2025" s="1">
        <f>HYPERLINK("https://lsnyc.legalserver.org/matter/dynamic-profile/view/1914127","19-1914127")</f>
        <v>0</v>
      </c>
      <c r="B2025" t="s">
        <v>67</v>
      </c>
      <c r="C2025" t="s">
        <v>580</v>
      </c>
      <c r="E2025" t="s">
        <v>2147</v>
      </c>
      <c r="F2025" t="s">
        <v>4693</v>
      </c>
      <c r="G2025" t="s">
        <v>7596</v>
      </c>
      <c r="H2025" t="s">
        <v>10527</v>
      </c>
      <c r="I2025" t="s">
        <v>11383</v>
      </c>
      <c r="J2025">
        <v>10456</v>
      </c>
      <c r="K2025" t="s">
        <v>11447</v>
      </c>
      <c r="M2025" t="s">
        <v>14762</v>
      </c>
      <c r="N2025" t="s">
        <v>14783</v>
      </c>
      <c r="P2025" t="s">
        <v>14797</v>
      </c>
      <c r="Q2025" t="s">
        <v>11446</v>
      </c>
      <c r="S2025" t="s">
        <v>14827</v>
      </c>
      <c r="V2025">
        <v>1235</v>
      </c>
      <c r="W2025" t="s">
        <v>14858</v>
      </c>
      <c r="X2025" t="s">
        <v>14864</v>
      </c>
      <c r="Z2025" t="s">
        <v>16628</v>
      </c>
      <c r="AB2025" t="s">
        <v>21665</v>
      </c>
      <c r="AC2025">
        <v>30</v>
      </c>
      <c r="AD2025" t="s">
        <v>24595</v>
      </c>
      <c r="AE2025" t="s">
        <v>11459</v>
      </c>
      <c r="AF2025">
        <v>19</v>
      </c>
      <c r="AG2025">
        <v>4</v>
      </c>
      <c r="AH2025">
        <v>3</v>
      </c>
      <c r="AI2025">
        <v>89.72</v>
      </c>
      <c r="AM2025">
        <v>35000</v>
      </c>
      <c r="AS2025">
        <v>0</v>
      </c>
      <c r="AU2025" t="s">
        <v>67</v>
      </c>
      <c r="AW2025" t="s">
        <v>11447</v>
      </c>
    </row>
    <row r="2026" spans="1:49">
      <c r="A2026" s="1">
        <f>HYPERLINK("https://lsnyc.legalserver.org/matter/dynamic-profile/view/1914554","19-1914554")</f>
        <v>0</v>
      </c>
      <c r="B2026" t="s">
        <v>148</v>
      </c>
      <c r="C2026" t="s">
        <v>509</v>
      </c>
      <c r="E2026" t="s">
        <v>2148</v>
      </c>
      <c r="F2026" t="s">
        <v>4694</v>
      </c>
      <c r="G2026" t="s">
        <v>6790</v>
      </c>
      <c r="H2026" t="s">
        <v>10912</v>
      </c>
      <c r="I2026" t="s">
        <v>11384</v>
      </c>
      <c r="J2026">
        <v>10304</v>
      </c>
      <c r="K2026" t="s">
        <v>11447</v>
      </c>
      <c r="L2026" t="s">
        <v>12110</v>
      </c>
      <c r="M2026" t="s">
        <v>14743</v>
      </c>
      <c r="P2026" t="s">
        <v>14797</v>
      </c>
      <c r="Q2026" t="s">
        <v>11448</v>
      </c>
      <c r="S2026" t="s">
        <v>14830</v>
      </c>
      <c r="V2026">
        <v>1380</v>
      </c>
      <c r="W2026" t="s">
        <v>14862</v>
      </c>
      <c r="X2026" t="s">
        <v>14863</v>
      </c>
      <c r="Z2026" t="s">
        <v>16629</v>
      </c>
      <c r="AB2026" t="s">
        <v>21666</v>
      </c>
      <c r="AC2026">
        <v>0</v>
      </c>
      <c r="AD2026" t="s">
        <v>24605</v>
      </c>
      <c r="AE2026" t="s">
        <v>11459</v>
      </c>
      <c r="AF2026">
        <v>9</v>
      </c>
      <c r="AG2026">
        <v>1</v>
      </c>
      <c r="AH2026">
        <v>6</v>
      </c>
      <c r="AI2026">
        <v>90.64</v>
      </c>
      <c r="AL2026" t="s">
        <v>5011</v>
      </c>
      <c r="AM2026">
        <v>35360.04</v>
      </c>
      <c r="AS2026">
        <v>4</v>
      </c>
      <c r="AT2026" t="s">
        <v>521</v>
      </c>
      <c r="AU2026" t="s">
        <v>25270</v>
      </c>
      <c r="AW2026" t="s">
        <v>11447</v>
      </c>
    </row>
    <row r="2027" spans="1:49">
      <c r="A2027" s="1">
        <f>HYPERLINK("https://lsnyc.legalserver.org/matter/dynamic-profile/view/1911922","19-1911922")</f>
        <v>0</v>
      </c>
      <c r="B2027" t="s">
        <v>67</v>
      </c>
      <c r="C2027" t="s">
        <v>586</v>
      </c>
      <c r="E2027" t="s">
        <v>2149</v>
      </c>
      <c r="F2027" t="s">
        <v>4695</v>
      </c>
      <c r="G2027" t="s">
        <v>6923</v>
      </c>
      <c r="H2027" t="s">
        <v>10697</v>
      </c>
      <c r="I2027" t="s">
        <v>11383</v>
      </c>
      <c r="J2027">
        <v>10458</v>
      </c>
      <c r="K2027" t="s">
        <v>11446</v>
      </c>
      <c r="M2027" t="s">
        <v>14746</v>
      </c>
      <c r="N2027" t="s">
        <v>14781</v>
      </c>
      <c r="P2027" t="s">
        <v>14797</v>
      </c>
      <c r="Q2027" t="s">
        <v>11446</v>
      </c>
      <c r="S2027" t="s">
        <v>14827</v>
      </c>
      <c r="V2027">
        <v>1150</v>
      </c>
      <c r="W2027" t="s">
        <v>14858</v>
      </c>
      <c r="X2027" t="s">
        <v>14864</v>
      </c>
      <c r="Z2027" t="s">
        <v>16630</v>
      </c>
      <c r="AB2027" t="s">
        <v>20673</v>
      </c>
      <c r="AC2027">
        <v>94</v>
      </c>
      <c r="AD2027" t="s">
        <v>11479</v>
      </c>
      <c r="AE2027" t="s">
        <v>24611</v>
      </c>
      <c r="AF2027">
        <v>8</v>
      </c>
      <c r="AG2027">
        <v>1</v>
      </c>
      <c r="AH2027">
        <v>0</v>
      </c>
      <c r="AI2027">
        <v>91.27</v>
      </c>
      <c r="AL2027" t="s">
        <v>24632</v>
      </c>
      <c r="AM2027">
        <v>11400</v>
      </c>
      <c r="AS2027">
        <v>0</v>
      </c>
      <c r="AU2027" t="s">
        <v>25242</v>
      </c>
      <c r="AV2027" t="s">
        <v>25335</v>
      </c>
      <c r="AW2027" t="s">
        <v>11447</v>
      </c>
    </row>
    <row r="2028" spans="1:49">
      <c r="A2028" s="1">
        <f>HYPERLINK("https://lsnyc.legalserver.org/matter/dynamic-profile/view/0821956","16-0821956")</f>
        <v>0</v>
      </c>
      <c r="B2028" t="s">
        <v>85</v>
      </c>
      <c r="C2028" t="s">
        <v>700</v>
      </c>
      <c r="E2028" t="s">
        <v>2150</v>
      </c>
      <c r="F2028" t="s">
        <v>1093</v>
      </c>
      <c r="G2028" t="s">
        <v>7734</v>
      </c>
      <c r="H2028">
        <v>7</v>
      </c>
      <c r="I2028" t="s">
        <v>11408</v>
      </c>
      <c r="J2028">
        <v>11101</v>
      </c>
      <c r="K2028" t="s">
        <v>11447</v>
      </c>
      <c r="L2028" t="s">
        <v>12111</v>
      </c>
      <c r="M2028" t="s">
        <v>14755</v>
      </c>
      <c r="N2028" t="s">
        <v>14781</v>
      </c>
      <c r="P2028" t="s">
        <v>14797</v>
      </c>
      <c r="Q2028" t="s">
        <v>11446</v>
      </c>
      <c r="S2028" t="s">
        <v>14827</v>
      </c>
      <c r="V2028">
        <v>1694.41</v>
      </c>
      <c r="W2028" t="s">
        <v>14861</v>
      </c>
      <c r="X2028" t="s">
        <v>14873</v>
      </c>
      <c r="Z2028" t="s">
        <v>16631</v>
      </c>
      <c r="AA2028" t="s">
        <v>19495</v>
      </c>
      <c r="AB2028" t="s">
        <v>21667</v>
      </c>
      <c r="AC2028">
        <v>19</v>
      </c>
      <c r="AD2028" t="s">
        <v>24595</v>
      </c>
      <c r="AE2028" t="s">
        <v>11459</v>
      </c>
      <c r="AF2028">
        <v>20</v>
      </c>
      <c r="AG2028">
        <v>3</v>
      </c>
      <c r="AH2028">
        <v>2</v>
      </c>
      <c r="AI2028">
        <v>91.42</v>
      </c>
      <c r="AL2028" t="s">
        <v>24647</v>
      </c>
      <c r="AM2028">
        <v>42800</v>
      </c>
      <c r="AS2028">
        <v>3.9</v>
      </c>
      <c r="AT2028" t="s">
        <v>14857</v>
      </c>
      <c r="AU2028" t="s">
        <v>85</v>
      </c>
      <c r="AW2028" t="s">
        <v>11447</v>
      </c>
    </row>
    <row r="2029" spans="1:49">
      <c r="A2029" s="1">
        <f>HYPERLINK("https://lsnyc.legalserver.org/matter/dynamic-profile/view/1875911","18-1875911")</f>
        <v>0</v>
      </c>
      <c r="B2029" t="s">
        <v>164</v>
      </c>
      <c r="C2029" t="s">
        <v>605</v>
      </c>
      <c r="E2029" t="s">
        <v>1462</v>
      </c>
      <c r="F2029" t="s">
        <v>3978</v>
      </c>
      <c r="G2029" t="s">
        <v>7735</v>
      </c>
      <c r="I2029" t="s">
        <v>11384</v>
      </c>
      <c r="J2029">
        <v>10304</v>
      </c>
      <c r="K2029" t="s">
        <v>11446</v>
      </c>
      <c r="L2029" t="s">
        <v>11459</v>
      </c>
      <c r="M2029" t="s">
        <v>14745</v>
      </c>
      <c r="N2029" t="s">
        <v>14780</v>
      </c>
      <c r="P2029" t="s">
        <v>14797</v>
      </c>
      <c r="Q2029" t="s">
        <v>11448</v>
      </c>
      <c r="S2029" t="s">
        <v>14827</v>
      </c>
      <c r="V2029">
        <v>1295</v>
      </c>
      <c r="W2029" t="s">
        <v>14862</v>
      </c>
      <c r="X2029" t="s">
        <v>14868</v>
      </c>
      <c r="Z2029" t="s">
        <v>16632</v>
      </c>
      <c r="AB2029" t="s">
        <v>21668</v>
      </c>
      <c r="AC2029">
        <v>12</v>
      </c>
      <c r="AD2029" t="s">
        <v>24595</v>
      </c>
      <c r="AE2029" t="s">
        <v>24610</v>
      </c>
      <c r="AF2029">
        <v>7</v>
      </c>
      <c r="AG2029">
        <v>1</v>
      </c>
      <c r="AH2029">
        <v>2</v>
      </c>
      <c r="AI2029">
        <v>91.43000000000001</v>
      </c>
      <c r="AL2029" t="s">
        <v>5011</v>
      </c>
      <c r="AM2029">
        <v>19000</v>
      </c>
      <c r="AS2029">
        <v>2.2</v>
      </c>
      <c r="AT2029" t="s">
        <v>25140</v>
      </c>
      <c r="AU2029" t="s">
        <v>61</v>
      </c>
      <c r="AW2029" t="s">
        <v>11446</v>
      </c>
    </row>
    <row r="2030" spans="1:49">
      <c r="A2030" s="1">
        <f>HYPERLINK("https://lsnyc.legalserver.org/matter/dynamic-profile/view/1899598","19-1899598")</f>
        <v>0</v>
      </c>
      <c r="B2030" t="s">
        <v>168</v>
      </c>
      <c r="C2030" t="s">
        <v>369</v>
      </c>
      <c r="E2030" t="s">
        <v>2151</v>
      </c>
      <c r="F2030" t="s">
        <v>4696</v>
      </c>
      <c r="G2030" t="s">
        <v>7736</v>
      </c>
      <c r="H2030" t="s">
        <v>10913</v>
      </c>
      <c r="I2030" t="s">
        <v>11384</v>
      </c>
      <c r="J2030">
        <v>10304</v>
      </c>
      <c r="K2030" t="s">
        <v>11447</v>
      </c>
      <c r="L2030" t="s">
        <v>12112</v>
      </c>
      <c r="M2030" t="s">
        <v>14743</v>
      </c>
      <c r="P2030" t="s">
        <v>14797</v>
      </c>
      <c r="S2030" t="s">
        <v>14827</v>
      </c>
      <c r="V2030">
        <v>241</v>
      </c>
      <c r="W2030" t="s">
        <v>14862</v>
      </c>
      <c r="X2030" t="s">
        <v>14755</v>
      </c>
      <c r="Z2030" t="s">
        <v>16633</v>
      </c>
      <c r="AB2030" t="s">
        <v>21669</v>
      </c>
      <c r="AC2030">
        <v>0</v>
      </c>
      <c r="AF2030">
        <v>13</v>
      </c>
      <c r="AG2030">
        <v>1</v>
      </c>
      <c r="AH2030">
        <v>0</v>
      </c>
      <c r="AI2030">
        <v>91.56</v>
      </c>
      <c r="AL2030" t="s">
        <v>5011</v>
      </c>
      <c r="AM2030">
        <v>11436</v>
      </c>
      <c r="AS2030">
        <v>39.8</v>
      </c>
      <c r="AT2030" t="s">
        <v>516</v>
      </c>
      <c r="AU2030" t="s">
        <v>25225</v>
      </c>
      <c r="AW2030" t="s">
        <v>11447</v>
      </c>
    </row>
    <row r="2031" spans="1:49">
      <c r="A2031" s="1">
        <f>HYPERLINK("https://lsnyc.legalserver.org/matter/dynamic-profile/view/1910713","19-1910713")</f>
        <v>0</v>
      </c>
      <c r="B2031" t="s">
        <v>75</v>
      </c>
      <c r="C2031" t="s">
        <v>663</v>
      </c>
      <c r="E2031" t="s">
        <v>1557</v>
      </c>
      <c r="F2031" t="s">
        <v>4697</v>
      </c>
      <c r="G2031" t="s">
        <v>7737</v>
      </c>
      <c r="H2031" t="s">
        <v>10467</v>
      </c>
      <c r="I2031" t="s">
        <v>11385</v>
      </c>
      <c r="J2031">
        <v>11226</v>
      </c>
      <c r="K2031" t="s">
        <v>11447</v>
      </c>
      <c r="L2031" t="s">
        <v>12113</v>
      </c>
      <c r="M2031" t="s">
        <v>11601</v>
      </c>
      <c r="N2031" t="s">
        <v>14778</v>
      </c>
      <c r="P2031" t="s">
        <v>14797</v>
      </c>
      <c r="Q2031" t="s">
        <v>11448</v>
      </c>
      <c r="S2031" t="s">
        <v>14827</v>
      </c>
      <c r="V2031">
        <v>867.12</v>
      </c>
      <c r="W2031" t="s">
        <v>14859</v>
      </c>
      <c r="Z2031" t="s">
        <v>16634</v>
      </c>
      <c r="AC2031">
        <v>35</v>
      </c>
      <c r="AD2031" t="s">
        <v>11479</v>
      </c>
      <c r="AE2031" t="s">
        <v>11459</v>
      </c>
      <c r="AF2031">
        <v>12</v>
      </c>
      <c r="AG2031">
        <v>1</v>
      </c>
      <c r="AH2031">
        <v>0</v>
      </c>
      <c r="AI2031">
        <v>91.59</v>
      </c>
      <c r="AL2031" t="s">
        <v>5011</v>
      </c>
      <c r="AM2031">
        <v>11440</v>
      </c>
      <c r="AS2031">
        <v>0.5</v>
      </c>
      <c r="AT2031" t="s">
        <v>663</v>
      </c>
      <c r="AU2031" t="s">
        <v>25236</v>
      </c>
      <c r="AW2031" t="s">
        <v>11447</v>
      </c>
    </row>
    <row r="2032" spans="1:49">
      <c r="A2032" s="1">
        <f>HYPERLINK("https://lsnyc.legalserver.org/matter/dynamic-profile/view/1912121","19-1912121")</f>
        <v>0</v>
      </c>
      <c r="B2032" t="s">
        <v>90</v>
      </c>
      <c r="C2032" t="s">
        <v>551</v>
      </c>
      <c r="E2032" t="s">
        <v>2152</v>
      </c>
      <c r="F2032" t="s">
        <v>4352</v>
      </c>
      <c r="G2032" t="s">
        <v>7015</v>
      </c>
      <c r="H2032" t="s">
        <v>10810</v>
      </c>
      <c r="I2032" t="s">
        <v>11383</v>
      </c>
      <c r="J2032">
        <v>10453</v>
      </c>
      <c r="K2032" t="s">
        <v>11446</v>
      </c>
      <c r="L2032" t="s">
        <v>12114</v>
      </c>
      <c r="M2032" t="s">
        <v>14744</v>
      </c>
      <c r="N2032" t="s">
        <v>14781</v>
      </c>
      <c r="P2032" t="s">
        <v>14797</v>
      </c>
      <c r="Q2032" t="s">
        <v>11448</v>
      </c>
      <c r="S2032" t="s">
        <v>14827</v>
      </c>
      <c r="T2032" t="s">
        <v>14832</v>
      </c>
      <c r="V2032">
        <v>1172</v>
      </c>
      <c r="W2032" t="s">
        <v>14858</v>
      </c>
      <c r="X2032" t="s">
        <v>14864</v>
      </c>
      <c r="Z2032" t="s">
        <v>16056</v>
      </c>
      <c r="AB2032" t="s">
        <v>21142</v>
      </c>
      <c r="AC2032">
        <v>170</v>
      </c>
      <c r="AD2032" t="s">
        <v>11479</v>
      </c>
      <c r="AE2032" t="s">
        <v>11459</v>
      </c>
      <c r="AF2032">
        <v>16</v>
      </c>
      <c r="AG2032">
        <v>2</v>
      </c>
      <c r="AH2032">
        <v>3</v>
      </c>
      <c r="AI2032">
        <v>91.87</v>
      </c>
      <c r="AL2032" t="s">
        <v>24632</v>
      </c>
      <c r="AM2032">
        <v>27716</v>
      </c>
      <c r="AS2032">
        <v>4.9</v>
      </c>
      <c r="AT2032" t="s">
        <v>509</v>
      </c>
      <c r="AU2032" t="s">
        <v>245</v>
      </c>
      <c r="AV2032" t="s">
        <v>25335</v>
      </c>
      <c r="AW2032" t="s">
        <v>11447</v>
      </c>
    </row>
    <row r="2033" spans="1:49">
      <c r="A2033" s="1">
        <f>HYPERLINK("https://lsnyc.legalserver.org/matter/dynamic-profile/view/1896419","19-1896419")</f>
        <v>0</v>
      </c>
      <c r="B2033" t="s">
        <v>216</v>
      </c>
      <c r="C2033" t="s">
        <v>416</v>
      </c>
      <c r="E2033" t="s">
        <v>1854</v>
      </c>
      <c r="F2033" t="s">
        <v>4698</v>
      </c>
      <c r="G2033" t="s">
        <v>7151</v>
      </c>
      <c r="H2033" t="s">
        <v>10914</v>
      </c>
      <c r="I2033" t="s">
        <v>11386</v>
      </c>
      <c r="J2033">
        <v>10033</v>
      </c>
      <c r="K2033" t="s">
        <v>11448</v>
      </c>
      <c r="M2033" t="s">
        <v>11601</v>
      </c>
      <c r="P2033" t="s">
        <v>14797</v>
      </c>
      <c r="S2033" t="s">
        <v>14827</v>
      </c>
      <c r="V2033">
        <v>3300</v>
      </c>
      <c r="W2033" t="s">
        <v>14860</v>
      </c>
      <c r="Z2033" t="s">
        <v>16123</v>
      </c>
      <c r="AB2033" t="s">
        <v>21205</v>
      </c>
      <c r="AC2033">
        <v>0</v>
      </c>
      <c r="AD2033" t="s">
        <v>24595</v>
      </c>
      <c r="AF2033">
        <v>1</v>
      </c>
      <c r="AG2033">
        <v>1</v>
      </c>
      <c r="AH2033">
        <v>0</v>
      </c>
      <c r="AI2033">
        <v>92.06999999999999</v>
      </c>
      <c r="AL2033" t="s">
        <v>5011</v>
      </c>
      <c r="AM2033">
        <v>11500</v>
      </c>
      <c r="AS2033">
        <v>3.2</v>
      </c>
      <c r="AT2033" t="s">
        <v>680</v>
      </c>
      <c r="AU2033" t="s">
        <v>25278</v>
      </c>
      <c r="AV2033" t="s">
        <v>25335</v>
      </c>
      <c r="AW2033" t="s">
        <v>11447</v>
      </c>
    </row>
    <row r="2034" spans="1:49">
      <c r="A2034" s="1">
        <f>HYPERLINK("https://lsnyc.legalserver.org/matter/dynamic-profile/view/1909476","19-1909476")</f>
        <v>0</v>
      </c>
      <c r="B2034" t="s">
        <v>148</v>
      </c>
      <c r="C2034" t="s">
        <v>508</v>
      </c>
      <c r="E2034" t="s">
        <v>1898</v>
      </c>
      <c r="F2034" t="s">
        <v>4699</v>
      </c>
      <c r="G2034" t="s">
        <v>7738</v>
      </c>
      <c r="H2034" t="s">
        <v>10496</v>
      </c>
      <c r="I2034" t="s">
        <v>11384</v>
      </c>
      <c r="J2034">
        <v>10304</v>
      </c>
      <c r="K2034" t="s">
        <v>11448</v>
      </c>
      <c r="L2034" t="s">
        <v>12115</v>
      </c>
      <c r="M2034" t="s">
        <v>14743</v>
      </c>
      <c r="P2034" t="s">
        <v>14797</v>
      </c>
      <c r="Q2034" t="s">
        <v>11448</v>
      </c>
      <c r="S2034" t="s">
        <v>14827</v>
      </c>
      <c r="T2034" t="s">
        <v>14832</v>
      </c>
      <c r="V2034">
        <v>500</v>
      </c>
      <c r="W2034" t="s">
        <v>14862</v>
      </c>
      <c r="X2034" t="s">
        <v>14755</v>
      </c>
      <c r="Z2034" t="s">
        <v>16635</v>
      </c>
      <c r="AB2034" t="s">
        <v>21670</v>
      </c>
      <c r="AC2034">
        <v>0</v>
      </c>
      <c r="AD2034" t="s">
        <v>11479</v>
      </c>
      <c r="AF2034">
        <v>1</v>
      </c>
      <c r="AG2034">
        <v>2</v>
      </c>
      <c r="AH2034">
        <v>0</v>
      </c>
      <c r="AI2034">
        <v>92.61</v>
      </c>
      <c r="AL2034" t="s">
        <v>24632</v>
      </c>
      <c r="AM2034">
        <v>15660</v>
      </c>
      <c r="AS2034">
        <v>11.4</v>
      </c>
      <c r="AT2034" t="s">
        <v>537</v>
      </c>
      <c r="AU2034" t="s">
        <v>25270</v>
      </c>
      <c r="AW2034" t="s">
        <v>11447</v>
      </c>
    </row>
    <row r="2035" spans="1:49">
      <c r="A2035" s="1">
        <f>HYPERLINK("https://lsnyc.legalserver.org/matter/dynamic-profile/view/1909031","19-1909031")</f>
        <v>0</v>
      </c>
      <c r="B2035" t="s">
        <v>67</v>
      </c>
      <c r="C2035" t="s">
        <v>641</v>
      </c>
      <c r="E2035" t="s">
        <v>2153</v>
      </c>
      <c r="F2035" t="s">
        <v>3868</v>
      </c>
      <c r="G2035" t="s">
        <v>7739</v>
      </c>
      <c r="H2035" t="s">
        <v>10589</v>
      </c>
      <c r="I2035" t="s">
        <v>11383</v>
      </c>
      <c r="J2035">
        <v>10452</v>
      </c>
      <c r="K2035" t="s">
        <v>11446</v>
      </c>
      <c r="L2035" t="s">
        <v>12116</v>
      </c>
      <c r="M2035" t="s">
        <v>14746</v>
      </c>
      <c r="N2035" t="s">
        <v>14781</v>
      </c>
      <c r="P2035" t="s">
        <v>14797</v>
      </c>
      <c r="Q2035" t="s">
        <v>11448</v>
      </c>
      <c r="S2035" t="s">
        <v>14827</v>
      </c>
      <c r="T2035" t="s">
        <v>14832</v>
      </c>
      <c r="V2035">
        <v>1024.89</v>
      </c>
      <c r="W2035" t="s">
        <v>14858</v>
      </c>
      <c r="X2035" t="s">
        <v>14868</v>
      </c>
      <c r="Z2035" t="s">
        <v>16636</v>
      </c>
      <c r="AB2035" t="s">
        <v>19344</v>
      </c>
      <c r="AC2035">
        <v>41</v>
      </c>
      <c r="AD2035" t="s">
        <v>24595</v>
      </c>
      <c r="AE2035" t="s">
        <v>11459</v>
      </c>
      <c r="AF2035">
        <v>12</v>
      </c>
      <c r="AG2035">
        <v>1</v>
      </c>
      <c r="AH2035">
        <v>0</v>
      </c>
      <c r="AI2035">
        <v>92.91</v>
      </c>
      <c r="AL2035" t="s">
        <v>24632</v>
      </c>
      <c r="AM2035">
        <v>11604</v>
      </c>
      <c r="AS2035">
        <v>8.25</v>
      </c>
      <c r="AT2035" t="s">
        <v>521</v>
      </c>
      <c r="AU2035" t="s">
        <v>67</v>
      </c>
      <c r="AW2035" t="s">
        <v>11447</v>
      </c>
    </row>
    <row r="2036" spans="1:49">
      <c r="A2036" s="1">
        <f>HYPERLINK("https://lsnyc.legalserver.org/matter/dynamic-profile/view/1914349","19-1914349")</f>
        <v>0</v>
      </c>
      <c r="B2036" t="s">
        <v>100</v>
      </c>
      <c r="C2036" t="s">
        <v>506</v>
      </c>
      <c r="E2036" t="s">
        <v>1238</v>
      </c>
      <c r="F2036" t="s">
        <v>3738</v>
      </c>
      <c r="G2036" t="s">
        <v>6514</v>
      </c>
      <c r="H2036" t="s">
        <v>10512</v>
      </c>
      <c r="I2036" t="s">
        <v>11383</v>
      </c>
      <c r="J2036">
        <v>10460</v>
      </c>
      <c r="K2036" t="s">
        <v>11446</v>
      </c>
      <c r="L2036" t="s">
        <v>12117</v>
      </c>
      <c r="M2036" t="s">
        <v>14746</v>
      </c>
      <c r="N2036" t="s">
        <v>14778</v>
      </c>
      <c r="P2036" t="s">
        <v>14797</v>
      </c>
      <c r="Q2036" t="s">
        <v>11448</v>
      </c>
      <c r="S2036" t="s">
        <v>14827</v>
      </c>
      <c r="V2036">
        <v>1487</v>
      </c>
      <c r="W2036" t="s">
        <v>14858</v>
      </c>
      <c r="X2036" t="s">
        <v>14864</v>
      </c>
      <c r="Z2036" t="s">
        <v>15138</v>
      </c>
      <c r="AB2036" t="s">
        <v>20300</v>
      </c>
      <c r="AC2036">
        <v>0</v>
      </c>
      <c r="AD2036" t="s">
        <v>24595</v>
      </c>
      <c r="AE2036" t="s">
        <v>24611</v>
      </c>
      <c r="AF2036">
        <v>1</v>
      </c>
      <c r="AG2036">
        <v>1</v>
      </c>
      <c r="AH2036">
        <v>0</v>
      </c>
      <c r="AI2036">
        <v>93</v>
      </c>
      <c r="AL2036" t="s">
        <v>5011</v>
      </c>
      <c r="AM2036">
        <v>11616</v>
      </c>
      <c r="AS2036">
        <v>0.25</v>
      </c>
      <c r="AT2036" t="s">
        <v>506</v>
      </c>
      <c r="AU2036" t="s">
        <v>100</v>
      </c>
      <c r="AV2036" t="s">
        <v>25335</v>
      </c>
      <c r="AW2036" t="s">
        <v>11447</v>
      </c>
    </row>
    <row r="2037" spans="1:49">
      <c r="A2037" s="1">
        <f>HYPERLINK("https://lsnyc.legalserver.org/matter/dynamic-profile/view/1914416","19-1914416")</f>
        <v>0</v>
      </c>
      <c r="B2037" t="s">
        <v>171</v>
      </c>
      <c r="C2037" t="s">
        <v>506</v>
      </c>
      <c r="E2037" t="s">
        <v>2154</v>
      </c>
      <c r="F2037" t="s">
        <v>4700</v>
      </c>
      <c r="G2037" t="s">
        <v>7740</v>
      </c>
      <c r="H2037" t="s">
        <v>10646</v>
      </c>
      <c r="I2037" t="s">
        <v>11415</v>
      </c>
      <c r="J2037">
        <v>11356</v>
      </c>
      <c r="K2037" t="s">
        <v>11446</v>
      </c>
      <c r="L2037" t="s">
        <v>12118</v>
      </c>
      <c r="M2037" t="s">
        <v>14743</v>
      </c>
      <c r="N2037" t="s">
        <v>14778</v>
      </c>
      <c r="P2037" t="s">
        <v>14797</v>
      </c>
      <c r="S2037" t="s">
        <v>14827</v>
      </c>
      <c r="T2037" t="s">
        <v>14834</v>
      </c>
      <c r="V2037">
        <v>1800</v>
      </c>
      <c r="W2037" t="s">
        <v>14861</v>
      </c>
      <c r="X2037" t="s">
        <v>14865</v>
      </c>
      <c r="Z2037" t="s">
        <v>16637</v>
      </c>
      <c r="AB2037" t="s">
        <v>21671</v>
      </c>
      <c r="AC2037">
        <v>2</v>
      </c>
      <c r="AD2037" t="s">
        <v>24600</v>
      </c>
      <c r="AE2037" t="s">
        <v>11459</v>
      </c>
      <c r="AF2037">
        <v>3</v>
      </c>
      <c r="AG2037">
        <v>2</v>
      </c>
      <c r="AH2037">
        <v>2</v>
      </c>
      <c r="AI2037">
        <v>93.2</v>
      </c>
      <c r="AL2037" t="s">
        <v>5011</v>
      </c>
      <c r="AM2037">
        <v>24000</v>
      </c>
      <c r="AS2037">
        <v>1.75</v>
      </c>
      <c r="AT2037" t="s">
        <v>654</v>
      </c>
      <c r="AU2037" t="s">
        <v>99</v>
      </c>
      <c r="AW2037" t="s">
        <v>11447</v>
      </c>
    </row>
    <row r="2038" spans="1:49">
      <c r="A2038" s="1">
        <f>HYPERLINK("https://lsnyc.legalserver.org/matter/dynamic-profile/view/1905425","19-1905425")</f>
        <v>0</v>
      </c>
      <c r="B2038" t="s">
        <v>168</v>
      </c>
      <c r="C2038" t="s">
        <v>373</v>
      </c>
      <c r="E2038" t="s">
        <v>2145</v>
      </c>
      <c r="F2038" t="s">
        <v>4229</v>
      </c>
      <c r="G2038" t="s">
        <v>7741</v>
      </c>
      <c r="I2038" t="s">
        <v>11384</v>
      </c>
      <c r="J2038">
        <v>10306</v>
      </c>
      <c r="K2038" t="s">
        <v>11447</v>
      </c>
      <c r="L2038" t="s">
        <v>12119</v>
      </c>
      <c r="M2038" t="s">
        <v>14743</v>
      </c>
      <c r="P2038" t="s">
        <v>14797</v>
      </c>
      <c r="Q2038" t="s">
        <v>11448</v>
      </c>
      <c r="S2038" t="s">
        <v>14827</v>
      </c>
      <c r="T2038" t="s">
        <v>14832</v>
      </c>
      <c r="V2038">
        <v>1775</v>
      </c>
      <c r="W2038" t="s">
        <v>14862</v>
      </c>
      <c r="X2038" t="s">
        <v>14863</v>
      </c>
      <c r="Z2038" t="s">
        <v>16638</v>
      </c>
      <c r="AB2038" t="s">
        <v>21672</v>
      </c>
      <c r="AC2038">
        <v>0</v>
      </c>
      <c r="AD2038" t="s">
        <v>24600</v>
      </c>
      <c r="AE2038" t="s">
        <v>11459</v>
      </c>
      <c r="AF2038">
        <v>0</v>
      </c>
      <c r="AG2038">
        <v>1</v>
      </c>
      <c r="AH2038">
        <v>3</v>
      </c>
      <c r="AI2038">
        <v>93.2</v>
      </c>
      <c r="AL2038" t="s">
        <v>5011</v>
      </c>
      <c r="AM2038">
        <v>24000</v>
      </c>
      <c r="AS2038">
        <v>14.95</v>
      </c>
      <c r="AT2038" t="s">
        <v>490</v>
      </c>
      <c r="AU2038" t="s">
        <v>25270</v>
      </c>
      <c r="AW2038" t="s">
        <v>11447</v>
      </c>
    </row>
    <row r="2039" spans="1:49">
      <c r="A2039" s="1">
        <f>HYPERLINK("https://lsnyc.legalserver.org/matter/dynamic-profile/view/1907531","19-1907531")</f>
        <v>0</v>
      </c>
      <c r="B2039" t="s">
        <v>67</v>
      </c>
      <c r="C2039" t="s">
        <v>465</v>
      </c>
      <c r="E2039" t="s">
        <v>1593</v>
      </c>
      <c r="F2039" t="s">
        <v>4701</v>
      </c>
      <c r="G2039" t="s">
        <v>6479</v>
      </c>
      <c r="H2039" t="s">
        <v>10552</v>
      </c>
      <c r="I2039" t="s">
        <v>11383</v>
      </c>
      <c r="J2039">
        <v>10474</v>
      </c>
      <c r="K2039" t="s">
        <v>11447</v>
      </c>
      <c r="L2039" t="s">
        <v>12025</v>
      </c>
      <c r="M2039" t="s">
        <v>14762</v>
      </c>
      <c r="N2039" t="s">
        <v>14783</v>
      </c>
      <c r="P2039" t="s">
        <v>14797</v>
      </c>
      <c r="S2039" t="s">
        <v>14827</v>
      </c>
      <c r="V2039">
        <v>0</v>
      </c>
      <c r="W2039" t="s">
        <v>14858</v>
      </c>
      <c r="Z2039" t="s">
        <v>16639</v>
      </c>
      <c r="AB2039" t="s">
        <v>21673</v>
      </c>
      <c r="AC2039">
        <v>0</v>
      </c>
      <c r="AF2039">
        <v>0</v>
      </c>
      <c r="AG2039">
        <v>1</v>
      </c>
      <c r="AH2039">
        <v>0</v>
      </c>
      <c r="AI2039">
        <v>93.67</v>
      </c>
      <c r="AL2039" t="s">
        <v>5011</v>
      </c>
      <c r="AM2039">
        <v>11700</v>
      </c>
      <c r="AS2039">
        <v>0</v>
      </c>
      <c r="AU2039" t="s">
        <v>67</v>
      </c>
      <c r="AW2039" t="s">
        <v>11447</v>
      </c>
    </row>
    <row r="2040" spans="1:49">
      <c r="A2040" s="1">
        <f>HYPERLINK("https://lsnyc.legalserver.org/matter/dynamic-profile/view/1907098","19-1907098")</f>
        <v>0</v>
      </c>
      <c r="B2040" t="s">
        <v>67</v>
      </c>
      <c r="C2040" t="s">
        <v>480</v>
      </c>
      <c r="E2040" t="s">
        <v>1593</v>
      </c>
      <c r="F2040" t="s">
        <v>4701</v>
      </c>
      <c r="G2040" t="s">
        <v>6479</v>
      </c>
      <c r="H2040" t="s">
        <v>10552</v>
      </c>
      <c r="I2040" t="s">
        <v>11383</v>
      </c>
      <c r="J2040">
        <v>10474</v>
      </c>
      <c r="K2040" t="s">
        <v>11446</v>
      </c>
      <c r="L2040" t="s">
        <v>11496</v>
      </c>
      <c r="M2040" t="s">
        <v>14746</v>
      </c>
      <c r="N2040" t="s">
        <v>14781</v>
      </c>
      <c r="P2040" t="s">
        <v>14797</v>
      </c>
      <c r="Q2040" t="s">
        <v>11446</v>
      </c>
      <c r="S2040" t="s">
        <v>14827</v>
      </c>
      <c r="V2040">
        <v>215</v>
      </c>
      <c r="W2040" t="s">
        <v>14858</v>
      </c>
      <c r="X2040" t="s">
        <v>14864</v>
      </c>
      <c r="Z2040" t="s">
        <v>16639</v>
      </c>
      <c r="AB2040" t="s">
        <v>21673</v>
      </c>
      <c r="AC2040">
        <v>45</v>
      </c>
      <c r="AD2040" t="s">
        <v>24595</v>
      </c>
      <c r="AE2040" t="s">
        <v>24610</v>
      </c>
      <c r="AF2040">
        <v>20</v>
      </c>
      <c r="AG2040">
        <v>1</v>
      </c>
      <c r="AH2040">
        <v>0</v>
      </c>
      <c r="AI2040">
        <v>93.67</v>
      </c>
      <c r="AL2040" t="s">
        <v>5011</v>
      </c>
      <c r="AM2040">
        <v>11700</v>
      </c>
      <c r="AS2040">
        <v>0</v>
      </c>
      <c r="AU2040" t="s">
        <v>237</v>
      </c>
      <c r="AV2040" t="s">
        <v>25335</v>
      </c>
      <c r="AW2040" t="s">
        <v>11447</v>
      </c>
    </row>
    <row r="2041" spans="1:49">
      <c r="A2041" s="1">
        <f>HYPERLINK("https://lsnyc.legalserver.org/matter/dynamic-profile/view/1914631","19-1914631")</f>
        <v>0</v>
      </c>
      <c r="B2041" t="s">
        <v>184</v>
      </c>
      <c r="C2041" t="s">
        <v>491</v>
      </c>
      <c r="E2041" t="s">
        <v>2155</v>
      </c>
      <c r="F2041" t="s">
        <v>2002</v>
      </c>
      <c r="G2041" t="s">
        <v>7569</v>
      </c>
      <c r="I2041" t="s">
        <v>11383</v>
      </c>
      <c r="J2041">
        <v>10452</v>
      </c>
      <c r="K2041" t="s">
        <v>11446</v>
      </c>
      <c r="M2041" t="s">
        <v>14748</v>
      </c>
      <c r="N2041" t="s">
        <v>14779</v>
      </c>
      <c r="P2041" t="s">
        <v>14797</v>
      </c>
      <c r="Q2041" t="s">
        <v>11448</v>
      </c>
      <c r="S2041" t="s">
        <v>14829</v>
      </c>
      <c r="V2041">
        <v>700.84</v>
      </c>
      <c r="W2041" t="s">
        <v>14858</v>
      </c>
      <c r="X2041" t="s">
        <v>14868</v>
      </c>
      <c r="Z2041" t="s">
        <v>16640</v>
      </c>
      <c r="AB2041" t="s">
        <v>21674</v>
      </c>
      <c r="AC2041">
        <v>122</v>
      </c>
      <c r="AD2041" t="s">
        <v>24595</v>
      </c>
      <c r="AE2041" t="s">
        <v>24613</v>
      </c>
      <c r="AF2041">
        <v>27</v>
      </c>
      <c r="AG2041">
        <v>1</v>
      </c>
      <c r="AH2041">
        <v>0</v>
      </c>
      <c r="AI2041">
        <v>94.70999999999999</v>
      </c>
      <c r="AL2041" t="s">
        <v>5011</v>
      </c>
      <c r="AM2041">
        <v>11829.6</v>
      </c>
      <c r="AS2041">
        <v>2</v>
      </c>
      <c r="AT2041" t="s">
        <v>491</v>
      </c>
      <c r="AU2041" t="s">
        <v>184</v>
      </c>
      <c r="AV2041" t="s">
        <v>25335</v>
      </c>
      <c r="AW2041" t="s">
        <v>11447</v>
      </c>
    </row>
    <row r="2042" spans="1:49">
      <c r="A2042" s="1">
        <f>HYPERLINK("https://lsnyc.legalserver.org/matter/dynamic-profile/view/1906131","19-1906131")</f>
        <v>0</v>
      </c>
      <c r="B2042" t="s">
        <v>102</v>
      </c>
      <c r="C2042" t="s">
        <v>618</v>
      </c>
      <c r="E2042" t="s">
        <v>1334</v>
      </c>
      <c r="F2042" t="s">
        <v>4702</v>
      </c>
      <c r="G2042" t="s">
        <v>6699</v>
      </c>
      <c r="H2042" t="s">
        <v>10489</v>
      </c>
      <c r="I2042" t="s">
        <v>11383</v>
      </c>
      <c r="J2042">
        <v>10452</v>
      </c>
      <c r="K2042" t="s">
        <v>11446</v>
      </c>
      <c r="M2042" t="s">
        <v>14762</v>
      </c>
      <c r="N2042" t="s">
        <v>14779</v>
      </c>
      <c r="P2042" t="s">
        <v>14797</v>
      </c>
      <c r="Q2042" t="s">
        <v>11448</v>
      </c>
      <c r="S2042" t="s">
        <v>14827</v>
      </c>
      <c r="V2042">
        <v>1191</v>
      </c>
      <c r="W2042" t="s">
        <v>14858</v>
      </c>
      <c r="X2042" t="s">
        <v>14867</v>
      </c>
      <c r="Z2042" t="s">
        <v>16641</v>
      </c>
      <c r="AB2042" t="s">
        <v>21675</v>
      </c>
      <c r="AC2042">
        <v>0</v>
      </c>
      <c r="AF2042">
        <v>20</v>
      </c>
      <c r="AG2042">
        <v>1</v>
      </c>
      <c r="AH2042">
        <v>0</v>
      </c>
      <c r="AI2042">
        <v>96.08</v>
      </c>
      <c r="AL2042" t="s">
        <v>5011</v>
      </c>
      <c r="AM2042">
        <v>12000</v>
      </c>
      <c r="AS2042">
        <v>0.5</v>
      </c>
      <c r="AT2042" t="s">
        <v>618</v>
      </c>
      <c r="AU2042" t="s">
        <v>102</v>
      </c>
      <c r="AV2042" t="s">
        <v>25335</v>
      </c>
      <c r="AW2042" t="s">
        <v>11447</v>
      </c>
    </row>
    <row r="2043" spans="1:49">
      <c r="A2043" s="1">
        <f>HYPERLINK("https://lsnyc.legalserver.org/matter/dynamic-profile/view/1903527","19-1903527")</f>
        <v>0</v>
      </c>
      <c r="B2043" t="s">
        <v>95</v>
      </c>
      <c r="C2043" t="s">
        <v>354</v>
      </c>
      <c r="E2043" t="s">
        <v>2156</v>
      </c>
      <c r="F2043" t="s">
        <v>4703</v>
      </c>
      <c r="G2043" t="s">
        <v>7742</v>
      </c>
      <c r="H2043">
        <v>3</v>
      </c>
      <c r="I2043" t="s">
        <v>11383</v>
      </c>
      <c r="J2043">
        <v>10462</v>
      </c>
      <c r="K2043" t="s">
        <v>11446</v>
      </c>
      <c r="M2043" t="s">
        <v>14764</v>
      </c>
      <c r="N2043" t="s">
        <v>14778</v>
      </c>
      <c r="P2043" t="s">
        <v>14797</v>
      </c>
      <c r="Q2043" t="s">
        <v>11448</v>
      </c>
      <c r="S2043" t="s">
        <v>14827</v>
      </c>
      <c r="V2043">
        <v>0</v>
      </c>
      <c r="W2043" t="s">
        <v>14858</v>
      </c>
      <c r="Z2043" t="s">
        <v>16642</v>
      </c>
      <c r="AB2043" t="s">
        <v>21676</v>
      </c>
      <c r="AC2043">
        <v>0</v>
      </c>
      <c r="AE2043" t="s">
        <v>24616</v>
      </c>
      <c r="AF2043">
        <v>0</v>
      </c>
      <c r="AG2043">
        <v>1</v>
      </c>
      <c r="AH2043">
        <v>0</v>
      </c>
      <c r="AI2043">
        <v>96.16</v>
      </c>
      <c r="AL2043" t="s">
        <v>5011</v>
      </c>
      <c r="AM2043">
        <v>12010.68</v>
      </c>
      <c r="AS2043">
        <v>2.25</v>
      </c>
      <c r="AT2043" t="s">
        <v>521</v>
      </c>
      <c r="AU2043" t="s">
        <v>78</v>
      </c>
      <c r="AV2043" t="s">
        <v>25335</v>
      </c>
      <c r="AW2043" t="s">
        <v>11447</v>
      </c>
    </row>
    <row r="2044" spans="1:49">
      <c r="A2044" s="1">
        <f>HYPERLINK("https://lsnyc.legalserver.org/matter/dynamic-profile/view/1896853","19-1896853")</f>
        <v>0</v>
      </c>
      <c r="B2044" t="s">
        <v>87</v>
      </c>
      <c r="C2044" t="s">
        <v>610</v>
      </c>
      <c r="E2044" t="s">
        <v>2157</v>
      </c>
      <c r="F2044" t="s">
        <v>1856</v>
      </c>
      <c r="G2044" t="s">
        <v>7743</v>
      </c>
      <c r="H2044">
        <v>1</v>
      </c>
      <c r="I2044" t="s">
        <v>11384</v>
      </c>
      <c r="J2044">
        <v>10304</v>
      </c>
      <c r="K2044" t="s">
        <v>11446</v>
      </c>
      <c r="L2044" t="s">
        <v>12120</v>
      </c>
      <c r="M2044" t="s">
        <v>14743</v>
      </c>
      <c r="P2044" t="s">
        <v>14797</v>
      </c>
      <c r="Q2044" t="s">
        <v>11448</v>
      </c>
      <c r="S2044" t="s">
        <v>14827</v>
      </c>
      <c r="T2044" t="s">
        <v>14832</v>
      </c>
      <c r="V2044">
        <v>1900</v>
      </c>
      <c r="W2044" t="s">
        <v>14862</v>
      </c>
      <c r="X2044" t="s">
        <v>14863</v>
      </c>
      <c r="Z2044" t="s">
        <v>15416</v>
      </c>
      <c r="AB2044" t="s">
        <v>21677</v>
      </c>
      <c r="AC2044">
        <v>0</v>
      </c>
      <c r="AD2044" t="s">
        <v>24600</v>
      </c>
      <c r="AE2044" t="s">
        <v>24610</v>
      </c>
      <c r="AF2044">
        <v>5</v>
      </c>
      <c r="AG2044">
        <v>1</v>
      </c>
      <c r="AH2044">
        <v>1</v>
      </c>
      <c r="AI2044">
        <v>96.87</v>
      </c>
      <c r="AL2044" t="s">
        <v>5011</v>
      </c>
      <c r="AM2044">
        <v>16380</v>
      </c>
      <c r="AS2044">
        <v>5.4</v>
      </c>
      <c r="AT2044" t="s">
        <v>592</v>
      </c>
      <c r="AU2044" t="s">
        <v>25270</v>
      </c>
      <c r="AW2044" t="s">
        <v>11447</v>
      </c>
    </row>
    <row r="2045" spans="1:49">
      <c r="A2045" s="1">
        <f>HYPERLINK("https://lsnyc.legalserver.org/matter/dynamic-profile/view/1914162","19-1914162")</f>
        <v>0</v>
      </c>
      <c r="B2045" t="s">
        <v>214</v>
      </c>
      <c r="C2045" t="s">
        <v>580</v>
      </c>
      <c r="E2045" t="s">
        <v>1070</v>
      </c>
      <c r="F2045" t="s">
        <v>4704</v>
      </c>
      <c r="G2045" t="s">
        <v>7744</v>
      </c>
      <c r="H2045" t="s">
        <v>10448</v>
      </c>
      <c r="I2045" t="s">
        <v>11385</v>
      </c>
      <c r="J2045">
        <v>11212</v>
      </c>
      <c r="K2045" t="s">
        <v>11448</v>
      </c>
      <c r="M2045" t="s">
        <v>14744</v>
      </c>
      <c r="P2045" t="s">
        <v>14797</v>
      </c>
      <c r="Q2045" t="s">
        <v>11448</v>
      </c>
      <c r="S2045" t="s">
        <v>14827</v>
      </c>
      <c r="T2045" t="s">
        <v>14832</v>
      </c>
      <c r="V2045">
        <v>1100</v>
      </c>
      <c r="W2045" t="s">
        <v>14859</v>
      </c>
      <c r="Z2045" t="s">
        <v>16643</v>
      </c>
      <c r="AB2045" t="s">
        <v>21678</v>
      </c>
      <c r="AC2045">
        <v>6</v>
      </c>
      <c r="AD2045" t="s">
        <v>24595</v>
      </c>
      <c r="AF2045">
        <v>9</v>
      </c>
      <c r="AG2045">
        <v>1</v>
      </c>
      <c r="AH2045">
        <v>2</v>
      </c>
      <c r="AI2045">
        <v>97.27</v>
      </c>
      <c r="AL2045" t="s">
        <v>5011</v>
      </c>
      <c r="AM2045">
        <v>20748</v>
      </c>
      <c r="AS2045">
        <v>1</v>
      </c>
      <c r="AT2045" t="s">
        <v>580</v>
      </c>
      <c r="AU2045" t="s">
        <v>25237</v>
      </c>
      <c r="AV2045" t="s">
        <v>11459</v>
      </c>
      <c r="AW2045" t="s">
        <v>11447</v>
      </c>
    </row>
    <row r="2046" spans="1:49">
      <c r="A2046" s="1">
        <f>HYPERLINK("https://lsnyc.legalserver.org/matter/dynamic-profile/view/1913181","19-1913181")</f>
        <v>0</v>
      </c>
      <c r="B2046" t="s">
        <v>144</v>
      </c>
      <c r="C2046" t="s">
        <v>571</v>
      </c>
      <c r="E2046" t="s">
        <v>1232</v>
      </c>
      <c r="F2046" t="s">
        <v>4018</v>
      </c>
      <c r="G2046" t="s">
        <v>6677</v>
      </c>
      <c r="H2046" t="s">
        <v>10915</v>
      </c>
      <c r="I2046" t="s">
        <v>11389</v>
      </c>
      <c r="J2046">
        <v>11354</v>
      </c>
      <c r="K2046" t="s">
        <v>11446</v>
      </c>
      <c r="L2046" t="s">
        <v>12121</v>
      </c>
      <c r="M2046" t="s">
        <v>14743</v>
      </c>
      <c r="N2046" t="s">
        <v>14781</v>
      </c>
      <c r="P2046" t="s">
        <v>14797</v>
      </c>
      <c r="Q2046" t="s">
        <v>11448</v>
      </c>
      <c r="S2046" t="s">
        <v>14827</v>
      </c>
      <c r="T2046" t="s">
        <v>14832</v>
      </c>
      <c r="V2046">
        <v>1525</v>
      </c>
      <c r="W2046" t="s">
        <v>14861</v>
      </c>
      <c r="X2046" t="s">
        <v>14868</v>
      </c>
      <c r="Z2046" t="s">
        <v>16644</v>
      </c>
      <c r="AB2046" t="s">
        <v>21679</v>
      </c>
      <c r="AC2046">
        <v>12</v>
      </c>
      <c r="AD2046" t="s">
        <v>24595</v>
      </c>
      <c r="AF2046">
        <v>2</v>
      </c>
      <c r="AG2046">
        <v>2</v>
      </c>
      <c r="AH2046">
        <v>1</v>
      </c>
      <c r="AI2046">
        <v>97.52</v>
      </c>
      <c r="AL2046" t="s">
        <v>24647</v>
      </c>
      <c r="AM2046">
        <v>20800</v>
      </c>
      <c r="AS2046">
        <v>0.11</v>
      </c>
      <c r="AT2046" t="s">
        <v>478</v>
      </c>
      <c r="AU2046" t="s">
        <v>144</v>
      </c>
      <c r="AW2046" t="s">
        <v>11447</v>
      </c>
    </row>
    <row r="2047" spans="1:49">
      <c r="A2047" s="1">
        <f>HYPERLINK("https://lsnyc.legalserver.org/matter/dynamic-profile/view/0820941","16-0820941")</f>
        <v>0</v>
      </c>
      <c r="B2047" t="s">
        <v>138</v>
      </c>
      <c r="C2047" t="s">
        <v>701</v>
      </c>
      <c r="E2047" t="s">
        <v>2158</v>
      </c>
      <c r="F2047" t="s">
        <v>4705</v>
      </c>
      <c r="G2047" t="s">
        <v>7745</v>
      </c>
      <c r="H2047" t="s">
        <v>10916</v>
      </c>
      <c r="I2047" t="s">
        <v>11387</v>
      </c>
      <c r="J2047">
        <v>11432</v>
      </c>
      <c r="K2047" t="s">
        <v>11448</v>
      </c>
      <c r="L2047" t="s">
        <v>12122</v>
      </c>
      <c r="M2047" t="s">
        <v>14763</v>
      </c>
      <c r="N2047" t="s">
        <v>14781</v>
      </c>
      <c r="P2047" t="s">
        <v>14797</v>
      </c>
      <c r="Q2047" t="s">
        <v>11446</v>
      </c>
      <c r="S2047" t="s">
        <v>14827</v>
      </c>
      <c r="V2047">
        <v>1535</v>
      </c>
      <c r="W2047" t="s">
        <v>14861</v>
      </c>
      <c r="X2047" t="s">
        <v>14755</v>
      </c>
      <c r="Z2047" t="s">
        <v>16645</v>
      </c>
      <c r="AA2047" t="s">
        <v>11704</v>
      </c>
      <c r="AB2047" t="s">
        <v>21680</v>
      </c>
      <c r="AC2047">
        <v>61</v>
      </c>
      <c r="AD2047" t="s">
        <v>24595</v>
      </c>
      <c r="AE2047" t="s">
        <v>11459</v>
      </c>
      <c r="AF2047">
        <v>10</v>
      </c>
      <c r="AG2047">
        <v>2</v>
      </c>
      <c r="AH2047">
        <v>2</v>
      </c>
      <c r="AI2047">
        <v>98.77</v>
      </c>
      <c r="AJ2047" t="s">
        <v>24624</v>
      </c>
      <c r="AL2047" t="s">
        <v>24632</v>
      </c>
      <c r="AM2047">
        <v>24000</v>
      </c>
      <c r="AS2047">
        <v>82.59999999999999</v>
      </c>
      <c r="AT2047" t="s">
        <v>589</v>
      </c>
      <c r="AU2047" t="s">
        <v>25294</v>
      </c>
      <c r="AW2047" t="s">
        <v>11447</v>
      </c>
    </row>
    <row r="2048" spans="1:49">
      <c r="A2048" s="1">
        <f>HYPERLINK("https://lsnyc.legalserver.org/matter/dynamic-profile/view/1909957","19-1909957")</f>
        <v>0</v>
      </c>
      <c r="B2048" t="s">
        <v>126</v>
      </c>
      <c r="C2048" t="s">
        <v>462</v>
      </c>
      <c r="E2048" t="s">
        <v>1032</v>
      </c>
      <c r="F2048" t="s">
        <v>4706</v>
      </c>
      <c r="G2048" t="s">
        <v>7746</v>
      </c>
      <c r="H2048">
        <v>7</v>
      </c>
      <c r="I2048" t="s">
        <v>11383</v>
      </c>
      <c r="J2048">
        <v>10454</v>
      </c>
      <c r="K2048" t="s">
        <v>11446</v>
      </c>
      <c r="N2048" t="s">
        <v>14778</v>
      </c>
      <c r="P2048" t="s">
        <v>14797</v>
      </c>
      <c r="Q2048" t="s">
        <v>11448</v>
      </c>
      <c r="S2048" t="s">
        <v>14827</v>
      </c>
      <c r="V2048">
        <v>500</v>
      </c>
      <c r="W2048" t="s">
        <v>14858</v>
      </c>
      <c r="X2048" t="s">
        <v>14864</v>
      </c>
      <c r="Z2048" t="s">
        <v>16646</v>
      </c>
      <c r="AB2048" t="s">
        <v>21681</v>
      </c>
      <c r="AC2048">
        <v>1</v>
      </c>
      <c r="AD2048" t="s">
        <v>24609</v>
      </c>
      <c r="AE2048" t="s">
        <v>11459</v>
      </c>
      <c r="AF2048">
        <v>14</v>
      </c>
      <c r="AG2048">
        <v>1</v>
      </c>
      <c r="AH2048">
        <v>0</v>
      </c>
      <c r="AI2048">
        <v>99.34</v>
      </c>
      <c r="AL2048" t="s">
        <v>5011</v>
      </c>
      <c r="AM2048">
        <v>12408</v>
      </c>
      <c r="AS2048">
        <v>1.5</v>
      </c>
      <c r="AT2048" t="s">
        <v>586</v>
      </c>
      <c r="AU2048" t="s">
        <v>237</v>
      </c>
      <c r="AV2048" t="s">
        <v>25335</v>
      </c>
      <c r="AW2048" t="s">
        <v>11447</v>
      </c>
    </row>
    <row r="2049" spans="1:49">
      <c r="A2049" s="1">
        <f>HYPERLINK("https://lsnyc.legalserver.org/matter/dynamic-profile/view/1910526","19-1910526")</f>
        <v>0</v>
      </c>
      <c r="B2049" t="s">
        <v>140</v>
      </c>
      <c r="C2049" t="s">
        <v>602</v>
      </c>
      <c r="E2049" t="s">
        <v>2159</v>
      </c>
      <c r="F2049" t="s">
        <v>3547</v>
      </c>
      <c r="G2049" t="s">
        <v>7747</v>
      </c>
      <c r="H2049">
        <v>26</v>
      </c>
      <c r="I2049" t="s">
        <v>11383</v>
      </c>
      <c r="J2049">
        <v>10458</v>
      </c>
      <c r="K2049" t="s">
        <v>11446</v>
      </c>
      <c r="L2049" t="s">
        <v>12123</v>
      </c>
      <c r="M2049" t="s">
        <v>14743</v>
      </c>
      <c r="P2049" t="s">
        <v>14797</v>
      </c>
      <c r="Q2049" t="s">
        <v>11448</v>
      </c>
      <c r="S2049" t="s">
        <v>14827</v>
      </c>
      <c r="V2049">
        <v>986.4</v>
      </c>
      <c r="W2049" t="s">
        <v>14858</v>
      </c>
      <c r="X2049" t="s">
        <v>14864</v>
      </c>
      <c r="Z2049" t="s">
        <v>16647</v>
      </c>
      <c r="AA2049" t="s">
        <v>19496</v>
      </c>
      <c r="AB2049" t="s">
        <v>21682</v>
      </c>
      <c r="AC2049">
        <v>30</v>
      </c>
      <c r="AD2049" t="s">
        <v>24595</v>
      </c>
      <c r="AE2049" t="s">
        <v>24616</v>
      </c>
      <c r="AF2049">
        <v>5</v>
      </c>
      <c r="AG2049">
        <v>1</v>
      </c>
      <c r="AH2049">
        <v>0</v>
      </c>
      <c r="AI2049">
        <v>99.92</v>
      </c>
      <c r="AL2049" t="s">
        <v>24632</v>
      </c>
      <c r="AM2049">
        <v>12480</v>
      </c>
      <c r="AS2049">
        <v>6.2</v>
      </c>
      <c r="AT2049" t="s">
        <v>1021</v>
      </c>
      <c r="AU2049" t="s">
        <v>25242</v>
      </c>
      <c r="AV2049" t="s">
        <v>25335</v>
      </c>
      <c r="AW2049" t="s">
        <v>11447</v>
      </c>
    </row>
    <row r="2050" spans="1:49">
      <c r="A2050" s="1">
        <f>HYPERLINK("https://lsnyc.legalserver.org/matter/dynamic-profile/view/1908894","19-1908894")</f>
        <v>0</v>
      </c>
      <c r="B2050" t="s">
        <v>126</v>
      </c>
      <c r="C2050" t="s">
        <v>640</v>
      </c>
      <c r="E2050" t="s">
        <v>2159</v>
      </c>
      <c r="F2050" t="s">
        <v>3547</v>
      </c>
      <c r="G2050" t="s">
        <v>7747</v>
      </c>
      <c r="H2050">
        <v>26</v>
      </c>
      <c r="I2050" t="s">
        <v>11383</v>
      </c>
      <c r="J2050">
        <v>10458</v>
      </c>
      <c r="K2050" t="s">
        <v>11446</v>
      </c>
      <c r="P2050" t="s">
        <v>14797</v>
      </c>
      <c r="Q2050" t="s">
        <v>11448</v>
      </c>
      <c r="S2050" t="s">
        <v>14827</v>
      </c>
      <c r="V2050">
        <v>986.4</v>
      </c>
      <c r="W2050" t="s">
        <v>14858</v>
      </c>
      <c r="X2050" t="s">
        <v>14864</v>
      </c>
      <c r="Z2050" t="s">
        <v>16647</v>
      </c>
      <c r="AA2050" t="s">
        <v>19496</v>
      </c>
      <c r="AB2050" t="s">
        <v>21682</v>
      </c>
      <c r="AC2050">
        <v>30</v>
      </c>
      <c r="AD2050" t="s">
        <v>24595</v>
      </c>
      <c r="AE2050" t="s">
        <v>24616</v>
      </c>
      <c r="AF2050">
        <v>5</v>
      </c>
      <c r="AG2050">
        <v>1</v>
      </c>
      <c r="AH2050">
        <v>0</v>
      </c>
      <c r="AI2050">
        <v>99.92</v>
      </c>
      <c r="AL2050" t="s">
        <v>24632</v>
      </c>
      <c r="AM2050">
        <v>12480</v>
      </c>
      <c r="AS2050">
        <v>0</v>
      </c>
      <c r="AU2050" t="s">
        <v>245</v>
      </c>
      <c r="AW2050" t="s">
        <v>11447</v>
      </c>
    </row>
    <row r="2051" spans="1:49">
      <c r="A2051" s="1">
        <f>HYPERLINK("https://lsnyc.legalserver.org/matter/dynamic-profile/view/1915154","19-1915154")</f>
        <v>0</v>
      </c>
      <c r="B2051" t="s">
        <v>120</v>
      </c>
      <c r="C2051" t="s">
        <v>516</v>
      </c>
      <c r="E2051" t="s">
        <v>2160</v>
      </c>
      <c r="F2051" t="s">
        <v>3163</v>
      </c>
      <c r="G2051" t="s">
        <v>7748</v>
      </c>
      <c r="H2051" t="s">
        <v>10542</v>
      </c>
      <c r="I2051" t="s">
        <v>11385</v>
      </c>
      <c r="J2051">
        <v>11208</v>
      </c>
      <c r="K2051" t="s">
        <v>11447</v>
      </c>
      <c r="L2051" t="s">
        <v>11601</v>
      </c>
      <c r="M2051" t="s">
        <v>11601</v>
      </c>
      <c r="N2051" t="s">
        <v>14782</v>
      </c>
      <c r="P2051" t="s">
        <v>14797</v>
      </c>
      <c r="Q2051" t="s">
        <v>11448</v>
      </c>
      <c r="S2051" t="s">
        <v>14827</v>
      </c>
      <c r="V2051">
        <v>1774.55</v>
      </c>
      <c r="W2051" t="s">
        <v>14859</v>
      </c>
      <c r="X2051" t="s">
        <v>14755</v>
      </c>
      <c r="Z2051" t="s">
        <v>16648</v>
      </c>
      <c r="AA2051" t="s">
        <v>11459</v>
      </c>
      <c r="AB2051" t="s">
        <v>21683</v>
      </c>
      <c r="AC2051">
        <v>24</v>
      </c>
      <c r="AD2051" t="s">
        <v>24595</v>
      </c>
      <c r="AE2051" t="s">
        <v>24610</v>
      </c>
      <c r="AF2051">
        <v>14</v>
      </c>
      <c r="AG2051">
        <v>1</v>
      </c>
      <c r="AH2051">
        <v>1</v>
      </c>
      <c r="AI2051">
        <v>99.94</v>
      </c>
      <c r="AL2051" t="s">
        <v>5011</v>
      </c>
      <c r="AM2051">
        <v>16900</v>
      </c>
      <c r="AS2051">
        <v>0</v>
      </c>
      <c r="AU2051" t="s">
        <v>120</v>
      </c>
      <c r="AW2051" t="s">
        <v>11447</v>
      </c>
    </row>
    <row r="2052" spans="1:49">
      <c r="A2052" s="1">
        <f>HYPERLINK("https://lsnyc.legalserver.org/matter/dynamic-profile/view/1909953","19-1909953")</f>
        <v>0</v>
      </c>
      <c r="B2052" t="s">
        <v>126</v>
      </c>
      <c r="C2052" t="s">
        <v>640</v>
      </c>
      <c r="E2052" t="s">
        <v>1274</v>
      </c>
      <c r="F2052" t="s">
        <v>4707</v>
      </c>
      <c r="G2052" t="s">
        <v>7749</v>
      </c>
      <c r="H2052" t="s">
        <v>10448</v>
      </c>
      <c r="I2052" t="s">
        <v>11383</v>
      </c>
      <c r="J2052">
        <v>10453</v>
      </c>
      <c r="K2052" t="s">
        <v>11446</v>
      </c>
      <c r="N2052" t="s">
        <v>14778</v>
      </c>
      <c r="P2052" t="s">
        <v>14797</v>
      </c>
      <c r="Q2052" t="s">
        <v>11448</v>
      </c>
      <c r="S2052" t="s">
        <v>14827</v>
      </c>
      <c r="V2052">
        <v>0</v>
      </c>
      <c r="W2052" t="s">
        <v>14858</v>
      </c>
      <c r="X2052" t="s">
        <v>14864</v>
      </c>
      <c r="Z2052" t="s">
        <v>16649</v>
      </c>
      <c r="AB2052" t="s">
        <v>21684</v>
      </c>
      <c r="AC2052">
        <v>101</v>
      </c>
      <c r="AE2052" t="s">
        <v>11459</v>
      </c>
      <c r="AF2052">
        <v>11</v>
      </c>
      <c r="AG2052">
        <v>1</v>
      </c>
      <c r="AH2052">
        <v>0</v>
      </c>
      <c r="AI2052">
        <v>101.59</v>
      </c>
      <c r="AL2052" t="s">
        <v>5011</v>
      </c>
      <c r="AM2052">
        <v>12688</v>
      </c>
      <c r="AS2052">
        <v>0.5</v>
      </c>
      <c r="AT2052" t="s">
        <v>601</v>
      </c>
      <c r="AU2052" t="s">
        <v>237</v>
      </c>
      <c r="AV2052" t="s">
        <v>25335</v>
      </c>
      <c r="AW2052" t="s">
        <v>11447</v>
      </c>
    </row>
    <row r="2053" spans="1:49">
      <c r="A2053" s="1">
        <f>HYPERLINK("https://lsnyc.legalserver.org/matter/dynamic-profile/view/1862824","18-1862824")</f>
        <v>0</v>
      </c>
      <c r="B2053" t="s">
        <v>84</v>
      </c>
      <c r="C2053" t="s">
        <v>671</v>
      </c>
      <c r="E2053" t="s">
        <v>1211</v>
      </c>
      <c r="F2053" t="s">
        <v>1339</v>
      </c>
      <c r="G2053" t="s">
        <v>7593</v>
      </c>
      <c r="H2053" t="s">
        <v>10866</v>
      </c>
      <c r="I2053" t="s">
        <v>11383</v>
      </c>
      <c r="J2053">
        <v>10457</v>
      </c>
      <c r="K2053" t="s">
        <v>11446</v>
      </c>
      <c r="L2053" t="s">
        <v>12027</v>
      </c>
      <c r="M2053" t="s">
        <v>14756</v>
      </c>
      <c r="N2053" t="s">
        <v>14783</v>
      </c>
      <c r="P2053" t="s">
        <v>14797</v>
      </c>
      <c r="Q2053" t="s">
        <v>11446</v>
      </c>
      <c r="S2053" t="s">
        <v>14827</v>
      </c>
      <c r="V2053">
        <v>800</v>
      </c>
      <c r="W2053" t="s">
        <v>14858</v>
      </c>
      <c r="X2053" t="s">
        <v>14868</v>
      </c>
      <c r="Z2053" t="s">
        <v>16650</v>
      </c>
      <c r="AB2053" t="s">
        <v>21685</v>
      </c>
      <c r="AC2053">
        <v>100</v>
      </c>
      <c r="AD2053" t="s">
        <v>24595</v>
      </c>
      <c r="AE2053" t="s">
        <v>24613</v>
      </c>
      <c r="AF2053">
        <v>30</v>
      </c>
      <c r="AG2053">
        <v>2</v>
      </c>
      <c r="AH2053">
        <v>1</v>
      </c>
      <c r="AI2053">
        <v>103.95</v>
      </c>
      <c r="AL2053" t="s">
        <v>24632</v>
      </c>
      <c r="AM2053">
        <v>28800</v>
      </c>
      <c r="AS2053">
        <v>0.4</v>
      </c>
      <c r="AT2053" t="s">
        <v>671</v>
      </c>
      <c r="AU2053" t="s">
        <v>25242</v>
      </c>
      <c r="AW2053" t="s">
        <v>11447</v>
      </c>
    </row>
    <row r="2054" spans="1:49">
      <c r="A2054" s="1">
        <f>HYPERLINK("https://lsnyc.legalserver.org/matter/dynamic-profile/view/1913711","19-1913711")</f>
        <v>0</v>
      </c>
      <c r="B2054" t="s">
        <v>177</v>
      </c>
      <c r="C2054" t="s">
        <v>476</v>
      </c>
      <c r="E2054" t="s">
        <v>2161</v>
      </c>
      <c r="F2054" t="s">
        <v>4708</v>
      </c>
      <c r="G2054" t="s">
        <v>7750</v>
      </c>
      <c r="H2054" t="s">
        <v>10917</v>
      </c>
      <c r="I2054" t="s">
        <v>11385</v>
      </c>
      <c r="J2054">
        <v>11213</v>
      </c>
      <c r="K2054" t="s">
        <v>11447</v>
      </c>
      <c r="N2054" t="s">
        <v>14780</v>
      </c>
      <c r="P2054" t="s">
        <v>14797</v>
      </c>
      <c r="S2054" t="s">
        <v>14827</v>
      </c>
      <c r="V2054">
        <v>0</v>
      </c>
      <c r="W2054" t="s">
        <v>14859</v>
      </c>
      <c r="Z2054" t="s">
        <v>16651</v>
      </c>
      <c r="AB2054" t="s">
        <v>21686</v>
      </c>
      <c r="AC2054">
        <v>0</v>
      </c>
      <c r="AF2054">
        <v>0</v>
      </c>
      <c r="AG2054">
        <v>1</v>
      </c>
      <c r="AH2054">
        <v>0</v>
      </c>
      <c r="AI2054">
        <v>103.96</v>
      </c>
      <c r="AL2054" t="s">
        <v>5011</v>
      </c>
      <c r="AM2054">
        <v>12984</v>
      </c>
      <c r="AS2054">
        <v>3.7</v>
      </c>
      <c r="AT2054" t="s">
        <v>592</v>
      </c>
      <c r="AU2054" t="s">
        <v>177</v>
      </c>
      <c r="AW2054" t="s">
        <v>11447</v>
      </c>
    </row>
    <row r="2055" spans="1:49">
      <c r="A2055" s="1">
        <f>HYPERLINK("https://lsnyc.legalserver.org/matter/dynamic-profile/view/1910016","19-1910016")</f>
        <v>0</v>
      </c>
      <c r="B2055" t="s">
        <v>71</v>
      </c>
      <c r="C2055" t="s">
        <v>468</v>
      </c>
      <c r="E2055" t="s">
        <v>2162</v>
      </c>
      <c r="F2055" t="s">
        <v>4709</v>
      </c>
      <c r="G2055" t="s">
        <v>7751</v>
      </c>
      <c r="H2055" t="s">
        <v>10790</v>
      </c>
      <c r="I2055" t="s">
        <v>11383</v>
      </c>
      <c r="J2055">
        <v>10451</v>
      </c>
      <c r="K2055" t="s">
        <v>11447</v>
      </c>
      <c r="P2055" t="s">
        <v>14797</v>
      </c>
      <c r="S2055" t="s">
        <v>14829</v>
      </c>
      <c r="V2055">
        <v>0</v>
      </c>
      <c r="W2055" t="s">
        <v>14858</v>
      </c>
      <c r="Z2055" t="s">
        <v>16652</v>
      </c>
      <c r="AB2055" t="s">
        <v>21687</v>
      </c>
      <c r="AC2055">
        <v>0</v>
      </c>
      <c r="AF2055">
        <v>0</v>
      </c>
      <c r="AG2055">
        <v>1</v>
      </c>
      <c r="AH2055">
        <v>0</v>
      </c>
      <c r="AI2055">
        <v>104.01</v>
      </c>
      <c r="AL2055" t="s">
        <v>5011</v>
      </c>
      <c r="AM2055">
        <v>12991.2</v>
      </c>
      <c r="AS2055">
        <v>2.75</v>
      </c>
      <c r="AT2055" t="s">
        <v>521</v>
      </c>
      <c r="AU2055" t="s">
        <v>25287</v>
      </c>
      <c r="AW2055" t="s">
        <v>11447</v>
      </c>
    </row>
    <row r="2056" spans="1:49">
      <c r="A2056" s="1">
        <f>HYPERLINK("https://lsnyc.legalserver.org/matter/dynamic-profile/view/1905665","19-1905665")</f>
        <v>0</v>
      </c>
      <c r="B2056" t="s">
        <v>140</v>
      </c>
      <c r="C2056" t="s">
        <v>496</v>
      </c>
      <c r="E2056" t="s">
        <v>1088</v>
      </c>
      <c r="F2056" t="s">
        <v>4710</v>
      </c>
      <c r="G2056" t="s">
        <v>7752</v>
      </c>
      <c r="H2056" t="s">
        <v>10463</v>
      </c>
      <c r="I2056" t="s">
        <v>11383</v>
      </c>
      <c r="J2056">
        <v>10453</v>
      </c>
      <c r="K2056" t="s">
        <v>11447</v>
      </c>
      <c r="P2056" t="s">
        <v>14797</v>
      </c>
      <c r="S2056" t="s">
        <v>14827</v>
      </c>
      <c r="V2056">
        <v>877</v>
      </c>
      <c r="W2056" t="s">
        <v>14858</v>
      </c>
      <c r="X2056" t="s">
        <v>14868</v>
      </c>
      <c r="Z2056" t="s">
        <v>16653</v>
      </c>
      <c r="AB2056" t="s">
        <v>21688</v>
      </c>
      <c r="AC2056">
        <v>65</v>
      </c>
      <c r="AD2056" t="s">
        <v>24595</v>
      </c>
      <c r="AE2056" t="s">
        <v>11459</v>
      </c>
      <c r="AF2056">
        <v>5</v>
      </c>
      <c r="AG2056">
        <v>1</v>
      </c>
      <c r="AH2056">
        <v>0</v>
      </c>
      <c r="AI2056">
        <v>104.08</v>
      </c>
      <c r="AL2056" t="s">
        <v>5011</v>
      </c>
      <c r="AM2056">
        <v>13000</v>
      </c>
      <c r="AS2056">
        <v>1.66</v>
      </c>
      <c r="AT2056" t="s">
        <v>640</v>
      </c>
      <c r="AU2056" t="s">
        <v>25226</v>
      </c>
      <c r="AW2056" t="s">
        <v>11447</v>
      </c>
    </row>
    <row r="2057" spans="1:49">
      <c r="A2057" s="1">
        <f>HYPERLINK("https://lsnyc.legalserver.org/matter/dynamic-profile/view/1911886","19-1911886")</f>
        <v>0</v>
      </c>
      <c r="B2057" t="s">
        <v>67</v>
      </c>
      <c r="C2057" t="s">
        <v>645</v>
      </c>
      <c r="E2057" t="s">
        <v>1166</v>
      </c>
      <c r="F2057" t="s">
        <v>3552</v>
      </c>
      <c r="G2057" t="s">
        <v>7638</v>
      </c>
      <c r="H2057" t="s">
        <v>10569</v>
      </c>
      <c r="I2057" t="s">
        <v>11383</v>
      </c>
      <c r="J2057">
        <v>10452</v>
      </c>
      <c r="K2057" t="s">
        <v>11446</v>
      </c>
      <c r="L2057" t="s">
        <v>12057</v>
      </c>
      <c r="M2057" t="s">
        <v>14762</v>
      </c>
      <c r="N2057" t="s">
        <v>14783</v>
      </c>
      <c r="P2057" t="s">
        <v>14797</v>
      </c>
      <c r="Q2057" t="s">
        <v>11446</v>
      </c>
      <c r="S2057" t="s">
        <v>14827</v>
      </c>
      <c r="V2057">
        <v>1384</v>
      </c>
      <c r="W2057" t="s">
        <v>14858</v>
      </c>
      <c r="X2057" t="s">
        <v>14864</v>
      </c>
      <c r="Z2057" t="s">
        <v>16654</v>
      </c>
      <c r="AB2057" t="s">
        <v>21689</v>
      </c>
      <c r="AC2057">
        <v>67</v>
      </c>
      <c r="AD2057" t="s">
        <v>24595</v>
      </c>
      <c r="AE2057" t="s">
        <v>24610</v>
      </c>
      <c r="AF2057">
        <v>11</v>
      </c>
      <c r="AG2057">
        <v>1</v>
      </c>
      <c r="AH2057">
        <v>0</v>
      </c>
      <c r="AI2057">
        <v>104.08</v>
      </c>
      <c r="AL2057" t="s">
        <v>24632</v>
      </c>
      <c r="AM2057">
        <v>13000</v>
      </c>
      <c r="AS2057">
        <v>0</v>
      </c>
      <c r="AU2057" t="s">
        <v>25268</v>
      </c>
      <c r="AV2057" t="s">
        <v>25335</v>
      </c>
      <c r="AW2057" t="s">
        <v>11447</v>
      </c>
    </row>
    <row r="2058" spans="1:49">
      <c r="A2058" s="1">
        <f>HYPERLINK("https://lsnyc.legalserver.org/matter/dynamic-profile/view/1908439","19-1908439")</f>
        <v>0</v>
      </c>
      <c r="B2058" t="s">
        <v>168</v>
      </c>
      <c r="C2058" t="s">
        <v>640</v>
      </c>
      <c r="E2058" t="s">
        <v>1057</v>
      </c>
      <c r="F2058" t="s">
        <v>4711</v>
      </c>
      <c r="G2058" t="s">
        <v>7753</v>
      </c>
      <c r="H2058" t="s">
        <v>10918</v>
      </c>
      <c r="I2058" t="s">
        <v>11384</v>
      </c>
      <c r="J2058">
        <v>10305</v>
      </c>
      <c r="K2058" t="s">
        <v>11446</v>
      </c>
      <c r="L2058" t="s">
        <v>11456</v>
      </c>
      <c r="M2058" t="s">
        <v>14744</v>
      </c>
      <c r="N2058" t="s">
        <v>14780</v>
      </c>
      <c r="P2058" t="s">
        <v>14797</v>
      </c>
      <c r="Q2058" t="s">
        <v>11448</v>
      </c>
      <c r="S2058" t="s">
        <v>14827</v>
      </c>
      <c r="T2058" t="s">
        <v>14832</v>
      </c>
      <c r="V2058">
        <v>1800</v>
      </c>
      <c r="W2058" t="s">
        <v>14862</v>
      </c>
      <c r="X2058" t="s">
        <v>14870</v>
      </c>
      <c r="Z2058" t="s">
        <v>16655</v>
      </c>
      <c r="AB2058" t="s">
        <v>21690</v>
      </c>
      <c r="AC2058">
        <v>3</v>
      </c>
      <c r="AD2058" t="s">
        <v>24600</v>
      </c>
      <c r="AE2058" t="s">
        <v>11459</v>
      </c>
      <c r="AF2058">
        <v>7</v>
      </c>
      <c r="AG2058">
        <v>1</v>
      </c>
      <c r="AH2058">
        <v>0</v>
      </c>
      <c r="AI2058">
        <v>105.68</v>
      </c>
      <c r="AL2058" t="s">
        <v>5011</v>
      </c>
      <c r="AM2058">
        <v>13200</v>
      </c>
      <c r="AS2058">
        <v>6.15</v>
      </c>
      <c r="AT2058" t="s">
        <v>592</v>
      </c>
      <c r="AU2058" t="s">
        <v>25270</v>
      </c>
      <c r="AW2058" t="s">
        <v>11447</v>
      </c>
    </row>
    <row r="2059" spans="1:49">
      <c r="A2059" s="1">
        <f>HYPERLINK("https://lsnyc.legalserver.org/matter/dynamic-profile/view/1903619","19-1903619")</f>
        <v>0</v>
      </c>
      <c r="B2059" t="s">
        <v>148</v>
      </c>
      <c r="C2059" t="s">
        <v>496</v>
      </c>
      <c r="E2059" t="s">
        <v>1224</v>
      </c>
      <c r="F2059" t="s">
        <v>3547</v>
      </c>
      <c r="G2059" t="s">
        <v>7754</v>
      </c>
      <c r="H2059" t="s">
        <v>10522</v>
      </c>
      <c r="I2059" t="s">
        <v>11384</v>
      </c>
      <c r="J2059">
        <v>10301</v>
      </c>
      <c r="K2059" t="s">
        <v>11447</v>
      </c>
      <c r="P2059" t="s">
        <v>14797</v>
      </c>
      <c r="Q2059" t="s">
        <v>11448</v>
      </c>
      <c r="S2059" t="s">
        <v>14827</v>
      </c>
      <c r="V2059">
        <v>807</v>
      </c>
      <c r="W2059" t="s">
        <v>14862</v>
      </c>
      <c r="Z2059" t="s">
        <v>16656</v>
      </c>
      <c r="AB2059" t="s">
        <v>21691</v>
      </c>
      <c r="AC2059">
        <v>27</v>
      </c>
      <c r="AD2059" t="s">
        <v>11479</v>
      </c>
      <c r="AE2059" t="s">
        <v>24613</v>
      </c>
      <c r="AF2059">
        <v>26</v>
      </c>
      <c r="AG2059">
        <v>1</v>
      </c>
      <c r="AH2059">
        <v>0</v>
      </c>
      <c r="AI2059">
        <v>105.68</v>
      </c>
      <c r="AL2059" t="s">
        <v>5011</v>
      </c>
      <c r="AM2059">
        <v>13200</v>
      </c>
      <c r="AS2059">
        <v>18.2</v>
      </c>
      <c r="AT2059" t="s">
        <v>654</v>
      </c>
      <c r="AU2059" t="s">
        <v>25270</v>
      </c>
      <c r="AW2059" t="s">
        <v>11447</v>
      </c>
    </row>
    <row r="2060" spans="1:49">
      <c r="A2060" s="1">
        <f>HYPERLINK("https://lsnyc.legalserver.org/matter/dynamic-profile/view/1914386","19-1914386")</f>
        <v>0</v>
      </c>
      <c r="B2060" t="s">
        <v>247</v>
      </c>
      <c r="C2060" t="s">
        <v>506</v>
      </c>
      <c r="E2060" t="s">
        <v>1683</v>
      </c>
      <c r="F2060" t="s">
        <v>4712</v>
      </c>
      <c r="G2060" t="s">
        <v>7755</v>
      </c>
      <c r="H2060">
        <v>64</v>
      </c>
      <c r="I2060" t="s">
        <v>11386</v>
      </c>
      <c r="J2060">
        <v>10031</v>
      </c>
      <c r="K2060" t="s">
        <v>11447</v>
      </c>
      <c r="M2060" t="s">
        <v>11601</v>
      </c>
      <c r="N2060" t="s">
        <v>14782</v>
      </c>
      <c r="P2060" t="s">
        <v>14797</v>
      </c>
      <c r="Q2060" t="s">
        <v>11448</v>
      </c>
      <c r="S2060" t="s">
        <v>14827</v>
      </c>
      <c r="V2060">
        <v>977</v>
      </c>
      <c r="W2060" t="s">
        <v>14860</v>
      </c>
      <c r="X2060" t="s">
        <v>14871</v>
      </c>
      <c r="Z2060" t="s">
        <v>16657</v>
      </c>
      <c r="AB2060" t="s">
        <v>21692</v>
      </c>
      <c r="AC2060">
        <v>30</v>
      </c>
      <c r="AD2060" t="s">
        <v>24595</v>
      </c>
      <c r="AE2060" t="s">
        <v>24613</v>
      </c>
      <c r="AF2060">
        <v>48</v>
      </c>
      <c r="AG2060">
        <v>1</v>
      </c>
      <c r="AH2060">
        <v>0</v>
      </c>
      <c r="AI2060">
        <v>105.68</v>
      </c>
      <c r="AL2060" t="s">
        <v>5011</v>
      </c>
      <c r="AM2060">
        <v>13200</v>
      </c>
      <c r="AS2060">
        <v>1</v>
      </c>
      <c r="AT2060" t="s">
        <v>521</v>
      </c>
      <c r="AU2060" t="s">
        <v>25276</v>
      </c>
      <c r="AW2060" t="s">
        <v>11447</v>
      </c>
    </row>
    <row r="2061" spans="1:49">
      <c r="A2061" s="1">
        <f>HYPERLINK("https://lsnyc.legalserver.org/matter/dynamic-profile/view/1893985","19-1893985")</f>
        <v>0</v>
      </c>
      <c r="B2061" t="s">
        <v>168</v>
      </c>
      <c r="C2061" t="s">
        <v>666</v>
      </c>
      <c r="E2061" t="s">
        <v>2163</v>
      </c>
      <c r="F2061" t="s">
        <v>4713</v>
      </c>
      <c r="G2061" t="s">
        <v>7756</v>
      </c>
      <c r="H2061" t="s">
        <v>10919</v>
      </c>
      <c r="I2061" t="s">
        <v>11384</v>
      </c>
      <c r="J2061">
        <v>10304</v>
      </c>
      <c r="K2061" t="s">
        <v>11447</v>
      </c>
      <c r="L2061" t="s">
        <v>12124</v>
      </c>
      <c r="M2061" t="s">
        <v>14744</v>
      </c>
      <c r="P2061" t="s">
        <v>14797</v>
      </c>
      <c r="Q2061" t="s">
        <v>11448</v>
      </c>
      <c r="S2061" t="s">
        <v>14827</v>
      </c>
      <c r="T2061" t="s">
        <v>14832</v>
      </c>
      <c r="V2061">
        <v>959</v>
      </c>
      <c r="W2061" t="s">
        <v>14862</v>
      </c>
      <c r="X2061" t="s">
        <v>14868</v>
      </c>
      <c r="Z2061" t="s">
        <v>15489</v>
      </c>
      <c r="AB2061" t="s">
        <v>21693</v>
      </c>
      <c r="AC2061">
        <v>0</v>
      </c>
      <c r="AD2061" t="s">
        <v>24595</v>
      </c>
      <c r="AF2061">
        <v>11</v>
      </c>
      <c r="AG2061">
        <v>2</v>
      </c>
      <c r="AH2061">
        <v>0</v>
      </c>
      <c r="AI2061">
        <v>105.88</v>
      </c>
      <c r="AL2061" t="s">
        <v>5011</v>
      </c>
      <c r="AM2061">
        <v>17904</v>
      </c>
      <c r="AS2061">
        <v>10.15</v>
      </c>
      <c r="AT2061" t="s">
        <v>539</v>
      </c>
      <c r="AU2061" t="s">
        <v>25270</v>
      </c>
      <c r="AV2061" t="s">
        <v>25335</v>
      </c>
      <c r="AW2061" t="s">
        <v>11447</v>
      </c>
    </row>
    <row r="2062" spans="1:49">
      <c r="A2062" s="1">
        <f>HYPERLINK("https://lsnyc.legalserver.org/matter/dynamic-profile/view/1912236","19-1912236")</f>
        <v>0</v>
      </c>
      <c r="B2062" t="s">
        <v>124</v>
      </c>
      <c r="C2062" t="s">
        <v>559</v>
      </c>
      <c r="E2062" t="s">
        <v>2164</v>
      </c>
      <c r="F2062" t="s">
        <v>4714</v>
      </c>
      <c r="G2062" t="s">
        <v>7757</v>
      </c>
      <c r="H2062" t="s">
        <v>10648</v>
      </c>
      <c r="I2062" t="s">
        <v>11389</v>
      </c>
      <c r="J2062">
        <v>11358</v>
      </c>
      <c r="K2062" t="s">
        <v>11446</v>
      </c>
      <c r="L2062" t="s">
        <v>12125</v>
      </c>
      <c r="M2062" t="s">
        <v>14743</v>
      </c>
      <c r="N2062" t="s">
        <v>14782</v>
      </c>
      <c r="P2062" t="s">
        <v>14797</v>
      </c>
      <c r="Q2062" t="s">
        <v>11448</v>
      </c>
      <c r="S2062" t="s">
        <v>14827</v>
      </c>
      <c r="V2062">
        <v>1500</v>
      </c>
      <c r="W2062" t="s">
        <v>14861</v>
      </c>
      <c r="X2062" t="s">
        <v>14865</v>
      </c>
      <c r="Z2062" t="s">
        <v>16658</v>
      </c>
      <c r="AB2062" t="s">
        <v>21694</v>
      </c>
      <c r="AC2062">
        <v>3</v>
      </c>
      <c r="AE2062" t="s">
        <v>11459</v>
      </c>
      <c r="AF2062">
        <v>1</v>
      </c>
      <c r="AG2062">
        <v>2</v>
      </c>
      <c r="AH2062">
        <v>0</v>
      </c>
      <c r="AI2062">
        <v>106.45</v>
      </c>
      <c r="AL2062" t="s">
        <v>24638</v>
      </c>
      <c r="AM2062">
        <v>18000</v>
      </c>
      <c r="AS2062">
        <v>0.33</v>
      </c>
      <c r="AT2062" t="s">
        <v>559</v>
      </c>
      <c r="AU2062" t="s">
        <v>25233</v>
      </c>
      <c r="AV2062" t="s">
        <v>25335</v>
      </c>
      <c r="AW2062" t="s">
        <v>11447</v>
      </c>
    </row>
    <row r="2063" spans="1:49">
      <c r="A2063" s="1">
        <f>HYPERLINK("https://lsnyc.legalserver.org/matter/dynamic-profile/view/1913423","19-1913423")</f>
        <v>0</v>
      </c>
      <c r="B2063" t="s">
        <v>90</v>
      </c>
      <c r="C2063" t="s">
        <v>483</v>
      </c>
      <c r="E2063" t="s">
        <v>2165</v>
      </c>
      <c r="F2063" t="s">
        <v>4715</v>
      </c>
      <c r="G2063" t="s">
        <v>7758</v>
      </c>
      <c r="H2063" t="s">
        <v>10529</v>
      </c>
      <c r="I2063" t="s">
        <v>11383</v>
      </c>
      <c r="J2063">
        <v>10460</v>
      </c>
      <c r="K2063" t="s">
        <v>11446</v>
      </c>
      <c r="M2063" t="s">
        <v>14743</v>
      </c>
      <c r="N2063" t="s">
        <v>14778</v>
      </c>
      <c r="P2063" t="s">
        <v>14797</v>
      </c>
      <c r="S2063" t="s">
        <v>14827</v>
      </c>
      <c r="T2063" t="s">
        <v>14832</v>
      </c>
      <c r="V2063">
        <v>938</v>
      </c>
      <c r="W2063" t="s">
        <v>14858</v>
      </c>
      <c r="X2063" t="s">
        <v>14872</v>
      </c>
      <c r="Z2063" t="s">
        <v>16659</v>
      </c>
      <c r="AB2063" t="s">
        <v>21695</v>
      </c>
      <c r="AC2063">
        <v>0</v>
      </c>
      <c r="AD2063" t="s">
        <v>24595</v>
      </c>
      <c r="AF2063">
        <v>19</v>
      </c>
      <c r="AG2063">
        <v>2</v>
      </c>
      <c r="AH2063">
        <v>0</v>
      </c>
      <c r="AI2063">
        <v>106.45</v>
      </c>
      <c r="AL2063" t="s">
        <v>5011</v>
      </c>
      <c r="AM2063">
        <v>18000</v>
      </c>
      <c r="AS2063">
        <v>0.1</v>
      </c>
      <c r="AT2063" t="s">
        <v>476</v>
      </c>
      <c r="AU2063" t="s">
        <v>90</v>
      </c>
      <c r="AV2063" t="s">
        <v>25335</v>
      </c>
      <c r="AW2063" t="s">
        <v>11447</v>
      </c>
    </row>
    <row r="2064" spans="1:49">
      <c r="A2064" s="1">
        <f>HYPERLINK("https://lsnyc.legalserver.org/matter/dynamic-profile/view/1912781","19-1912781")</f>
        <v>0</v>
      </c>
      <c r="B2064" t="s">
        <v>103</v>
      </c>
      <c r="C2064" t="s">
        <v>470</v>
      </c>
      <c r="E2064" t="s">
        <v>2166</v>
      </c>
      <c r="F2064" t="s">
        <v>4441</v>
      </c>
      <c r="G2064" t="s">
        <v>7759</v>
      </c>
      <c r="H2064" t="s">
        <v>10699</v>
      </c>
      <c r="I2064" t="s">
        <v>11385</v>
      </c>
      <c r="J2064">
        <v>11207</v>
      </c>
      <c r="K2064" t="s">
        <v>11447</v>
      </c>
      <c r="L2064" t="s">
        <v>12126</v>
      </c>
      <c r="M2064" t="s">
        <v>14744</v>
      </c>
      <c r="N2064" t="s">
        <v>14782</v>
      </c>
      <c r="P2064" t="s">
        <v>14797</v>
      </c>
      <c r="Q2064" t="s">
        <v>11448</v>
      </c>
      <c r="S2064" t="s">
        <v>14827</v>
      </c>
      <c r="T2064" t="s">
        <v>14833</v>
      </c>
      <c r="V2064">
        <v>873</v>
      </c>
      <c r="W2064" t="s">
        <v>14859</v>
      </c>
      <c r="X2064" t="s">
        <v>14872</v>
      </c>
      <c r="Z2064" t="s">
        <v>16660</v>
      </c>
      <c r="AB2064" t="s">
        <v>21696</v>
      </c>
      <c r="AC2064">
        <v>168</v>
      </c>
      <c r="AD2064" t="s">
        <v>24595</v>
      </c>
      <c r="AE2064" t="s">
        <v>24610</v>
      </c>
      <c r="AF2064">
        <v>4</v>
      </c>
      <c r="AG2064">
        <v>1</v>
      </c>
      <c r="AH2064">
        <v>3</v>
      </c>
      <c r="AI2064">
        <v>106.53</v>
      </c>
      <c r="AL2064" t="s">
        <v>5011</v>
      </c>
      <c r="AM2064">
        <v>27432</v>
      </c>
      <c r="AS2064">
        <v>0.85</v>
      </c>
      <c r="AT2064" t="s">
        <v>476</v>
      </c>
      <c r="AU2064" t="s">
        <v>25244</v>
      </c>
      <c r="AW2064" t="s">
        <v>11447</v>
      </c>
    </row>
    <row r="2065" spans="1:49">
      <c r="A2065" s="1">
        <f>HYPERLINK("https://lsnyc.legalserver.org/matter/dynamic-profile/view/1884245","18-1884245")</f>
        <v>0</v>
      </c>
      <c r="B2065" t="s">
        <v>148</v>
      </c>
      <c r="C2065" t="s">
        <v>600</v>
      </c>
      <c r="E2065" t="s">
        <v>2167</v>
      </c>
      <c r="F2065" t="s">
        <v>3569</v>
      </c>
      <c r="G2065" t="s">
        <v>7760</v>
      </c>
      <c r="H2065" t="s">
        <v>10450</v>
      </c>
      <c r="I2065" t="s">
        <v>11384</v>
      </c>
      <c r="J2065">
        <v>10304</v>
      </c>
      <c r="K2065" t="s">
        <v>11447</v>
      </c>
      <c r="M2065" t="s">
        <v>14744</v>
      </c>
      <c r="P2065" t="s">
        <v>14797</v>
      </c>
      <c r="Q2065" t="s">
        <v>11446</v>
      </c>
      <c r="S2065" t="s">
        <v>14827</v>
      </c>
      <c r="T2065" t="s">
        <v>14833</v>
      </c>
      <c r="V2065">
        <v>1615</v>
      </c>
      <c r="W2065" t="s">
        <v>14862</v>
      </c>
      <c r="X2065" t="s">
        <v>14865</v>
      </c>
      <c r="Z2065" t="s">
        <v>16661</v>
      </c>
      <c r="AB2065" t="s">
        <v>21697</v>
      </c>
      <c r="AC2065">
        <v>0</v>
      </c>
      <c r="AD2065" t="s">
        <v>24599</v>
      </c>
      <c r="AE2065" t="s">
        <v>24616</v>
      </c>
      <c r="AF2065">
        <v>1</v>
      </c>
      <c r="AG2065">
        <v>1</v>
      </c>
      <c r="AH2065">
        <v>2</v>
      </c>
      <c r="AI2065">
        <v>107.6</v>
      </c>
      <c r="AL2065" t="s">
        <v>5011</v>
      </c>
      <c r="AM2065">
        <v>22360</v>
      </c>
      <c r="AS2065">
        <v>4.4</v>
      </c>
      <c r="AT2065" t="s">
        <v>534</v>
      </c>
      <c r="AU2065" t="s">
        <v>25295</v>
      </c>
      <c r="AW2065" t="s">
        <v>11446</v>
      </c>
    </row>
    <row r="2066" spans="1:49">
      <c r="A2066" s="1">
        <f>HYPERLINK("https://lsnyc.legalserver.org/matter/dynamic-profile/view/1910181","19-1910181")</f>
        <v>0</v>
      </c>
      <c r="B2066" t="s">
        <v>67</v>
      </c>
      <c r="C2066" t="s">
        <v>528</v>
      </c>
      <c r="E2066" t="s">
        <v>2168</v>
      </c>
      <c r="F2066" t="s">
        <v>4716</v>
      </c>
      <c r="G2066" t="s">
        <v>7595</v>
      </c>
      <c r="H2066" t="s">
        <v>10481</v>
      </c>
      <c r="I2066" t="s">
        <v>11383</v>
      </c>
      <c r="J2066">
        <v>10456</v>
      </c>
      <c r="K2066" t="s">
        <v>11446</v>
      </c>
      <c r="M2066" t="s">
        <v>14762</v>
      </c>
      <c r="N2066" t="s">
        <v>14783</v>
      </c>
      <c r="P2066" t="s">
        <v>14797</v>
      </c>
      <c r="Q2066" t="s">
        <v>11446</v>
      </c>
      <c r="S2066" t="s">
        <v>14827</v>
      </c>
      <c r="V2066">
        <v>1451.25</v>
      </c>
      <c r="W2066" t="s">
        <v>14858</v>
      </c>
      <c r="X2066" t="s">
        <v>14864</v>
      </c>
      <c r="Z2066" t="s">
        <v>16662</v>
      </c>
      <c r="AC2066">
        <v>30</v>
      </c>
      <c r="AD2066" t="s">
        <v>11479</v>
      </c>
      <c r="AE2066" t="s">
        <v>11459</v>
      </c>
      <c r="AF2066">
        <v>19</v>
      </c>
      <c r="AG2066">
        <v>3</v>
      </c>
      <c r="AH2066">
        <v>1</v>
      </c>
      <c r="AI2066">
        <v>108.52</v>
      </c>
      <c r="AL2066" t="s">
        <v>5011</v>
      </c>
      <c r="AM2066">
        <v>27944</v>
      </c>
      <c r="AS2066">
        <v>0</v>
      </c>
      <c r="AU2066" t="s">
        <v>25242</v>
      </c>
      <c r="AV2066" t="s">
        <v>25335</v>
      </c>
      <c r="AW2066" t="s">
        <v>11447</v>
      </c>
    </row>
    <row r="2067" spans="1:49">
      <c r="A2067" s="1">
        <f>HYPERLINK("https://lsnyc.legalserver.org/matter/dynamic-profile/view/1910176","19-1910176")</f>
        <v>0</v>
      </c>
      <c r="B2067" t="s">
        <v>67</v>
      </c>
      <c r="C2067" t="s">
        <v>528</v>
      </c>
      <c r="E2067" t="s">
        <v>2168</v>
      </c>
      <c r="F2067" t="s">
        <v>4716</v>
      </c>
      <c r="G2067" t="s">
        <v>7595</v>
      </c>
      <c r="H2067" t="s">
        <v>10481</v>
      </c>
      <c r="I2067" t="s">
        <v>11383</v>
      </c>
      <c r="J2067">
        <v>10456</v>
      </c>
      <c r="K2067" t="s">
        <v>11446</v>
      </c>
      <c r="L2067" t="s">
        <v>12028</v>
      </c>
      <c r="M2067" t="s">
        <v>14746</v>
      </c>
      <c r="N2067" t="s">
        <v>14781</v>
      </c>
      <c r="P2067" t="s">
        <v>14797</v>
      </c>
      <c r="Q2067" t="s">
        <v>11446</v>
      </c>
      <c r="S2067" t="s">
        <v>14827</v>
      </c>
      <c r="V2067">
        <v>1451.25</v>
      </c>
      <c r="W2067" t="s">
        <v>14858</v>
      </c>
      <c r="X2067" t="s">
        <v>14864</v>
      </c>
      <c r="Z2067" t="s">
        <v>16662</v>
      </c>
      <c r="AC2067">
        <v>30</v>
      </c>
      <c r="AD2067" t="s">
        <v>11479</v>
      </c>
      <c r="AE2067" t="s">
        <v>11459</v>
      </c>
      <c r="AF2067">
        <v>19</v>
      </c>
      <c r="AG2067">
        <v>3</v>
      </c>
      <c r="AH2067">
        <v>1</v>
      </c>
      <c r="AI2067">
        <v>108.52</v>
      </c>
      <c r="AL2067" t="s">
        <v>5011</v>
      </c>
      <c r="AM2067">
        <v>27944</v>
      </c>
      <c r="AS2067">
        <v>0</v>
      </c>
      <c r="AU2067" t="s">
        <v>25242</v>
      </c>
      <c r="AV2067" t="s">
        <v>25335</v>
      </c>
      <c r="AW2067" t="s">
        <v>11447</v>
      </c>
    </row>
    <row r="2068" spans="1:49">
      <c r="A2068" s="1">
        <f>HYPERLINK("https://lsnyc.legalserver.org/matter/dynamic-profile/view/1913789","19-1913789")</f>
        <v>0</v>
      </c>
      <c r="B2068" t="s">
        <v>67</v>
      </c>
      <c r="C2068" t="s">
        <v>533</v>
      </c>
      <c r="E2068" t="s">
        <v>2169</v>
      </c>
      <c r="F2068" t="s">
        <v>3848</v>
      </c>
      <c r="G2068" t="s">
        <v>7638</v>
      </c>
      <c r="H2068" t="s">
        <v>10509</v>
      </c>
      <c r="I2068" t="s">
        <v>11383</v>
      </c>
      <c r="J2068">
        <v>10452</v>
      </c>
      <c r="K2068" t="s">
        <v>11446</v>
      </c>
      <c r="M2068" t="s">
        <v>14746</v>
      </c>
      <c r="P2068" t="s">
        <v>14797</v>
      </c>
      <c r="Q2068" t="s">
        <v>11446</v>
      </c>
      <c r="S2068" t="s">
        <v>14827</v>
      </c>
      <c r="V2068">
        <v>1318</v>
      </c>
      <c r="W2068" t="s">
        <v>14858</v>
      </c>
      <c r="X2068" t="s">
        <v>14864</v>
      </c>
      <c r="Z2068" t="s">
        <v>15255</v>
      </c>
      <c r="AB2068" t="s">
        <v>21698</v>
      </c>
      <c r="AC2068">
        <v>67</v>
      </c>
      <c r="AD2068" t="s">
        <v>24600</v>
      </c>
      <c r="AE2068" t="s">
        <v>11459</v>
      </c>
      <c r="AF2068">
        <v>20</v>
      </c>
      <c r="AG2068">
        <v>5</v>
      </c>
      <c r="AH2068">
        <v>0</v>
      </c>
      <c r="AI2068">
        <v>109.38</v>
      </c>
      <c r="AL2068" t="s">
        <v>24632</v>
      </c>
      <c r="AM2068">
        <v>33000</v>
      </c>
      <c r="AS2068">
        <v>0</v>
      </c>
      <c r="AU2068" t="s">
        <v>25242</v>
      </c>
      <c r="AV2068" t="s">
        <v>25335</v>
      </c>
      <c r="AW2068" t="s">
        <v>11447</v>
      </c>
    </row>
    <row r="2069" spans="1:49">
      <c r="A2069" s="1">
        <f>HYPERLINK("https://lsnyc.legalserver.org/matter/dynamic-profile/view/1900865","19-1900865")</f>
        <v>0</v>
      </c>
      <c r="B2069" t="s">
        <v>177</v>
      </c>
      <c r="C2069" t="s">
        <v>351</v>
      </c>
      <c r="E2069" t="s">
        <v>1771</v>
      </c>
      <c r="F2069" t="s">
        <v>3603</v>
      </c>
      <c r="G2069" t="s">
        <v>7761</v>
      </c>
      <c r="H2069" t="s">
        <v>10920</v>
      </c>
      <c r="I2069" t="s">
        <v>11385</v>
      </c>
      <c r="J2069">
        <v>11225</v>
      </c>
      <c r="K2069" t="s">
        <v>11447</v>
      </c>
      <c r="P2069" t="s">
        <v>14797</v>
      </c>
      <c r="S2069" t="s">
        <v>14827</v>
      </c>
      <c r="V2069">
        <v>0</v>
      </c>
      <c r="W2069" t="s">
        <v>14859</v>
      </c>
      <c r="Z2069" t="s">
        <v>16663</v>
      </c>
      <c r="AB2069" t="s">
        <v>21699</v>
      </c>
      <c r="AC2069">
        <v>0</v>
      </c>
      <c r="AF2069">
        <v>0</v>
      </c>
      <c r="AG2069">
        <v>1</v>
      </c>
      <c r="AH2069">
        <v>2</v>
      </c>
      <c r="AI2069">
        <v>109.7</v>
      </c>
      <c r="AL2069" t="s">
        <v>5011</v>
      </c>
      <c r="AM2069">
        <v>23400</v>
      </c>
      <c r="AS2069">
        <v>1</v>
      </c>
      <c r="AT2069" t="s">
        <v>351</v>
      </c>
      <c r="AU2069" t="s">
        <v>177</v>
      </c>
      <c r="AW2069" t="s">
        <v>11447</v>
      </c>
    </row>
    <row r="2070" spans="1:49">
      <c r="A2070" s="1">
        <f>HYPERLINK("https://lsnyc.legalserver.org/matter/dynamic-profile/view/1906890","19-1906890")</f>
        <v>0</v>
      </c>
      <c r="B2070" t="s">
        <v>117</v>
      </c>
      <c r="C2070" t="s">
        <v>373</v>
      </c>
      <c r="E2070" t="s">
        <v>1847</v>
      </c>
      <c r="F2070" t="s">
        <v>4717</v>
      </c>
      <c r="G2070" t="s">
        <v>6790</v>
      </c>
      <c r="H2070" t="s">
        <v>10921</v>
      </c>
      <c r="I2070" t="s">
        <v>11384</v>
      </c>
      <c r="J2070">
        <v>10304</v>
      </c>
      <c r="K2070" t="s">
        <v>11447</v>
      </c>
      <c r="P2070" t="s">
        <v>14797</v>
      </c>
      <c r="S2070" t="s">
        <v>14827</v>
      </c>
      <c r="V2070">
        <v>0</v>
      </c>
      <c r="W2070" t="s">
        <v>14862</v>
      </c>
      <c r="Z2070" t="s">
        <v>16664</v>
      </c>
      <c r="AB2070" t="s">
        <v>21700</v>
      </c>
      <c r="AC2070">
        <v>0</v>
      </c>
      <c r="AF2070">
        <v>0</v>
      </c>
      <c r="AG2070">
        <v>1</v>
      </c>
      <c r="AH2070">
        <v>3</v>
      </c>
      <c r="AI2070">
        <v>111.07</v>
      </c>
      <c r="AL2070" t="s">
        <v>5011</v>
      </c>
      <c r="AM2070">
        <v>28600</v>
      </c>
      <c r="AS2070">
        <v>13.4</v>
      </c>
      <c r="AT2070" t="s">
        <v>526</v>
      </c>
      <c r="AU2070" t="s">
        <v>25271</v>
      </c>
      <c r="AW2070" t="s">
        <v>11447</v>
      </c>
    </row>
    <row r="2071" spans="1:49">
      <c r="A2071" s="1">
        <f>HYPERLINK("https://lsnyc.legalserver.org/matter/dynamic-profile/view/1892749","19-1892749")</f>
        <v>0</v>
      </c>
      <c r="B2071" t="s">
        <v>208</v>
      </c>
      <c r="C2071" t="s">
        <v>702</v>
      </c>
      <c r="E2071" t="s">
        <v>2170</v>
      </c>
      <c r="F2071" t="s">
        <v>4718</v>
      </c>
      <c r="G2071" t="s">
        <v>7762</v>
      </c>
      <c r="H2071">
        <v>6</v>
      </c>
      <c r="I2071" t="s">
        <v>11386</v>
      </c>
      <c r="J2071">
        <v>10031</v>
      </c>
      <c r="K2071" t="s">
        <v>11447</v>
      </c>
      <c r="N2071" t="s">
        <v>14781</v>
      </c>
      <c r="P2071" t="s">
        <v>14797</v>
      </c>
      <c r="Q2071" t="s">
        <v>11446</v>
      </c>
      <c r="S2071" t="s">
        <v>14827</v>
      </c>
      <c r="T2071" t="s">
        <v>14832</v>
      </c>
      <c r="V2071">
        <v>1400</v>
      </c>
      <c r="W2071" t="s">
        <v>14860</v>
      </c>
      <c r="Z2071" t="s">
        <v>15042</v>
      </c>
      <c r="AB2071" t="s">
        <v>21701</v>
      </c>
      <c r="AC2071">
        <v>0</v>
      </c>
      <c r="AE2071" t="s">
        <v>24610</v>
      </c>
      <c r="AF2071">
        <v>15</v>
      </c>
      <c r="AG2071">
        <v>3</v>
      </c>
      <c r="AH2071">
        <v>2</v>
      </c>
      <c r="AI2071">
        <v>111.13</v>
      </c>
      <c r="AM2071">
        <v>33528</v>
      </c>
      <c r="AS2071">
        <v>3.3</v>
      </c>
      <c r="AT2071" t="s">
        <v>773</v>
      </c>
      <c r="AU2071" t="s">
        <v>118</v>
      </c>
      <c r="AW2071" t="s">
        <v>11447</v>
      </c>
    </row>
    <row r="2072" spans="1:49">
      <c r="A2072" s="1">
        <f>HYPERLINK("https://lsnyc.legalserver.org/matter/dynamic-profile/view/1910707","19-1910707")</f>
        <v>0</v>
      </c>
      <c r="B2072" t="s">
        <v>109</v>
      </c>
      <c r="C2072" t="s">
        <v>663</v>
      </c>
      <c r="E2072" t="s">
        <v>2145</v>
      </c>
      <c r="F2072" t="s">
        <v>3584</v>
      </c>
      <c r="G2072" t="s">
        <v>7417</v>
      </c>
      <c r="H2072" t="s">
        <v>10922</v>
      </c>
      <c r="I2072" t="s">
        <v>11385</v>
      </c>
      <c r="J2072">
        <v>11238</v>
      </c>
      <c r="K2072" t="s">
        <v>11447</v>
      </c>
      <c r="N2072" t="s">
        <v>14780</v>
      </c>
      <c r="P2072" t="s">
        <v>14797</v>
      </c>
      <c r="S2072" t="s">
        <v>14827</v>
      </c>
      <c r="V2072">
        <v>0</v>
      </c>
      <c r="W2072" t="s">
        <v>14859</v>
      </c>
      <c r="Z2072" t="s">
        <v>16665</v>
      </c>
      <c r="AC2072">
        <v>0</v>
      </c>
      <c r="AF2072">
        <v>0</v>
      </c>
      <c r="AG2072">
        <v>1</v>
      </c>
      <c r="AH2072">
        <v>0</v>
      </c>
      <c r="AI2072">
        <v>112.09</v>
      </c>
      <c r="AL2072" t="s">
        <v>5011</v>
      </c>
      <c r="AM2072">
        <v>14000</v>
      </c>
      <c r="AS2072">
        <v>14.4</v>
      </c>
      <c r="AT2072" t="s">
        <v>533</v>
      </c>
      <c r="AU2072" t="s">
        <v>177</v>
      </c>
      <c r="AW2072" t="s">
        <v>11447</v>
      </c>
    </row>
    <row r="2073" spans="1:49">
      <c r="A2073" s="1">
        <f>HYPERLINK("https://lsnyc.legalserver.org/matter/dynamic-profile/view/1893564","19-1893564")</f>
        <v>0</v>
      </c>
      <c r="B2073" t="s">
        <v>216</v>
      </c>
      <c r="C2073" t="s">
        <v>629</v>
      </c>
      <c r="E2073" t="s">
        <v>1634</v>
      </c>
      <c r="F2073" t="s">
        <v>1227</v>
      </c>
      <c r="G2073" t="s">
        <v>7763</v>
      </c>
      <c r="H2073" t="s">
        <v>10594</v>
      </c>
      <c r="I2073" t="s">
        <v>11386</v>
      </c>
      <c r="J2073">
        <v>10034</v>
      </c>
      <c r="K2073" t="s">
        <v>11447</v>
      </c>
      <c r="L2073" t="s">
        <v>12127</v>
      </c>
      <c r="M2073" t="s">
        <v>14744</v>
      </c>
      <c r="N2073" t="s">
        <v>14778</v>
      </c>
      <c r="P2073" t="s">
        <v>14797</v>
      </c>
      <c r="S2073" t="s">
        <v>14827</v>
      </c>
      <c r="V2073">
        <v>1250</v>
      </c>
      <c r="W2073" t="s">
        <v>14860</v>
      </c>
      <c r="X2073" t="s">
        <v>14868</v>
      </c>
      <c r="Z2073" t="s">
        <v>16666</v>
      </c>
      <c r="AB2073" t="s">
        <v>21702</v>
      </c>
      <c r="AC2073">
        <v>33</v>
      </c>
      <c r="AD2073" t="s">
        <v>24599</v>
      </c>
      <c r="AE2073" t="s">
        <v>24610</v>
      </c>
      <c r="AF2073">
        <v>15</v>
      </c>
      <c r="AG2073">
        <v>1</v>
      </c>
      <c r="AH2073">
        <v>0</v>
      </c>
      <c r="AI2073">
        <v>112.27</v>
      </c>
      <c r="AL2073" t="s">
        <v>5011</v>
      </c>
      <c r="AM2073">
        <v>14022</v>
      </c>
      <c r="AS2073">
        <v>2.6</v>
      </c>
      <c r="AT2073" t="s">
        <v>658</v>
      </c>
      <c r="AU2073" t="s">
        <v>25226</v>
      </c>
      <c r="AW2073" t="s">
        <v>11447</v>
      </c>
    </row>
    <row r="2074" spans="1:49">
      <c r="A2074" s="1">
        <f>HYPERLINK("https://lsnyc.legalserver.org/matter/dynamic-profile/view/1915200","19-1915200")</f>
        <v>0</v>
      </c>
      <c r="B2074" t="s">
        <v>171</v>
      </c>
      <c r="C2074" t="s">
        <v>703</v>
      </c>
      <c r="E2074" t="s">
        <v>1828</v>
      </c>
      <c r="F2074" t="s">
        <v>3675</v>
      </c>
      <c r="G2074" t="s">
        <v>7764</v>
      </c>
      <c r="H2074" t="s">
        <v>10923</v>
      </c>
      <c r="I2074" t="s">
        <v>11390</v>
      </c>
      <c r="J2074">
        <v>11368</v>
      </c>
      <c r="K2074" t="s">
        <v>11447</v>
      </c>
      <c r="L2074" t="s">
        <v>12128</v>
      </c>
      <c r="M2074" t="s">
        <v>14743</v>
      </c>
      <c r="N2074" t="s">
        <v>14781</v>
      </c>
      <c r="P2074" t="s">
        <v>14797</v>
      </c>
      <c r="Q2074" t="s">
        <v>11448</v>
      </c>
      <c r="S2074" t="s">
        <v>14827</v>
      </c>
      <c r="V2074">
        <v>1188.26</v>
      </c>
      <c r="W2074" t="s">
        <v>14861</v>
      </c>
      <c r="Z2074" t="s">
        <v>16667</v>
      </c>
      <c r="AB2074" t="s">
        <v>21703</v>
      </c>
      <c r="AC2074">
        <v>0</v>
      </c>
      <c r="AD2074" t="s">
        <v>24595</v>
      </c>
      <c r="AF2074">
        <v>22</v>
      </c>
      <c r="AG2074">
        <v>2</v>
      </c>
      <c r="AH2074">
        <v>0</v>
      </c>
      <c r="AI2074">
        <v>112.36</v>
      </c>
      <c r="AL2074" t="s">
        <v>24632</v>
      </c>
      <c r="AM2074">
        <v>19000</v>
      </c>
      <c r="AS2074">
        <v>16.05</v>
      </c>
      <c r="AT2074" t="s">
        <v>654</v>
      </c>
      <c r="AU2074" t="s">
        <v>171</v>
      </c>
      <c r="AW2074" t="s">
        <v>11447</v>
      </c>
    </row>
    <row r="2075" spans="1:49">
      <c r="A2075" s="1">
        <f>HYPERLINK("https://lsnyc.legalserver.org/matter/dynamic-profile/view/1895579","19-1895579")</f>
        <v>0</v>
      </c>
      <c r="B2075" t="s">
        <v>168</v>
      </c>
      <c r="C2075" t="s">
        <v>658</v>
      </c>
      <c r="E2075" t="s">
        <v>2171</v>
      </c>
      <c r="F2075" t="s">
        <v>4719</v>
      </c>
      <c r="G2075" t="s">
        <v>7765</v>
      </c>
      <c r="I2075" t="s">
        <v>11384</v>
      </c>
      <c r="J2075">
        <v>10305</v>
      </c>
      <c r="K2075" t="s">
        <v>11446</v>
      </c>
      <c r="L2075" t="s">
        <v>12129</v>
      </c>
      <c r="M2075" t="s">
        <v>14743</v>
      </c>
      <c r="P2075" t="s">
        <v>14797</v>
      </c>
      <c r="Q2075" t="s">
        <v>11448</v>
      </c>
      <c r="S2075" t="s">
        <v>14827</v>
      </c>
      <c r="V2075">
        <v>0</v>
      </c>
      <c r="W2075" t="s">
        <v>14862</v>
      </c>
      <c r="X2075" t="s">
        <v>14755</v>
      </c>
      <c r="Z2075" t="s">
        <v>16668</v>
      </c>
      <c r="AB2075" t="s">
        <v>21704</v>
      </c>
      <c r="AC2075">
        <v>1</v>
      </c>
      <c r="AD2075" t="s">
        <v>24600</v>
      </c>
      <c r="AE2075" t="s">
        <v>11459</v>
      </c>
      <c r="AF2075">
        <v>10</v>
      </c>
      <c r="AG2075">
        <v>4</v>
      </c>
      <c r="AH2075">
        <v>2</v>
      </c>
      <c r="AI2075">
        <v>112.75</v>
      </c>
      <c r="AL2075" t="s">
        <v>5011</v>
      </c>
      <c r="AM2075">
        <v>39000</v>
      </c>
      <c r="AS2075">
        <v>16.75</v>
      </c>
      <c r="AT2075" t="s">
        <v>495</v>
      </c>
      <c r="AU2075" t="s">
        <v>25283</v>
      </c>
      <c r="AV2075" t="s">
        <v>25335</v>
      </c>
      <c r="AW2075" t="s">
        <v>11447</v>
      </c>
    </row>
    <row r="2076" spans="1:49">
      <c r="A2076" s="1">
        <f>HYPERLINK("https://lsnyc.legalserver.org/matter/dynamic-profile/view/1902984","19-1902984")</f>
        <v>0</v>
      </c>
      <c r="B2076" t="s">
        <v>92</v>
      </c>
      <c r="C2076" t="s">
        <v>659</v>
      </c>
      <c r="E2076" t="s">
        <v>1372</v>
      </c>
      <c r="F2076" t="s">
        <v>3699</v>
      </c>
      <c r="G2076" t="s">
        <v>6443</v>
      </c>
      <c r="H2076" t="s">
        <v>10924</v>
      </c>
      <c r="I2076" t="s">
        <v>11383</v>
      </c>
      <c r="J2076">
        <v>10460</v>
      </c>
      <c r="K2076" t="s">
        <v>11447</v>
      </c>
      <c r="L2076" t="s">
        <v>12130</v>
      </c>
      <c r="M2076" t="s">
        <v>14744</v>
      </c>
      <c r="N2076" t="s">
        <v>14781</v>
      </c>
      <c r="P2076" t="s">
        <v>14797</v>
      </c>
      <c r="Q2076" t="s">
        <v>11448</v>
      </c>
      <c r="S2076" t="s">
        <v>14827</v>
      </c>
      <c r="V2076">
        <v>343</v>
      </c>
      <c r="W2076" t="s">
        <v>14858</v>
      </c>
      <c r="X2076" t="s">
        <v>14868</v>
      </c>
      <c r="Z2076" t="s">
        <v>16669</v>
      </c>
      <c r="AC2076">
        <v>169</v>
      </c>
      <c r="AE2076" t="s">
        <v>24610</v>
      </c>
      <c r="AF2076">
        <v>1</v>
      </c>
      <c r="AG2076">
        <v>1</v>
      </c>
      <c r="AH2076">
        <v>0</v>
      </c>
      <c r="AI2076">
        <v>112.89</v>
      </c>
      <c r="AL2076" t="s">
        <v>24632</v>
      </c>
      <c r="AM2076">
        <v>14100</v>
      </c>
      <c r="AN2076" t="s">
        <v>24747</v>
      </c>
      <c r="AS2076">
        <v>4.2</v>
      </c>
      <c r="AT2076" t="s">
        <v>601</v>
      </c>
      <c r="AU2076" t="s">
        <v>237</v>
      </c>
      <c r="AW2076" t="s">
        <v>11447</v>
      </c>
    </row>
    <row r="2077" spans="1:49">
      <c r="A2077" s="1">
        <f>HYPERLINK("https://lsnyc.legalserver.org/matter/dynamic-profile/view/1912900","19-1912900")</f>
        <v>0</v>
      </c>
      <c r="B2077" t="s">
        <v>67</v>
      </c>
      <c r="C2077" t="s">
        <v>574</v>
      </c>
      <c r="E2077" t="s">
        <v>2172</v>
      </c>
      <c r="F2077" t="s">
        <v>2002</v>
      </c>
      <c r="G2077" t="s">
        <v>7458</v>
      </c>
      <c r="H2077" t="s">
        <v>10529</v>
      </c>
      <c r="I2077" t="s">
        <v>11383</v>
      </c>
      <c r="J2077">
        <v>10458</v>
      </c>
      <c r="K2077" t="s">
        <v>11446</v>
      </c>
      <c r="M2077" t="s">
        <v>14746</v>
      </c>
      <c r="N2077" t="s">
        <v>14781</v>
      </c>
      <c r="P2077" t="s">
        <v>14797</v>
      </c>
      <c r="Q2077" t="s">
        <v>11446</v>
      </c>
      <c r="S2077" t="s">
        <v>14827</v>
      </c>
      <c r="V2077">
        <v>1541</v>
      </c>
      <c r="W2077" t="s">
        <v>14858</v>
      </c>
      <c r="X2077" t="s">
        <v>14864</v>
      </c>
      <c r="Z2077" t="s">
        <v>16670</v>
      </c>
      <c r="AC2077">
        <v>94</v>
      </c>
      <c r="AD2077" t="s">
        <v>11479</v>
      </c>
      <c r="AE2077" t="s">
        <v>11459</v>
      </c>
      <c r="AF2077">
        <v>9</v>
      </c>
      <c r="AG2077">
        <v>1</v>
      </c>
      <c r="AH2077">
        <v>1</v>
      </c>
      <c r="AI2077">
        <v>113.12</v>
      </c>
      <c r="AL2077" t="s">
        <v>5011</v>
      </c>
      <c r="AM2077">
        <v>19128</v>
      </c>
      <c r="AS2077">
        <v>0</v>
      </c>
      <c r="AU2077" t="s">
        <v>25242</v>
      </c>
      <c r="AV2077" t="s">
        <v>25335</v>
      </c>
      <c r="AW2077" t="s">
        <v>11447</v>
      </c>
    </row>
    <row r="2078" spans="1:49">
      <c r="A2078" s="1">
        <f>HYPERLINK("https://lsnyc.legalserver.org/matter/dynamic-profile/view/1911925","19-1911925")</f>
        <v>0</v>
      </c>
      <c r="B2078" t="s">
        <v>67</v>
      </c>
      <c r="C2078" t="s">
        <v>586</v>
      </c>
      <c r="E2078" t="s">
        <v>2173</v>
      </c>
      <c r="F2078" t="s">
        <v>4158</v>
      </c>
      <c r="G2078" t="s">
        <v>7458</v>
      </c>
      <c r="H2078" t="s">
        <v>10485</v>
      </c>
      <c r="I2078" t="s">
        <v>11383</v>
      </c>
      <c r="J2078">
        <v>10458</v>
      </c>
      <c r="K2078" t="s">
        <v>11446</v>
      </c>
      <c r="M2078" t="s">
        <v>14746</v>
      </c>
      <c r="N2078" t="s">
        <v>14781</v>
      </c>
      <c r="P2078" t="s">
        <v>14797</v>
      </c>
      <c r="Q2078" t="s">
        <v>11446</v>
      </c>
      <c r="S2078" t="s">
        <v>14827</v>
      </c>
      <c r="V2078">
        <v>641.5599999999999</v>
      </c>
      <c r="W2078" t="s">
        <v>14858</v>
      </c>
      <c r="X2078" t="s">
        <v>14864</v>
      </c>
      <c r="Z2078" t="s">
        <v>16671</v>
      </c>
      <c r="AB2078" t="s">
        <v>21705</v>
      </c>
      <c r="AC2078">
        <v>94</v>
      </c>
      <c r="AD2078" t="s">
        <v>11479</v>
      </c>
      <c r="AE2078" t="s">
        <v>24613</v>
      </c>
      <c r="AF2078">
        <v>30</v>
      </c>
      <c r="AG2078">
        <v>1</v>
      </c>
      <c r="AH2078">
        <v>0</v>
      </c>
      <c r="AI2078">
        <v>115</v>
      </c>
      <c r="AL2078" t="s">
        <v>5011</v>
      </c>
      <c r="AM2078">
        <v>14364</v>
      </c>
      <c r="AS2078">
        <v>34</v>
      </c>
      <c r="AT2078" t="s">
        <v>654</v>
      </c>
      <c r="AU2078" t="s">
        <v>25242</v>
      </c>
      <c r="AV2078" t="s">
        <v>25335</v>
      </c>
      <c r="AW2078" t="s">
        <v>11447</v>
      </c>
    </row>
    <row r="2079" spans="1:49">
      <c r="A2079" s="1">
        <f>HYPERLINK("https://lsnyc.legalserver.org/matter/dynamic-profile/view/1904796","19-1904796")</f>
        <v>0</v>
      </c>
      <c r="B2079" t="s">
        <v>90</v>
      </c>
      <c r="C2079" t="s">
        <v>345</v>
      </c>
      <c r="E2079" t="s">
        <v>1634</v>
      </c>
      <c r="F2079" t="s">
        <v>4486</v>
      </c>
      <c r="G2079" t="s">
        <v>7766</v>
      </c>
      <c r="H2079">
        <v>25</v>
      </c>
      <c r="I2079" t="s">
        <v>11383</v>
      </c>
      <c r="J2079">
        <v>10458</v>
      </c>
      <c r="K2079" t="s">
        <v>11446</v>
      </c>
      <c r="L2079" t="s">
        <v>12131</v>
      </c>
      <c r="M2079" t="s">
        <v>14762</v>
      </c>
      <c r="N2079" t="s">
        <v>14783</v>
      </c>
      <c r="P2079" t="s">
        <v>14797</v>
      </c>
      <c r="Q2079" t="s">
        <v>11446</v>
      </c>
      <c r="S2079" t="s">
        <v>14827</v>
      </c>
      <c r="V2079">
        <v>1300</v>
      </c>
      <c r="W2079" t="s">
        <v>14858</v>
      </c>
      <c r="X2079" t="s">
        <v>14864</v>
      </c>
      <c r="Z2079" t="s">
        <v>15238</v>
      </c>
      <c r="AA2079" t="s">
        <v>19497</v>
      </c>
      <c r="AC2079">
        <v>48</v>
      </c>
      <c r="AD2079" t="s">
        <v>24595</v>
      </c>
      <c r="AE2079" t="s">
        <v>14755</v>
      </c>
      <c r="AF2079">
        <v>10</v>
      </c>
      <c r="AG2079">
        <v>1</v>
      </c>
      <c r="AH2079">
        <v>0</v>
      </c>
      <c r="AI2079">
        <v>115.29</v>
      </c>
      <c r="AL2079" t="s">
        <v>5011</v>
      </c>
      <c r="AM2079">
        <v>14400</v>
      </c>
      <c r="AS2079">
        <v>1</v>
      </c>
      <c r="AT2079" t="s">
        <v>345</v>
      </c>
      <c r="AU2079" t="s">
        <v>230</v>
      </c>
      <c r="AV2079" t="s">
        <v>25334</v>
      </c>
      <c r="AW2079" t="s">
        <v>11447</v>
      </c>
    </row>
    <row r="2080" spans="1:49">
      <c r="A2080" s="1">
        <f>HYPERLINK("https://lsnyc.legalserver.org/matter/dynamic-profile/view/1908590","19-1908590")</f>
        <v>0</v>
      </c>
      <c r="B2080" t="s">
        <v>116</v>
      </c>
      <c r="C2080" t="s">
        <v>497</v>
      </c>
      <c r="E2080" t="s">
        <v>1663</v>
      </c>
      <c r="F2080" t="s">
        <v>4720</v>
      </c>
      <c r="G2080" t="s">
        <v>7767</v>
      </c>
      <c r="H2080">
        <v>205</v>
      </c>
      <c r="I2080" t="s">
        <v>11383</v>
      </c>
      <c r="J2080">
        <v>10453</v>
      </c>
      <c r="K2080" t="s">
        <v>11448</v>
      </c>
      <c r="L2080" t="s">
        <v>12132</v>
      </c>
      <c r="M2080" t="s">
        <v>14744</v>
      </c>
      <c r="N2080" t="s">
        <v>14781</v>
      </c>
      <c r="P2080" t="s">
        <v>14797</v>
      </c>
      <c r="Q2080" t="s">
        <v>11448</v>
      </c>
      <c r="S2080" t="s">
        <v>14827</v>
      </c>
      <c r="T2080" t="s">
        <v>14833</v>
      </c>
      <c r="V2080">
        <v>1165</v>
      </c>
      <c r="W2080" t="s">
        <v>14858</v>
      </c>
      <c r="X2080" t="s">
        <v>14865</v>
      </c>
      <c r="Z2080" t="s">
        <v>16055</v>
      </c>
      <c r="AA2080" t="s">
        <v>19498</v>
      </c>
      <c r="AB2080" t="s">
        <v>21706</v>
      </c>
      <c r="AC2080">
        <v>55</v>
      </c>
      <c r="AD2080" t="s">
        <v>24595</v>
      </c>
      <c r="AE2080" t="s">
        <v>24616</v>
      </c>
      <c r="AF2080">
        <v>2</v>
      </c>
      <c r="AG2080">
        <v>2</v>
      </c>
      <c r="AH2080">
        <v>3</v>
      </c>
      <c r="AI2080">
        <v>115.62</v>
      </c>
      <c r="AM2080">
        <v>34882</v>
      </c>
      <c r="AS2080">
        <v>6.9</v>
      </c>
      <c r="AT2080" t="s">
        <v>475</v>
      </c>
      <c r="AU2080" t="s">
        <v>25242</v>
      </c>
      <c r="AV2080" t="s">
        <v>25334</v>
      </c>
      <c r="AW2080" t="s">
        <v>11447</v>
      </c>
    </row>
    <row r="2081" spans="1:49">
      <c r="A2081" s="1">
        <f>HYPERLINK("https://lsnyc.legalserver.org/matter/dynamic-profile/view/1904504","19-1904504")</f>
        <v>0</v>
      </c>
      <c r="B2081" t="s">
        <v>90</v>
      </c>
      <c r="C2081" t="s">
        <v>493</v>
      </c>
      <c r="E2081" t="s">
        <v>1247</v>
      </c>
      <c r="F2081" t="s">
        <v>4721</v>
      </c>
      <c r="G2081" t="s">
        <v>7688</v>
      </c>
      <c r="H2081" t="s">
        <v>10541</v>
      </c>
      <c r="I2081" t="s">
        <v>11383</v>
      </c>
      <c r="J2081">
        <v>10459</v>
      </c>
      <c r="K2081" t="s">
        <v>11446</v>
      </c>
      <c r="M2081" t="s">
        <v>14745</v>
      </c>
      <c r="N2081" t="s">
        <v>14780</v>
      </c>
      <c r="P2081" t="s">
        <v>14797</v>
      </c>
      <c r="Q2081" t="s">
        <v>11446</v>
      </c>
      <c r="S2081" t="s">
        <v>14831</v>
      </c>
      <c r="V2081">
        <v>466</v>
      </c>
      <c r="W2081" t="s">
        <v>14858</v>
      </c>
      <c r="X2081" t="s">
        <v>14871</v>
      </c>
      <c r="Z2081" t="s">
        <v>16672</v>
      </c>
      <c r="AB2081" t="s">
        <v>21707</v>
      </c>
      <c r="AC2081">
        <v>50</v>
      </c>
      <c r="AD2081" t="s">
        <v>24595</v>
      </c>
      <c r="AE2081" t="s">
        <v>14755</v>
      </c>
      <c r="AF2081">
        <v>1</v>
      </c>
      <c r="AG2081">
        <v>2</v>
      </c>
      <c r="AH2081">
        <v>0</v>
      </c>
      <c r="AI2081">
        <v>117.45</v>
      </c>
      <c r="AL2081" t="s">
        <v>5011</v>
      </c>
      <c r="AM2081">
        <v>19860</v>
      </c>
      <c r="AN2081" t="s">
        <v>24802</v>
      </c>
      <c r="AS2081">
        <v>5.1</v>
      </c>
      <c r="AT2081" t="s">
        <v>519</v>
      </c>
      <c r="AU2081" t="s">
        <v>90</v>
      </c>
      <c r="AV2081" t="s">
        <v>25335</v>
      </c>
      <c r="AW2081" t="s">
        <v>11447</v>
      </c>
    </row>
    <row r="2082" spans="1:49">
      <c r="A2082" s="1">
        <f>HYPERLINK("https://lsnyc.legalserver.org/matter/dynamic-profile/view/1833880","17-1833880")</f>
        <v>0</v>
      </c>
      <c r="B2082" t="s">
        <v>248</v>
      </c>
      <c r="C2082" t="s">
        <v>704</v>
      </c>
      <c r="E2082" t="s">
        <v>1163</v>
      </c>
      <c r="F2082" t="s">
        <v>3577</v>
      </c>
      <c r="G2082" t="s">
        <v>7768</v>
      </c>
      <c r="I2082" t="s">
        <v>11402</v>
      </c>
      <c r="J2082">
        <v>11413</v>
      </c>
      <c r="K2082" t="s">
        <v>11447</v>
      </c>
      <c r="L2082" t="s">
        <v>12133</v>
      </c>
      <c r="M2082" t="s">
        <v>14753</v>
      </c>
      <c r="N2082" t="s">
        <v>14783</v>
      </c>
      <c r="P2082" t="s">
        <v>14797</v>
      </c>
      <c r="S2082" t="s">
        <v>14829</v>
      </c>
      <c r="V2082">
        <v>1658</v>
      </c>
      <c r="W2082" t="s">
        <v>14861</v>
      </c>
      <c r="Z2082" t="s">
        <v>16673</v>
      </c>
      <c r="AB2082" t="s">
        <v>21708</v>
      </c>
      <c r="AC2082">
        <v>0</v>
      </c>
      <c r="AE2082" t="s">
        <v>24610</v>
      </c>
      <c r="AF2082">
        <v>0</v>
      </c>
      <c r="AG2082">
        <v>1</v>
      </c>
      <c r="AH2082">
        <v>1</v>
      </c>
      <c r="AI2082">
        <v>117.73</v>
      </c>
      <c r="AM2082">
        <v>19120</v>
      </c>
      <c r="AS2082">
        <v>11.2</v>
      </c>
      <c r="AT2082" t="s">
        <v>460</v>
      </c>
      <c r="AU2082" t="s">
        <v>25234</v>
      </c>
      <c r="AW2082" t="s">
        <v>11447</v>
      </c>
    </row>
    <row r="2083" spans="1:49">
      <c r="A2083" s="1">
        <f>HYPERLINK("https://lsnyc.legalserver.org/matter/dynamic-profile/view/1906250","19-1906250")</f>
        <v>0</v>
      </c>
      <c r="B2083" t="s">
        <v>248</v>
      </c>
      <c r="C2083" t="s">
        <v>553</v>
      </c>
      <c r="E2083" t="s">
        <v>1970</v>
      </c>
      <c r="F2083" t="s">
        <v>4637</v>
      </c>
      <c r="G2083" t="s">
        <v>7769</v>
      </c>
      <c r="H2083" t="s">
        <v>10482</v>
      </c>
      <c r="I2083" t="s">
        <v>11412</v>
      </c>
      <c r="J2083">
        <v>11101</v>
      </c>
      <c r="K2083" t="s">
        <v>11446</v>
      </c>
      <c r="L2083" t="s">
        <v>12134</v>
      </c>
      <c r="M2083" t="s">
        <v>14744</v>
      </c>
      <c r="N2083" t="s">
        <v>14782</v>
      </c>
      <c r="P2083" t="s">
        <v>14797</v>
      </c>
      <c r="Q2083" t="s">
        <v>11446</v>
      </c>
      <c r="S2083" t="s">
        <v>14827</v>
      </c>
      <c r="V2083">
        <v>997</v>
      </c>
      <c r="W2083" t="s">
        <v>14861</v>
      </c>
      <c r="X2083" t="s">
        <v>14865</v>
      </c>
      <c r="Z2083" t="s">
        <v>16674</v>
      </c>
      <c r="AA2083" t="s">
        <v>19499</v>
      </c>
      <c r="AB2083" t="s">
        <v>21709</v>
      </c>
      <c r="AC2083">
        <v>60</v>
      </c>
      <c r="AD2083" t="s">
        <v>11479</v>
      </c>
      <c r="AE2083" t="s">
        <v>11459</v>
      </c>
      <c r="AF2083">
        <v>22</v>
      </c>
      <c r="AG2083">
        <v>2</v>
      </c>
      <c r="AH2083">
        <v>0</v>
      </c>
      <c r="AI2083">
        <v>118.27</v>
      </c>
      <c r="AM2083">
        <v>20000</v>
      </c>
      <c r="AS2083">
        <v>3.93</v>
      </c>
      <c r="AT2083" t="s">
        <v>626</v>
      </c>
      <c r="AU2083" t="s">
        <v>25233</v>
      </c>
      <c r="AV2083" t="s">
        <v>25335</v>
      </c>
      <c r="AW2083" t="s">
        <v>11447</v>
      </c>
    </row>
    <row r="2084" spans="1:49">
      <c r="A2084" s="1">
        <f>HYPERLINK("https://lsnyc.legalserver.org/matter/dynamic-profile/view/1879783","18-1879783")</f>
        <v>0</v>
      </c>
      <c r="B2084" t="s">
        <v>124</v>
      </c>
      <c r="C2084" t="s">
        <v>705</v>
      </c>
      <c r="E2084" t="s">
        <v>2174</v>
      </c>
      <c r="F2084" t="s">
        <v>4722</v>
      </c>
      <c r="G2084" t="s">
        <v>7770</v>
      </c>
      <c r="H2084">
        <v>510</v>
      </c>
      <c r="I2084" t="s">
        <v>11389</v>
      </c>
      <c r="J2084">
        <v>11355</v>
      </c>
      <c r="K2084" t="s">
        <v>11448</v>
      </c>
      <c r="L2084" t="s">
        <v>11465</v>
      </c>
      <c r="M2084" t="s">
        <v>11601</v>
      </c>
      <c r="N2084" t="s">
        <v>14780</v>
      </c>
      <c r="P2084" t="s">
        <v>14797</v>
      </c>
      <c r="Q2084" t="s">
        <v>11448</v>
      </c>
      <c r="S2084" t="s">
        <v>14827</v>
      </c>
      <c r="T2084" t="s">
        <v>14832</v>
      </c>
      <c r="V2084">
        <v>1213</v>
      </c>
      <c r="W2084" t="s">
        <v>14861</v>
      </c>
      <c r="X2084" t="s">
        <v>14877</v>
      </c>
      <c r="Z2084" t="s">
        <v>16675</v>
      </c>
      <c r="AA2084" t="s">
        <v>19344</v>
      </c>
      <c r="AB2084" t="s">
        <v>21710</v>
      </c>
      <c r="AC2084">
        <v>158</v>
      </c>
      <c r="AD2084" t="s">
        <v>24595</v>
      </c>
      <c r="AE2084" t="s">
        <v>24612</v>
      </c>
      <c r="AF2084">
        <v>5</v>
      </c>
      <c r="AG2084">
        <v>1</v>
      </c>
      <c r="AH2084">
        <v>0</v>
      </c>
      <c r="AI2084">
        <v>118.81</v>
      </c>
      <c r="AL2084" t="s">
        <v>5011</v>
      </c>
      <c r="AM2084">
        <v>14424</v>
      </c>
      <c r="AS2084">
        <v>1.7</v>
      </c>
      <c r="AT2084" t="s">
        <v>14857</v>
      </c>
      <c r="AU2084" t="s">
        <v>122</v>
      </c>
      <c r="AW2084" t="s">
        <v>11448</v>
      </c>
    </row>
    <row r="2085" spans="1:49">
      <c r="A2085" s="1">
        <f>HYPERLINK("https://lsnyc.legalserver.org/matter/dynamic-profile/view/1904274","19-1904274")</f>
        <v>0</v>
      </c>
      <c r="B2085" t="s">
        <v>249</v>
      </c>
      <c r="C2085" t="s">
        <v>332</v>
      </c>
      <c r="E2085" t="s">
        <v>2175</v>
      </c>
      <c r="F2085" t="s">
        <v>4723</v>
      </c>
      <c r="G2085" t="s">
        <v>7771</v>
      </c>
      <c r="H2085" t="s">
        <v>10484</v>
      </c>
      <c r="I2085" t="s">
        <v>11386</v>
      </c>
      <c r="J2085">
        <v>10013</v>
      </c>
      <c r="K2085" t="s">
        <v>11446</v>
      </c>
      <c r="L2085" t="s">
        <v>12135</v>
      </c>
      <c r="M2085" t="s">
        <v>14743</v>
      </c>
      <c r="N2085" t="s">
        <v>14782</v>
      </c>
      <c r="P2085" t="s">
        <v>14797</v>
      </c>
      <c r="Q2085" t="s">
        <v>11448</v>
      </c>
      <c r="S2085" t="s">
        <v>14827</v>
      </c>
      <c r="V2085">
        <v>0</v>
      </c>
      <c r="W2085" t="s">
        <v>14860</v>
      </c>
      <c r="Z2085" t="s">
        <v>16676</v>
      </c>
      <c r="AB2085" t="s">
        <v>21711</v>
      </c>
      <c r="AC2085">
        <v>0</v>
      </c>
      <c r="AD2085" t="s">
        <v>24606</v>
      </c>
      <c r="AE2085" t="s">
        <v>11459</v>
      </c>
      <c r="AF2085">
        <v>0</v>
      </c>
      <c r="AG2085">
        <v>2</v>
      </c>
      <c r="AH2085">
        <v>0</v>
      </c>
      <c r="AI2085">
        <v>119.93</v>
      </c>
      <c r="AL2085" t="s">
        <v>24650</v>
      </c>
      <c r="AM2085">
        <v>20280</v>
      </c>
      <c r="AS2085">
        <v>1</v>
      </c>
      <c r="AT2085" t="s">
        <v>355</v>
      </c>
      <c r="AU2085" t="s">
        <v>153</v>
      </c>
      <c r="AV2085" t="s">
        <v>25335</v>
      </c>
      <c r="AW2085" t="s">
        <v>11447</v>
      </c>
    </row>
    <row r="2086" spans="1:49">
      <c r="A2086" s="1">
        <f>HYPERLINK("https://lsnyc.legalserver.org/matter/dynamic-profile/view/1905904","19-1905904")</f>
        <v>0</v>
      </c>
      <c r="B2086" t="s">
        <v>167</v>
      </c>
      <c r="C2086" t="s">
        <v>500</v>
      </c>
      <c r="E2086" t="s">
        <v>1783</v>
      </c>
      <c r="F2086" t="s">
        <v>1430</v>
      </c>
      <c r="G2086" t="s">
        <v>7261</v>
      </c>
      <c r="I2086" t="s">
        <v>11389</v>
      </c>
      <c r="J2086">
        <v>11354</v>
      </c>
      <c r="K2086" t="s">
        <v>11446</v>
      </c>
      <c r="L2086" t="s">
        <v>12136</v>
      </c>
      <c r="M2086" t="s">
        <v>14759</v>
      </c>
      <c r="N2086" t="s">
        <v>14781</v>
      </c>
      <c r="P2086" t="s">
        <v>14797</v>
      </c>
      <c r="Q2086" t="s">
        <v>11448</v>
      </c>
      <c r="R2086" t="s">
        <v>14797</v>
      </c>
      <c r="S2086" t="s">
        <v>14827</v>
      </c>
      <c r="T2086" t="s">
        <v>14832</v>
      </c>
      <c r="V2086">
        <v>1100</v>
      </c>
      <c r="W2086" t="s">
        <v>14861</v>
      </c>
      <c r="X2086" t="s">
        <v>14868</v>
      </c>
      <c r="Z2086" t="s">
        <v>15947</v>
      </c>
      <c r="AB2086" t="s">
        <v>21037</v>
      </c>
      <c r="AC2086">
        <v>2</v>
      </c>
      <c r="AD2086" t="s">
        <v>24600</v>
      </c>
      <c r="AE2086" t="s">
        <v>11459</v>
      </c>
      <c r="AF2086">
        <v>1</v>
      </c>
      <c r="AG2086">
        <v>1</v>
      </c>
      <c r="AH2086">
        <v>0</v>
      </c>
      <c r="AI2086">
        <v>120.1</v>
      </c>
      <c r="AL2086" t="s">
        <v>24638</v>
      </c>
      <c r="AM2086">
        <v>15000</v>
      </c>
      <c r="AS2086">
        <v>38</v>
      </c>
      <c r="AT2086" t="s">
        <v>509</v>
      </c>
      <c r="AU2086" t="s">
        <v>25226</v>
      </c>
      <c r="AV2086" t="s">
        <v>25335</v>
      </c>
      <c r="AW2086" t="s">
        <v>11447</v>
      </c>
    </row>
    <row r="2087" spans="1:49">
      <c r="A2087" s="1">
        <f>HYPERLINK("https://lsnyc.legalserver.org/matter/dynamic-profile/view/1913357","19-1913357")</f>
        <v>0</v>
      </c>
      <c r="B2087" t="s">
        <v>171</v>
      </c>
      <c r="C2087" t="s">
        <v>483</v>
      </c>
      <c r="E2087" t="s">
        <v>1059</v>
      </c>
      <c r="F2087" t="s">
        <v>3758</v>
      </c>
      <c r="G2087" t="s">
        <v>7772</v>
      </c>
      <c r="H2087" t="s">
        <v>10486</v>
      </c>
      <c r="I2087" t="s">
        <v>11402</v>
      </c>
      <c r="J2087">
        <v>11422</v>
      </c>
      <c r="K2087" t="s">
        <v>11446</v>
      </c>
      <c r="L2087" t="s">
        <v>12137</v>
      </c>
      <c r="M2087" t="s">
        <v>14743</v>
      </c>
      <c r="N2087" t="s">
        <v>14782</v>
      </c>
      <c r="P2087" t="s">
        <v>14797</v>
      </c>
      <c r="Q2087" t="s">
        <v>11448</v>
      </c>
      <c r="S2087" t="s">
        <v>14827</v>
      </c>
      <c r="V2087">
        <v>1300</v>
      </c>
      <c r="W2087" t="s">
        <v>14861</v>
      </c>
      <c r="X2087" t="s">
        <v>14865</v>
      </c>
      <c r="Z2087" t="s">
        <v>16677</v>
      </c>
      <c r="AB2087" t="s">
        <v>21712</v>
      </c>
      <c r="AC2087">
        <v>2</v>
      </c>
      <c r="AD2087" t="s">
        <v>24600</v>
      </c>
      <c r="AE2087" t="s">
        <v>24610</v>
      </c>
      <c r="AF2087">
        <v>13</v>
      </c>
      <c r="AG2087">
        <v>1</v>
      </c>
      <c r="AH2087">
        <v>0</v>
      </c>
      <c r="AI2087">
        <v>120.48</v>
      </c>
      <c r="AL2087" t="s">
        <v>5011</v>
      </c>
      <c r="AM2087">
        <v>15048</v>
      </c>
      <c r="AS2087">
        <v>1.72</v>
      </c>
      <c r="AT2087" t="s">
        <v>654</v>
      </c>
      <c r="AU2087" t="s">
        <v>25233</v>
      </c>
      <c r="AV2087" t="s">
        <v>25335</v>
      </c>
      <c r="AW2087" t="s">
        <v>11447</v>
      </c>
    </row>
    <row r="2088" spans="1:49">
      <c r="A2088" s="1">
        <f>HYPERLINK("https://lsnyc.legalserver.org/matter/dynamic-profile/view/1905134","19-1905134")</f>
        <v>0</v>
      </c>
      <c r="B2088" t="s">
        <v>84</v>
      </c>
      <c r="C2088" t="s">
        <v>456</v>
      </c>
      <c r="E2088" t="s">
        <v>2176</v>
      </c>
      <c r="F2088" t="s">
        <v>3557</v>
      </c>
      <c r="G2088" t="s">
        <v>7381</v>
      </c>
      <c r="H2088" t="s">
        <v>10611</v>
      </c>
      <c r="I2088" t="s">
        <v>11383</v>
      </c>
      <c r="J2088">
        <v>10455</v>
      </c>
      <c r="K2088" t="s">
        <v>11446</v>
      </c>
      <c r="M2088" t="s">
        <v>14762</v>
      </c>
      <c r="N2088" t="s">
        <v>14783</v>
      </c>
      <c r="P2088" t="s">
        <v>14797</v>
      </c>
      <c r="Q2088" t="s">
        <v>11446</v>
      </c>
      <c r="S2088" t="s">
        <v>14827</v>
      </c>
      <c r="V2088">
        <v>1779</v>
      </c>
      <c r="W2088" t="s">
        <v>14858</v>
      </c>
      <c r="X2088" t="s">
        <v>14868</v>
      </c>
      <c r="Z2088" t="s">
        <v>16678</v>
      </c>
      <c r="AB2088" t="s">
        <v>21713</v>
      </c>
      <c r="AC2088">
        <v>99</v>
      </c>
      <c r="AD2088" t="s">
        <v>24595</v>
      </c>
      <c r="AE2088" t="s">
        <v>24616</v>
      </c>
      <c r="AF2088">
        <v>2</v>
      </c>
      <c r="AG2088">
        <v>1</v>
      </c>
      <c r="AH2088">
        <v>4</v>
      </c>
      <c r="AI2088">
        <v>120.65</v>
      </c>
      <c r="AL2088" t="s">
        <v>5011</v>
      </c>
      <c r="AM2088">
        <v>36400</v>
      </c>
      <c r="AS2088">
        <v>0</v>
      </c>
      <c r="AU2088" t="s">
        <v>245</v>
      </c>
      <c r="AV2088" t="s">
        <v>25335</v>
      </c>
      <c r="AW2088" t="s">
        <v>11447</v>
      </c>
    </row>
    <row r="2089" spans="1:49">
      <c r="A2089" s="1">
        <f>HYPERLINK("https://lsnyc.legalserver.org/matter/dynamic-profile/view/1899850","19-1899850")</f>
        <v>0</v>
      </c>
      <c r="B2089" t="s">
        <v>84</v>
      </c>
      <c r="C2089" t="s">
        <v>370</v>
      </c>
      <c r="E2089" t="s">
        <v>2176</v>
      </c>
      <c r="F2089" t="s">
        <v>3557</v>
      </c>
      <c r="G2089" t="s">
        <v>7381</v>
      </c>
      <c r="H2089" t="s">
        <v>10611</v>
      </c>
      <c r="I2089" t="s">
        <v>11383</v>
      </c>
      <c r="J2089">
        <v>10455</v>
      </c>
      <c r="K2089" t="s">
        <v>11446</v>
      </c>
      <c r="M2089" t="s">
        <v>14746</v>
      </c>
      <c r="N2089" t="s">
        <v>14778</v>
      </c>
      <c r="P2089" t="s">
        <v>14797</v>
      </c>
      <c r="Q2089" t="s">
        <v>11446</v>
      </c>
      <c r="S2089" t="s">
        <v>14827</v>
      </c>
      <c r="V2089">
        <v>1779</v>
      </c>
      <c r="W2089" t="s">
        <v>14858</v>
      </c>
      <c r="X2089" t="s">
        <v>14864</v>
      </c>
      <c r="Z2089" t="s">
        <v>16678</v>
      </c>
      <c r="AB2089" t="s">
        <v>21713</v>
      </c>
      <c r="AC2089">
        <v>99</v>
      </c>
      <c r="AD2089" t="s">
        <v>24595</v>
      </c>
      <c r="AE2089" t="s">
        <v>24616</v>
      </c>
      <c r="AF2089">
        <v>2</v>
      </c>
      <c r="AG2089">
        <v>1</v>
      </c>
      <c r="AH2089">
        <v>4</v>
      </c>
      <c r="AI2089">
        <v>120.65</v>
      </c>
      <c r="AL2089" t="s">
        <v>5011</v>
      </c>
      <c r="AM2089">
        <v>36400</v>
      </c>
      <c r="AS2089">
        <v>0.1</v>
      </c>
      <c r="AT2089" t="s">
        <v>345</v>
      </c>
      <c r="AU2089" t="s">
        <v>245</v>
      </c>
      <c r="AV2089" t="s">
        <v>25335</v>
      </c>
      <c r="AW2089" t="s">
        <v>11447</v>
      </c>
    </row>
    <row r="2090" spans="1:49">
      <c r="A2090" s="1">
        <f>HYPERLINK("https://lsnyc.legalserver.org/matter/dynamic-profile/view/1911881","19-1911881")</f>
        <v>0</v>
      </c>
      <c r="B2090" t="s">
        <v>57</v>
      </c>
      <c r="C2090" t="s">
        <v>645</v>
      </c>
      <c r="E2090" t="s">
        <v>1426</v>
      </c>
      <c r="F2090" t="s">
        <v>4724</v>
      </c>
      <c r="G2090" t="s">
        <v>6982</v>
      </c>
      <c r="H2090" t="s">
        <v>10618</v>
      </c>
      <c r="I2090" t="s">
        <v>11383</v>
      </c>
      <c r="J2090">
        <v>10452</v>
      </c>
      <c r="K2090" t="s">
        <v>11446</v>
      </c>
      <c r="M2090" t="s">
        <v>11601</v>
      </c>
      <c r="P2090" t="s">
        <v>14797</v>
      </c>
      <c r="S2090" t="s">
        <v>14827</v>
      </c>
      <c r="V2090">
        <v>678.08</v>
      </c>
      <c r="W2090" t="s">
        <v>14858</v>
      </c>
      <c r="X2090" t="s">
        <v>14863</v>
      </c>
      <c r="Z2090" t="s">
        <v>16679</v>
      </c>
      <c r="AB2090" t="s">
        <v>21714</v>
      </c>
      <c r="AC2090">
        <v>64</v>
      </c>
      <c r="AD2090" t="s">
        <v>24605</v>
      </c>
      <c r="AE2090" t="s">
        <v>24610</v>
      </c>
      <c r="AF2090">
        <v>16</v>
      </c>
      <c r="AG2090">
        <v>1</v>
      </c>
      <c r="AH2090">
        <v>1</v>
      </c>
      <c r="AI2090">
        <v>120.92</v>
      </c>
      <c r="AL2090" t="s">
        <v>5011</v>
      </c>
      <c r="AM2090">
        <v>20448</v>
      </c>
      <c r="AS2090">
        <v>3.25</v>
      </c>
      <c r="AT2090" t="s">
        <v>578</v>
      </c>
      <c r="AU2090" t="s">
        <v>25244</v>
      </c>
      <c r="AV2090" t="s">
        <v>25335</v>
      </c>
      <c r="AW2090" t="s">
        <v>11447</v>
      </c>
    </row>
    <row r="2091" spans="1:49">
      <c r="A2091" s="1">
        <f>HYPERLINK("https://lsnyc.legalserver.org/matter/dynamic-profile/view/1909549","19-1909549")</f>
        <v>0</v>
      </c>
      <c r="B2091" t="s">
        <v>116</v>
      </c>
      <c r="C2091" t="s">
        <v>488</v>
      </c>
      <c r="E2091" t="s">
        <v>1181</v>
      </c>
      <c r="F2091" t="s">
        <v>4725</v>
      </c>
      <c r="G2091" t="s">
        <v>7773</v>
      </c>
      <c r="H2091" t="s">
        <v>10620</v>
      </c>
      <c r="I2091" t="s">
        <v>11383</v>
      </c>
      <c r="J2091">
        <v>10452</v>
      </c>
      <c r="K2091" t="s">
        <v>11447</v>
      </c>
      <c r="L2091" t="s">
        <v>12138</v>
      </c>
      <c r="M2091" t="s">
        <v>14744</v>
      </c>
      <c r="P2091" t="s">
        <v>14797</v>
      </c>
      <c r="Q2091" t="s">
        <v>11448</v>
      </c>
      <c r="S2091" t="s">
        <v>14827</v>
      </c>
      <c r="V2091">
        <v>1839.53</v>
      </c>
      <c r="W2091" t="s">
        <v>14858</v>
      </c>
      <c r="X2091" t="s">
        <v>14868</v>
      </c>
      <c r="Z2091" t="s">
        <v>16680</v>
      </c>
      <c r="AB2091" t="s">
        <v>21715</v>
      </c>
      <c r="AC2091">
        <v>24</v>
      </c>
      <c r="AD2091" t="s">
        <v>24595</v>
      </c>
      <c r="AE2091" t="s">
        <v>24610</v>
      </c>
      <c r="AF2091">
        <v>4</v>
      </c>
      <c r="AG2091">
        <v>2</v>
      </c>
      <c r="AH2091">
        <v>2</v>
      </c>
      <c r="AI2091">
        <v>121.17</v>
      </c>
      <c r="AL2091" t="s">
        <v>5011</v>
      </c>
      <c r="AM2091">
        <v>31200</v>
      </c>
      <c r="AS2091">
        <v>8.300000000000001</v>
      </c>
      <c r="AT2091" t="s">
        <v>506</v>
      </c>
      <c r="AU2091" t="s">
        <v>25242</v>
      </c>
      <c r="AW2091" t="s">
        <v>11447</v>
      </c>
    </row>
    <row r="2092" spans="1:49">
      <c r="A2092" s="1">
        <f>HYPERLINK("https://lsnyc.legalserver.org/matter/dynamic-profile/view/1915046","19-1915046")</f>
        <v>0</v>
      </c>
      <c r="B2092" t="s">
        <v>100</v>
      </c>
      <c r="C2092" t="s">
        <v>521</v>
      </c>
      <c r="E2092" t="s">
        <v>1062</v>
      </c>
      <c r="F2092" t="s">
        <v>4046</v>
      </c>
      <c r="G2092" t="s">
        <v>6868</v>
      </c>
      <c r="H2092" t="s">
        <v>10498</v>
      </c>
      <c r="I2092" t="s">
        <v>11383</v>
      </c>
      <c r="J2092">
        <v>10456</v>
      </c>
      <c r="K2092" t="s">
        <v>11447</v>
      </c>
      <c r="M2092" t="s">
        <v>14762</v>
      </c>
      <c r="N2092" t="s">
        <v>14783</v>
      </c>
      <c r="P2092" t="s">
        <v>14797</v>
      </c>
      <c r="Q2092" t="s">
        <v>11446</v>
      </c>
      <c r="S2092" t="s">
        <v>14827</v>
      </c>
      <c r="V2092">
        <v>1330.07</v>
      </c>
      <c r="W2092" t="s">
        <v>14858</v>
      </c>
      <c r="X2092" t="s">
        <v>14864</v>
      </c>
      <c r="Z2092" t="s">
        <v>16681</v>
      </c>
      <c r="AB2092" t="s">
        <v>21716</v>
      </c>
      <c r="AC2092">
        <v>131</v>
      </c>
      <c r="AD2092" t="s">
        <v>24595</v>
      </c>
      <c r="AF2092">
        <v>4</v>
      </c>
      <c r="AG2092">
        <v>1</v>
      </c>
      <c r="AH2092">
        <v>2</v>
      </c>
      <c r="AI2092">
        <v>121.89</v>
      </c>
      <c r="AL2092" t="s">
        <v>24632</v>
      </c>
      <c r="AM2092">
        <v>26000</v>
      </c>
      <c r="AS2092">
        <v>0</v>
      </c>
      <c r="AU2092" t="s">
        <v>25268</v>
      </c>
      <c r="AW2092" t="s">
        <v>11447</v>
      </c>
    </row>
    <row r="2093" spans="1:49">
      <c r="A2093" s="1">
        <f>HYPERLINK("https://lsnyc.legalserver.org/matter/dynamic-profile/view/1903832","19-1903832")</f>
        <v>0</v>
      </c>
      <c r="B2093" t="s">
        <v>72</v>
      </c>
      <c r="C2093" t="s">
        <v>378</v>
      </c>
      <c r="E2093" t="s">
        <v>1696</v>
      </c>
      <c r="F2093" t="s">
        <v>4726</v>
      </c>
      <c r="G2093" t="s">
        <v>7774</v>
      </c>
      <c r="H2093" t="s">
        <v>10513</v>
      </c>
      <c r="I2093" t="s">
        <v>11385</v>
      </c>
      <c r="J2093">
        <v>11208</v>
      </c>
      <c r="K2093" t="s">
        <v>11448</v>
      </c>
      <c r="L2093" t="s">
        <v>11459</v>
      </c>
      <c r="M2093" t="s">
        <v>11601</v>
      </c>
      <c r="N2093" t="s">
        <v>14778</v>
      </c>
      <c r="P2093" t="s">
        <v>14797</v>
      </c>
      <c r="Q2093" t="s">
        <v>11448</v>
      </c>
      <c r="S2093" t="s">
        <v>14827</v>
      </c>
      <c r="T2093" t="s">
        <v>14832</v>
      </c>
      <c r="V2093">
        <v>1820</v>
      </c>
      <c r="W2093" t="s">
        <v>14859</v>
      </c>
      <c r="Z2093" t="s">
        <v>16682</v>
      </c>
      <c r="AA2093" t="s">
        <v>19354</v>
      </c>
      <c r="AB2093" t="s">
        <v>21717</v>
      </c>
      <c r="AC2093">
        <v>4</v>
      </c>
      <c r="AD2093" t="s">
        <v>11479</v>
      </c>
      <c r="AE2093" t="s">
        <v>11459</v>
      </c>
      <c r="AF2093">
        <v>1</v>
      </c>
      <c r="AG2093">
        <v>1</v>
      </c>
      <c r="AH2093">
        <v>1</v>
      </c>
      <c r="AI2093">
        <v>122.27</v>
      </c>
      <c r="AL2093" t="s">
        <v>5011</v>
      </c>
      <c r="AM2093">
        <v>20676</v>
      </c>
      <c r="AS2093">
        <v>3.6</v>
      </c>
      <c r="AT2093" t="s">
        <v>559</v>
      </c>
      <c r="AU2093" t="s">
        <v>25231</v>
      </c>
      <c r="AV2093" t="s">
        <v>11459</v>
      </c>
      <c r="AW2093" t="s">
        <v>11447</v>
      </c>
    </row>
    <row r="2094" spans="1:49">
      <c r="A2094" s="1">
        <f>HYPERLINK("https://lsnyc.legalserver.org/matter/dynamic-profile/view/1906107","19-1906107")</f>
        <v>0</v>
      </c>
      <c r="B2094" t="s">
        <v>102</v>
      </c>
      <c r="C2094" t="s">
        <v>618</v>
      </c>
      <c r="E2094" t="s">
        <v>1041</v>
      </c>
      <c r="F2094" t="s">
        <v>4727</v>
      </c>
      <c r="G2094" t="s">
        <v>7775</v>
      </c>
      <c r="H2094" t="s">
        <v>10476</v>
      </c>
      <c r="I2094" t="s">
        <v>11383</v>
      </c>
      <c r="J2094">
        <v>10458</v>
      </c>
      <c r="K2094" t="s">
        <v>11446</v>
      </c>
      <c r="N2094" t="s">
        <v>14780</v>
      </c>
      <c r="P2094" t="s">
        <v>14797</v>
      </c>
      <c r="Q2094" t="s">
        <v>11448</v>
      </c>
      <c r="S2094" t="s">
        <v>14827</v>
      </c>
      <c r="V2094">
        <v>1091.27</v>
      </c>
      <c r="W2094" t="s">
        <v>14858</v>
      </c>
      <c r="X2094" t="s">
        <v>14864</v>
      </c>
      <c r="Z2094" t="s">
        <v>16683</v>
      </c>
      <c r="AC2094">
        <v>50</v>
      </c>
      <c r="AF2094">
        <v>0</v>
      </c>
      <c r="AG2094">
        <v>4</v>
      </c>
      <c r="AH2094">
        <v>0</v>
      </c>
      <c r="AI2094">
        <v>123.5</v>
      </c>
      <c r="AL2094" t="s">
        <v>5011</v>
      </c>
      <c r="AM2094">
        <v>31800</v>
      </c>
      <c r="AS2094">
        <v>0.9</v>
      </c>
      <c r="AT2094" t="s">
        <v>618</v>
      </c>
      <c r="AU2094" t="s">
        <v>102</v>
      </c>
      <c r="AV2094" t="s">
        <v>25335</v>
      </c>
      <c r="AW2094" t="s">
        <v>11447</v>
      </c>
    </row>
    <row r="2095" spans="1:49">
      <c r="A2095" s="1">
        <f>HYPERLINK("https://lsnyc.legalserver.org/matter/dynamic-profile/view/1908975","19-1908975")</f>
        <v>0</v>
      </c>
      <c r="B2095" t="s">
        <v>90</v>
      </c>
      <c r="C2095" t="s">
        <v>640</v>
      </c>
      <c r="E2095" t="s">
        <v>1258</v>
      </c>
      <c r="F2095" t="s">
        <v>4728</v>
      </c>
      <c r="G2095" t="s">
        <v>7776</v>
      </c>
      <c r="H2095" t="s">
        <v>10471</v>
      </c>
      <c r="I2095" t="s">
        <v>11383</v>
      </c>
      <c r="J2095">
        <v>10459</v>
      </c>
      <c r="K2095" t="s">
        <v>11446</v>
      </c>
      <c r="M2095" t="s">
        <v>11601</v>
      </c>
      <c r="N2095" t="s">
        <v>14778</v>
      </c>
      <c r="P2095" t="s">
        <v>14797</v>
      </c>
      <c r="Q2095" t="s">
        <v>11448</v>
      </c>
      <c r="S2095" t="s">
        <v>14827</v>
      </c>
      <c r="V2095">
        <v>441</v>
      </c>
      <c r="W2095" t="s">
        <v>14858</v>
      </c>
      <c r="X2095" t="s">
        <v>14864</v>
      </c>
      <c r="Z2095" t="s">
        <v>16684</v>
      </c>
      <c r="AB2095" t="s">
        <v>21718</v>
      </c>
      <c r="AC2095">
        <v>39</v>
      </c>
      <c r="AD2095" t="s">
        <v>24605</v>
      </c>
      <c r="AE2095" t="s">
        <v>24614</v>
      </c>
      <c r="AF2095">
        <v>14</v>
      </c>
      <c r="AG2095">
        <v>2</v>
      </c>
      <c r="AH2095">
        <v>0</v>
      </c>
      <c r="AI2095">
        <v>124.19</v>
      </c>
      <c r="AL2095" t="s">
        <v>5011</v>
      </c>
      <c r="AM2095">
        <v>21000</v>
      </c>
      <c r="AS2095">
        <v>2.2</v>
      </c>
      <c r="AT2095" t="s">
        <v>476</v>
      </c>
      <c r="AU2095" t="s">
        <v>184</v>
      </c>
      <c r="AV2095" t="s">
        <v>25335</v>
      </c>
      <c r="AW2095" t="s">
        <v>11447</v>
      </c>
    </row>
    <row r="2096" spans="1:49">
      <c r="A2096" s="1">
        <f>HYPERLINK("https://lsnyc.legalserver.org/matter/dynamic-profile/view/1875000","18-1875000")</f>
        <v>0</v>
      </c>
      <c r="B2096" t="s">
        <v>135</v>
      </c>
      <c r="C2096" t="s">
        <v>706</v>
      </c>
      <c r="E2096" t="s">
        <v>1786</v>
      </c>
      <c r="F2096" t="s">
        <v>4729</v>
      </c>
      <c r="G2096" t="s">
        <v>7777</v>
      </c>
      <c r="H2096" t="s">
        <v>10925</v>
      </c>
      <c r="I2096" t="s">
        <v>11385</v>
      </c>
      <c r="J2096">
        <v>11214</v>
      </c>
      <c r="K2096" t="s">
        <v>11447</v>
      </c>
      <c r="M2096" t="s">
        <v>14743</v>
      </c>
      <c r="N2096" t="s">
        <v>14781</v>
      </c>
      <c r="P2096" t="s">
        <v>14797</v>
      </c>
      <c r="Q2096" t="s">
        <v>11448</v>
      </c>
      <c r="S2096" t="s">
        <v>14827</v>
      </c>
      <c r="V2096">
        <v>600</v>
      </c>
      <c r="W2096" t="s">
        <v>14859</v>
      </c>
      <c r="Z2096" t="s">
        <v>16685</v>
      </c>
      <c r="AC2096">
        <v>0</v>
      </c>
      <c r="AD2096" t="s">
        <v>24598</v>
      </c>
      <c r="AE2096" t="s">
        <v>11459</v>
      </c>
      <c r="AF2096">
        <v>4</v>
      </c>
      <c r="AG2096">
        <v>2</v>
      </c>
      <c r="AH2096">
        <v>0</v>
      </c>
      <c r="AI2096">
        <v>124.67</v>
      </c>
      <c r="AM2096">
        <v>20520</v>
      </c>
      <c r="AS2096">
        <v>60.45</v>
      </c>
      <c r="AT2096" t="s">
        <v>515</v>
      </c>
      <c r="AU2096" t="s">
        <v>139</v>
      </c>
      <c r="AW2096" t="s">
        <v>11447</v>
      </c>
    </row>
    <row r="2097" spans="1:49">
      <c r="A2097" s="1">
        <f>HYPERLINK("https://lsnyc.legalserver.org/matter/dynamic-profile/view/1904208","19-1904208")</f>
        <v>0</v>
      </c>
      <c r="B2097" t="s">
        <v>166</v>
      </c>
      <c r="C2097" t="s">
        <v>338</v>
      </c>
      <c r="E2097" t="s">
        <v>1264</v>
      </c>
      <c r="F2097" t="s">
        <v>4730</v>
      </c>
      <c r="G2097" t="s">
        <v>7778</v>
      </c>
      <c r="H2097">
        <v>210</v>
      </c>
      <c r="I2097" t="s">
        <v>11384</v>
      </c>
      <c r="J2097">
        <v>10303</v>
      </c>
      <c r="K2097" t="s">
        <v>11446</v>
      </c>
      <c r="L2097" t="s">
        <v>12139</v>
      </c>
      <c r="M2097" t="s">
        <v>14743</v>
      </c>
      <c r="N2097" t="s">
        <v>14781</v>
      </c>
      <c r="P2097" t="s">
        <v>14797</v>
      </c>
      <c r="Q2097" t="s">
        <v>11448</v>
      </c>
      <c r="S2097" t="s">
        <v>14827</v>
      </c>
      <c r="T2097" t="s">
        <v>14832</v>
      </c>
      <c r="V2097">
        <v>1020</v>
      </c>
      <c r="W2097" t="s">
        <v>14862</v>
      </c>
      <c r="X2097" t="s">
        <v>14863</v>
      </c>
      <c r="Z2097" t="s">
        <v>16686</v>
      </c>
      <c r="AB2097" t="s">
        <v>21719</v>
      </c>
      <c r="AC2097">
        <v>0</v>
      </c>
      <c r="AD2097" t="s">
        <v>24603</v>
      </c>
      <c r="AE2097" t="s">
        <v>11459</v>
      </c>
      <c r="AF2097">
        <v>3</v>
      </c>
      <c r="AG2097">
        <v>1</v>
      </c>
      <c r="AH2097">
        <v>0</v>
      </c>
      <c r="AI2097">
        <v>124.9</v>
      </c>
      <c r="AL2097" t="s">
        <v>5011</v>
      </c>
      <c r="AM2097">
        <v>15600</v>
      </c>
      <c r="AO2097" t="s">
        <v>24937</v>
      </c>
      <c r="AP2097" t="s">
        <v>24954</v>
      </c>
      <c r="AQ2097" t="s">
        <v>24986</v>
      </c>
      <c r="AR2097" t="s">
        <v>24994</v>
      </c>
      <c r="AS2097">
        <v>37.05</v>
      </c>
      <c r="AT2097" t="s">
        <v>578</v>
      </c>
      <c r="AU2097" t="s">
        <v>25270</v>
      </c>
      <c r="AV2097" t="s">
        <v>25335</v>
      </c>
      <c r="AW2097" t="s">
        <v>11447</v>
      </c>
    </row>
    <row r="2098" spans="1:49">
      <c r="A2098" s="1">
        <f>HYPERLINK("https://lsnyc.legalserver.org/matter/dynamic-profile/view/1906369","19-1906369")</f>
        <v>0</v>
      </c>
      <c r="B2098" t="s">
        <v>250</v>
      </c>
      <c r="C2098" t="s">
        <v>485</v>
      </c>
      <c r="E2098" t="s">
        <v>1241</v>
      </c>
      <c r="F2098" t="s">
        <v>3730</v>
      </c>
      <c r="G2098" t="s">
        <v>7779</v>
      </c>
      <c r="H2098" t="s">
        <v>10529</v>
      </c>
      <c r="I2098" t="s">
        <v>11383</v>
      </c>
      <c r="J2098">
        <v>10467</v>
      </c>
      <c r="K2098" t="s">
        <v>11447</v>
      </c>
      <c r="M2098" t="s">
        <v>14748</v>
      </c>
      <c r="N2098" t="s">
        <v>14779</v>
      </c>
      <c r="P2098" t="s">
        <v>14797</v>
      </c>
      <c r="Q2098" t="s">
        <v>11448</v>
      </c>
      <c r="S2098" t="s">
        <v>14829</v>
      </c>
      <c r="V2098">
        <v>0</v>
      </c>
      <c r="W2098" t="s">
        <v>14858</v>
      </c>
      <c r="Z2098" t="s">
        <v>16687</v>
      </c>
      <c r="AB2098" t="s">
        <v>21720</v>
      </c>
      <c r="AC2098">
        <v>0</v>
      </c>
      <c r="AD2098" t="s">
        <v>24595</v>
      </c>
      <c r="AF2098">
        <v>0</v>
      </c>
      <c r="AG2098">
        <v>2</v>
      </c>
      <c r="AH2098">
        <v>0</v>
      </c>
      <c r="AI2098">
        <v>125.68</v>
      </c>
      <c r="AL2098" t="s">
        <v>5011</v>
      </c>
      <c r="AM2098">
        <v>21252</v>
      </c>
      <c r="AS2098">
        <v>1.85</v>
      </c>
      <c r="AT2098" t="s">
        <v>473</v>
      </c>
      <c r="AU2098" t="s">
        <v>250</v>
      </c>
      <c r="AW2098" t="s">
        <v>11447</v>
      </c>
    </row>
    <row r="2099" spans="1:49">
      <c r="A2099" s="1">
        <f>HYPERLINK("https://lsnyc.legalserver.org/matter/dynamic-profile/view/1915076","19-1915076")</f>
        <v>0</v>
      </c>
      <c r="B2099" t="s">
        <v>100</v>
      </c>
      <c r="C2099" t="s">
        <v>521</v>
      </c>
      <c r="E2099" t="s">
        <v>1523</v>
      </c>
      <c r="F2099" t="s">
        <v>4731</v>
      </c>
      <c r="G2099" t="s">
        <v>6868</v>
      </c>
      <c r="H2099" t="s">
        <v>10894</v>
      </c>
      <c r="I2099" t="s">
        <v>11383</v>
      </c>
      <c r="J2099">
        <v>10456</v>
      </c>
      <c r="K2099" t="s">
        <v>11448</v>
      </c>
      <c r="M2099" t="s">
        <v>14762</v>
      </c>
      <c r="N2099" t="s">
        <v>14783</v>
      </c>
      <c r="P2099" t="s">
        <v>14797</v>
      </c>
      <c r="Q2099" t="s">
        <v>11446</v>
      </c>
      <c r="S2099" t="s">
        <v>14827</v>
      </c>
      <c r="V2099">
        <v>1200.58</v>
      </c>
      <c r="W2099" t="s">
        <v>14858</v>
      </c>
      <c r="X2099" t="s">
        <v>14864</v>
      </c>
      <c r="Z2099" t="s">
        <v>16688</v>
      </c>
      <c r="AB2099" t="s">
        <v>21721</v>
      </c>
      <c r="AC2099">
        <v>131</v>
      </c>
      <c r="AD2099" t="s">
        <v>24595</v>
      </c>
      <c r="AE2099" t="s">
        <v>11459</v>
      </c>
      <c r="AF2099">
        <v>8</v>
      </c>
      <c r="AG2099">
        <v>4</v>
      </c>
      <c r="AH2099">
        <v>0</v>
      </c>
      <c r="AI2099">
        <v>127.58</v>
      </c>
      <c r="AL2099" t="s">
        <v>24632</v>
      </c>
      <c r="AM2099">
        <v>32852</v>
      </c>
      <c r="AS2099">
        <v>0</v>
      </c>
      <c r="AU2099" t="s">
        <v>25268</v>
      </c>
      <c r="AV2099" t="s">
        <v>25335</v>
      </c>
      <c r="AW2099" t="s">
        <v>11447</v>
      </c>
    </row>
    <row r="2100" spans="1:49">
      <c r="A2100" s="1">
        <f>HYPERLINK("https://lsnyc.legalserver.org/matter/dynamic-profile/view/0783028","15-0783028")</f>
        <v>0</v>
      </c>
      <c r="B2100" t="s">
        <v>196</v>
      </c>
      <c r="C2100" t="s">
        <v>707</v>
      </c>
      <c r="E2100" t="s">
        <v>1270</v>
      </c>
      <c r="F2100" t="s">
        <v>4732</v>
      </c>
      <c r="G2100" t="s">
        <v>7780</v>
      </c>
      <c r="H2100" t="s">
        <v>10635</v>
      </c>
      <c r="I2100" t="s">
        <v>11385</v>
      </c>
      <c r="J2100">
        <v>11215</v>
      </c>
      <c r="K2100" t="s">
        <v>11448</v>
      </c>
      <c r="L2100" t="s">
        <v>12140</v>
      </c>
      <c r="M2100" t="s">
        <v>14746</v>
      </c>
      <c r="N2100" t="s">
        <v>14781</v>
      </c>
      <c r="P2100" t="s">
        <v>14797</v>
      </c>
      <c r="R2100" t="s">
        <v>14812</v>
      </c>
      <c r="S2100" t="s">
        <v>14827</v>
      </c>
      <c r="V2100">
        <v>822</v>
      </c>
      <c r="W2100" t="s">
        <v>14859</v>
      </c>
      <c r="Z2100" t="s">
        <v>16689</v>
      </c>
      <c r="AC2100">
        <v>8</v>
      </c>
      <c r="AD2100" t="s">
        <v>24595</v>
      </c>
      <c r="AF2100">
        <v>25</v>
      </c>
      <c r="AG2100">
        <v>2</v>
      </c>
      <c r="AH2100">
        <v>0</v>
      </c>
      <c r="AI2100">
        <v>128.06</v>
      </c>
      <c r="AL2100" t="s">
        <v>24632</v>
      </c>
      <c r="AM2100">
        <v>20400</v>
      </c>
      <c r="AS2100">
        <v>229.85</v>
      </c>
      <c r="AT2100" t="s">
        <v>516</v>
      </c>
      <c r="AU2100" t="s">
        <v>200</v>
      </c>
      <c r="AW2100" t="s">
        <v>11447</v>
      </c>
    </row>
    <row r="2101" spans="1:49">
      <c r="A2101" s="1">
        <f>HYPERLINK("https://lsnyc.legalserver.org/matter/dynamic-profile/view/1913453","19-1913453")</f>
        <v>0</v>
      </c>
      <c r="B2101" t="s">
        <v>120</v>
      </c>
      <c r="C2101" t="s">
        <v>484</v>
      </c>
      <c r="E2101" t="s">
        <v>2177</v>
      </c>
      <c r="F2101" t="s">
        <v>3628</v>
      </c>
      <c r="G2101" t="s">
        <v>7781</v>
      </c>
      <c r="H2101" t="s">
        <v>10926</v>
      </c>
      <c r="I2101" t="s">
        <v>11385</v>
      </c>
      <c r="J2101">
        <v>11239</v>
      </c>
      <c r="K2101" t="s">
        <v>11447</v>
      </c>
      <c r="L2101" t="s">
        <v>11601</v>
      </c>
      <c r="M2101" t="s">
        <v>11601</v>
      </c>
      <c r="N2101" t="s">
        <v>14782</v>
      </c>
      <c r="P2101" t="s">
        <v>14797</v>
      </c>
      <c r="Q2101" t="s">
        <v>11448</v>
      </c>
      <c r="S2101" t="s">
        <v>14827</v>
      </c>
      <c r="V2101">
        <v>273</v>
      </c>
      <c r="W2101" t="s">
        <v>14859</v>
      </c>
      <c r="X2101" t="s">
        <v>14868</v>
      </c>
      <c r="Z2101" t="s">
        <v>16690</v>
      </c>
      <c r="AB2101" t="s">
        <v>21722</v>
      </c>
      <c r="AC2101">
        <v>1463</v>
      </c>
      <c r="AD2101" t="s">
        <v>11479</v>
      </c>
      <c r="AE2101" t="s">
        <v>11459</v>
      </c>
      <c r="AF2101">
        <v>43</v>
      </c>
      <c r="AG2101">
        <v>1</v>
      </c>
      <c r="AH2101">
        <v>0</v>
      </c>
      <c r="AI2101">
        <v>128.36</v>
      </c>
      <c r="AL2101" t="s">
        <v>5011</v>
      </c>
      <c r="AM2101">
        <v>16032</v>
      </c>
      <c r="AS2101">
        <v>0</v>
      </c>
      <c r="AU2101" t="s">
        <v>120</v>
      </c>
      <c r="AW2101" t="s">
        <v>11447</v>
      </c>
    </row>
    <row r="2102" spans="1:49">
      <c r="A2102" s="1">
        <f>HYPERLINK("https://lsnyc.legalserver.org/matter/dynamic-profile/view/1915080","19-1915080")</f>
        <v>0</v>
      </c>
      <c r="B2102" t="s">
        <v>63</v>
      </c>
      <c r="C2102" t="s">
        <v>521</v>
      </c>
      <c r="E2102" t="s">
        <v>1176</v>
      </c>
      <c r="F2102" t="s">
        <v>4733</v>
      </c>
      <c r="G2102" t="s">
        <v>7782</v>
      </c>
      <c r="H2102">
        <v>1039</v>
      </c>
      <c r="I2102" t="s">
        <v>11412</v>
      </c>
      <c r="J2102">
        <v>11101</v>
      </c>
      <c r="K2102" t="s">
        <v>11446</v>
      </c>
      <c r="L2102" t="s">
        <v>12141</v>
      </c>
      <c r="M2102" t="s">
        <v>14744</v>
      </c>
      <c r="N2102" t="s">
        <v>14778</v>
      </c>
      <c r="P2102" t="s">
        <v>14797</v>
      </c>
      <c r="Q2102" t="s">
        <v>11448</v>
      </c>
      <c r="S2102" t="s">
        <v>14827</v>
      </c>
      <c r="V2102">
        <v>835</v>
      </c>
      <c r="W2102" t="s">
        <v>14861</v>
      </c>
      <c r="X2102" t="s">
        <v>14865</v>
      </c>
      <c r="Z2102" t="s">
        <v>16691</v>
      </c>
      <c r="AA2102" t="s">
        <v>19500</v>
      </c>
      <c r="AB2102" t="s">
        <v>21723</v>
      </c>
      <c r="AC2102">
        <v>600</v>
      </c>
      <c r="AD2102" t="s">
        <v>24595</v>
      </c>
      <c r="AE2102" t="s">
        <v>24613</v>
      </c>
      <c r="AF2102">
        <v>5</v>
      </c>
      <c r="AG2102">
        <v>1</v>
      </c>
      <c r="AH2102">
        <v>2</v>
      </c>
      <c r="AI2102">
        <v>130.52</v>
      </c>
      <c r="AL2102" t="s">
        <v>5011</v>
      </c>
      <c r="AM2102">
        <v>27840</v>
      </c>
      <c r="AS2102">
        <v>1.68</v>
      </c>
      <c r="AT2102" t="s">
        <v>495</v>
      </c>
      <c r="AU2102" t="s">
        <v>25233</v>
      </c>
      <c r="AV2102" t="s">
        <v>25334</v>
      </c>
      <c r="AW2102" t="s">
        <v>11447</v>
      </c>
    </row>
    <row r="2103" spans="1:49">
      <c r="A2103" s="1">
        <f>HYPERLINK("https://lsnyc.legalserver.org/matter/dynamic-profile/view/1889748","19-1889748")</f>
        <v>0</v>
      </c>
      <c r="B2103" t="s">
        <v>168</v>
      </c>
      <c r="C2103" t="s">
        <v>708</v>
      </c>
      <c r="E2103" t="s">
        <v>2178</v>
      </c>
      <c r="F2103" t="s">
        <v>4734</v>
      </c>
      <c r="G2103" t="s">
        <v>7632</v>
      </c>
      <c r="H2103" t="s">
        <v>10743</v>
      </c>
      <c r="I2103" t="s">
        <v>11384</v>
      </c>
      <c r="J2103">
        <v>10301</v>
      </c>
      <c r="K2103" t="s">
        <v>11446</v>
      </c>
      <c r="P2103" t="s">
        <v>14797</v>
      </c>
      <c r="S2103" t="s">
        <v>14827</v>
      </c>
      <c r="V2103">
        <v>0</v>
      </c>
      <c r="W2103" t="s">
        <v>14862</v>
      </c>
      <c r="Z2103" t="s">
        <v>16692</v>
      </c>
      <c r="AB2103" t="s">
        <v>21724</v>
      </c>
      <c r="AC2103">
        <v>0</v>
      </c>
      <c r="AF2103">
        <v>0</v>
      </c>
      <c r="AG2103">
        <v>2</v>
      </c>
      <c r="AH2103">
        <v>1</v>
      </c>
      <c r="AI2103">
        <v>134.08</v>
      </c>
      <c r="AL2103" t="s">
        <v>5011</v>
      </c>
      <c r="AM2103">
        <v>28600</v>
      </c>
      <c r="AS2103">
        <v>18.75</v>
      </c>
      <c r="AT2103" t="s">
        <v>488</v>
      </c>
      <c r="AU2103" t="s">
        <v>25271</v>
      </c>
      <c r="AV2103" t="s">
        <v>25335</v>
      </c>
      <c r="AW2103" t="s">
        <v>11447</v>
      </c>
    </row>
    <row r="2104" spans="1:49">
      <c r="A2104" s="1">
        <f>HYPERLINK("https://lsnyc.legalserver.org/matter/dynamic-profile/view/1912921","19-1912921")</f>
        <v>0</v>
      </c>
      <c r="B2104" t="s">
        <v>67</v>
      </c>
      <c r="C2104" t="s">
        <v>574</v>
      </c>
      <c r="E2104" t="s">
        <v>1320</v>
      </c>
      <c r="F2104" t="s">
        <v>3761</v>
      </c>
      <c r="G2104" t="s">
        <v>6923</v>
      </c>
      <c r="H2104" t="s">
        <v>10448</v>
      </c>
      <c r="I2104" t="s">
        <v>11383</v>
      </c>
      <c r="J2104">
        <v>10458</v>
      </c>
      <c r="K2104" t="s">
        <v>11446</v>
      </c>
      <c r="M2104" t="s">
        <v>14746</v>
      </c>
      <c r="N2104" t="s">
        <v>14781</v>
      </c>
      <c r="P2104" t="s">
        <v>14797</v>
      </c>
      <c r="Q2104" t="s">
        <v>11446</v>
      </c>
      <c r="S2104" t="s">
        <v>14827</v>
      </c>
      <c r="V2104">
        <v>475</v>
      </c>
      <c r="W2104" t="s">
        <v>14858</v>
      </c>
      <c r="X2104" t="s">
        <v>14864</v>
      </c>
      <c r="Z2104" t="s">
        <v>16693</v>
      </c>
      <c r="AB2104" t="s">
        <v>21725</v>
      </c>
      <c r="AC2104">
        <v>94</v>
      </c>
      <c r="AD2104" t="s">
        <v>24596</v>
      </c>
      <c r="AE2104" t="s">
        <v>24610</v>
      </c>
      <c r="AF2104">
        <v>39</v>
      </c>
      <c r="AG2104">
        <v>2</v>
      </c>
      <c r="AH2104">
        <v>0</v>
      </c>
      <c r="AI2104">
        <v>134.48</v>
      </c>
      <c r="AL2104" t="s">
        <v>5011</v>
      </c>
      <c r="AM2104">
        <v>22740</v>
      </c>
      <c r="AS2104">
        <v>0</v>
      </c>
      <c r="AU2104" t="s">
        <v>25242</v>
      </c>
      <c r="AV2104" t="s">
        <v>25335</v>
      </c>
      <c r="AW2104" t="s">
        <v>11447</v>
      </c>
    </row>
    <row r="2105" spans="1:49">
      <c r="A2105" s="1">
        <f>HYPERLINK("https://lsnyc.legalserver.org/matter/dynamic-profile/view/1903670","19-1903670")</f>
        <v>0</v>
      </c>
      <c r="B2105" t="s">
        <v>164</v>
      </c>
      <c r="C2105" t="s">
        <v>522</v>
      </c>
      <c r="E2105" t="s">
        <v>1713</v>
      </c>
      <c r="F2105" t="s">
        <v>4735</v>
      </c>
      <c r="G2105" t="s">
        <v>7204</v>
      </c>
      <c r="H2105" t="s">
        <v>10927</v>
      </c>
      <c r="I2105" t="s">
        <v>11384</v>
      </c>
      <c r="J2105">
        <v>10314</v>
      </c>
      <c r="K2105" t="s">
        <v>11446</v>
      </c>
      <c r="L2105" t="s">
        <v>12142</v>
      </c>
      <c r="M2105" t="s">
        <v>14762</v>
      </c>
      <c r="N2105" t="s">
        <v>14783</v>
      </c>
      <c r="P2105" t="s">
        <v>14797</v>
      </c>
      <c r="Q2105" t="s">
        <v>11446</v>
      </c>
      <c r="S2105" t="s">
        <v>14827</v>
      </c>
      <c r="T2105" t="s">
        <v>14832</v>
      </c>
      <c r="V2105">
        <v>1400</v>
      </c>
      <c r="W2105" t="s">
        <v>14862</v>
      </c>
      <c r="X2105" t="s">
        <v>14868</v>
      </c>
      <c r="Z2105" t="s">
        <v>15268</v>
      </c>
      <c r="AB2105" t="s">
        <v>21726</v>
      </c>
      <c r="AC2105">
        <v>96</v>
      </c>
      <c r="AD2105" t="s">
        <v>24595</v>
      </c>
      <c r="AE2105" t="s">
        <v>24613</v>
      </c>
      <c r="AF2105">
        <v>9</v>
      </c>
      <c r="AG2105">
        <v>1</v>
      </c>
      <c r="AH2105">
        <v>0</v>
      </c>
      <c r="AI2105">
        <v>134.51</v>
      </c>
      <c r="AL2105" t="s">
        <v>5011</v>
      </c>
      <c r="AM2105">
        <v>16800</v>
      </c>
      <c r="AO2105" t="s">
        <v>24932</v>
      </c>
      <c r="AP2105" t="s">
        <v>24955</v>
      </c>
      <c r="AQ2105" t="s">
        <v>24986</v>
      </c>
      <c r="AR2105" t="s">
        <v>25039</v>
      </c>
      <c r="AS2105">
        <v>0.6</v>
      </c>
      <c r="AT2105" t="s">
        <v>509</v>
      </c>
      <c r="AU2105" t="s">
        <v>25270</v>
      </c>
      <c r="AV2105" t="s">
        <v>25335</v>
      </c>
      <c r="AW2105" t="s">
        <v>11447</v>
      </c>
    </row>
    <row r="2106" spans="1:49">
      <c r="A2106" s="1">
        <f>HYPERLINK("https://lsnyc.legalserver.org/matter/dynamic-profile/view/1914713","19-1914713")</f>
        <v>0</v>
      </c>
      <c r="B2106" t="s">
        <v>56</v>
      </c>
      <c r="C2106" t="s">
        <v>592</v>
      </c>
      <c r="E2106" t="s">
        <v>1487</v>
      </c>
      <c r="F2106" t="s">
        <v>4736</v>
      </c>
      <c r="G2106" t="s">
        <v>7132</v>
      </c>
      <c r="H2106" t="s">
        <v>10509</v>
      </c>
      <c r="I2106" t="s">
        <v>11385</v>
      </c>
      <c r="J2106">
        <v>11212</v>
      </c>
      <c r="K2106" t="s">
        <v>11448</v>
      </c>
      <c r="L2106" t="s">
        <v>12143</v>
      </c>
      <c r="M2106" t="s">
        <v>14744</v>
      </c>
      <c r="P2106" t="s">
        <v>14797</v>
      </c>
      <c r="Q2106" t="s">
        <v>11448</v>
      </c>
      <c r="S2106" t="s">
        <v>14827</v>
      </c>
      <c r="T2106" t="s">
        <v>14832</v>
      </c>
      <c r="V2106">
        <v>706</v>
      </c>
      <c r="W2106" t="s">
        <v>14859</v>
      </c>
      <c r="X2106" t="s">
        <v>14864</v>
      </c>
      <c r="Z2106" t="s">
        <v>16694</v>
      </c>
      <c r="AA2106" t="s">
        <v>11459</v>
      </c>
      <c r="AB2106" t="s">
        <v>21727</v>
      </c>
      <c r="AC2106">
        <v>0</v>
      </c>
      <c r="AD2106" t="s">
        <v>24595</v>
      </c>
      <c r="AE2106" t="s">
        <v>24610</v>
      </c>
      <c r="AF2106">
        <v>10</v>
      </c>
      <c r="AG2106">
        <v>3</v>
      </c>
      <c r="AH2106">
        <v>0</v>
      </c>
      <c r="AI2106">
        <v>135.02</v>
      </c>
      <c r="AL2106" t="s">
        <v>5011</v>
      </c>
      <c r="AM2106">
        <v>28800</v>
      </c>
      <c r="AS2106">
        <v>0</v>
      </c>
      <c r="AU2106" t="s">
        <v>66</v>
      </c>
      <c r="AV2106" t="s">
        <v>11459</v>
      </c>
      <c r="AW2106" t="s">
        <v>11447</v>
      </c>
    </row>
    <row r="2107" spans="1:49">
      <c r="A2107" s="1">
        <f>HYPERLINK("https://lsnyc.legalserver.org/matter/dynamic-profile/view/1907322","19-1907322")</f>
        <v>0</v>
      </c>
      <c r="B2107" t="s">
        <v>100</v>
      </c>
      <c r="C2107" t="s">
        <v>608</v>
      </c>
      <c r="E2107" t="s">
        <v>2179</v>
      </c>
      <c r="F2107" t="s">
        <v>4038</v>
      </c>
      <c r="G2107" t="s">
        <v>7705</v>
      </c>
      <c r="H2107">
        <v>10</v>
      </c>
      <c r="I2107" t="s">
        <v>11383</v>
      </c>
      <c r="J2107">
        <v>10451</v>
      </c>
      <c r="K2107" t="s">
        <v>11446</v>
      </c>
      <c r="N2107" t="s">
        <v>14778</v>
      </c>
      <c r="P2107" t="s">
        <v>14797</v>
      </c>
      <c r="Q2107" t="s">
        <v>11446</v>
      </c>
      <c r="S2107" t="s">
        <v>14827</v>
      </c>
      <c r="T2107" t="s">
        <v>14832</v>
      </c>
      <c r="V2107">
        <v>787</v>
      </c>
      <c r="W2107" t="s">
        <v>14858</v>
      </c>
      <c r="X2107" t="s">
        <v>14864</v>
      </c>
      <c r="Z2107" t="s">
        <v>16695</v>
      </c>
      <c r="AB2107" t="s">
        <v>21728</v>
      </c>
      <c r="AC2107">
        <v>14</v>
      </c>
      <c r="AD2107" t="s">
        <v>24595</v>
      </c>
      <c r="AE2107" t="s">
        <v>11459</v>
      </c>
      <c r="AF2107">
        <v>30</v>
      </c>
      <c r="AG2107">
        <v>3</v>
      </c>
      <c r="AH2107">
        <v>1</v>
      </c>
      <c r="AI2107">
        <v>135.92</v>
      </c>
      <c r="AL2107" t="s">
        <v>24632</v>
      </c>
      <c r="AM2107">
        <v>35000</v>
      </c>
      <c r="AS2107">
        <v>0</v>
      </c>
      <c r="AU2107" t="s">
        <v>237</v>
      </c>
      <c r="AV2107" t="s">
        <v>25335</v>
      </c>
      <c r="AW2107" t="s">
        <v>11447</v>
      </c>
    </row>
    <row r="2108" spans="1:49">
      <c r="A2108" s="1">
        <f>HYPERLINK("https://lsnyc.legalserver.org/matter/dynamic-profile/view/1886287","18-1886287")</f>
        <v>0</v>
      </c>
      <c r="B2108" t="s">
        <v>248</v>
      </c>
      <c r="C2108" t="s">
        <v>341</v>
      </c>
      <c r="E2108" t="s">
        <v>1542</v>
      </c>
      <c r="F2108" t="s">
        <v>4737</v>
      </c>
      <c r="G2108" t="s">
        <v>7783</v>
      </c>
      <c r="H2108">
        <v>1</v>
      </c>
      <c r="I2108" t="s">
        <v>11410</v>
      </c>
      <c r="J2108">
        <v>11692</v>
      </c>
      <c r="K2108" t="s">
        <v>11446</v>
      </c>
      <c r="L2108" t="s">
        <v>12144</v>
      </c>
      <c r="M2108" t="s">
        <v>14743</v>
      </c>
      <c r="P2108" t="s">
        <v>14797</v>
      </c>
      <c r="Q2108" t="s">
        <v>11448</v>
      </c>
      <c r="S2108" t="s">
        <v>14827</v>
      </c>
      <c r="V2108">
        <v>0</v>
      </c>
      <c r="W2108" t="s">
        <v>14861</v>
      </c>
      <c r="X2108" t="s">
        <v>14865</v>
      </c>
      <c r="Z2108" t="s">
        <v>16696</v>
      </c>
      <c r="AB2108" t="s">
        <v>21729</v>
      </c>
      <c r="AC2108">
        <v>2</v>
      </c>
      <c r="AE2108" t="s">
        <v>11459</v>
      </c>
      <c r="AF2108">
        <v>8</v>
      </c>
      <c r="AG2108">
        <v>4</v>
      </c>
      <c r="AH2108">
        <v>1</v>
      </c>
      <c r="AI2108">
        <v>135.96</v>
      </c>
      <c r="AL2108" t="s">
        <v>5011</v>
      </c>
      <c r="AM2108">
        <v>40000</v>
      </c>
      <c r="AS2108">
        <v>1.15</v>
      </c>
      <c r="AT2108" t="s">
        <v>520</v>
      </c>
      <c r="AU2108" t="s">
        <v>99</v>
      </c>
      <c r="AW2108" t="s">
        <v>11446</v>
      </c>
    </row>
    <row r="2109" spans="1:49">
      <c r="A2109" s="1">
        <f>HYPERLINK("https://lsnyc.legalserver.org/matter/dynamic-profile/view/1896717","19-1896717")</f>
        <v>0</v>
      </c>
      <c r="B2109" t="s">
        <v>108</v>
      </c>
      <c r="C2109" t="s">
        <v>492</v>
      </c>
      <c r="E2109" t="s">
        <v>2180</v>
      </c>
      <c r="F2109" t="s">
        <v>4152</v>
      </c>
      <c r="G2109" t="s">
        <v>7784</v>
      </c>
      <c r="H2109" t="s">
        <v>10928</v>
      </c>
      <c r="I2109" t="s">
        <v>11385</v>
      </c>
      <c r="J2109">
        <v>11220</v>
      </c>
      <c r="K2109" t="s">
        <v>11448</v>
      </c>
      <c r="M2109" t="s">
        <v>14743</v>
      </c>
      <c r="N2109" t="s">
        <v>14782</v>
      </c>
      <c r="P2109" t="s">
        <v>14797</v>
      </c>
      <c r="S2109" t="s">
        <v>14827</v>
      </c>
      <c r="V2109">
        <v>995</v>
      </c>
      <c r="W2109" t="s">
        <v>14859</v>
      </c>
      <c r="Z2109" t="s">
        <v>15884</v>
      </c>
      <c r="AC2109">
        <v>0</v>
      </c>
      <c r="AD2109" t="s">
        <v>24595</v>
      </c>
      <c r="AF2109">
        <v>25</v>
      </c>
      <c r="AG2109">
        <v>3</v>
      </c>
      <c r="AH2109">
        <v>0</v>
      </c>
      <c r="AI2109">
        <v>135.96</v>
      </c>
      <c r="AL2109" t="s">
        <v>5011</v>
      </c>
      <c r="AM2109">
        <v>29000</v>
      </c>
      <c r="AS2109">
        <v>17.3</v>
      </c>
      <c r="AT2109" t="s">
        <v>645</v>
      </c>
      <c r="AU2109" t="s">
        <v>177</v>
      </c>
      <c r="AW2109" t="s">
        <v>11446</v>
      </c>
    </row>
    <row r="2110" spans="1:49">
      <c r="A2110" s="1">
        <f>HYPERLINK("https://lsnyc.legalserver.org/matter/dynamic-profile/view/1904264","19-1904264")</f>
        <v>0</v>
      </c>
      <c r="B2110" t="s">
        <v>102</v>
      </c>
      <c r="C2110" t="s">
        <v>456</v>
      </c>
      <c r="E2110" t="s">
        <v>2145</v>
      </c>
      <c r="F2110" t="s">
        <v>4373</v>
      </c>
      <c r="G2110" t="s">
        <v>7785</v>
      </c>
      <c r="H2110" t="s">
        <v>10553</v>
      </c>
      <c r="I2110" t="s">
        <v>11383</v>
      </c>
      <c r="J2110">
        <v>10452</v>
      </c>
      <c r="K2110" t="s">
        <v>11446</v>
      </c>
      <c r="P2110" t="s">
        <v>14797</v>
      </c>
      <c r="S2110" t="s">
        <v>14827</v>
      </c>
      <c r="V2110">
        <v>1096.48</v>
      </c>
      <c r="W2110" t="s">
        <v>14858</v>
      </c>
      <c r="X2110" t="s">
        <v>14873</v>
      </c>
      <c r="Z2110" t="s">
        <v>16151</v>
      </c>
      <c r="AB2110" t="s">
        <v>21730</v>
      </c>
      <c r="AC2110">
        <v>77</v>
      </c>
      <c r="AE2110" t="s">
        <v>11459</v>
      </c>
      <c r="AF2110">
        <v>15</v>
      </c>
      <c r="AG2110">
        <v>1</v>
      </c>
      <c r="AH2110">
        <v>3</v>
      </c>
      <c r="AI2110">
        <v>136.31</v>
      </c>
      <c r="AL2110" t="s">
        <v>5011</v>
      </c>
      <c r="AM2110">
        <v>35100</v>
      </c>
      <c r="AS2110">
        <v>2.1</v>
      </c>
      <c r="AT2110" t="s">
        <v>618</v>
      </c>
      <c r="AU2110" t="s">
        <v>25227</v>
      </c>
      <c r="AV2110" t="s">
        <v>25335</v>
      </c>
      <c r="AW2110" t="s">
        <v>11447</v>
      </c>
    </row>
    <row r="2111" spans="1:49">
      <c r="A2111" s="1">
        <f>HYPERLINK("https://lsnyc.legalserver.org/matter/dynamic-profile/view/0781269","15-0781269")</f>
        <v>0</v>
      </c>
      <c r="B2111" t="s">
        <v>251</v>
      </c>
      <c r="C2111" t="s">
        <v>709</v>
      </c>
      <c r="E2111" t="s">
        <v>2181</v>
      </c>
      <c r="F2111" t="s">
        <v>4738</v>
      </c>
      <c r="G2111" t="s">
        <v>7786</v>
      </c>
      <c r="H2111" t="s">
        <v>10522</v>
      </c>
      <c r="I2111" t="s">
        <v>11385</v>
      </c>
      <c r="J2111">
        <v>11216</v>
      </c>
      <c r="K2111" t="s">
        <v>11446</v>
      </c>
      <c r="L2111" t="s">
        <v>12145</v>
      </c>
      <c r="M2111" t="s">
        <v>14743</v>
      </c>
      <c r="N2111" t="s">
        <v>14781</v>
      </c>
      <c r="P2111" t="s">
        <v>14797</v>
      </c>
      <c r="R2111" t="s">
        <v>14812</v>
      </c>
      <c r="S2111" t="s">
        <v>14827</v>
      </c>
      <c r="V2111">
        <v>1244</v>
      </c>
      <c r="W2111" t="s">
        <v>14859</v>
      </c>
      <c r="X2111" t="s">
        <v>14876</v>
      </c>
      <c r="Z2111" t="s">
        <v>16697</v>
      </c>
      <c r="AB2111" t="s">
        <v>21731</v>
      </c>
      <c r="AC2111">
        <v>0</v>
      </c>
      <c r="AD2111" t="s">
        <v>24595</v>
      </c>
      <c r="AF2111">
        <v>14</v>
      </c>
      <c r="AG2111">
        <v>1</v>
      </c>
      <c r="AH2111">
        <v>2</v>
      </c>
      <c r="AI2111">
        <v>137.7</v>
      </c>
      <c r="AL2111" t="s">
        <v>5011</v>
      </c>
      <c r="AM2111">
        <v>27664</v>
      </c>
      <c r="AS2111">
        <v>172</v>
      </c>
      <c r="AT2111" t="s">
        <v>851</v>
      </c>
      <c r="AU2111" t="s">
        <v>251</v>
      </c>
      <c r="AW2111" t="s">
        <v>11447</v>
      </c>
    </row>
    <row r="2112" spans="1:49">
      <c r="A2112" s="1">
        <f>HYPERLINK("https://lsnyc.legalserver.org/matter/dynamic-profile/view/1901897","19-1901897")</f>
        <v>0</v>
      </c>
      <c r="B2112" t="s">
        <v>164</v>
      </c>
      <c r="C2112" t="s">
        <v>347</v>
      </c>
      <c r="E2112" t="s">
        <v>1051</v>
      </c>
      <c r="F2112" t="s">
        <v>4739</v>
      </c>
      <c r="G2112" t="s">
        <v>7204</v>
      </c>
      <c r="H2112" t="s">
        <v>10929</v>
      </c>
      <c r="I2112" t="s">
        <v>11384</v>
      </c>
      <c r="J2112">
        <v>10314</v>
      </c>
      <c r="K2112" t="s">
        <v>11446</v>
      </c>
      <c r="L2112" t="s">
        <v>12142</v>
      </c>
      <c r="M2112" t="s">
        <v>14762</v>
      </c>
      <c r="N2112" t="s">
        <v>14783</v>
      </c>
      <c r="P2112" t="s">
        <v>14797</v>
      </c>
      <c r="Q2112" t="s">
        <v>11446</v>
      </c>
      <c r="S2112" t="s">
        <v>14827</v>
      </c>
      <c r="T2112" t="s">
        <v>14832</v>
      </c>
      <c r="V2112">
        <v>0</v>
      </c>
      <c r="W2112" t="s">
        <v>14862</v>
      </c>
      <c r="X2112" t="s">
        <v>14868</v>
      </c>
      <c r="Z2112" t="s">
        <v>16698</v>
      </c>
      <c r="AB2112" t="s">
        <v>21732</v>
      </c>
      <c r="AC2112">
        <v>96</v>
      </c>
      <c r="AD2112" t="s">
        <v>24595</v>
      </c>
      <c r="AE2112" t="s">
        <v>24613</v>
      </c>
      <c r="AF2112">
        <v>8</v>
      </c>
      <c r="AG2112">
        <v>1</v>
      </c>
      <c r="AH2112">
        <v>0</v>
      </c>
      <c r="AI2112">
        <v>138.34</v>
      </c>
      <c r="AL2112" t="s">
        <v>5011</v>
      </c>
      <c r="AM2112">
        <v>17278.8</v>
      </c>
      <c r="AO2112" t="s">
        <v>24932</v>
      </c>
      <c r="AP2112" t="s">
        <v>24955</v>
      </c>
      <c r="AQ2112" t="s">
        <v>24986</v>
      </c>
      <c r="AR2112" t="s">
        <v>25039</v>
      </c>
      <c r="AS2112">
        <v>0.6</v>
      </c>
      <c r="AT2112" t="s">
        <v>592</v>
      </c>
      <c r="AU2112" t="s">
        <v>25270</v>
      </c>
      <c r="AV2112" t="s">
        <v>25335</v>
      </c>
      <c r="AW2112" t="s">
        <v>11447</v>
      </c>
    </row>
    <row r="2113" spans="1:49">
      <c r="A2113" s="1">
        <f>HYPERLINK("https://lsnyc.legalserver.org/matter/dynamic-profile/view/1914289","19-1914289")</f>
        <v>0</v>
      </c>
      <c r="B2113" t="s">
        <v>78</v>
      </c>
      <c r="C2113" t="s">
        <v>539</v>
      </c>
      <c r="E2113" t="s">
        <v>2182</v>
      </c>
      <c r="F2113" t="s">
        <v>4046</v>
      </c>
      <c r="G2113" t="s">
        <v>7787</v>
      </c>
      <c r="H2113" t="s">
        <v>10522</v>
      </c>
      <c r="I2113" t="s">
        <v>11383</v>
      </c>
      <c r="J2113">
        <v>10457</v>
      </c>
      <c r="K2113" t="s">
        <v>11446</v>
      </c>
      <c r="M2113" t="s">
        <v>11601</v>
      </c>
      <c r="N2113" t="s">
        <v>14778</v>
      </c>
      <c r="P2113" t="s">
        <v>14797</v>
      </c>
      <c r="Q2113" t="s">
        <v>11448</v>
      </c>
      <c r="R2113" t="s">
        <v>14797</v>
      </c>
      <c r="S2113" t="s">
        <v>14827</v>
      </c>
      <c r="V2113">
        <v>1380.73</v>
      </c>
      <c r="W2113" t="s">
        <v>14858</v>
      </c>
      <c r="X2113" t="s">
        <v>14868</v>
      </c>
      <c r="Z2113" t="s">
        <v>16699</v>
      </c>
      <c r="AA2113" t="s">
        <v>19501</v>
      </c>
      <c r="AB2113" t="s">
        <v>21733</v>
      </c>
      <c r="AC2113">
        <v>5</v>
      </c>
      <c r="AD2113" t="s">
        <v>24595</v>
      </c>
      <c r="AE2113" t="s">
        <v>24616</v>
      </c>
      <c r="AF2113">
        <v>15</v>
      </c>
      <c r="AG2113">
        <v>1</v>
      </c>
      <c r="AH2113">
        <v>1</v>
      </c>
      <c r="AI2113">
        <v>138.38</v>
      </c>
      <c r="AL2113" t="s">
        <v>24632</v>
      </c>
      <c r="AM2113">
        <v>23400</v>
      </c>
      <c r="AS2113">
        <v>1.26</v>
      </c>
      <c r="AT2113" t="s">
        <v>521</v>
      </c>
      <c r="AU2113" t="s">
        <v>25247</v>
      </c>
      <c r="AV2113" t="s">
        <v>25335</v>
      </c>
      <c r="AW2113" t="s">
        <v>11447</v>
      </c>
    </row>
    <row r="2114" spans="1:49">
      <c r="A2114" s="1">
        <f>HYPERLINK("https://lsnyc.legalserver.org/matter/dynamic-profile/view/1909124","19-1909124")</f>
        <v>0</v>
      </c>
      <c r="B2114" t="s">
        <v>67</v>
      </c>
      <c r="C2114" t="s">
        <v>462</v>
      </c>
      <c r="E2114" t="s">
        <v>2126</v>
      </c>
      <c r="F2114" t="s">
        <v>4674</v>
      </c>
      <c r="G2114" t="s">
        <v>7596</v>
      </c>
      <c r="H2114" t="s">
        <v>10581</v>
      </c>
      <c r="I2114" t="s">
        <v>11383</v>
      </c>
      <c r="J2114">
        <v>10456</v>
      </c>
      <c r="K2114" t="s">
        <v>11446</v>
      </c>
      <c r="M2114" t="s">
        <v>14762</v>
      </c>
      <c r="N2114" t="s">
        <v>14783</v>
      </c>
      <c r="P2114" t="s">
        <v>14797</v>
      </c>
      <c r="Q2114" t="s">
        <v>11446</v>
      </c>
      <c r="S2114" t="s">
        <v>14827</v>
      </c>
      <c r="V2114">
        <v>1511.88</v>
      </c>
      <c r="W2114" t="s">
        <v>14858</v>
      </c>
      <c r="X2114" t="s">
        <v>14864</v>
      </c>
      <c r="Z2114" t="s">
        <v>16593</v>
      </c>
      <c r="AB2114" t="s">
        <v>21633</v>
      </c>
      <c r="AC2114">
        <v>30</v>
      </c>
      <c r="AD2114" t="s">
        <v>24595</v>
      </c>
      <c r="AE2114" t="s">
        <v>11459</v>
      </c>
      <c r="AF2114">
        <v>5</v>
      </c>
      <c r="AG2114">
        <v>1</v>
      </c>
      <c r="AH2114">
        <v>1</v>
      </c>
      <c r="AI2114">
        <v>138.38</v>
      </c>
      <c r="AL2114" t="s">
        <v>5011</v>
      </c>
      <c r="AM2114">
        <v>23400</v>
      </c>
      <c r="AS2114">
        <v>1</v>
      </c>
      <c r="AT2114" t="s">
        <v>504</v>
      </c>
      <c r="AU2114" t="s">
        <v>25242</v>
      </c>
      <c r="AV2114" t="s">
        <v>25335</v>
      </c>
      <c r="AW2114" t="s">
        <v>11447</v>
      </c>
    </row>
    <row r="2115" spans="1:49">
      <c r="A2115" s="1">
        <f>HYPERLINK("https://lsnyc.legalserver.org/matter/dynamic-profile/view/1909118","19-1909118")</f>
        <v>0</v>
      </c>
      <c r="B2115" t="s">
        <v>67</v>
      </c>
      <c r="C2115" t="s">
        <v>462</v>
      </c>
      <c r="E2115" t="s">
        <v>2126</v>
      </c>
      <c r="F2115" t="s">
        <v>4674</v>
      </c>
      <c r="G2115" t="s">
        <v>7596</v>
      </c>
      <c r="H2115" t="s">
        <v>10581</v>
      </c>
      <c r="I2115" t="s">
        <v>11383</v>
      </c>
      <c r="J2115">
        <v>10456</v>
      </c>
      <c r="K2115" t="s">
        <v>11446</v>
      </c>
      <c r="L2115" t="s">
        <v>12146</v>
      </c>
      <c r="M2115" t="s">
        <v>14746</v>
      </c>
      <c r="N2115" t="s">
        <v>14781</v>
      </c>
      <c r="P2115" t="s">
        <v>14797</v>
      </c>
      <c r="Q2115" t="s">
        <v>11446</v>
      </c>
      <c r="S2115" t="s">
        <v>14827</v>
      </c>
      <c r="V2115">
        <v>1511.88</v>
      </c>
      <c r="W2115" t="s">
        <v>14858</v>
      </c>
      <c r="X2115" t="s">
        <v>14864</v>
      </c>
      <c r="Z2115" t="s">
        <v>16593</v>
      </c>
      <c r="AB2115" t="s">
        <v>21633</v>
      </c>
      <c r="AC2115">
        <v>30</v>
      </c>
      <c r="AD2115" t="s">
        <v>24595</v>
      </c>
      <c r="AE2115" t="s">
        <v>11459</v>
      </c>
      <c r="AF2115">
        <v>5</v>
      </c>
      <c r="AG2115">
        <v>1</v>
      </c>
      <c r="AH2115">
        <v>1</v>
      </c>
      <c r="AI2115">
        <v>138.38</v>
      </c>
      <c r="AL2115" t="s">
        <v>5011</v>
      </c>
      <c r="AM2115">
        <v>23400</v>
      </c>
      <c r="AS2115">
        <v>50.8</v>
      </c>
      <c r="AT2115" t="s">
        <v>509</v>
      </c>
      <c r="AU2115" t="s">
        <v>25242</v>
      </c>
      <c r="AV2115" t="s">
        <v>25335</v>
      </c>
      <c r="AW2115" t="s">
        <v>11447</v>
      </c>
    </row>
    <row r="2116" spans="1:49">
      <c r="A2116" s="1">
        <f>HYPERLINK("https://lsnyc.legalserver.org/matter/dynamic-profile/view/1896178","19-1896178")</f>
        <v>0</v>
      </c>
      <c r="B2116" t="s">
        <v>165</v>
      </c>
      <c r="C2116" t="s">
        <v>611</v>
      </c>
      <c r="E2116" t="s">
        <v>2183</v>
      </c>
      <c r="F2116" t="s">
        <v>4740</v>
      </c>
      <c r="G2116" t="s">
        <v>7622</v>
      </c>
      <c r="H2116" t="s">
        <v>10799</v>
      </c>
      <c r="I2116" t="s">
        <v>11384</v>
      </c>
      <c r="J2116">
        <v>10304</v>
      </c>
      <c r="K2116" t="s">
        <v>11446</v>
      </c>
      <c r="L2116" t="s">
        <v>12147</v>
      </c>
      <c r="M2116" t="s">
        <v>14743</v>
      </c>
      <c r="N2116" t="s">
        <v>14781</v>
      </c>
      <c r="P2116" t="s">
        <v>14797</v>
      </c>
      <c r="Q2116" t="s">
        <v>11448</v>
      </c>
      <c r="S2116" t="s">
        <v>14827</v>
      </c>
      <c r="T2116" t="s">
        <v>14832</v>
      </c>
      <c r="V2116">
        <v>225</v>
      </c>
      <c r="W2116" t="s">
        <v>14862</v>
      </c>
      <c r="X2116" t="s">
        <v>14872</v>
      </c>
      <c r="Z2116" t="s">
        <v>16700</v>
      </c>
      <c r="AB2116" t="s">
        <v>21734</v>
      </c>
      <c r="AC2116">
        <v>132</v>
      </c>
      <c r="AD2116" t="s">
        <v>24596</v>
      </c>
      <c r="AE2116" t="s">
        <v>11459</v>
      </c>
      <c r="AF2116">
        <v>0</v>
      </c>
      <c r="AG2116">
        <v>1</v>
      </c>
      <c r="AH2116">
        <v>1</v>
      </c>
      <c r="AI2116">
        <v>138.38</v>
      </c>
      <c r="AL2116" t="s">
        <v>5011</v>
      </c>
      <c r="AM2116">
        <v>23400</v>
      </c>
      <c r="AS2116">
        <v>38.5</v>
      </c>
      <c r="AT2116" t="s">
        <v>495</v>
      </c>
      <c r="AU2116" t="s">
        <v>25270</v>
      </c>
      <c r="AW2116" t="s">
        <v>11447</v>
      </c>
    </row>
    <row r="2117" spans="1:49">
      <c r="A2117" s="1">
        <f>HYPERLINK("https://lsnyc.legalserver.org/matter/dynamic-profile/view/1912615","19-1912615")</f>
        <v>0</v>
      </c>
      <c r="B2117" t="s">
        <v>66</v>
      </c>
      <c r="C2117" t="s">
        <v>472</v>
      </c>
      <c r="E2117" t="s">
        <v>1451</v>
      </c>
      <c r="F2117" t="s">
        <v>1983</v>
      </c>
      <c r="G2117" t="s">
        <v>7788</v>
      </c>
      <c r="H2117" t="s">
        <v>10506</v>
      </c>
      <c r="I2117" t="s">
        <v>11385</v>
      </c>
      <c r="J2117">
        <v>11233</v>
      </c>
      <c r="K2117" t="s">
        <v>11448</v>
      </c>
      <c r="L2117" t="s">
        <v>11465</v>
      </c>
      <c r="M2117" t="s">
        <v>11601</v>
      </c>
      <c r="N2117" t="s">
        <v>14778</v>
      </c>
      <c r="P2117" t="s">
        <v>14797</v>
      </c>
      <c r="Q2117" t="s">
        <v>11448</v>
      </c>
      <c r="S2117" t="s">
        <v>14827</v>
      </c>
      <c r="T2117" t="s">
        <v>14832</v>
      </c>
      <c r="V2117">
        <v>1141</v>
      </c>
      <c r="W2117" t="s">
        <v>14859</v>
      </c>
      <c r="X2117" t="s">
        <v>14867</v>
      </c>
      <c r="Z2117" t="s">
        <v>16701</v>
      </c>
      <c r="AA2117" t="s">
        <v>19468</v>
      </c>
      <c r="AB2117" t="s">
        <v>21735</v>
      </c>
      <c r="AC2117">
        <v>6</v>
      </c>
      <c r="AD2117" t="s">
        <v>24595</v>
      </c>
      <c r="AE2117" t="s">
        <v>24610</v>
      </c>
      <c r="AF2117">
        <v>26</v>
      </c>
      <c r="AG2117">
        <v>1</v>
      </c>
      <c r="AH2117">
        <v>0</v>
      </c>
      <c r="AI2117">
        <v>139.22</v>
      </c>
      <c r="AL2117" t="s">
        <v>5011</v>
      </c>
      <c r="AM2117">
        <v>17388</v>
      </c>
      <c r="AS2117">
        <v>1</v>
      </c>
      <c r="AT2117" t="s">
        <v>472</v>
      </c>
      <c r="AU2117" t="s">
        <v>25231</v>
      </c>
      <c r="AV2117" t="s">
        <v>11459</v>
      </c>
      <c r="AW2117" t="s">
        <v>11447</v>
      </c>
    </row>
    <row r="2118" spans="1:49">
      <c r="A2118" s="1">
        <f>HYPERLINK("https://lsnyc.legalserver.org/matter/dynamic-profile/view/1914958","19-1914958")</f>
        <v>0</v>
      </c>
      <c r="B2118" t="s">
        <v>221</v>
      </c>
      <c r="C2118" t="s">
        <v>537</v>
      </c>
      <c r="E2118" t="s">
        <v>2184</v>
      </c>
      <c r="F2118" t="s">
        <v>4741</v>
      </c>
      <c r="G2118" t="s">
        <v>7789</v>
      </c>
      <c r="H2118">
        <v>447</v>
      </c>
      <c r="I2118" t="s">
        <v>11384</v>
      </c>
      <c r="J2118">
        <v>10304</v>
      </c>
      <c r="K2118" t="s">
        <v>11446</v>
      </c>
      <c r="L2118">
        <v>51189</v>
      </c>
      <c r="M2118" t="s">
        <v>14744</v>
      </c>
      <c r="N2118" t="s">
        <v>14781</v>
      </c>
      <c r="P2118" t="s">
        <v>14797</v>
      </c>
      <c r="Q2118" t="s">
        <v>11448</v>
      </c>
      <c r="S2118" t="s">
        <v>14827</v>
      </c>
      <c r="T2118" t="s">
        <v>14837</v>
      </c>
      <c r="V2118">
        <v>418</v>
      </c>
      <c r="W2118" t="s">
        <v>14862</v>
      </c>
      <c r="Z2118" t="s">
        <v>16702</v>
      </c>
      <c r="AA2118" t="s">
        <v>19502</v>
      </c>
      <c r="AB2118" t="s">
        <v>21736</v>
      </c>
      <c r="AC2118">
        <v>0</v>
      </c>
      <c r="AD2118" t="s">
        <v>24596</v>
      </c>
      <c r="AF2118">
        <v>3</v>
      </c>
      <c r="AG2118">
        <v>1</v>
      </c>
      <c r="AH2118">
        <v>2</v>
      </c>
      <c r="AI2118">
        <v>139.69</v>
      </c>
      <c r="AL2118" t="s">
        <v>5011</v>
      </c>
      <c r="AM2118">
        <v>29796</v>
      </c>
      <c r="AS2118">
        <v>5.9</v>
      </c>
      <c r="AT2118" t="s">
        <v>516</v>
      </c>
      <c r="AU2118" t="s">
        <v>221</v>
      </c>
      <c r="AW2118" t="s">
        <v>11447</v>
      </c>
    </row>
    <row r="2119" spans="1:49">
      <c r="A2119" s="1">
        <f>HYPERLINK("https://lsnyc.legalserver.org/matter/dynamic-profile/view/1915368","19-1915368")</f>
        <v>0</v>
      </c>
      <c r="B2119" t="s">
        <v>100</v>
      </c>
      <c r="C2119" t="s">
        <v>495</v>
      </c>
      <c r="E2119" t="s">
        <v>2185</v>
      </c>
      <c r="F2119" t="s">
        <v>4742</v>
      </c>
      <c r="G2119" t="s">
        <v>6868</v>
      </c>
      <c r="H2119" t="s">
        <v>10474</v>
      </c>
      <c r="I2119" t="s">
        <v>11383</v>
      </c>
      <c r="J2119">
        <v>10456</v>
      </c>
      <c r="K2119" t="s">
        <v>11446</v>
      </c>
      <c r="M2119" t="s">
        <v>14762</v>
      </c>
      <c r="N2119" t="s">
        <v>14783</v>
      </c>
      <c r="P2119" t="s">
        <v>14797</v>
      </c>
      <c r="Q2119" t="s">
        <v>11446</v>
      </c>
      <c r="S2119" t="s">
        <v>14827</v>
      </c>
      <c r="V2119">
        <v>560</v>
      </c>
      <c r="W2119" t="s">
        <v>14858</v>
      </c>
      <c r="X2119" t="s">
        <v>14864</v>
      </c>
      <c r="Z2119" t="s">
        <v>16703</v>
      </c>
      <c r="AB2119" t="s">
        <v>21737</v>
      </c>
      <c r="AC2119">
        <v>131</v>
      </c>
      <c r="AD2119" t="s">
        <v>24595</v>
      </c>
      <c r="AE2119" t="s">
        <v>11459</v>
      </c>
      <c r="AF2119">
        <v>25</v>
      </c>
      <c r="AG2119">
        <v>3</v>
      </c>
      <c r="AH2119">
        <v>0</v>
      </c>
      <c r="AI2119">
        <v>140.65</v>
      </c>
      <c r="AL2119" t="s">
        <v>5011</v>
      </c>
      <c r="AM2119">
        <v>30000</v>
      </c>
      <c r="AS2119">
        <v>0.25</v>
      </c>
      <c r="AT2119" t="s">
        <v>495</v>
      </c>
      <c r="AU2119" t="s">
        <v>237</v>
      </c>
      <c r="AV2119" t="s">
        <v>25335</v>
      </c>
      <c r="AW2119" t="s">
        <v>11447</v>
      </c>
    </row>
    <row r="2120" spans="1:49">
      <c r="A2120" s="1">
        <f>HYPERLINK("https://lsnyc.legalserver.org/matter/dynamic-profile/view/1905357","19-1905357")</f>
        <v>0</v>
      </c>
      <c r="B2120" t="s">
        <v>167</v>
      </c>
      <c r="C2120" t="s">
        <v>619</v>
      </c>
      <c r="E2120" t="s">
        <v>1093</v>
      </c>
      <c r="F2120" t="s">
        <v>4743</v>
      </c>
      <c r="G2120" t="s">
        <v>6348</v>
      </c>
      <c r="H2120" t="s">
        <v>10448</v>
      </c>
      <c r="I2120" t="s">
        <v>11424</v>
      </c>
      <c r="J2120">
        <v>11372</v>
      </c>
      <c r="K2120" t="s">
        <v>11446</v>
      </c>
      <c r="L2120" t="s">
        <v>12148</v>
      </c>
      <c r="M2120" t="s">
        <v>14743</v>
      </c>
      <c r="N2120" t="s">
        <v>14781</v>
      </c>
      <c r="P2120" t="s">
        <v>14797</v>
      </c>
      <c r="Q2120" t="s">
        <v>11446</v>
      </c>
      <c r="S2120" t="s">
        <v>14827</v>
      </c>
      <c r="T2120" t="s">
        <v>14833</v>
      </c>
      <c r="V2120">
        <v>890.4</v>
      </c>
      <c r="W2120" t="s">
        <v>14861</v>
      </c>
      <c r="X2120" t="s">
        <v>14865</v>
      </c>
      <c r="Z2120" t="s">
        <v>14974</v>
      </c>
      <c r="AB2120" t="s">
        <v>20158</v>
      </c>
      <c r="AC2120">
        <v>6</v>
      </c>
      <c r="AD2120" t="s">
        <v>24595</v>
      </c>
      <c r="AE2120" t="s">
        <v>24613</v>
      </c>
      <c r="AF2120">
        <v>33</v>
      </c>
      <c r="AG2120">
        <v>1</v>
      </c>
      <c r="AH2120">
        <v>0</v>
      </c>
      <c r="AI2120">
        <v>140.91</v>
      </c>
      <c r="AL2120" t="s">
        <v>5011</v>
      </c>
      <c r="AM2120">
        <v>17600</v>
      </c>
      <c r="AS2120">
        <v>27.2</v>
      </c>
      <c r="AT2120" t="s">
        <v>467</v>
      </c>
      <c r="AU2120" t="s">
        <v>25233</v>
      </c>
      <c r="AV2120" t="s">
        <v>25335</v>
      </c>
      <c r="AW2120" t="s">
        <v>11447</v>
      </c>
    </row>
    <row r="2121" spans="1:49">
      <c r="A2121" s="1">
        <f>HYPERLINK("https://lsnyc.legalserver.org/matter/dynamic-profile/view/1906974","19-1906974")</f>
        <v>0</v>
      </c>
      <c r="B2121" t="s">
        <v>78</v>
      </c>
      <c r="C2121" t="s">
        <v>564</v>
      </c>
      <c r="E2121" t="s">
        <v>2186</v>
      </c>
      <c r="F2121" t="s">
        <v>3819</v>
      </c>
      <c r="G2121" t="s">
        <v>7790</v>
      </c>
      <c r="H2121" t="s">
        <v>10620</v>
      </c>
      <c r="I2121" t="s">
        <v>11383</v>
      </c>
      <c r="J2121">
        <v>10460</v>
      </c>
      <c r="K2121" t="s">
        <v>11446</v>
      </c>
      <c r="L2121" t="s">
        <v>11459</v>
      </c>
      <c r="M2121" t="s">
        <v>14744</v>
      </c>
      <c r="N2121" t="s">
        <v>14782</v>
      </c>
      <c r="P2121" t="s">
        <v>14797</v>
      </c>
      <c r="Q2121" t="s">
        <v>11448</v>
      </c>
      <c r="S2121" t="s">
        <v>14827</v>
      </c>
      <c r="T2121" t="s">
        <v>14833</v>
      </c>
      <c r="V2121">
        <v>0</v>
      </c>
      <c r="W2121" t="s">
        <v>14858</v>
      </c>
      <c r="Z2121" t="s">
        <v>16704</v>
      </c>
      <c r="AC2121">
        <v>25</v>
      </c>
      <c r="AD2121" t="s">
        <v>24595</v>
      </c>
      <c r="AE2121" t="s">
        <v>24616</v>
      </c>
      <c r="AF2121">
        <v>4</v>
      </c>
      <c r="AG2121">
        <v>1</v>
      </c>
      <c r="AH2121">
        <v>0</v>
      </c>
      <c r="AI2121">
        <v>142.39</v>
      </c>
      <c r="AL2121" t="s">
        <v>5011</v>
      </c>
      <c r="AM2121">
        <v>17784</v>
      </c>
      <c r="AS2121">
        <v>3.75</v>
      </c>
      <c r="AT2121" t="s">
        <v>462</v>
      </c>
      <c r="AU2121" t="s">
        <v>25268</v>
      </c>
      <c r="AV2121" t="s">
        <v>25335</v>
      </c>
      <c r="AW2121" t="s">
        <v>11447</v>
      </c>
    </row>
    <row r="2122" spans="1:49">
      <c r="A2122" s="1">
        <f>HYPERLINK("https://lsnyc.legalserver.org/matter/dynamic-profile/view/1912908","19-1912908")</f>
        <v>0</v>
      </c>
      <c r="B2122" t="s">
        <v>67</v>
      </c>
      <c r="C2122" t="s">
        <v>574</v>
      </c>
      <c r="E2122" t="s">
        <v>1372</v>
      </c>
      <c r="F2122" t="s">
        <v>3823</v>
      </c>
      <c r="G2122" t="s">
        <v>6923</v>
      </c>
      <c r="H2122" t="s">
        <v>10930</v>
      </c>
      <c r="I2122" t="s">
        <v>11383</v>
      </c>
      <c r="J2122">
        <v>10458</v>
      </c>
      <c r="K2122" t="s">
        <v>11446</v>
      </c>
      <c r="M2122" t="s">
        <v>14746</v>
      </c>
      <c r="N2122" t="s">
        <v>14781</v>
      </c>
      <c r="P2122" t="s">
        <v>14797</v>
      </c>
      <c r="Q2122" t="s">
        <v>11446</v>
      </c>
      <c r="S2122" t="s">
        <v>14827</v>
      </c>
      <c r="V2122">
        <v>1170</v>
      </c>
      <c r="W2122" t="s">
        <v>14858</v>
      </c>
      <c r="X2122" t="s">
        <v>14864</v>
      </c>
      <c r="Z2122" t="s">
        <v>16705</v>
      </c>
      <c r="AB2122" t="s">
        <v>21738</v>
      </c>
      <c r="AC2122">
        <v>94</v>
      </c>
      <c r="AD2122" t="s">
        <v>11479</v>
      </c>
      <c r="AE2122" t="s">
        <v>11459</v>
      </c>
      <c r="AF2122">
        <v>10</v>
      </c>
      <c r="AG2122">
        <v>1</v>
      </c>
      <c r="AH2122">
        <v>0</v>
      </c>
      <c r="AI2122">
        <v>145.72</v>
      </c>
      <c r="AL2122" t="s">
        <v>5011</v>
      </c>
      <c r="AM2122">
        <v>18200</v>
      </c>
      <c r="AS2122">
        <v>0</v>
      </c>
      <c r="AU2122" t="s">
        <v>25242</v>
      </c>
      <c r="AV2122" t="s">
        <v>25335</v>
      </c>
      <c r="AW2122" t="s">
        <v>11447</v>
      </c>
    </row>
    <row r="2123" spans="1:49">
      <c r="A2123" s="1">
        <f>HYPERLINK("https://lsnyc.legalserver.org/matter/dynamic-profile/view/1876097","18-1876097")</f>
        <v>0</v>
      </c>
      <c r="B2123" t="s">
        <v>151</v>
      </c>
      <c r="C2123" t="s">
        <v>670</v>
      </c>
      <c r="E2123" t="s">
        <v>1176</v>
      </c>
      <c r="F2123" t="s">
        <v>4744</v>
      </c>
      <c r="G2123" t="s">
        <v>7791</v>
      </c>
      <c r="H2123" t="s">
        <v>10635</v>
      </c>
      <c r="I2123" t="s">
        <v>11385</v>
      </c>
      <c r="J2123">
        <v>11230</v>
      </c>
      <c r="K2123" t="s">
        <v>11447</v>
      </c>
      <c r="L2123" t="s">
        <v>12149</v>
      </c>
      <c r="M2123" t="s">
        <v>14743</v>
      </c>
      <c r="N2123" t="s">
        <v>14781</v>
      </c>
      <c r="P2123" t="s">
        <v>14797</v>
      </c>
      <c r="Q2123" t="s">
        <v>11448</v>
      </c>
      <c r="S2123" t="s">
        <v>14827</v>
      </c>
      <c r="V2123">
        <v>1050</v>
      </c>
      <c r="W2123" t="s">
        <v>14859</v>
      </c>
      <c r="X2123" t="s">
        <v>14868</v>
      </c>
      <c r="Z2123" t="s">
        <v>16706</v>
      </c>
      <c r="AB2123" t="s">
        <v>21739</v>
      </c>
      <c r="AC2123">
        <v>0</v>
      </c>
      <c r="AD2123" t="s">
        <v>24595</v>
      </c>
      <c r="AF2123">
        <v>5</v>
      </c>
      <c r="AG2123">
        <v>1</v>
      </c>
      <c r="AH2123">
        <v>1</v>
      </c>
      <c r="AI2123">
        <v>145.81</v>
      </c>
      <c r="AL2123" t="s">
        <v>5011</v>
      </c>
      <c r="AM2123">
        <v>24000</v>
      </c>
      <c r="AS2123">
        <v>25.6</v>
      </c>
      <c r="AT2123" t="s">
        <v>787</v>
      </c>
      <c r="AU2123" t="s">
        <v>180</v>
      </c>
      <c r="AW2123" t="s">
        <v>11447</v>
      </c>
    </row>
    <row r="2124" spans="1:49">
      <c r="A2124" s="1">
        <f>HYPERLINK("https://lsnyc.legalserver.org/matter/dynamic-profile/view/1915342","19-1915342")</f>
        <v>0</v>
      </c>
      <c r="B2124" t="s">
        <v>100</v>
      </c>
      <c r="C2124" t="s">
        <v>495</v>
      </c>
      <c r="E2124" t="s">
        <v>2187</v>
      </c>
      <c r="F2124" t="s">
        <v>4567</v>
      </c>
      <c r="G2124" t="s">
        <v>7792</v>
      </c>
      <c r="H2124" t="s">
        <v>10811</v>
      </c>
      <c r="I2124" t="s">
        <v>11383</v>
      </c>
      <c r="J2124">
        <v>10452</v>
      </c>
      <c r="K2124" t="s">
        <v>11446</v>
      </c>
      <c r="N2124" t="s">
        <v>14782</v>
      </c>
      <c r="P2124" t="s">
        <v>14797</v>
      </c>
      <c r="Q2124" t="s">
        <v>11448</v>
      </c>
      <c r="S2124" t="s">
        <v>14827</v>
      </c>
      <c r="V2124">
        <v>1141</v>
      </c>
      <c r="W2124" t="s">
        <v>14858</v>
      </c>
      <c r="X2124" t="s">
        <v>14864</v>
      </c>
      <c r="Z2124" t="s">
        <v>16707</v>
      </c>
      <c r="AC2124">
        <v>82</v>
      </c>
      <c r="AD2124" t="s">
        <v>11479</v>
      </c>
      <c r="AE2124" t="s">
        <v>11459</v>
      </c>
      <c r="AF2124">
        <v>6</v>
      </c>
      <c r="AG2124">
        <v>3</v>
      </c>
      <c r="AH2124">
        <v>0</v>
      </c>
      <c r="AI2124">
        <v>146.16</v>
      </c>
      <c r="AL2124" t="s">
        <v>24632</v>
      </c>
      <c r="AM2124">
        <v>31176</v>
      </c>
      <c r="AS2124">
        <v>0</v>
      </c>
      <c r="AU2124" t="s">
        <v>245</v>
      </c>
      <c r="AW2124" t="s">
        <v>11447</v>
      </c>
    </row>
    <row r="2125" spans="1:49">
      <c r="A2125" s="1">
        <f>HYPERLINK("https://lsnyc.legalserver.org/matter/dynamic-profile/view/1911435","19-1911435")</f>
        <v>0</v>
      </c>
      <c r="B2125" t="s">
        <v>113</v>
      </c>
      <c r="C2125" t="s">
        <v>467</v>
      </c>
      <c r="E2125" t="s">
        <v>1688</v>
      </c>
      <c r="F2125" t="s">
        <v>3799</v>
      </c>
      <c r="G2125" t="s">
        <v>7793</v>
      </c>
      <c r="H2125" t="s">
        <v>10486</v>
      </c>
      <c r="I2125" t="s">
        <v>11385</v>
      </c>
      <c r="J2125">
        <v>11208</v>
      </c>
      <c r="K2125" t="s">
        <v>11448</v>
      </c>
      <c r="L2125" t="s">
        <v>12150</v>
      </c>
      <c r="M2125" t="s">
        <v>14743</v>
      </c>
      <c r="N2125" t="s">
        <v>14782</v>
      </c>
      <c r="P2125" t="s">
        <v>14797</v>
      </c>
      <c r="Q2125" t="s">
        <v>11448</v>
      </c>
      <c r="S2125" t="s">
        <v>14827</v>
      </c>
      <c r="T2125" t="s">
        <v>14832</v>
      </c>
      <c r="V2125">
        <v>1300</v>
      </c>
      <c r="W2125" t="s">
        <v>14859</v>
      </c>
      <c r="X2125" t="s">
        <v>14755</v>
      </c>
      <c r="Z2125" t="s">
        <v>16708</v>
      </c>
      <c r="AA2125" t="s">
        <v>11465</v>
      </c>
      <c r="AB2125" t="s">
        <v>19344</v>
      </c>
      <c r="AC2125">
        <v>3</v>
      </c>
      <c r="AD2125" t="s">
        <v>24600</v>
      </c>
      <c r="AE2125" t="s">
        <v>11459</v>
      </c>
      <c r="AF2125">
        <v>2</v>
      </c>
      <c r="AG2125">
        <v>2</v>
      </c>
      <c r="AH2125">
        <v>1</v>
      </c>
      <c r="AI2125">
        <v>146.27</v>
      </c>
      <c r="AL2125" t="s">
        <v>24632</v>
      </c>
      <c r="AM2125">
        <v>31200</v>
      </c>
      <c r="AS2125">
        <v>0.6</v>
      </c>
      <c r="AT2125" t="s">
        <v>467</v>
      </c>
      <c r="AU2125" t="s">
        <v>25229</v>
      </c>
      <c r="AV2125" t="s">
        <v>11459</v>
      </c>
      <c r="AW2125" t="s">
        <v>11447</v>
      </c>
    </row>
    <row r="2126" spans="1:49">
      <c r="A2126" s="1">
        <f>HYPERLINK("https://lsnyc.legalserver.org/matter/dynamic-profile/view/1895292","19-1895292")</f>
        <v>0</v>
      </c>
      <c r="B2126" t="s">
        <v>107</v>
      </c>
      <c r="C2126" t="s">
        <v>333</v>
      </c>
      <c r="E2126" t="s">
        <v>1417</v>
      </c>
      <c r="F2126" t="s">
        <v>4745</v>
      </c>
      <c r="G2126" t="s">
        <v>7150</v>
      </c>
      <c r="H2126" t="s">
        <v>10481</v>
      </c>
      <c r="I2126" t="s">
        <v>11385</v>
      </c>
      <c r="J2126">
        <v>11212</v>
      </c>
      <c r="K2126" t="s">
        <v>11448</v>
      </c>
      <c r="M2126" t="s">
        <v>14760</v>
      </c>
      <c r="P2126" t="s">
        <v>14797</v>
      </c>
      <c r="Q2126" t="s">
        <v>11446</v>
      </c>
      <c r="S2126" t="s">
        <v>14827</v>
      </c>
      <c r="V2126">
        <v>663</v>
      </c>
      <c r="W2126" t="s">
        <v>14859</v>
      </c>
      <c r="X2126" t="s">
        <v>14755</v>
      </c>
      <c r="Z2126" t="s">
        <v>16709</v>
      </c>
      <c r="AA2126" t="s">
        <v>11465</v>
      </c>
      <c r="AC2126">
        <v>0</v>
      </c>
      <c r="AD2126" t="s">
        <v>24595</v>
      </c>
      <c r="AF2126">
        <v>25</v>
      </c>
      <c r="AG2126">
        <v>3</v>
      </c>
      <c r="AH2126">
        <v>0</v>
      </c>
      <c r="AI2126">
        <v>150.02</v>
      </c>
      <c r="AL2126" t="s">
        <v>5011</v>
      </c>
      <c r="AM2126">
        <v>32000</v>
      </c>
      <c r="AS2126">
        <v>14</v>
      </c>
      <c r="AT2126" t="s">
        <v>564</v>
      </c>
      <c r="AU2126" t="s">
        <v>120</v>
      </c>
      <c r="AW2126" t="s">
        <v>11448</v>
      </c>
    </row>
    <row r="2127" spans="1:49">
      <c r="A2127" s="1">
        <f>HYPERLINK("https://lsnyc.legalserver.org/matter/dynamic-profile/view/1899382","19-1899382")</f>
        <v>0</v>
      </c>
      <c r="B2127" t="s">
        <v>165</v>
      </c>
      <c r="C2127" t="s">
        <v>370</v>
      </c>
      <c r="E2127" t="s">
        <v>2188</v>
      </c>
      <c r="F2127" t="s">
        <v>4746</v>
      </c>
      <c r="G2127" t="s">
        <v>6790</v>
      </c>
      <c r="H2127" t="s">
        <v>10509</v>
      </c>
      <c r="I2127" t="s">
        <v>11384</v>
      </c>
      <c r="J2127">
        <v>10304</v>
      </c>
      <c r="K2127" t="s">
        <v>11446</v>
      </c>
      <c r="L2127" t="s">
        <v>12151</v>
      </c>
      <c r="M2127" t="s">
        <v>14744</v>
      </c>
      <c r="N2127" t="s">
        <v>14781</v>
      </c>
      <c r="P2127" t="s">
        <v>14797</v>
      </c>
      <c r="Q2127" t="s">
        <v>11448</v>
      </c>
      <c r="S2127" t="s">
        <v>14827</v>
      </c>
      <c r="T2127" t="s">
        <v>14832</v>
      </c>
      <c r="V2127">
        <v>1600</v>
      </c>
      <c r="W2127" t="s">
        <v>14862</v>
      </c>
      <c r="X2127" t="s">
        <v>14863</v>
      </c>
      <c r="Z2127" t="s">
        <v>16710</v>
      </c>
      <c r="AB2127" t="s">
        <v>21740</v>
      </c>
      <c r="AC2127">
        <v>0</v>
      </c>
      <c r="AD2127" t="s">
        <v>24595</v>
      </c>
      <c r="AE2127" t="s">
        <v>24614</v>
      </c>
      <c r="AF2127">
        <v>5</v>
      </c>
      <c r="AG2127">
        <v>1</v>
      </c>
      <c r="AH2127">
        <v>2</v>
      </c>
      <c r="AI2127">
        <v>150.02</v>
      </c>
      <c r="AM2127">
        <v>32000</v>
      </c>
      <c r="AS2127">
        <v>14.2</v>
      </c>
      <c r="AT2127" t="s">
        <v>495</v>
      </c>
      <c r="AU2127" t="s">
        <v>25270</v>
      </c>
      <c r="AV2127" t="s">
        <v>25335</v>
      </c>
      <c r="AW2127" t="s">
        <v>11447</v>
      </c>
    </row>
    <row r="2128" spans="1:49">
      <c r="A2128" s="1">
        <f>HYPERLINK("https://lsnyc.legalserver.org/matter/dynamic-profile/view/1910629","19-1910629")</f>
        <v>0</v>
      </c>
      <c r="B2128" t="s">
        <v>154</v>
      </c>
      <c r="C2128" t="s">
        <v>644</v>
      </c>
      <c r="E2128" t="s">
        <v>2189</v>
      </c>
      <c r="F2128" t="s">
        <v>4736</v>
      </c>
      <c r="G2128" t="s">
        <v>7794</v>
      </c>
      <c r="H2128" t="s">
        <v>10717</v>
      </c>
      <c r="I2128" t="s">
        <v>11383</v>
      </c>
      <c r="J2128">
        <v>10451</v>
      </c>
      <c r="K2128" t="s">
        <v>11446</v>
      </c>
      <c r="N2128" t="s">
        <v>14780</v>
      </c>
      <c r="P2128" t="s">
        <v>14797</v>
      </c>
      <c r="S2128" t="s">
        <v>14827</v>
      </c>
      <c r="V2128">
        <v>1268.42</v>
      </c>
      <c r="W2128" t="s">
        <v>14858</v>
      </c>
      <c r="X2128" t="s">
        <v>14869</v>
      </c>
      <c r="Z2128" t="s">
        <v>16711</v>
      </c>
      <c r="AC2128">
        <v>0</v>
      </c>
      <c r="AD2128" t="s">
        <v>24601</v>
      </c>
      <c r="AE2128" t="s">
        <v>11459</v>
      </c>
      <c r="AF2128">
        <v>24</v>
      </c>
      <c r="AG2128">
        <v>2</v>
      </c>
      <c r="AH2128">
        <v>0</v>
      </c>
      <c r="AI2128">
        <v>151.15</v>
      </c>
      <c r="AL2128" t="s">
        <v>5011</v>
      </c>
      <c r="AM2128">
        <v>25560</v>
      </c>
      <c r="AS2128">
        <v>1</v>
      </c>
      <c r="AT2128" t="s">
        <v>644</v>
      </c>
      <c r="AU2128" t="s">
        <v>154</v>
      </c>
      <c r="AV2128" t="s">
        <v>25335</v>
      </c>
      <c r="AW2128" t="s">
        <v>11447</v>
      </c>
    </row>
    <row r="2129" spans="1:49">
      <c r="A2129" s="1">
        <f>HYPERLINK("https://lsnyc.legalserver.org/matter/dynamic-profile/view/1911779","19-1911779")</f>
        <v>0</v>
      </c>
      <c r="B2129" t="s">
        <v>67</v>
      </c>
      <c r="C2129" t="s">
        <v>645</v>
      </c>
      <c r="E2129" t="s">
        <v>2105</v>
      </c>
      <c r="F2129" t="s">
        <v>4650</v>
      </c>
      <c r="G2129" t="s">
        <v>7795</v>
      </c>
      <c r="H2129" t="s">
        <v>10594</v>
      </c>
      <c r="I2129" t="s">
        <v>11383</v>
      </c>
      <c r="J2129">
        <v>10456</v>
      </c>
      <c r="K2129" t="s">
        <v>11446</v>
      </c>
      <c r="L2129" t="s">
        <v>12028</v>
      </c>
      <c r="M2129" t="s">
        <v>14746</v>
      </c>
      <c r="N2129" t="s">
        <v>14781</v>
      </c>
      <c r="P2129" t="s">
        <v>14797</v>
      </c>
      <c r="Q2129" t="s">
        <v>11446</v>
      </c>
      <c r="S2129" t="s">
        <v>14827</v>
      </c>
      <c r="V2129">
        <v>1150</v>
      </c>
      <c r="W2129" t="s">
        <v>14858</v>
      </c>
      <c r="X2129" t="s">
        <v>14755</v>
      </c>
      <c r="Z2129" t="s">
        <v>16548</v>
      </c>
      <c r="AB2129" t="s">
        <v>21587</v>
      </c>
      <c r="AC2129">
        <v>30</v>
      </c>
      <c r="AD2129" t="s">
        <v>24595</v>
      </c>
      <c r="AE2129" t="s">
        <v>11459</v>
      </c>
      <c r="AF2129">
        <v>23</v>
      </c>
      <c r="AG2129">
        <v>2</v>
      </c>
      <c r="AH2129">
        <v>2</v>
      </c>
      <c r="AI2129">
        <v>151.46</v>
      </c>
      <c r="AL2129" t="s">
        <v>5011</v>
      </c>
      <c r="AM2129">
        <v>39000</v>
      </c>
      <c r="AS2129">
        <v>32.55</v>
      </c>
      <c r="AT2129" t="s">
        <v>516</v>
      </c>
      <c r="AU2129" t="s">
        <v>25242</v>
      </c>
      <c r="AV2129" t="s">
        <v>25335</v>
      </c>
      <c r="AW2129" t="s">
        <v>11447</v>
      </c>
    </row>
    <row r="2130" spans="1:49">
      <c r="A2130" s="1">
        <f>HYPERLINK("https://lsnyc.legalserver.org/matter/dynamic-profile/view/1912608","19-1912608")</f>
        <v>0</v>
      </c>
      <c r="B2130" t="s">
        <v>183</v>
      </c>
      <c r="C2130" t="s">
        <v>472</v>
      </c>
      <c r="E2130" t="s">
        <v>2190</v>
      </c>
      <c r="F2130" t="s">
        <v>3951</v>
      </c>
      <c r="G2130" t="s">
        <v>7796</v>
      </c>
      <c r="H2130" t="s">
        <v>10522</v>
      </c>
      <c r="I2130" t="s">
        <v>11385</v>
      </c>
      <c r="J2130">
        <v>11212</v>
      </c>
      <c r="K2130" t="s">
        <v>11447</v>
      </c>
      <c r="L2130" t="s">
        <v>11601</v>
      </c>
      <c r="M2130" t="s">
        <v>11601</v>
      </c>
      <c r="N2130" t="s">
        <v>14778</v>
      </c>
      <c r="P2130" t="s">
        <v>14797</v>
      </c>
      <c r="Q2130" t="s">
        <v>11448</v>
      </c>
      <c r="S2130" t="s">
        <v>14827</v>
      </c>
      <c r="V2130">
        <v>317</v>
      </c>
      <c r="W2130" t="s">
        <v>14859</v>
      </c>
      <c r="X2130" t="s">
        <v>14867</v>
      </c>
      <c r="Z2130" t="s">
        <v>16712</v>
      </c>
      <c r="AB2130" t="s">
        <v>21741</v>
      </c>
      <c r="AC2130">
        <v>12</v>
      </c>
      <c r="AD2130" t="s">
        <v>24604</v>
      </c>
      <c r="AF2130">
        <v>2</v>
      </c>
      <c r="AG2130">
        <v>1</v>
      </c>
      <c r="AH2130">
        <v>0</v>
      </c>
      <c r="AI2130">
        <v>151.96</v>
      </c>
      <c r="AL2130" t="s">
        <v>5011</v>
      </c>
      <c r="AM2130">
        <v>18980</v>
      </c>
      <c r="AS2130">
        <v>0.5</v>
      </c>
      <c r="AT2130" t="s">
        <v>574</v>
      </c>
      <c r="AU2130" t="s">
        <v>120</v>
      </c>
      <c r="AW2130" t="s">
        <v>11447</v>
      </c>
    </row>
    <row r="2131" spans="1:49">
      <c r="A2131" s="1">
        <f>HYPERLINK("https://lsnyc.legalserver.org/matter/dynamic-profile/view/1908129","19-1908129")</f>
        <v>0</v>
      </c>
      <c r="B2131" t="s">
        <v>90</v>
      </c>
      <c r="C2131" t="s">
        <v>372</v>
      </c>
      <c r="E2131" t="s">
        <v>1372</v>
      </c>
      <c r="F2131" t="s">
        <v>3685</v>
      </c>
      <c r="G2131" t="s">
        <v>7797</v>
      </c>
      <c r="H2131" t="s">
        <v>10452</v>
      </c>
      <c r="I2131" t="s">
        <v>11383</v>
      </c>
      <c r="J2131">
        <v>10453</v>
      </c>
      <c r="K2131" t="s">
        <v>11446</v>
      </c>
      <c r="L2131" t="s">
        <v>12152</v>
      </c>
      <c r="M2131" t="s">
        <v>14744</v>
      </c>
      <c r="N2131" t="s">
        <v>14778</v>
      </c>
      <c r="P2131" t="s">
        <v>14797</v>
      </c>
      <c r="Q2131" t="s">
        <v>11448</v>
      </c>
      <c r="S2131" t="s">
        <v>14827</v>
      </c>
      <c r="T2131" t="s">
        <v>14832</v>
      </c>
      <c r="V2131">
        <v>890</v>
      </c>
      <c r="W2131" t="s">
        <v>14858</v>
      </c>
      <c r="X2131" t="s">
        <v>14864</v>
      </c>
      <c r="Z2131" t="s">
        <v>16713</v>
      </c>
      <c r="AA2131" t="s">
        <v>19503</v>
      </c>
      <c r="AB2131" t="s">
        <v>21742</v>
      </c>
      <c r="AC2131">
        <v>56</v>
      </c>
      <c r="AD2131" t="s">
        <v>11479</v>
      </c>
      <c r="AE2131" t="s">
        <v>24613</v>
      </c>
      <c r="AF2131">
        <v>41</v>
      </c>
      <c r="AG2131">
        <v>5</v>
      </c>
      <c r="AH2131">
        <v>0</v>
      </c>
      <c r="AI2131">
        <v>153.56</v>
      </c>
      <c r="AL2131" t="s">
        <v>24632</v>
      </c>
      <c r="AM2131">
        <v>46328</v>
      </c>
      <c r="AS2131">
        <v>0.6</v>
      </c>
      <c r="AT2131" t="s">
        <v>521</v>
      </c>
      <c r="AU2131" t="s">
        <v>245</v>
      </c>
      <c r="AV2131" t="s">
        <v>25334</v>
      </c>
      <c r="AW2131" t="s">
        <v>11447</v>
      </c>
    </row>
    <row r="2132" spans="1:49">
      <c r="A2132" s="1">
        <f>HYPERLINK("https://lsnyc.legalserver.org/matter/dynamic-profile/view/1909552","19-1909552")</f>
        <v>0</v>
      </c>
      <c r="B2132" t="s">
        <v>144</v>
      </c>
      <c r="C2132" t="s">
        <v>488</v>
      </c>
      <c r="E2132" t="s">
        <v>2191</v>
      </c>
      <c r="F2132" t="s">
        <v>4747</v>
      </c>
      <c r="G2132" t="s">
        <v>7798</v>
      </c>
      <c r="H2132" t="s">
        <v>10931</v>
      </c>
      <c r="I2132" t="s">
        <v>11419</v>
      </c>
      <c r="J2132">
        <v>11420</v>
      </c>
      <c r="K2132" t="s">
        <v>11447</v>
      </c>
      <c r="L2132" t="s">
        <v>12153</v>
      </c>
      <c r="M2132" t="s">
        <v>14746</v>
      </c>
      <c r="N2132" t="s">
        <v>14778</v>
      </c>
      <c r="P2132" t="s">
        <v>14797</v>
      </c>
      <c r="Q2132" t="s">
        <v>11448</v>
      </c>
      <c r="S2132" t="s">
        <v>14827</v>
      </c>
      <c r="V2132">
        <v>1080</v>
      </c>
      <c r="W2132" t="s">
        <v>14861</v>
      </c>
      <c r="Z2132" t="s">
        <v>16714</v>
      </c>
      <c r="AB2132" t="s">
        <v>21743</v>
      </c>
      <c r="AC2132">
        <v>3</v>
      </c>
      <c r="AF2132">
        <v>0</v>
      </c>
      <c r="AG2132">
        <v>2</v>
      </c>
      <c r="AH2132">
        <v>0</v>
      </c>
      <c r="AI2132">
        <v>153.76</v>
      </c>
      <c r="AL2132" t="s">
        <v>5011</v>
      </c>
      <c r="AM2132">
        <v>26000</v>
      </c>
      <c r="AS2132">
        <v>1.5</v>
      </c>
      <c r="AT2132" t="s">
        <v>488</v>
      </c>
      <c r="AU2132" t="s">
        <v>144</v>
      </c>
      <c r="AW2132" t="s">
        <v>11447</v>
      </c>
    </row>
    <row r="2133" spans="1:49">
      <c r="A2133" s="1">
        <f>HYPERLINK("https://lsnyc.legalserver.org/matter/dynamic-profile/view/1914679","19-1914679")</f>
        <v>0</v>
      </c>
      <c r="B2133" t="s">
        <v>126</v>
      </c>
      <c r="C2133" t="s">
        <v>533</v>
      </c>
      <c r="E2133" t="s">
        <v>1297</v>
      </c>
      <c r="F2133" t="s">
        <v>4639</v>
      </c>
      <c r="G2133" t="s">
        <v>7799</v>
      </c>
      <c r="H2133" t="s">
        <v>10575</v>
      </c>
      <c r="I2133" t="s">
        <v>11383</v>
      </c>
      <c r="J2133">
        <v>10451</v>
      </c>
      <c r="K2133" t="s">
        <v>11446</v>
      </c>
      <c r="N2133" t="s">
        <v>14778</v>
      </c>
      <c r="P2133" t="s">
        <v>14797</v>
      </c>
      <c r="Q2133" t="s">
        <v>11448</v>
      </c>
      <c r="S2133" t="s">
        <v>14827</v>
      </c>
      <c r="V2133">
        <v>0</v>
      </c>
      <c r="W2133" t="s">
        <v>14858</v>
      </c>
      <c r="Z2133" t="s">
        <v>16524</v>
      </c>
      <c r="AB2133" t="s">
        <v>21567</v>
      </c>
      <c r="AC2133">
        <v>0</v>
      </c>
      <c r="AE2133" t="s">
        <v>11459</v>
      </c>
      <c r="AF2133">
        <v>0</v>
      </c>
      <c r="AG2133">
        <v>2</v>
      </c>
      <c r="AH2133">
        <v>1</v>
      </c>
      <c r="AI2133">
        <v>157.52</v>
      </c>
      <c r="AL2133" t="s">
        <v>24632</v>
      </c>
      <c r="AM2133">
        <v>33600</v>
      </c>
      <c r="AS2133">
        <v>0</v>
      </c>
      <c r="AU2133" t="s">
        <v>25296</v>
      </c>
      <c r="AV2133" t="s">
        <v>25335</v>
      </c>
      <c r="AW2133" t="s">
        <v>11447</v>
      </c>
    </row>
    <row r="2134" spans="1:49">
      <c r="A2134" s="1">
        <f>HYPERLINK("https://lsnyc.legalserver.org/matter/dynamic-profile/view/1875242","18-1875242")</f>
        <v>0</v>
      </c>
      <c r="B2134" t="s">
        <v>177</v>
      </c>
      <c r="C2134" t="s">
        <v>710</v>
      </c>
      <c r="E2134" t="s">
        <v>2192</v>
      </c>
      <c r="F2134" t="s">
        <v>3655</v>
      </c>
      <c r="G2134" t="s">
        <v>7800</v>
      </c>
      <c r="H2134" t="s">
        <v>10474</v>
      </c>
      <c r="I2134" t="s">
        <v>11385</v>
      </c>
      <c r="J2134">
        <v>11226</v>
      </c>
      <c r="K2134" t="s">
        <v>11447</v>
      </c>
      <c r="P2134" t="s">
        <v>14797</v>
      </c>
      <c r="S2134" t="s">
        <v>14827</v>
      </c>
      <c r="V2134">
        <v>0</v>
      </c>
      <c r="W2134" t="s">
        <v>14859</v>
      </c>
      <c r="Z2134" t="s">
        <v>16715</v>
      </c>
      <c r="AB2134" t="s">
        <v>21744</v>
      </c>
      <c r="AC2134">
        <v>0</v>
      </c>
      <c r="AF2134">
        <v>0</v>
      </c>
      <c r="AG2134">
        <v>2</v>
      </c>
      <c r="AH2134">
        <v>0</v>
      </c>
      <c r="AI2134">
        <v>157.96</v>
      </c>
      <c r="AL2134" t="s">
        <v>5011</v>
      </c>
      <c r="AM2134">
        <v>26000</v>
      </c>
      <c r="AS2134">
        <v>0</v>
      </c>
      <c r="AU2134" t="s">
        <v>177</v>
      </c>
      <c r="AW2134" t="s">
        <v>11447</v>
      </c>
    </row>
    <row r="2135" spans="1:49">
      <c r="A2135" s="1">
        <f>HYPERLINK("https://lsnyc.legalserver.org/matter/dynamic-profile/view/1913884","19-1913884")</f>
        <v>0</v>
      </c>
      <c r="B2135" t="s">
        <v>238</v>
      </c>
      <c r="C2135" t="s">
        <v>533</v>
      </c>
      <c r="E2135" t="s">
        <v>2193</v>
      </c>
      <c r="F2135" t="s">
        <v>4748</v>
      </c>
      <c r="G2135" t="s">
        <v>7801</v>
      </c>
      <c r="H2135" t="s">
        <v>10450</v>
      </c>
      <c r="I2135" t="s">
        <v>11385</v>
      </c>
      <c r="J2135">
        <v>11237</v>
      </c>
      <c r="K2135" t="s">
        <v>11446</v>
      </c>
      <c r="L2135" t="s">
        <v>12154</v>
      </c>
      <c r="M2135" t="s">
        <v>14743</v>
      </c>
      <c r="N2135" t="s">
        <v>14778</v>
      </c>
      <c r="P2135" t="s">
        <v>14797</v>
      </c>
      <c r="Q2135" t="s">
        <v>11448</v>
      </c>
      <c r="S2135" t="s">
        <v>14827</v>
      </c>
      <c r="V2135">
        <v>2400</v>
      </c>
      <c r="W2135" t="s">
        <v>14859</v>
      </c>
      <c r="X2135" t="s">
        <v>14865</v>
      </c>
      <c r="Z2135" t="s">
        <v>16716</v>
      </c>
      <c r="AB2135" t="s">
        <v>21745</v>
      </c>
      <c r="AC2135">
        <v>0</v>
      </c>
      <c r="AF2135">
        <v>1</v>
      </c>
      <c r="AG2135">
        <v>1</v>
      </c>
      <c r="AH2135">
        <v>0</v>
      </c>
      <c r="AI2135">
        <v>160.13</v>
      </c>
      <c r="AL2135" t="s">
        <v>5011</v>
      </c>
      <c r="AM2135">
        <v>20000</v>
      </c>
      <c r="AS2135">
        <v>0</v>
      </c>
      <c r="AU2135" t="s">
        <v>25285</v>
      </c>
      <c r="AV2135" t="s">
        <v>25335</v>
      </c>
      <c r="AW2135" t="s">
        <v>11447</v>
      </c>
    </row>
    <row r="2136" spans="1:49">
      <c r="A2136" s="1">
        <f>HYPERLINK("https://lsnyc.legalserver.org/matter/dynamic-profile/view/1909609","19-1909609")</f>
        <v>0</v>
      </c>
      <c r="B2136" t="s">
        <v>126</v>
      </c>
      <c r="C2136" t="s">
        <v>355</v>
      </c>
      <c r="E2136" t="s">
        <v>2194</v>
      </c>
      <c r="F2136" t="s">
        <v>4749</v>
      </c>
      <c r="G2136" t="s">
        <v>7021</v>
      </c>
      <c r="I2136" t="s">
        <v>11383</v>
      </c>
      <c r="J2136">
        <v>10452</v>
      </c>
      <c r="K2136" t="s">
        <v>11446</v>
      </c>
      <c r="P2136" t="s">
        <v>14797</v>
      </c>
      <c r="Q2136" t="s">
        <v>11446</v>
      </c>
      <c r="S2136" t="s">
        <v>14827</v>
      </c>
      <c r="V2136">
        <v>1926.79</v>
      </c>
      <c r="W2136" t="s">
        <v>14858</v>
      </c>
      <c r="X2136" t="s">
        <v>14864</v>
      </c>
      <c r="Z2136" t="s">
        <v>16717</v>
      </c>
      <c r="AB2136" t="s">
        <v>21746</v>
      </c>
      <c r="AC2136">
        <v>63</v>
      </c>
      <c r="AD2136" t="s">
        <v>24595</v>
      </c>
      <c r="AE2136" t="s">
        <v>11459</v>
      </c>
      <c r="AF2136">
        <v>27</v>
      </c>
      <c r="AG2136">
        <v>1</v>
      </c>
      <c r="AH2136">
        <v>0</v>
      </c>
      <c r="AI2136">
        <v>160.13</v>
      </c>
      <c r="AM2136">
        <v>20000</v>
      </c>
      <c r="AS2136">
        <v>0</v>
      </c>
      <c r="AU2136" t="s">
        <v>237</v>
      </c>
      <c r="AV2136" t="s">
        <v>25335</v>
      </c>
      <c r="AW2136" t="s">
        <v>11447</v>
      </c>
    </row>
    <row r="2137" spans="1:49">
      <c r="A2137" s="1">
        <f>HYPERLINK("https://lsnyc.legalserver.org/matter/dynamic-profile/view/1914695","19-1914695")</f>
        <v>0</v>
      </c>
      <c r="B2137" t="s">
        <v>126</v>
      </c>
      <c r="C2137" t="s">
        <v>491</v>
      </c>
      <c r="E2137" t="s">
        <v>2194</v>
      </c>
      <c r="F2137" t="s">
        <v>4749</v>
      </c>
      <c r="G2137" t="s">
        <v>7021</v>
      </c>
      <c r="I2137" t="s">
        <v>11383</v>
      </c>
      <c r="J2137">
        <v>10452</v>
      </c>
      <c r="K2137" t="s">
        <v>11446</v>
      </c>
      <c r="P2137" t="s">
        <v>14797</v>
      </c>
      <c r="Q2137" t="s">
        <v>11446</v>
      </c>
      <c r="S2137" t="s">
        <v>14827</v>
      </c>
      <c r="V2137">
        <v>1926.79</v>
      </c>
      <c r="W2137" t="s">
        <v>14858</v>
      </c>
      <c r="X2137" t="s">
        <v>14868</v>
      </c>
      <c r="Z2137" t="s">
        <v>16717</v>
      </c>
      <c r="AB2137" t="s">
        <v>21746</v>
      </c>
      <c r="AC2137">
        <v>63</v>
      </c>
      <c r="AD2137" t="s">
        <v>24595</v>
      </c>
      <c r="AE2137" t="s">
        <v>11459</v>
      </c>
      <c r="AF2137">
        <v>27</v>
      </c>
      <c r="AG2137">
        <v>1</v>
      </c>
      <c r="AH2137">
        <v>0</v>
      </c>
      <c r="AI2137">
        <v>160.13</v>
      </c>
      <c r="AM2137">
        <v>20000</v>
      </c>
      <c r="AS2137">
        <v>0</v>
      </c>
      <c r="AU2137" t="s">
        <v>25242</v>
      </c>
      <c r="AV2137" t="s">
        <v>25335</v>
      </c>
      <c r="AW2137" t="s">
        <v>11447</v>
      </c>
    </row>
    <row r="2138" spans="1:49">
      <c r="A2138" s="1">
        <f>HYPERLINK("https://lsnyc.legalserver.org/matter/dynamic-profile/view/1912316","19-1912316")</f>
        <v>0</v>
      </c>
      <c r="B2138" t="s">
        <v>168</v>
      </c>
      <c r="C2138" t="s">
        <v>574</v>
      </c>
      <c r="E2138" t="s">
        <v>1786</v>
      </c>
      <c r="F2138" t="s">
        <v>3814</v>
      </c>
      <c r="G2138" t="s">
        <v>7802</v>
      </c>
      <c r="I2138" t="s">
        <v>11384</v>
      </c>
      <c r="J2138">
        <v>10305</v>
      </c>
      <c r="K2138" t="s">
        <v>11447</v>
      </c>
      <c r="L2138" t="s">
        <v>12155</v>
      </c>
      <c r="M2138" t="s">
        <v>14743</v>
      </c>
      <c r="P2138" t="s">
        <v>14797</v>
      </c>
      <c r="Q2138" t="s">
        <v>11448</v>
      </c>
      <c r="S2138" t="s">
        <v>14827</v>
      </c>
      <c r="T2138" t="s">
        <v>14832</v>
      </c>
      <c r="V2138">
        <v>1375</v>
      </c>
      <c r="W2138" t="s">
        <v>14862</v>
      </c>
      <c r="X2138" t="s">
        <v>14863</v>
      </c>
      <c r="Z2138" t="s">
        <v>16718</v>
      </c>
      <c r="AB2138" t="s">
        <v>21747</v>
      </c>
      <c r="AC2138">
        <v>2</v>
      </c>
      <c r="AD2138" t="s">
        <v>24600</v>
      </c>
      <c r="AE2138" t="s">
        <v>11459</v>
      </c>
      <c r="AF2138">
        <v>1</v>
      </c>
      <c r="AG2138">
        <v>1</v>
      </c>
      <c r="AH2138">
        <v>0</v>
      </c>
      <c r="AI2138">
        <v>162.47</v>
      </c>
      <c r="AL2138" t="s">
        <v>5011</v>
      </c>
      <c r="AM2138">
        <v>20292</v>
      </c>
      <c r="AS2138">
        <v>7</v>
      </c>
      <c r="AT2138" t="s">
        <v>490</v>
      </c>
      <c r="AU2138" t="s">
        <v>25270</v>
      </c>
      <c r="AW2138" t="s">
        <v>11447</v>
      </c>
    </row>
    <row r="2139" spans="1:49">
      <c r="A2139" s="1">
        <f>HYPERLINK("https://lsnyc.legalserver.org/matter/dynamic-profile/view/1855004","18-1855004")</f>
        <v>0</v>
      </c>
      <c r="B2139" t="s">
        <v>140</v>
      </c>
      <c r="C2139" t="s">
        <v>413</v>
      </c>
      <c r="E2139" t="s">
        <v>2195</v>
      </c>
      <c r="F2139" t="s">
        <v>4750</v>
      </c>
      <c r="G2139" t="s">
        <v>7803</v>
      </c>
      <c r="H2139" t="s">
        <v>10524</v>
      </c>
      <c r="I2139" t="s">
        <v>11383</v>
      </c>
      <c r="J2139">
        <v>10453</v>
      </c>
      <c r="K2139" t="s">
        <v>11447</v>
      </c>
      <c r="M2139" t="s">
        <v>14753</v>
      </c>
      <c r="P2139" t="s">
        <v>14797</v>
      </c>
      <c r="S2139" t="s">
        <v>14827</v>
      </c>
      <c r="V2139">
        <v>0</v>
      </c>
      <c r="W2139" t="s">
        <v>14858</v>
      </c>
      <c r="Z2139" t="s">
        <v>16719</v>
      </c>
      <c r="AB2139" t="s">
        <v>21748</v>
      </c>
      <c r="AC2139">
        <v>25</v>
      </c>
      <c r="AF2139">
        <v>0</v>
      </c>
      <c r="AG2139">
        <v>2</v>
      </c>
      <c r="AH2139">
        <v>2</v>
      </c>
      <c r="AI2139">
        <v>162.6</v>
      </c>
      <c r="AM2139">
        <v>40000</v>
      </c>
      <c r="AN2139" t="s">
        <v>24803</v>
      </c>
      <c r="AS2139">
        <v>4.5</v>
      </c>
      <c r="AT2139" t="s">
        <v>440</v>
      </c>
      <c r="AU2139" t="s">
        <v>114</v>
      </c>
      <c r="AW2139" t="s">
        <v>11447</v>
      </c>
    </row>
    <row r="2140" spans="1:49">
      <c r="A2140" s="1">
        <f>HYPERLINK("https://lsnyc.legalserver.org/matter/dynamic-profile/view/1913378","19-1913378")</f>
        <v>0</v>
      </c>
      <c r="B2140" t="s">
        <v>56</v>
      </c>
      <c r="C2140" t="s">
        <v>483</v>
      </c>
      <c r="E2140" t="s">
        <v>1245</v>
      </c>
      <c r="F2140" t="s">
        <v>4751</v>
      </c>
      <c r="G2140" t="s">
        <v>7804</v>
      </c>
      <c r="H2140" t="s">
        <v>10559</v>
      </c>
      <c r="I2140" t="s">
        <v>11385</v>
      </c>
      <c r="J2140">
        <v>11212</v>
      </c>
      <c r="K2140" t="s">
        <v>11448</v>
      </c>
      <c r="L2140" t="s">
        <v>12156</v>
      </c>
      <c r="M2140" t="s">
        <v>14744</v>
      </c>
      <c r="P2140" t="s">
        <v>14797</v>
      </c>
      <c r="Q2140" t="s">
        <v>11448</v>
      </c>
      <c r="S2140" t="s">
        <v>14827</v>
      </c>
      <c r="T2140" t="s">
        <v>14832</v>
      </c>
      <c r="V2140">
        <v>1500</v>
      </c>
      <c r="W2140" t="s">
        <v>14859</v>
      </c>
      <c r="X2140" t="s">
        <v>14870</v>
      </c>
      <c r="Z2140" t="s">
        <v>16720</v>
      </c>
      <c r="AA2140" t="s">
        <v>19504</v>
      </c>
      <c r="AB2140" t="s">
        <v>21749</v>
      </c>
      <c r="AC2140">
        <v>32</v>
      </c>
      <c r="AD2140" t="s">
        <v>24595</v>
      </c>
      <c r="AE2140" t="s">
        <v>11459</v>
      </c>
      <c r="AF2140">
        <v>3</v>
      </c>
      <c r="AG2140">
        <v>1</v>
      </c>
      <c r="AH2140">
        <v>2</v>
      </c>
      <c r="AI2140">
        <v>163.62</v>
      </c>
      <c r="AL2140" t="s">
        <v>5011</v>
      </c>
      <c r="AM2140">
        <v>34900</v>
      </c>
      <c r="AS2140">
        <v>3.1</v>
      </c>
      <c r="AT2140" t="s">
        <v>495</v>
      </c>
      <c r="AU2140" t="s">
        <v>66</v>
      </c>
      <c r="AV2140" t="s">
        <v>11459</v>
      </c>
      <c r="AW2140" t="s">
        <v>11447</v>
      </c>
    </row>
    <row r="2141" spans="1:49">
      <c r="A2141" s="1">
        <f>HYPERLINK("https://lsnyc.legalserver.org/matter/dynamic-profile/view/1915011","19-1915011")</f>
        <v>0</v>
      </c>
      <c r="B2141" t="s">
        <v>100</v>
      </c>
      <c r="C2141" t="s">
        <v>521</v>
      </c>
      <c r="E2141" t="s">
        <v>2196</v>
      </c>
      <c r="F2141" t="s">
        <v>4518</v>
      </c>
      <c r="G2141" t="s">
        <v>6868</v>
      </c>
      <c r="H2141" t="s">
        <v>10932</v>
      </c>
      <c r="I2141" t="s">
        <v>11383</v>
      </c>
      <c r="J2141">
        <v>10456</v>
      </c>
      <c r="K2141" t="s">
        <v>11446</v>
      </c>
      <c r="L2141" t="s">
        <v>12157</v>
      </c>
      <c r="M2141" t="s">
        <v>14762</v>
      </c>
      <c r="N2141" t="s">
        <v>14783</v>
      </c>
      <c r="P2141" t="s">
        <v>14797</v>
      </c>
      <c r="Q2141" t="s">
        <v>11446</v>
      </c>
      <c r="S2141" t="s">
        <v>14827</v>
      </c>
      <c r="V2141">
        <v>1268.04</v>
      </c>
      <c r="W2141" t="s">
        <v>14858</v>
      </c>
      <c r="X2141" t="s">
        <v>14864</v>
      </c>
      <c r="Z2141" t="s">
        <v>16721</v>
      </c>
      <c r="AB2141" t="s">
        <v>21750</v>
      </c>
      <c r="AC2141">
        <v>131</v>
      </c>
      <c r="AD2141" t="s">
        <v>24595</v>
      </c>
      <c r="AE2141" t="s">
        <v>11459</v>
      </c>
      <c r="AF2141">
        <v>22</v>
      </c>
      <c r="AG2141">
        <v>3</v>
      </c>
      <c r="AH2141">
        <v>0</v>
      </c>
      <c r="AI2141">
        <v>164.09</v>
      </c>
      <c r="AL2141" t="s">
        <v>24632</v>
      </c>
      <c r="AM2141">
        <v>35000</v>
      </c>
      <c r="AS2141">
        <v>0</v>
      </c>
      <c r="AU2141" t="s">
        <v>245</v>
      </c>
      <c r="AW2141" t="s">
        <v>11447</v>
      </c>
    </row>
    <row r="2142" spans="1:49">
      <c r="A2142" s="1">
        <f>HYPERLINK("https://lsnyc.legalserver.org/matter/dynamic-profile/view/1906955","19-1906955")</f>
        <v>0</v>
      </c>
      <c r="B2142" t="s">
        <v>126</v>
      </c>
      <c r="C2142" t="s">
        <v>354</v>
      </c>
      <c r="E2142" t="s">
        <v>2197</v>
      </c>
      <c r="F2142" t="s">
        <v>4752</v>
      </c>
      <c r="G2142" t="s">
        <v>7021</v>
      </c>
      <c r="H2142" t="s">
        <v>10476</v>
      </c>
      <c r="I2142" t="s">
        <v>11383</v>
      </c>
      <c r="J2142">
        <v>10452</v>
      </c>
      <c r="K2142" t="s">
        <v>11446</v>
      </c>
      <c r="P2142" t="s">
        <v>14797</v>
      </c>
      <c r="Q2142" t="s">
        <v>11446</v>
      </c>
      <c r="S2142" t="s">
        <v>14827</v>
      </c>
      <c r="V2142">
        <v>979.97</v>
      </c>
      <c r="W2142" t="s">
        <v>14858</v>
      </c>
      <c r="X2142" t="s">
        <v>14876</v>
      </c>
      <c r="Z2142" t="s">
        <v>16722</v>
      </c>
      <c r="AB2142" t="s">
        <v>21751</v>
      </c>
      <c r="AC2142">
        <v>65</v>
      </c>
      <c r="AD2142" t="s">
        <v>24595</v>
      </c>
      <c r="AE2142" t="s">
        <v>11459</v>
      </c>
      <c r="AF2142">
        <v>45</v>
      </c>
      <c r="AG2142">
        <v>1</v>
      </c>
      <c r="AH2142">
        <v>0</v>
      </c>
      <c r="AI2142">
        <v>164.68</v>
      </c>
      <c r="AL2142" t="s">
        <v>5011</v>
      </c>
      <c r="AM2142">
        <v>20569.08</v>
      </c>
      <c r="AS2142">
        <v>0</v>
      </c>
      <c r="AU2142" t="s">
        <v>245</v>
      </c>
      <c r="AW2142" t="s">
        <v>11447</v>
      </c>
    </row>
    <row r="2143" spans="1:49">
      <c r="A2143" s="1">
        <f>HYPERLINK("https://lsnyc.legalserver.org/matter/dynamic-profile/view/1914954","19-1914954")</f>
        <v>0</v>
      </c>
      <c r="B2143" t="s">
        <v>126</v>
      </c>
      <c r="C2143" t="s">
        <v>537</v>
      </c>
      <c r="E2143" t="s">
        <v>2197</v>
      </c>
      <c r="F2143" t="s">
        <v>4752</v>
      </c>
      <c r="G2143" t="s">
        <v>7021</v>
      </c>
      <c r="H2143" t="s">
        <v>10476</v>
      </c>
      <c r="I2143" t="s">
        <v>11383</v>
      </c>
      <c r="J2143">
        <v>10452</v>
      </c>
      <c r="K2143" t="s">
        <v>11447</v>
      </c>
      <c r="P2143" t="s">
        <v>14797</v>
      </c>
      <c r="Q2143" t="s">
        <v>11446</v>
      </c>
      <c r="S2143" t="s">
        <v>14827</v>
      </c>
      <c r="V2143">
        <v>979.97</v>
      </c>
      <c r="W2143" t="s">
        <v>14858</v>
      </c>
      <c r="X2143" t="s">
        <v>14864</v>
      </c>
      <c r="Z2143" t="s">
        <v>16722</v>
      </c>
      <c r="AB2143" t="s">
        <v>21751</v>
      </c>
      <c r="AC2143">
        <v>65</v>
      </c>
      <c r="AD2143" t="s">
        <v>24595</v>
      </c>
      <c r="AF2143">
        <v>45</v>
      </c>
      <c r="AG2143">
        <v>1</v>
      </c>
      <c r="AH2143">
        <v>0</v>
      </c>
      <c r="AI2143">
        <v>164.68</v>
      </c>
      <c r="AL2143" t="s">
        <v>5011</v>
      </c>
      <c r="AM2143">
        <v>20569.08</v>
      </c>
      <c r="AS2143">
        <v>0</v>
      </c>
      <c r="AU2143" t="s">
        <v>25268</v>
      </c>
      <c r="AW2143" t="s">
        <v>11447</v>
      </c>
    </row>
    <row r="2144" spans="1:49">
      <c r="A2144" s="1">
        <f>HYPERLINK("https://lsnyc.legalserver.org/matter/dynamic-profile/view/1906683","19-1906683")</f>
        <v>0</v>
      </c>
      <c r="B2144" t="s">
        <v>67</v>
      </c>
      <c r="C2144" t="s">
        <v>373</v>
      </c>
      <c r="E2144" t="s">
        <v>2198</v>
      </c>
      <c r="F2144" t="s">
        <v>4753</v>
      </c>
      <c r="G2144" t="s">
        <v>7805</v>
      </c>
      <c r="H2144" t="s">
        <v>10595</v>
      </c>
      <c r="I2144" t="s">
        <v>11383</v>
      </c>
      <c r="J2144">
        <v>10462</v>
      </c>
      <c r="K2144" t="s">
        <v>11447</v>
      </c>
      <c r="N2144" t="s">
        <v>14783</v>
      </c>
      <c r="P2144" t="s">
        <v>14797</v>
      </c>
      <c r="S2144" t="s">
        <v>14831</v>
      </c>
      <c r="V2144">
        <v>0</v>
      </c>
      <c r="W2144" t="s">
        <v>14858</v>
      </c>
      <c r="Z2144" t="s">
        <v>16723</v>
      </c>
      <c r="AB2144" t="s">
        <v>21752</v>
      </c>
      <c r="AC2144">
        <v>0</v>
      </c>
      <c r="AF2144">
        <v>0</v>
      </c>
      <c r="AG2144">
        <v>2</v>
      </c>
      <c r="AH2144">
        <v>0</v>
      </c>
      <c r="AI2144">
        <v>165.42</v>
      </c>
      <c r="AL2144" t="s">
        <v>5011</v>
      </c>
      <c r="AM2144">
        <v>27972</v>
      </c>
      <c r="AS2144">
        <v>11</v>
      </c>
      <c r="AT2144" t="s">
        <v>603</v>
      </c>
      <c r="AU2144" t="s">
        <v>245</v>
      </c>
      <c r="AW2144" t="s">
        <v>11447</v>
      </c>
    </row>
    <row r="2145" spans="1:49">
      <c r="A2145" s="1">
        <f>HYPERLINK("https://lsnyc.legalserver.org/matter/dynamic-profile/view/1913141","19-1913141")</f>
        <v>0</v>
      </c>
      <c r="B2145" t="s">
        <v>235</v>
      </c>
      <c r="C2145" t="s">
        <v>571</v>
      </c>
      <c r="E2145" t="s">
        <v>2030</v>
      </c>
      <c r="F2145" t="s">
        <v>3623</v>
      </c>
      <c r="G2145" t="s">
        <v>7806</v>
      </c>
      <c r="H2145" t="s">
        <v>10468</v>
      </c>
      <c r="I2145" t="s">
        <v>11383</v>
      </c>
      <c r="J2145">
        <v>10452</v>
      </c>
      <c r="K2145" t="s">
        <v>11446</v>
      </c>
      <c r="L2145" t="s">
        <v>12158</v>
      </c>
      <c r="M2145" t="s">
        <v>14744</v>
      </c>
      <c r="N2145" t="s">
        <v>14781</v>
      </c>
      <c r="P2145" t="s">
        <v>14797</v>
      </c>
      <c r="Q2145" t="s">
        <v>11448</v>
      </c>
      <c r="S2145" t="s">
        <v>14827</v>
      </c>
      <c r="T2145" t="s">
        <v>14832</v>
      </c>
      <c r="V2145">
        <v>1308</v>
      </c>
      <c r="W2145" t="s">
        <v>14858</v>
      </c>
      <c r="X2145" t="s">
        <v>14866</v>
      </c>
      <c r="Z2145" t="s">
        <v>16724</v>
      </c>
      <c r="AA2145" t="s">
        <v>19505</v>
      </c>
      <c r="AB2145" t="s">
        <v>21753</v>
      </c>
      <c r="AC2145">
        <v>53</v>
      </c>
      <c r="AD2145" t="s">
        <v>24595</v>
      </c>
      <c r="AE2145" t="s">
        <v>24616</v>
      </c>
      <c r="AF2145">
        <v>3</v>
      </c>
      <c r="AG2145">
        <v>1</v>
      </c>
      <c r="AH2145">
        <v>0</v>
      </c>
      <c r="AI2145">
        <v>166.53</v>
      </c>
      <c r="AL2145" t="s">
        <v>5011</v>
      </c>
      <c r="AM2145">
        <v>20800</v>
      </c>
      <c r="AS2145">
        <v>11.3</v>
      </c>
      <c r="AT2145" t="s">
        <v>592</v>
      </c>
      <c r="AU2145" t="s">
        <v>25241</v>
      </c>
      <c r="AV2145" t="s">
        <v>25334</v>
      </c>
      <c r="AW2145" t="s">
        <v>11447</v>
      </c>
    </row>
    <row r="2146" spans="1:49">
      <c r="A2146" s="1">
        <f>HYPERLINK("https://lsnyc.legalserver.org/matter/dynamic-profile/view/1912069","19-1912069")</f>
        <v>0</v>
      </c>
      <c r="B2146" t="s">
        <v>186</v>
      </c>
      <c r="C2146" t="s">
        <v>551</v>
      </c>
      <c r="E2146" t="s">
        <v>2199</v>
      </c>
      <c r="F2146" t="s">
        <v>3547</v>
      </c>
      <c r="G2146" t="s">
        <v>7807</v>
      </c>
      <c r="H2146" t="s">
        <v>10620</v>
      </c>
      <c r="I2146" t="s">
        <v>11383</v>
      </c>
      <c r="J2146">
        <v>10459</v>
      </c>
      <c r="K2146" t="s">
        <v>11446</v>
      </c>
      <c r="N2146" t="s">
        <v>14779</v>
      </c>
      <c r="P2146" t="s">
        <v>14797</v>
      </c>
      <c r="S2146" t="s">
        <v>14827</v>
      </c>
      <c r="V2146">
        <v>738</v>
      </c>
      <c r="W2146" t="s">
        <v>14858</v>
      </c>
      <c r="X2146" t="s">
        <v>14868</v>
      </c>
      <c r="Z2146" t="s">
        <v>16725</v>
      </c>
      <c r="AB2146" t="s">
        <v>21754</v>
      </c>
      <c r="AC2146">
        <v>40</v>
      </c>
      <c r="AD2146" t="s">
        <v>24595</v>
      </c>
      <c r="AE2146" t="s">
        <v>24610</v>
      </c>
      <c r="AF2146">
        <v>41</v>
      </c>
      <c r="AG2146">
        <v>2</v>
      </c>
      <c r="AH2146">
        <v>0</v>
      </c>
      <c r="AI2146">
        <v>166.65</v>
      </c>
      <c r="AL2146" t="s">
        <v>5011</v>
      </c>
      <c r="AM2146">
        <v>28179.96</v>
      </c>
      <c r="AS2146">
        <v>2.36</v>
      </c>
      <c r="AT2146" t="s">
        <v>533</v>
      </c>
      <c r="AU2146" t="s">
        <v>25226</v>
      </c>
      <c r="AV2146" t="s">
        <v>25335</v>
      </c>
      <c r="AW2146" t="s">
        <v>11447</v>
      </c>
    </row>
    <row r="2147" spans="1:49">
      <c r="A2147" s="1">
        <f>HYPERLINK("https://lsnyc.legalserver.org/matter/dynamic-profile/view/1905420","19-1905420")</f>
        <v>0</v>
      </c>
      <c r="B2147" t="s">
        <v>249</v>
      </c>
      <c r="C2147" t="s">
        <v>520</v>
      </c>
      <c r="E2147" t="s">
        <v>2200</v>
      </c>
      <c r="F2147" t="s">
        <v>4754</v>
      </c>
      <c r="G2147" t="s">
        <v>7808</v>
      </c>
      <c r="H2147">
        <v>9</v>
      </c>
      <c r="I2147" t="s">
        <v>11386</v>
      </c>
      <c r="J2147">
        <v>10002</v>
      </c>
      <c r="K2147" t="s">
        <v>11446</v>
      </c>
      <c r="L2147" t="s">
        <v>12159</v>
      </c>
      <c r="M2147" t="s">
        <v>14743</v>
      </c>
      <c r="N2147" t="s">
        <v>14782</v>
      </c>
      <c r="P2147" t="s">
        <v>14797</v>
      </c>
      <c r="Q2147" t="s">
        <v>11448</v>
      </c>
      <c r="S2147" t="s">
        <v>14827</v>
      </c>
      <c r="T2147" t="s">
        <v>14832</v>
      </c>
      <c r="V2147">
        <v>1114</v>
      </c>
      <c r="W2147" t="s">
        <v>14860</v>
      </c>
      <c r="X2147" t="s">
        <v>14876</v>
      </c>
      <c r="Z2147" t="s">
        <v>16726</v>
      </c>
      <c r="AB2147" t="s">
        <v>21755</v>
      </c>
      <c r="AC2147">
        <v>0</v>
      </c>
      <c r="AD2147" t="s">
        <v>11479</v>
      </c>
      <c r="AE2147" t="s">
        <v>11459</v>
      </c>
      <c r="AF2147">
        <v>23</v>
      </c>
      <c r="AG2147">
        <v>4</v>
      </c>
      <c r="AH2147">
        <v>0</v>
      </c>
      <c r="AI2147">
        <v>166.99</v>
      </c>
      <c r="AL2147" t="s">
        <v>24633</v>
      </c>
      <c r="AM2147">
        <v>43000</v>
      </c>
      <c r="AS2147">
        <v>0.5</v>
      </c>
      <c r="AT2147" t="s">
        <v>520</v>
      </c>
      <c r="AU2147" t="s">
        <v>153</v>
      </c>
      <c r="AV2147" t="s">
        <v>25335</v>
      </c>
      <c r="AW2147" t="s">
        <v>11447</v>
      </c>
    </row>
    <row r="2148" spans="1:49">
      <c r="A2148" s="1">
        <f>HYPERLINK("https://lsnyc.legalserver.org/matter/dynamic-profile/view/1899773","19-1899773")</f>
        <v>0</v>
      </c>
      <c r="B2148" t="s">
        <v>165</v>
      </c>
      <c r="C2148" t="s">
        <v>612</v>
      </c>
      <c r="E2148" t="s">
        <v>2201</v>
      </c>
      <c r="F2148" t="s">
        <v>1025</v>
      </c>
      <c r="G2148" t="s">
        <v>7809</v>
      </c>
      <c r="I2148" t="s">
        <v>11384</v>
      </c>
      <c r="J2148">
        <v>10312</v>
      </c>
      <c r="K2148" t="s">
        <v>11446</v>
      </c>
      <c r="L2148" t="s">
        <v>12160</v>
      </c>
      <c r="M2148" t="s">
        <v>14743</v>
      </c>
      <c r="N2148" t="s">
        <v>14781</v>
      </c>
      <c r="P2148" t="s">
        <v>14797</v>
      </c>
      <c r="Q2148" t="s">
        <v>11448</v>
      </c>
      <c r="S2148" t="s">
        <v>14827</v>
      </c>
      <c r="T2148" t="s">
        <v>14832</v>
      </c>
      <c r="V2148">
        <v>2200</v>
      </c>
      <c r="W2148" t="s">
        <v>14862</v>
      </c>
      <c r="X2148" t="s">
        <v>14868</v>
      </c>
      <c r="Z2148" t="s">
        <v>16309</v>
      </c>
      <c r="AB2148" t="s">
        <v>21756</v>
      </c>
      <c r="AC2148">
        <v>1</v>
      </c>
      <c r="AD2148" t="s">
        <v>24600</v>
      </c>
      <c r="AE2148" t="s">
        <v>11459</v>
      </c>
      <c r="AF2148">
        <v>2</v>
      </c>
      <c r="AG2148">
        <v>1</v>
      </c>
      <c r="AH2148">
        <v>2</v>
      </c>
      <c r="AI2148">
        <v>168.78</v>
      </c>
      <c r="AL2148" t="s">
        <v>24649</v>
      </c>
      <c r="AM2148">
        <v>36000</v>
      </c>
      <c r="AS2148">
        <v>24.6</v>
      </c>
      <c r="AT2148" t="s">
        <v>483</v>
      </c>
      <c r="AU2148" t="s">
        <v>25270</v>
      </c>
      <c r="AV2148" t="s">
        <v>25335</v>
      </c>
      <c r="AW2148" t="s">
        <v>11447</v>
      </c>
    </row>
    <row r="2149" spans="1:49">
      <c r="A2149" s="1">
        <f>HYPERLINK("https://lsnyc.legalserver.org/matter/dynamic-profile/view/1915466","19-1915466")</f>
        <v>0</v>
      </c>
      <c r="B2149" t="s">
        <v>66</v>
      </c>
      <c r="C2149" t="s">
        <v>654</v>
      </c>
      <c r="E2149" t="s">
        <v>2202</v>
      </c>
      <c r="F2149" t="s">
        <v>3563</v>
      </c>
      <c r="G2149" t="s">
        <v>7810</v>
      </c>
      <c r="H2149" t="s">
        <v>10450</v>
      </c>
      <c r="I2149" t="s">
        <v>11385</v>
      </c>
      <c r="J2149">
        <v>11208</v>
      </c>
      <c r="K2149" t="s">
        <v>11448</v>
      </c>
      <c r="L2149" t="s">
        <v>12161</v>
      </c>
      <c r="M2149" t="s">
        <v>14743</v>
      </c>
      <c r="P2149" t="s">
        <v>14797</v>
      </c>
      <c r="Q2149" t="s">
        <v>11446</v>
      </c>
      <c r="S2149" t="s">
        <v>14827</v>
      </c>
      <c r="T2149" t="s">
        <v>14832</v>
      </c>
      <c r="V2149">
        <v>1250</v>
      </c>
      <c r="W2149" t="s">
        <v>14859</v>
      </c>
      <c r="X2149" t="s">
        <v>14863</v>
      </c>
      <c r="Z2149" t="s">
        <v>16727</v>
      </c>
      <c r="AA2149" t="s">
        <v>11465</v>
      </c>
      <c r="AB2149" t="s">
        <v>21757</v>
      </c>
      <c r="AC2149">
        <v>1</v>
      </c>
      <c r="AD2149" t="s">
        <v>24600</v>
      </c>
      <c r="AE2149" t="s">
        <v>11459</v>
      </c>
      <c r="AF2149">
        <v>4</v>
      </c>
      <c r="AG2149">
        <v>2</v>
      </c>
      <c r="AH2149">
        <v>3</v>
      </c>
      <c r="AI2149">
        <v>169.71</v>
      </c>
      <c r="AL2149" t="s">
        <v>24632</v>
      </c>
      <c r="AM2149">
        <v>51200</v>
      </c>
      <c r="AS2149">
        <v>0</v>
      </c>
      <c r="AU2149" t="s">
        <v>66</v>
      </c>
      <c r="AV2149" t="s">
        <v>11459</v>
      </c>
      <c r="AW2149" t="s">
        <v>11447</v>
      </c>
    </row>
    <row r="2150" spans="1:49">
      <c r="A2150" s="1">
        <f>HYPERLINK("https://lsnyc.legalserver.org/matter/dynamic-profile/view/1914495","19-1914495")</f>
        <v>0</v>
      </c>
      <c r="B2150" t="s">
        <v>126</v>
      </c>
      <c r="C2150" t="s">
        <v>533</v>
      </c>
      <c r="E2150" t="s">
        <v>1276</v>
      </c>
      <c r="F2150" t="s">
        <v>1301</v>
      </c>
      <c r="G2150" t="s">
        <v>7021</v>
      </c>
      <c r="H2150" t="s">
        <v>10677</v>
      </c>
      <c r="I2150" t="s">
        <v>11383</v>
      </c>
      <c r="J2150">
        <v>10452</v>
      </c>
      <c r="K2150" t="s">
        <v>11446</v>
      </c>
      <c r="N2150" t="s">
        <v>14778</v>
      </c>
      <c r="P2150" t="s">
        <v>14797</v>
      </c>
      <c r="S2150" t="s">
        <v>14827</v>
      </c>
      <c r="V2150">
        <v>2170.39</v>
      </c>
      <c r="W2150" t="s">
        <v>14858</v>
      </c>
      <c r="X2150" t="s">
        <v>14864</v>
      </c>
      <c r="Z2150" t="s">
        <v>16728</v>
      </c>
      <c r="AC2150">
        <v>63</v>
      </c>
      <c r="AE2150" t="s">
        <v>11459</v>
      </c>
      <c r="AF2150">
        <v>14</v>
      </c>
      <c r="AG2150">
        <v>3</v>
      </c>
      <c r="AH2150">
        <v>0</v>
      </c>
      <c r="AI2150">
        <v>170.65</v>
      </c>
      <c r="AL2150" t="s">
        <v>5011</v>
      </c>
      <c r="AM2150">
        <v>36400</v>
      </c>
      <c r="AS2150">
        <v>0</v>
      </c>
      <c r="AU2150" t="s">
        <v>237</v>
      </c>
      <c r="AV2150" t="s">
        <v>25335</v>
      </c>
      <c r="AW2150" t="s">
        <v>11447</v>
      </c>
    </row>
    <row r="2151" spans="1:49">
      <c r="A2151" s="1">
        <f>HYPERLINK("https://lsnyc.legalserver.org/matter/dynamic-profile/view/1914843","19-1914843")</f>
        <v>0</v>
      </c>
      <c r="B2151" t="s">
        <v>126</v>
      </c>
      <c r="C2151" t="s">
        <v>537</v>
      </c>
      <c r="E2151" t="s">
        <v>1276</v>
      </c>
      <c r="F2151" t="s">
        <v>1301</v>
      </c>
      <c r="G2151" t="s">
        <v>7021</v>
      </c>
      <c r="H2151" t="s">
        <v>10677</v>
      </c>
      <c r="I2151" t="s">
        <v>11383</v>
      </c>
      <c r="J2151">
        <v>10452</v>
      </c>
      <c r="K2151" t="s">
        <v>11446</v>
      </c>
      <c r="P2151" t="s">
        <v>14797</v>
      </c>
      <c r="Q2151" t="s">
        <v>11446</v>
      </c>
      <c r="S2151" t="s">
        <v>14827</v>
      </c>
      <c r="V2151">
        <v>2170.39</v>
      </c>
      <c r="W2151" t="s">
        <v>14858</v>
      </c>
      <c r="X2151" t="s">
        <v>14864</v>
      </c>
      <c r="Z2151" t="s">
        <v>16728</v>
      </c>
      <c r="AC2151">
        <v>63</v>
      </c>
      <c r="AD2151" t="s">
        <v>11479</v>
      </c>
      <c r="AE2151" t="s">
        <v>11459</v>
      </c>
      <c r="AF2151">
        <v>14</v>
      </c>
      <c r="AG2151">
        <v>3</v>
      </c>
      <c r="AH2151">
        <v>0</v>
      </c>
      <c r="AI2151">
        <v>170.65</v>
      </c>
      <c r="AL2151" t="s">
        <v>5011</v>
      </c>
      <c r="AM2151">
        <v>36400</v>
      </c>
      <c r="AS2151">
        <v>0</v>
      </c>
      <c r="AU2151" t="s">
        <v>245</v>
      </c>
      <c r="AW2151" t="s">
        <v>11447</v>
      </c>
    </row>
    <row r="2152" spans="1:49">
      <c r="A2152" s="1">
        <f>HYPERLINK("https://lsnyc.legalserver.org/matter/dynamic-profile/view/1887994","19-1887994")</f>
        <v>0</v>
      </c>
      <c r="B2152" t="s">
        <v>100</v>
      </c>
      <c r="C2152" t="s">
        <v>549</v>
      </c>
      <c r="E2152" t="s">
        <v>2203</v>
      </c>
      <c r="F2152" t="s">
        <v>3675</v>
      </c>
      <c r="G2152" t="s">
        <v>7654</v>
      </c>
      <c r="H2152" t="s">
        <v>10522</v>
      </c>
      <c r="I2152" t="s">
        <v>11383</v>
      </c>
      <c r="J2152">
        <v>10456</v>
      </c>
      <c r="K2152" t="s">
        <v>11446</v>
      </c>
      <c r="M2152" t="s">
        <v>14763</v>
      </c>
      <c r="N2152" t="s">
        <v>14782</v>
      </c>
      <c r="P2152" t="s">
        <v>14797</v>
      </c>
      <c r="Q2152" t="s">
        <v>11446</v>
      </c>
      <c r="S2152" t="s">
        <v>14827</v>
      </c>
      <c r="V2152">
        <v>375</v>
      </c>
      <c r="W2152" t="s">
        <v>14858</v>
      </c>
      <c r="X2152" t="s">
        <v>14871</v>
      </c>
      <c r="AB2152" t="s">
        <v>21758</v>
      </c>
      <c r="AC2152">
        <v>17</v>
      </c>
      <c r="AD2152" t="s">
        <v>24599</v>
      </c>
      <c r="AE2152" t="s">
        <v>11459</v>
      </c>
      <c r="AF2152">
        <v>60</v>
      </c>
      <c r="AG2152">
        <v>3</v>
      </c>
      <c r="AH2152">
        <v>0</v>
      </c>
      <c r="AI2152">
        <v>172.09</v>
      </c>
      <c r="AL2152" t="s">
        <v>24632</v>
      </c>
      <c r="AM2152">
        <v>36707.84</v>
      </c>
      <c r="AS2152">
        <v>1</v>
      </c>
      <c r="AT2152" t="s">
        <v>549</v>
      </c>
      <c r="AU2152" t="s">
        <v>230</v>
      </c>
      <c r="AW2152" t="s">
        <v>11446</v>
      </c>
    </row>
    <row r="2153" spans="1:49">
      <c r="A2153" s="1">
        <f>HYPERLINK("https://lsnyc.legalserver.org/matter/dynamic-profile/view/1842740","17-1842740")</f>
        <v>0</v>
      </c>
      <c r="B2153" t="s">
        <v>252</v>
      </c>
      <c r="C2153" t="s">
        <v>711</v>
      </c>
      <c r="E2153" t="s">
        <v>2204</v>
      </c>
      <c r="F2153" t="s">
        <v>4755</v>
      </c>
      <c r="G2153" t="s">
        <v>7811</v>
      </c>
      <c r="H2153" t="s">
        <v>10502</v>
      </c>
      <c r="I2153" t="s">
        <v>11386</v>
      </c>
      <c r="J2153">
        <v>10002</v>
      </c>
      <c r="K2153" t="s">
        <v>11448</v>
      </c>
      <c r="N2153" t="s">
        <v>14781</v>
      </c>
      <c r="P2153" t="s">
        <v>14797</v>
      </c>
      <c r="R2153" t="s">
        <v>14811</v>
      </c>
      <c r="S2153" t="s">
        <v>14827</v>
      </c>
      <c r="V2153">
        <v>0</v>
      </c>
      <c r="W2153" t="s">
        <v>14860</v>
      </c>
      <c r="Z2153" t="s">
        <v>16729</v>
      </c>
      <c r="AB2153" t="s">
        <v>21759</v>
      </c>
      <c r="AC2153">
        <v>0</v>
      </c>
      <c r="AF2153">
        <v>0</v>
      </c>
      <c r="AG2153">
        <v>8</v>
      </c>
      <c r="AH2153">
        <v>0</v>
      </c>
      <c r="AI2153">
        <v>173.18</v>
      </c>
      <c r="AL2153" t="s">
        <v>24633</v>
      </c>
      <c r="AM2153">
        <v>137920</v>
      </c>
      <c r="AS2153">
        <v>138.3</v>
      </c>
      <c r="AT2153" t="s">
        <v>511</v>
      </c>
      <c r="AU2153" t="s">
        <v>25282</v>
      </c>
      <c r="AW2153" t="s">
        <v>11447</v>
      </c>
    </row>
    <row r="2154" spans="1:49">
      <c r="A2154" s="1">
        <f>HYPERLINK("https://lsnyc.legalserver.org/matter/dynamic-profile/view/1908695","19-1908695")</f>
        <v>0</v>
      </c>
      <c r="B2154" t="s">
        <v>56</v>
      </c>
      <c r="C2154" t="s">
        <v>641</v>
      </c>
      <c r="E2154" t="s">
        <v>2205</v>
      </c>
      <c r="F2154" t="s">
        <v>1866</v>
      </c>
      <c r="G2154" t="s">
        <v>7812</v>
      </c>
      <c r="H2154">
        <v>50</v>
      </c>
      <c r="I2154" t="s">
        <v>11385</v>
      </c>
      <c r="J2154">
        <v>11207</v>
      </c>
      <c r="K2154" t="s">
        <v>11448</v>
      </c>
      <c r="L2154" t="s">
        <v>12162</v>
      </c>
      <c r="M2154" t="s">
        <v>14744</v>
      </c>
      <c r="P2154" t="s">
        <v>14797</v>
      </c>
      <c r="Q2154" t="s">
        <v>11448</v>
      </c>
      <c r="S2154" t="s">
        <v>14827</v>
      </c>
      <c r="T2154" t="s">
        <v>14832</v>
      </c>
      <c r="V2154">
        <v>1300</v>
      </c>
      <c r="W2154" t="s">
        <v>14859</v>
      </c>
      <c r="X2154" t="s">
        <v>14868</v>
      </c>
      <c r="Z2154" t="s">
        <v>16730</v>
      </c>
      <c r="AA2154" t="s">
        <v>19413</v>
      </c>
      <c r="AB2154" t="s">
        <v>21760</v>
      </c>
      <c r="AC2154">
        <v>83</v>
      </c>
      <c r="AD2154" t="s">
        <v>24596</v>
      </c>
      <c r="AE2154" t="s">
        <v>11459</v>
      </c>
      <c r="AF2154">
        <v>31</v>
      </c>
      <c r="AG2154">
        <v>3</v>
      </c>
      <c r="AH2154">
        <v>0</v>
      </c>
      <c r="AI2154">
        <v>173.46</v>
      </c>
      <c r="AL2154" t="s">
        <v>5011</v>
      </c>
      <c r="AM2154">
        <v>37000</v>
      </c>
      <c r="AS2154">
        <v>0</v>
      </c>
      <c r="AU2154" t="s">
        <v>66</v>
      </c>
      <c r="AV2154" t="s">
        <v>11459</v>
      </c>
      <c r="AW2154" t="s">
        <v>11447</v>
      </c>
    </row>
    <row r="2155" spans="1:49">
      <c r="A2155" s="1">
        <f>HYPERLINK("https://lsnyc.legalserver.org/matter/dynamic-profile/view/1912824","19-1912824")</f>
        <v>0</v>
      </c>
      <c r="B2155" t="s">
        <v>90</v>
      </c>
      <c r="C2155" t="s">
        <v>470</v>
      </c>
      <c r="E2155" t="s">
        <v>2206</v>
      </c>
      <c r="F2155" t="s">
        <v>3662</v>
      </c>
      <c r="G2155" t="s">
        <v>7813</v>
      </c>
      <c r="H2155" t="s">
        <v>10933</v>
      </c>
      <c r="I2155" t="s">
        <v>11383</v>
      </c>
      <c r="J2155">
        <v>10452</v>
      </c>
      <c r="K2155" t="s">
        <v>11446</v>
      </c>
      <c r="M2155" t="s">
        <v>14746</v>
      </c>
      <c r="N2155" t="s">
        <v>14781</v>
      </c>
      <c r="P2155" t="s">
        <v>14797</v>
      </c>
      <c r="Q2155" t="s">
        <v>11448</v>
      </c>
      <c r="S2155" t="s">
        <v>14827</v>
      </c>
      <c r="V2155">
        <v>854</v>
      </c>
      <c r="W2155" t="s">
        <v>14858</v>
      </c>
      <c r="X2155" t="s">
        <v>14864</v>
      </c>
      <c r="Z2155" t="s">
        <v>16731</v>
      </c>
      <c r="AB2155" t="s">
        <v>21761</v>
      </c>
      <c r="AC2155">
        <v>44</v>
      </c>
      <c r="AD2155" t="s">
        <v>24595</v>
      </c>
      <c r="AE2155" t="s">
        <v>24613</v>
      </c>
      <c r="AF2155">
        <v>42</v>
      </c>
      <c r="AG2155">
        <v>2</v>
      </c>
      <c r="AH2155">
        <v>0</v>
      </c>
      <c r="AI2155">
        <v>175.49</v>
      </c>
      <c r="AL2155" t="s">
        <v>24632</v>
      </c>
      <c r="AM2155">
        <v>29676</v>
      </c>
      <c r="AS2155">
        <v>4.5</v>
      </c>
      <c r="AT2155" t="s">
        <v>516</v>
      </c>
      <c r="AU2155" t="s">
        <v>245</v>
      </c>
      <c r="AV2155" t="s">
        <v>25335</v>
      </c>
      <c r="AW2155" t="s">
        <v>11447</v>
      </c>
    </row>
    <row r="2156" spans="1:49">
      <c r="A2156" s="1">
        <f>HYPERLINK("https://lsnyc.legalserver.org/matter/dynamic-profile/view/1913760","19-1913760")</f>
        <v>0</v>
      </c>
      <c r="B2156" t="s">
        <v>56</v>
      </c>
      <c r="C2156" t="s">
        <v>476</v>
      </c>
      <c r="E2156" t="s">
        <v>2207</v>
      </c>
      <c r="F2156" t="s">
        <v>4756</v>
      </c>
      <c r="G2156" t="s">
        <v>7814</v>
      </c>
      <c r="H2156" t="s">
        <v>10934</v>
      </c>
      <c r="I2156" t="s">
        <v>11385</v>
      </c>
      <c r="J2156">
        <v>11208</v>
      </c>
      <c r="K2156" t="s">
        <v>11447</v>
      </c>
      <c r="L2156" t="s">
        <v>12163</v>
      </c>
      <c r="M2156" t="s">
        <v>14744</v>
      </c>
      <c r="N2156" t="s">
        <v>14782</v>
      </c>
      <c r="P2156" t="s">
        <v>14797</v>
      </c>
      <c r="Q2156" t="s">
        <v>11448</v>
      </c>
      <c r="S2156" t="s">
        <v>14827</v>
      </c>
      <c r="V2156">
        <v>859</v>
      </c>
      <c r="W2156" t="s">
        <v>14859</v>
      </c>
      <c r="X2156" t="s">
        <v>14868</v>
      </c>
      <c r="Z2156" t="s">
        <v>16732</v>
      </c>
      <c r="AB2156" t="s">
        <v>21762</v>
      </c>
      <c r="AC2156">
        <v>1276</v>
      </c>
      <c r="AD2156" t="s">
        <v>24595</v>
      </c>
      <c r="AE2156" t="s">
        <v>24610</v>
      </c>
      <c r="AF2156">
        <v>2</v>
      </c>
      <c r="AG2156">
        <v>1</v>
      </c>
      <c r="AH2156">
        <v>0</v>
      </c>
      <c r="AI2156">
        <v>176.11</v>
      </c>
      <c r="AL2156" t="s">
        <v>5011</v>
      </c>
      <c r="AM2156">
        <v>21996</v>
      </c>
      <c r="AS2156">
        <v>0</v>
      </c>
      <c r="AU2156" t="s">
        <v>120</v>
      </c>
      <c r="AW2156" t="s">
        <v>11447</v>
      </c>
    </row>
    <row r="2157" spans="1:49">
      <c r="A2157" s="1">
        <f>HYPERLINK("https://lsnyc.legalserver.org/matter/dynamic-profile/view/1912468","19-1912468")</f>
        <v>0</v>
      </c>
      <c r="B2157" t="s">
        <v>119</v>
      </c>
      <c r="C2157" t="s">
        <v>489</v>
      </c>
      <c r="E2157" t="s">
        <v>1646</v>
      </c>
      <c r="F2157" t="s">
        <v>3944</v>
      </c>
      <c r="G2157" t="s">
        <v>7085</v>
      </c>
      <c r="H2157" t="s">
        <v>10465</v>
      </c>
      <c r="I2157" t="s">
        <v>11383</v>
      </c>
      <c r="J2157">
        <v>10457</v>
      </c>
      <c r="K2157" t="s">
        <v>11446</v>
      </c>
      <c r="M2157" t="s">
        <v>14749</v>
      </c>
      <c r="N2157" t="s">
        <v>14778</v>
      </c>
      <c r="P2157" t="s">
        <v>14797</v>
      </c>
      <c r="Q2157" t="s">
        <v>11446</v>
      </c>
      <c r="S2157" t="s">
        <v>14827</v>
      </c>
      <c r="V2157">
        <v>1022.34</v>
      </c>
      <c r="W2157" t="s">
        <v>14858</v>
      </c>
      <c r="X2157" t="s">
        <v>14864</v>
      </c>
      <c r="Z2157" t="s">
        <v>15719</v>
      </c>
      <c r="AB2157" t="s">
        <v>20819</v>
      </c>
      <c r="AC2157">
        <v>48</v>
      </c>
      <c r="AD2157" t="s">
        <v>24595</v>
      </c>
      <c r="AE2157" t="s">
        <v>24610</v>
      </c>
      <c r="AF2157">
        <v>1</v>
      </c>
      <c r="AG2157">
        <v>1</v>
      </c>
      <c r="AH2157">
        <v>0</v>
      </c>
      <c r="AI2157">
        <v>176.94</v>
      </c>
      <c r="AL2157" t="s">
        <v>24632</v>
      </c>
      <c r="AM2157">
        <v>22100</v>
      </c>
      <c r="AS2157">
        <v>6</v>
      </c>
      <c r="AT2157" t="s">
        <v>478</v>
      </c>
      <c r="AU2157" t="s">
        <v>245</v>
      </c>
      <c r="AW2157" t="s">
        <v>11447</v>
      </c>
    </row>
    <row r="2158" spans="1:49">
      <c r="A2158" s="1">
        <f>HYPERLINK("https://lsnyc.legalserver.org/matter/dynamic-profile/view/1907995","19-1907995")</f>
        <v>0</v>
      </c>
      <c r="B2158" t="s">
        <v>119</v>
      </c>
      <c r="C2158" t="s">
        <v>458</v>
      </c>
      <c r="E2158" t="s">
        <v>1646</v>
      </c>
      <c r="F2158" t="s">
        <v>3944</v>
      </c>
      <c r="G2158" t="s">
        <v>7085</v>
      </c>
      <c r="H2158" t="s">
        <v>10465</v>
      </c>
      <c r="I2158" t="s">
        <v>11383</v>
      </c>
      <c r="J2158">
        <v>10457</v>
      </c>
      <c r="K2158" t="s">
        <v>11446</v>
      </c>
      <c r="L2158" t="s">
        <v>12026</v>
      </c>
      <c r="M2158" t="s">
        <v>14762</v>
      </c>
      <c r="N2158" t="s">
        <v>14783</v>
      </c>
      <c r="P2158" t="s">
        <v>14797</v>
      </c>
      <c r="Q2158" t="s">
        <v>11446</v>
      </c>
      <c r="S2158" t="s">
        <v>14827</v>
      </c>
      <c r="V2158">
        <v>1022.34</v>
      </c>
      <c r="W2158" t="s">
        <v>14858</v>
      </c>
      <c r="X2158" t="s">
        <v>14864</v>
      </c>
      <c r="Z2158" t="s">
        <v>15719</v>
      </c>
      <c r="AB2158" t="s">
        <v>20819</v>
      </c>
      <c r="AC2158">
        <v>48</v>
      </c>
      <c r="AD2158" t="s">
        <v>24595</v>
      </c>
      <c r="AE2158" t="s">
        <v>24610</v>
      </c>
      <c r="AF2158">
        <v>15</v>
      </c>
      <c r="AG2158">
        <v>1</v>
      </c>
      <c r="AH2158">
        <v>0</v>
      </c>
      <c r="AI2158">
        <v>176.94</v>
      </c>
      <c r="AL2158" t="s">
        <v>24632</v>
      </c>
      <c r="AM2158">
        <v>22100</v>
      </c>
      <c r="AS2158">
        <v>0.2</v>
      </c>
      <c r="AT2158" t="s">
        <v>489</v>
      </c>
      <c r="AU2158" t="s">
        <v>245</v>
      </c>
      <c r="AW2158" t="s">
        <v>11447</v>
      </c>
    </row>
    <row r="2159" spans="1:49">
      <c r="A2159" s="1">
        <f>HYPERLINK("https://lsnyc.legalserver.org/matter/dynamic-profile/view/1911699","19-1911699")</f>
        <v>0</v>
      </c>
      <c r="B2159" t="s">
        <v>67</v>
      </c>
      <c r="C2159" t="s">
        <v>505</v>
      </c>
      <c r="E2159" t="s">
        <v>1025</v>
      </c>
      <c r="F2159" t="s">
        <v>4757</v>
      </c>
      <c r="G2159" t="s">
        <v>7638</v>
      </c>
      <c r="H2159" t="s">
        <v>10527</v>
      </c>
      <c r="I2159" t="s">
        <v>11383</v>
      </c>
      <c r="J2159">
        <v>10452</v>
      </c>
      <c r="K2159" t="s">
        <v>11446</v>
      </c>
      <c r="L2159" t="s">
        <v>12057</v>
      </c>
      <c r="M2159" t="s">
        <v>14762</v>
      </c>
      <c r="N2159" t="s">
        <v>14783</v>
      </c>
      <c r="P2159" t="s">
        <v>14797</v>
      </c>
      <c r="Q2159" t="s">
        <v>11446</v>
      </c>
      <c r="S2159" t="s">
        <v>14827</v>
      </c>
      <c r="V2159">
        <v>1346</v>
      </c>
      <c r="W2159" t="s">
        <v>14858</v>
      </c>
      <c r="X2159" t="s">
        <v>14864</v>
      </c>
      <c r="Z2159" t="s">
        <v>16733</v>
      </c>
      <c r="AB2159" t="s">
        <v>21763</v>
      </c>
      <c r="AC2159">
        <v>67</v>
      </c>
      <c r="AD2159" t="s">
        <v>11479</v>
      </c>
      <c r="AE2159" t="s">
        <v>11459</v>
      </c>
      <c r="AF2159">
        <v>6</v>
      </c>
      <c r="AG2159">
        <v>3</v>
      </c>
      <c r="AH2159">
        <v>1</v>
      </c>
      <c r="AI2159">
        <v>177.55</v>
      </c>
      <c r="AL2159" t="s">
        <v>24632</v>
      </c>
      <c r="AM2159">
        <v>45720</v>
      </c>
      <c r="AS2159">
        <v>0</v>
      </c>
      <c r="AU2159" t="s">
        <v>25268</v>
      </c>
      <c r="AV2159" t="s">
        <v>25335</v>
      </c>
      <c r="AW2159" t="s">
        <v>11447</v>
      </c>
    </row>
    <row r="2160" spans="1:49">
      <c r="A2160" s="1">
        <f>HYPERLINK("https://lsnyc.legalserver.org/matter/dynamic-profile/view/1909768","19-1909768")</f>
        <v>0</v>
      </c>
      <c r="B2160" t="s">
        <v>76</v>
      </c>
      <c r="C2160" t="s">
        <v>519</v>
      </c>
      <c r="E2160" t="s">
        <v>2208</v>
      </c>
      <c r="F2160" t="s">
        <v>3587</v>
      </c>
      <c r="G2160" t="s">
        <v>7815</v>
      </c>
      <c r="H2160" t="s">
        <v>10506</v>
      </c>
      <c r="I2160" t="s">
        <v>11385</v>
      </c>
      <c r="J2160">
        <v>11207</v>
      </c>
      <c r="K2160" t="s">
        <v>11448</v>
      </c>
      <c r="L2160" t="s">
        <v>12164</v>
      </c>
      <c r="M2160" t="s">
        <v>14744</v>
      </c>
      <c r="N2160" t="s">
        <v>14781</v>
      </c>
      <c r="P2160" t="s">
        <v>14797</v>
      </c>
      <c r="Q2160" t="s">
        <v>11448</v>
      </c>
      <c r="S2160" t="s">
        <v>14827</v>
      </c>
      <c r="T2160" t="s">
        <v>14832</v>
      </c>
      <c r="V2160">
        <v>1300</v>
      </c>
      <c r="W2160" t="s">
        <v>14859</v>
      </c>
      <c r="X2160" t="s">
        <v>14868</v>
      </c>
      <c r="Z2160" t="s">
        <v>16734</v>
      </c>
      <c r="AA2160" t="s">
        <v>11465</v>
      </c>
      <c r="AB2160" t="s">
        <v>21764</v>
      </c>
      <c r="AC2160">
        <v>6</v>
      </c>
      <c r="AD2160" t="s">
        <v>24595</v>
      </c>
      <c r="AE2160" t="s">
        <v>11459</v>
      </c>
      <c r="AF2160">
        <v>3</v>
      </c>
      <c r="AG2160">
        <v>2</v>
      </c>
      <c r="AH2160">
        <v>3</v>
      </c>
      <c r="AI2160">
        <v>180.97</v>
      </c>
      <c r="AL2160" t="s">
        <v>5011</v>
      </c>
      <c r="AM2160">
        <v>54600</v>
      </c>
      <c r="AS2160">
        <v>6.8</v>
      </c>
      <c r="AT2160" t="s">
        <v>506</v>
      </c>
      <c r="AU2160" t="s">
        <v>66</v>
      </c>
      <c r="AV2160" t="s">
        <v>11459</v>
      </c>
      <c r="AW2160" t="s">
        <v>11447</v>
      </c>
    </row>
    <row r="2161" spans="1:49">
      <c r="A2161" s="1">
        <f>HYPERLINK("https://lsnyc.legalserver.org/matter/dynamic-profile/view/1915136","19-1915136")</f>
        <v>0</v>
      </c>
      <c r="B2161" t="s">
        <v>103</v>
      </c>
      <c r="C2161" t="s">
        <v>516</v>
      </c>
      <c r="E2161" t="s">
        <v>2209</v>
      </c>
      <c r="F2161" t="s">
        <v>3965</v>
      </c>
      <c r="G2161" t="s">
        <v>7816</v>
      </c>
      <c r="H2161" t="s">
        <v>10464</v>
      </c>
      <c r="I2161" t="s">
        <v>11385</v>
      </c>
      <c r="J2161">
        <v>11207</v>
      </c>
      <c r="K2161" t="s">
        <v>11447</v>
      </c>
      <c r="L2161" t="s">
        <v>12165</v>
      </c>
      <c r="M2161" t="s">
        <v>14744</v>
      </c>
      <c r="N2161" t="s">
        <v>14782</v>
      </c>
      <c r="P2161" t="s">
        <v>14797</v>
      </c>
      <c r="Q2161" t="s">
        <v>11448</v>
      </c>
      <c r="S2161" t="s">
        <v>14827</v>
      </c>
      <c r="V2161">
        <v>1386</v>
      </c>
      <c r="W2161" t="s">
        <v>14859</v>
      </c>
      <c r="X2161" t="s">
        <v>14865</v>
      </c>
      <c r="Z2161" t="s">
        <v>16735</v>
      </c>
      <c r="AA2161" t="s">
        <v>11459</v>
      </c>
      <c r="AB2161" t="s">
        <v>21765</v>
      </c>
      <c r="AC2161">
        <v>21</v>
      </c>
      <c r="AD2161" t="s">
        <v>24595</v>
      </c>
      <c r="AE2161" t="s">
        <v>11459</v>
      </c>
      <c r="AF2161">
        <v>10</v>
      </c>
      <c r="AG2161">
        <v>2</v>
      </c>
      <c r="AH2161">
        <v>2</v>
      </c>
      <c r="AI2161">
        <v>180.97</v>
      </c>
      <c r="AL2161" t="s">
        <v>5011</v>
      </c>
      <c r="AM2161">
        <v>46600</v>
      </c>
      <c r="AS2161">
        <v>0</v>
      </c>
      <c r="AU2161" t="s">
        <v>120</v>
      </c>
      <c r="AW2161" t="s">
        <v>11447</v>
      </c>
    </row>
    <row r="2162" spans="1:49">
      <c r="A2162" s="1">
        <f>HYPERLINK("https://lsnyc.legalserver.org/matter/dynamic-profile/view/1914357","19-1914357")</f>
        <v>0</v>
      </c>
      <c r="B2162" t="s">
        <v>183</v>
      </c>
      <c r="C2162" t="s">
        <v>506</v>
      </c>
      <c r="E2162" t="s">
        <v>2210</v>
      </c>
      <c r="F2162" t="s">
        <v>3738</v>
      </c>
      <c r="G2162" t="s">
        <v>7281</v>
      </c>
      <c r="H2162" t="s">
        <v>10935</v>
      </c>
      <c r="I2162" t="s">
        <v>11385</v>
      </c>
      <c r="J2162">
        <v>11233</v>
      </c>
      <c r="K2162" t="s">
        <v>11447</v>
      </c>
      <c r="L2162" t="s">
        <v>12166</v>
      </c>
      <c r="M2162" t="s">
        <v>14744</v>
      </c>
      <c r="N2162" t="s">
        <v>14782</v>
      </c>
      <c r="P2162" t="s">
        <v>14797</v>
      </c>
      <c r="Q2162" t="s">
        <v>11448</v>
      </c>
      <c r="S2162" t="s">
        <v>14827</v>
      </c>
      <c r="V2162">
        <v>1542</v>
      </c>
      <c r="W2162" t="s">
        <v>14859</v>
      </c>
      <c r="X2162" t="s">
        <v>14868</v>
      </c>
      <c r="Z2162" t="s">
        <v>16736</v>
      </c>
      <c r="AA2162" t="s">
        <v>19506</v>
      </c>
      <c r="AB2162" t="s">
        <v>21766</v>
      </c>
      <c r="AC2162">
        <v>287</v>
      </c>
      <c r="AD2162" t="s">
        <v>24595</v>
      </c>
      <c r="AE2162" t="s">
        <v>24610</v>
      </c>
      <c r="AF2162">
        <v>11</v>
      </c>
      <c r="AG2162">
        <v>1</v>
      </c>
      <c r="AH2162">
        <v>2</v>
      </c>
      <c r="AI2162">
        <v>181.31</v>
      </c>
      <c r="AL2162" t="s">
        <v>5011</v>
      </c>
      <c r="AM2162">
        <v>38674</v>
      </c>
      <c r="AS2162">
        <v>0</v>
      </c>
      <c r="AU2162" t="s">
        <v>120</v>
      </c>
      <c r="AW2162" t="s">
        <v>11447</v>
      </c>
    </row>
    <row r="2163" spans="1:49">
      <c r="A2163" s="1">
        <f>HYPERLINK("https://lsnyc.legalserver.org/matter/dynamic-profile/view/1914255","19-1914255")</f>
        <v>0</v>
      </c>
      <c r="B2163" t="s">
        <v>103</v>
      </c>
      <c r="C2163" t="s">
        <v>539</v>
      </c>
      <c r="E2163" t="s">
        <v>2211</v>
      </c>
      <c r="F2163" t="s">
        <v>3709</v>
      </c>
      <c r="G2163" t="s">
        <v>7817</v>
      </c>
      <c r="H2163" t="s">
        <v>10522</v>
      </c>
      <c r="I2163" t="s">
        <v>11385</v>
      </c>
      <c r="J2163">
        <v>11207</v>
      </c>
      <c r="K2163" t="s">
        <v>11448</v>
      </c>
      <c r="L2163" t="s">
        <v>12167</v>
      </c>
      <c r="M2163" t="s">
        <v>14743</v>
      </c>
      <c r="P2163" t="s">
        <v>14797</v>
      </c>
      <c r="Q2163" t="s">
        <v>11448</v>
      </c>
      <c r="S2163" t="s">
        <v>14827</v>
      </c>
      <c r="T2163" t="s">
        <v>14832</v>
      </c>
      <c r="V2163">
        <v>1182</v>
      </c>
      <c r="W2163" t="s">
        <v>14859</v>
      </c>
      <c r="X2163" t="s">
        <v>14871</v>
      </c>
      <c r="Z2163" t="s">
        <v>16737</v>
      </c>
      <c r="AA2163" t="s">
        <v>19507</v>
      </c>
      <c r="AB2163" t="s">
        <v>21767</v>
      </c>
      <c r="AC2163">
        <v>4375</v>
      </c>
      <c r="AD2163" t="s">
        <v>24595</v>
      </c>
      <c r="AE2163" t="s">
        <v>24617</v>
      </c>
      <c r="AF2163">
        <v>1</v>
      </c>
      <c r="AG2163">
        <v>1</v>
      </c>
      <c r="AH2163">
        <v>2</v>
      </c>
      <c r="AI2163">
        <v>181.87</v>
      </c>
      <c r="AL2163" t="s">
        <v>5011</v>
      </c>
      <c r="AM2163">
        <v>38792</v>
      </c>
      <c r="AS2163">
        <v>0</v>
      </c>
      <c r="AU2163" t="s">
        <v>66</v>
      </c>
      <c r="AV2163" t="s">
        <v>11459</v>
      </c>
      <c r="AW2163" t="s">
        <v>11447</v>
      </c>
    </row>
    <row r="2164" spans="1:49">
      <c r="A2164" s="1">
        <f>HYPERLINK("https://lsnyc.legalserver.org/matter/dynamic-profile/view/1912015","19-1912015")</f>
        <v>0</v>
      </c>
      <c r="B2164" t="s">
        <v>197</v>
      </c>
      <c r="C2164" t="s">
        <v>586</v>
      </c>
      <c r="E2164" t="s">
        <v>1279</v>
      </c>
      <c r="F2164" t="s">
        <v>3552</v>
      </c>
      <c r="G2164" t="s">
        <v>6868</v>
      </c>
      <c r="H2164" t="s">
        <v>10451</v>
      </c>
      <c r="I2164" t="s">
        <v>11383</v>
      </c>
      <c r="J2164">
        <v>10456</v>
      </c>
      <c r="K2164" t="s">
        <v>11446</v>
      </c>
      <c r="N2164" t="s">
        <v>14778</v>
      </c>
      <c r="P2164" t="s">
        <v>14797</v>
      </c>
      <c r="S2164" t="s">
        <v>14827</v>
      </c>
      <c r="V2164">
        <v>0</v>
      </c>
      <c r="W2164" t="s">
        <v>14858</v>
      </c>
      <c r="Z2164" t="s">
        <v>16738</v>
      </c>
      <c r="AB2164" t="s">
        <v>21768</v>
      </c>
      <c r="AC2164">
        <v>0</v>
      </c>
      <c r="AF2164">
        <v>0</v>
      </c>
      <c r="AG2164">
        <v>2</v>
      </c>
      <c r="AH2164">
        <v>0</v>
      </c>
      <c r="AI2164">
        <v>183.32</v>
      </c>
      <c r="AL2164" t="s">
        <v>24632</v>
      </c>
      <c r="AM2164">
        <v>31000</v>
      </c>
      <c r="AS2164">
        <v>0.4</v>
      </c>
      <c r="AT2164" t="s">
        <v>495</v>
      </c>
      <c r="AU2164" t="s">
        <v>197</v>
      </c>
      <c r="AV2164" t="s">
        <v>25335</v>
      </c>
      <c r="AW2164" t="s">
        <v>11447</v>
      </c>
    </row>
    <row r="2165" spans="1:49">
      <c r="A2165" s="1">
        <f>HYPERLINK("https://lsnyc.legalserver.org/matter/dynamic-profile/view/1910523","19-1910523")</f>
        <v>0</v>
      </c>
      <c r="B2165" t="s">
        <v>235</v>
      </c>
      <c r="C2165" t="s">
        <v>602</v>
      </c>
      <c r="E2165" t="s">
        <v>1634</v>
      </c>
      <c r="F2165" t="s">
        <v>4758</v>
      </c>
      <c r="G2165" t="s">
        <v>7818</v>
      </c>
      <c r="H2165" t="s">
        <v>10936</v>
      </c>
      <c r="I2165" t="s">
        <v>11383</v>
      </c>
      <c r="J2165">
        <v>10453</v>
      </c>
      <c r="K2165" t="s">
        <v>11446</v>
      </c>
      <c r="L2165" t="s">
        <v>12168</v>
      </c>
      <c r="M2165" t="s">
        <v>14744</v>
      </c>
      <c r="N2165" t="s">
        <v>14781</v>
      </c>
      <c r="P2165" t="s">
        <v>14797</v>
      </c>
      <c r="Q2165" t="s">
        <v>11448</v>
      </c>
      <c r="S2165" t="s">
        <v>14827</v>
      </c>
      <c r="T2165" t="s">
        <v>14832</v>
      </c>
      <c r="V2165">
        <v>1174</v>
      </c>
      <c r="W2165" t="s">
        <v>14858</v>
      </c>
      <c r="X2165" t="s">
        <v>14868</v>
      </c>
      <c r="Z2165" t="s">
        <v>16739</v>
      </c>
      <c r="AA2165" t="s">
        <v>19508</v>
      </c>
      <c r="AB2165" t="s">
        <v>21769</v>
      </c>
      <c r="AC2165">
        <v>0</v>
      </c>
      <c r="AD2165" t="s">
        <v>24595</v>
      </c>
      <c r="AF2165">
        <v>33</v>
      </c>
      <c r="AG2165">
        <v>2</v>
      </c>
      <c r="AH2165">
        <v>0</v>
      </c>
      <c r="AI2165">
        <v>184.51</v>
      </c>
      <c r="AL2165" t="s">
        <v>5011</v>
      </c>
      <c r="AM2165">
        <v>31200</v>
      </c>
      <c r="AS2165">
        <v>18.5</v>
      </c>
      <c r="AT2165" t="s">
        <v>578</v>
      </c>
      <c r="AU2165" t="s">
        <v>237</v>
      </c>
      <c r="AV2165" t="s">
        <v>25334</v>
      </c>
      <c r="AW2165" t="s">
        <v>11447</v>
      </c>
    </row>
    <row r="2166" spans="1:49">
      <c r="A2166" s="1">
        <f>HYPERLINK("https://lsnyc.legalserver.org/matter/dynamic-profile/view/1911800","19-1911800")</f>
        <v>0</v>
      </c>
      <c r="B2166" t="s">
        <v>67</v>
      </c>
      <c r="C2166" t="s">
        <v>645</v>
      </c>
      <c r="E2166" t="s">
        <v>2212</v>
      </c>
      <c r="F2166" t="s">
        <v>4172</v>
      </c>
      <c r="G2166" t="s">
        <v>7638</v>
      </c>
      <c r="H2166" t="s">
        <v>10598</v>
      </c>
      <c r="I2166" t="s">
        <v>11383</v>
      </c>
      <c r="J2166">
        <v>10452</v>
      </c>
      <c r="K2166" t="s">
        <v>11446</v>
      </c>
      <c r="L2166" t="s">
        <v>12057</v>
      </c>
      <c r="M2166" t="s">
        <v>14762</v>
      </c>
      <c r="N2166" t="s">
        <v>14783</v>
      </c>
      <c r="P2166" t="s">
        <v>14797</v>
      </c>
      <c r="Q2166" t="s">
        <v>11446</v>
      </c>
      <c r="S2166" t="s">
        <v>14827</v>
      </c>
      <c r="V2166">
        <v>1303.46</v>
      </c>
      <c r="W2166" t="s">
        <v>14858</v>
      </c>
      <c r="X2166" t="s">
        <v>14864</v>
      </c>
      <c r="Z2166" t="s">
        <v>16740</v>
      </c>
      <c r="AB2166" t="s">
        <v>21770</v>
      </c>
      <c r="AC2166">
        <v>67</v>
      </c>
      <c r="AD2166" t="s">
        <v>24595</v>
      </c>
      <c r="AE2166" t="s">
        <v>11459</v>
      </c>
      <c r="AF2166">
        <v>6</v>
      </c>
      <c r="AG2166">
        <v>1</v>
      </c>
      <c r="AH2166">
        <v>1</v>
      </c>
      <c r="AI2166">
        <v>184.51</v>
      </c>
      <c r="AL2166" t="s">
        <v>5011</v>
      </c>
      <c r="AM2166">
        <v>31200</v>
      </c>
      <c r="AS2166">
        <v>34.25</v>
      </c>
      <c r="AT2166" t="s">
        <v>539</v>
      </c>
      <c r="AU2166" t="s">
        <v>25268</v>
      </c>
      <c r="AV2166" t="s">
        <v>25335</v>
      </c>
      <c r="AW2166" t="s">
        <v>11447</v>
      </c>
    </row>
    <row r="2167" spans="1:49">
      <c r="A2167" s="1">
        <f>HYPERLINK("https://lsnyc.legalserver.org/matter/dynamic-profile/view/1909345","19-1909345")</f>
        <v>0</v>
      </c>
      <c r="B2167" t="s">
        <v>51</v>
      </c>
      <c r="C2167" t="s">
        <v>589</v>
      </c>
      <c r="E2167" t="s">
        <v>2213</v>
      </c>
      <c r="F2167" t="s">
        <v>4194</v>
      </c>
      <c r="G2167" t="s">
        <v>6443</v>
      </c>
      <c r="H2167" t="s">
        <v>10707</v>
      </c>
      <c r="I2167" t="s">
        <v>11383</v>
      </c>
      <c r="J2167">
        <v>10460</v>
      </c>
      <c r="K2167" t="s">
        <v>11446</v>
      </c>
      <c r="N2167" t="s">
        <v>14778</v>
      </c>
      <c r="P2167" t="s">
        <v>14797</v>
      </c>
      <c r="Q2167" t="s">
        <v>11448</v>
      </c>
      <c r="S2167" t="s">
        <v>14827</v>
      </c>
      <c r="V2167">
        <v>1120</v>
      </c>
      <c r="W2167" t="s">
        <v>14858</v>
      </c>
      <c r="X2167" t="s">
        <v>14873</v>
      </c>
      <c r="Z2167" t="s">
        <v>16741</v>
      </c>
      <c r="AC2167">
        <v>168</v>
      </c>
      <c r="AD2167" t="s">
        <v>24605</v>
      </c>
      <c r="AF2167">
        <v>0</v>
      </c>
      <c r="AG2167">
        <v>1</v>
      </c>
      <c r="AH2167">
        <v>0</v>
      </c>
      <c r="AI2167">
        <v>187.35</v>
      </c>
      <c r="AL2167" t="s">
        <v>5011</v>
      </c>
      <c r="AM2167">
        <v>23400</v>
      </c>
      <c r="AS2167">
        <v>0.6</v>
      </c>
      <c r="AT2167" t="s">
        <v>589</v>
      </c>
      <c r="AU2167" t="s">
        <v>25225</v>
      </c>
      <c r="AV2167" t="s">
        <v>25335</v>
      </c>
      <c r="AW2167" t="s">
        <v>11447</v>
      </c>
    </row>
    <row r="2168" spans="1:49">
      <c r="A2168" s="1">
        <f>HYPERLINK("https://lsnyc.legalserver.org/matter/dynamic-profile/view/1914441","19-1914441")</f>
        <v>0</v>
      </c>
      <c r="B2168" t="s">
        <v>197</v>
      </c>
      <c r="C2168" t="s">
        <v>506</v>
      </c>
      <c r="E2168" t="s">
        <v>1249</v>
      </c>
      <c r="F2168" t="s">
        <v>2640</v>
      </c>
      <c r="G2168" t="s">
        <v>7819</v>
      </c>
      <c r="H2168">
        <v>12</v>
      </c>
      <c r="I2168" t="s">
        <v>11383</v>
      </c>
      <c r="J2168">
        <v>10458</v>
      </c>
      <c r="K2168" t="s">
        <v>11446</v>
      </c>
      <c r="N2168" t="s">
        <v>14778</v>
      </c>
      <c r="P2168" t="s">
        <v>14797</v>
      </c>
      <c r="Q2168" t="s">
        <v>11448</v>
      </c>
      <c r="S2168" t="s">
        <v>14827</v>
      </c>
      <c r="V2168">
        <v>863.17</v>
      </c>
      <c r="W2168" t="s">
        <v>14858</v>
      </c>
      <c r="Y2168" t="s">
        <v>14883</v>
      </c>
      <c r="Z2168" t="s">
        <v>16742</v>
      </c>
      <c r="AB2168" t="s">
        <v>21771</v>
      </c>
      <c r="AC2168">
        <v>0</v>
      </c>
      <c r="AD2168" t="s">
        <v>24595</v>
      </c>
      <c r="AF2168">
        <v>0</v>
      </c>
      <c r="AG2168">
        <v>1</v>
      </c>
      <c r="AH2168">
        <v>0</v>
      </c>
      <c r="AI2168">
        <v>187.35</v>
      </c>
      <c r="AL2168" t="s">
        <v>5011</v>
      </c>
      <c r="AM2168">
        <v>23400</v>
      </c>
      <c r="AS2168">
        <v>2.2</v>
      </c>
      <c r="AT2168" t="s">
        <v>495</v>
      </c>
      <c r="AU2168" t="s">
        <v>197</v>
      </c>
      <c r="AV2168" t="s">
        <v>25335</v>
      </c>
      <c r="AW2168" t="s">
        <v>11447</v>
      </c>
    </row>
    <row r="2169" spans="1:49">
      <c r="A2169" s="1">
        <f>HYPERLINK("https://lsnyc.legalserver.org/matter/dynamic-profile/view/1905410","19-1905410")</f>
        <v>0</v>
      </c>
      <c r="B2169" t="s">
        <v>92</v>
      </c>
      <c r="C2169" t="s">
        <v>520</v>
      </c>
      <c r="E2169" t="s">
        <v>2214</v>
      </c>
      <c r="F2169" t="s">
        <v>1395</v>
      </c>
      <c r="G2169" t="s">
        <v>7820</v>
      </c>
      <c r="H2169" t="s">
        <v>10937</v>
      </c>
      <c r="I2169" t="s">
        <v>11383</v>
      </c>
      <c r="J2169">
        <v>10453</v>
      </c>
      <c r="K2169" t="s">
        <v>11447</v>
      </c>
      <c r="L2169" t="s">
        <v>12169</v>
      </c>
      <c r="M2169" t="s">
        <v>14744</v>
      </c>
      <c r="N2169" t="s">
        <v>14782</v>
      </c>
      <c r="P2169" t="s">
        <v>14797</v>
      </c>
      <c r="S2169" t="s">
        <v>14827</v>
      </c>
      <c r="V2169">
        <v>851</v>
      </c>
      <c r="W2169" t="s">
        <v>14858</v>
      </c>
      <c r="X2169" t="s">
        <v>14755</v>
      </c>
      <c r="Z2169" t="s">
        <v>16743</v>
      </c>
      <c r="AC2169">
        <v>430</v>
      </c>
      <c r="AD2169" t="s">
        <v>24600</v>
      </c>
      <c r="AE2169" t="s">
        <v>24610</v>
      </c>
      <c r="AF2169">
        <v>30</v>
      </c>
      <c r="AG2169">
        <v>1</v>
      </c>
      <c r="AH2169">
        <v>0</v>
      </c>
      <c r="AI2169">
        <v>187.35</v>
      </c>
      <c r="AL2169" t="s">
        <v>5011</v>
      </c>
      <c r="AM2169">
        <v>23400</v>
      </c>
      <c r="AS2169">
        <v>16.5</v>
      </c>
      <c r="AT2169" t="s">
        <v>519</v>
      </c>
      <c r="AU2169" t="s">
        <v>25244</v>
      </c>
      <c r="AW2169" t="s">
        <v>11447</v>
      </c>
    </row>
    <row r="2170" spans="1:49">
      <c r="A2170" s="1">
        <f>HYPERLINK("https://lsnyc.legalserver.org/matter/dynamic-profile/view/1910191","19-1910191")</f>
        <v>0</v>
      </c>
      <c r="B2170" t="s">
        <v>67</v>
      </c>
      <c r="C2170" t="s">
        <v>528</v>
      </c>
      <c r="E2170" t="s">
        <v>2215</v>
      </c>
      <c r="F2170" t="s">
        <v>4759</v>
      </c>
      <c r="G2170" t="s">
        <v>7595</v>
      </c>
      <c r="H2170" t="s">
        <v>10529</v>
      </c>
      <c r="I2170" t="s">
        <v>11383</v>
      </c>
      <c r="J2170">
        <v>10456</v>
      </c>
      <c r="K2170" t="s">
        <v>11446</v>
      </c>
      <c r="M2170" t="s">
        <v>14762</v>
      </c>
      <c r="N2170" t="s">
        <v>14783</v>
      </c>
      <c r="P2170" t="s">
        <v>14797</v>
      </c>
      <c r="Q2170" t="s">
        <v>11446</v>
      </c>
      <c r="S2170" t="s">
        <v>14827</v>
      </c>
      <c r="V2170">
        <v>0</v>
      </c>
      <c r="W2170" t="s">
        <v>14858</v>
      </c>
      <c r="X2170" t="s">
        <v>14864</v>
      </c>
      <c r="Z2170" t="s">
        <v>16744</v>
      </c>
      <c r="AB2170" t="s">
        <v>21772</v>
      </c>
      <c r="AC2170">
        <v>30</v>
      </c>
      <c r="AD2170" t="s">
        <v>11479</v>
      </c>
      <c r="AE2170" t="s">
        <v>11459</v>
      </c>
      <c r="AF2170">
        <v>21</v>
      </c>
      <c r="AG2170">
        <v>3</v>
      </c>
      <c r="AH2170">
        <v>1</v>
      </c>
      <c r="AI2170">
        <v>187.6</v>
      </c>
      <c r="AM2170">
        <v>48308</v>
      </c>
      <c r="AS2170">
        <v>0</v>
      </c>
      <c r="AU2170" t="s">
        <v>25242</v>
      </c>
      <c r="AV2170" t="s">
        <v>25335</v>
      </c>
      <c r="AW2170" t="s">
        <v>11447</v>
      </c>
    </row>
    <row r="2171" spans="1:49">
      <c r="A2171" s="1">
        <f>HYPERLINK("https://lsnyc.legalserver.org/matter/dynamic-profile/view/1910187","19-1910187")</f>
        <v>0</v>
      </c>
      <c r="B2171" t="s">
        <v>67</v>
      </c>
      <c r="C2171" t="s">
        <v>528</v>
      </c>
      <c r="E2171" t="s">
        <v>2215</v>
      </c>
      <c r="F2171" t="s">
        <v>4759</v>
      </c>
      <c r="G2171" t="s">
        <v>7595</v>
      </c>
      <c r="H2171" t="s">
        <v>10529</v>
      </c>
      <c r="I2171" t="s">
        <v>11383</v>
      </c>
      <c r="J2171">
        <v>10456</v>
      </c>
      <c r="K2171" t="s">
        <v>11446</v>
      </c>
      <c r="L2171" t="s">
        <v>12028</v>
      </c>
      <c r="M2171" t="s">
        <v>14746</v>
      </c>
      <c r="N2171" t="s">
        <v>14781</v>
      </c>
      <c r="P2171" t="s">
        <v>14797</v>
      </c>
      <c r="Q2171" t="s">
        <v>11446</v>
      </c>
      <c r="S2171" t="s">
        <v>14827</v>
      </c>
      <c r="V2171">
        <v>0</v>
      </c>
      <c r="W2171" t="s">
        <v>14858</v>
      </c>
      <c r="X2171" t="s">
        <v>14864</v>
      </c>
      <c r="Z2171" t="s">
        <v>16744</v>
      </c>
      <c r="AB2171" t="s">
        <v>21772</v>
      </c>
      <c r="AC2171">
        <v>30</v>
      </c>
      <c r="AD2171" t="s">
        <v>11479</v>
      </c>
      <c r="AE2171" t="s">
        <v>11459</v>
      </c>
      <c r="AF2171">
        <v>21</v>
      </c>
      <c r="AG2171">
        <v>3</v>
      </c>
      <c r="AH2171">
        <v>1</v>
      </c>
      <c r="AI2171">
        <v>187.6</v>
      </c>
      <c r="AM2171">
        <v>48308</v>
      </c>
      <c r="AS2171">
        <v>0</v>
      </c>
      <c r="AU2171" t="s">
        <v>25242</v>
      </c>
      <c r="AV2171" t="s">
        <v>25335</v>
      </c>
      <c r="AW2171" t="s">
        <v>11447</v>
      </c>
    </row>
    <row r="2172" spans="1:49">
      <c r="A2172" s="1">
        <f>HYPERLINK("https://lsnyc.legalserver.org/matter/dynamic-profile/view/1909487","19-1909487")</f>
        <v>0</v>
      </c>
      <c r="B2172" t="s">
        <v>95</v>
      </c>
      <c r="C2172" t="s">
        <v>488</v>
      </c>
      <c r="E2172" t="s">
        <v>1407</v>
      </c>
      <c r="F2172" t="s">
        <v>4760</v>
      </c>
      <c r="G2172" t="s">
        <v>7821</v>
      </c>
      <c r="I2172" t="s">
        <v>11383</v>
      </c>
      <c r="J2172">
        <v>10451</v>
      </c>
      <c r="K2172" t="s">
        <v>11446</v>
      </c>
      <c r="M2172" t="s">
        <v>14764</v>
      </c>
      <c r="N2172" t="s">
        <v>14778</v>
      </c>
      <c r="P2172" t="s">
        <v>14797</v>
      </c>
      <c r="Q2172" t="s">
        <v>11448</v>
      </c>
      <c r="S2172" t="s">
        <v>14827</v>
      </c>
      <c r="V2172">
        <v>0</v>
      </c>
      <c r="W2172" t="s">
        <v>14858</v>
      </c>
      <c r="X2172" t="s">
        <v>14867</v>
      </c>
      <c r="Z2172" t="s">
        <v>16745</v>
      </c>
      <c r="AB2172" t="s">
        <v>21773</v>
      </c>
      <c r="AC2172">
        <v>0</v>
      </c>
      <c r="AD2172" t="s">
        <v>24595</v>
      </c>
      <c r="AF2172">
        <v>13</v>
      </c>
      <c r="AG2172">
        <v>1</v>
      </c>
      <c r="AH2172">
        <v>0</v>
      </c>
      <c r="AI2172">
        <v>188.69</v>
      </c>
      <c r="AL2172" t="s">
        <v>5011</v>
      </c>
      <c r="AM2172">
        <v>23568</v>
      </c>
      <c r="AS2172">
        <v>0.5</v>
      </c>
      <c r="AT2172" t="s">
        <v>488</v>
      </c>
      <c r="AU2172" t="s">
        <v>95</v>
      </c>
      <c r="AV2172" t="s">
        <v>25335</v>
      </c>
      <c r="AW2172" t="s">
        <v>11447</v>
      </c>
    </row>
    <row r="2173" spans="1:49">
      <c r="A2173" s="1">
        <f>HYPERLINK("https://lsnyc.legalserver.org/matter/dynamic-profile/view/1914688","19-1914688")</f>
        <v>0</v>
      </c>
      <c r="B2173" t="s">
        <v>169</v>
      </c>
      <c r="C2173" t="s">
        <v>491</v>
      </c>
      <c r="E2173" t="s">
        <v>1241</v>
      </c>
      <c r="F2173" t="s">
        <v>4761</v>
      </c>
      <c r="G2173" t="s">
        <v>7822</v>
      </c>
      <c r="H2173" t="s">
        <v>10938</v>
      </c>
      <c r="I2173" t="s">
        <v>11384</v>
      </c>
      <c r="J2173">
        <v>10301</v>
      </c>
      <c r="K2173" t="s">
        <v>11447</v>
      </c>
      <c r="L2173" t="s">
        <v>12170</v>
      </c>
      <c r="M2173" t="s">
        <v>14744</v>
      </c>
      <c r="N2173" t="s">
        <v>14779</v>
      </c>
      <c r="P2173" t="s">
        <v>14797</v>
      </c>
      <c r="Q2173" t="s">
        <v>11448</v>
      </c>
      <c r="S2173" t="s">
        <v>14827</v>
      </c>
      <c r="V2173">
        <v>1747.09</v>
      </c>
      <c r="W2173" t="s">
        <v>14862</v>
      </c>
      <c r="X2173" t="s">
        <v>14870</v>
      </c>
      <c r="Z2173" t="s">
        <v>16746</v>
      </c>
      <c r="AB2173" t="s">
        <v>21774</v>
      </c>
      <c r="AC2173">
        <v>100</v>
      </c>
      <c r="AD2173" t="s">
        <v>24595</v>
      </c>
      <c r="AE2173" t="s">
        <v>11459</v>
      </c>
      <c r="AF2173">
        <v>18</v>
      </c>
      <c r="AG2173">
        <v>1</v>
      </c>
      <c r="AH2173">
        <v>0</v>
      </c>
      <c r="AI2173">
        <v>189.43</v>
      </c>
      <c r="AL2173" t="s">
        <v>5011</v>
      </c>
      <c r="AM2173">
        <v>23660</v>
      </c>
      <c r="AS2173">
        <v>0.5</v>
      </c>
      <c r="AT2173" t="s">
        <v>491</v>
      </c>
      <c r="AU2173" t="s">
        <v>25229</v>
      </c>
      <c r="AW2173" t="s">
        <v>11447</v>
      </c>
    </row>
    <row r="2174" spans="1:49">
      <c r="A2174" s="1">
        <f>HYPERLINK("https://lsnyc.legalserver.org/matter/dynamic-profile/view/1907530","19-1907530")</f>
        <v>0</v>
      </c>
      <c r="B2174" t="s">
        <v>67</v>
      </c>
      <c r="C2174" t="s">
        <v>465</v>
      </c>
      <c r="E2174" t="s">
        <v>1801</v>
      </c>
      <c r="F2174" t="s">
        <v>3662</v>
      </c>
      <c r="G2174" t="s">
        <v>6479</v>
      </c>
      <c r="H2174" t="s">
        <v>10598</v>
      </c>
      <c r="I2174" t="s">
        <v>11383</v>
      </c>
      <c r="J2174">
        <v>10474</v>
      </c>
      <c r="K2174" t="s">
        <v>11447</v>
      </c>
      <c r="L2174" t="s">
        <v>12025</v>
      </c>
      <c r="M2174" t="s">
        <v>14762</v>
      </c>
      <c r="N2174" t="s">
        <v>14783</v>
      </c>
      <c r="P2174" t="s">
        <v>14797</v>
      </c>
      <c r="S2174" t="s">
        <v>14827</v>
      </c>
      <c r="V2174">
        <v>0</v>
      </c>
      <c r="W2174" t="s">
        <v>14858</v>
      </c>
      <c r="Z2174" t="s">
        <v>16747</v>
      </c>
      <c r="AB2174" t="s">
        <v>21775</v>
      </c>
      <c r="AC2174">
        <v>0</v>
      </c>
      <c r="AF2174">
        <v>0</v>
      </c>
      <c r="AG2174">
        <v>4</v>
      </c>
      <c r="AH2174">
        <v>1</v>
      </c>
      <c r="AI2174">
        <v>189.59</v>
      </c>
      <c r="AL2174" t="s">
        <v>24632</v>
      </c>
      <c r="AM2174">
        <v>57200</v>
      </c>
      <c r="AS2174">
        <v>0</v>
      </c>
      <c r="AU2174" t="s">
        <v>67</v>
      </c>
      <c r="AW2174" t="s">
        <v>11447</v>
      </c>
    </row>
    <row r="2175" spans="1:49">
      <c r="A2175" s="1">
        <f>HYPERLINK("https://lsnyc.legalserver.org/matter/dynamic-profile/view/1907095","19-1907095")</f>
        <v>0</v>
      </c>
      <c r="B2175" t="s">
        <v>67</v>
      </c>
      <c r="C2175" t="s">
        <v>496</v>
      </c>
      <c r="E2175" t="s">
        <v>1801</v>
      </c>
      <c r="F2175" t="s">
        <v>3662</v>
      </c>
      <c r="G2175" t="s">
        <v>6479</v>
      </c>
      <c r="H2175" t="s">
        <v>10598</v>
      </c>
      <c r="I2175" t="s">
        <v>11383</v>
      </c>
      <c r="J2175">
        <v>10474</v>
      </c>
      <c r="K2175" t="s">
        <v>11446</v>
      </c>
      <c r="L2175" t="s">
        <v>11496</v>
      </c>
      <c r="M2175" t="s">
        <v>14746</v>
      </c>
      <c r="N2175" t="s">
        <v>14781</v>
      </c>
      <c r="P2175" t="s">
        <v>14797</v>
      </c>
      <c r="Q2175" t="s">
        <v>11446</v>
      </c>
      <c r="S2175" t="s">
        <v>14827</v>
      </c>
      <c r="V2175">
        <v>1750</v>
      </c>
      <c r="W2175" t="s">
        <v>14858</v>
      </c>
      <c r="X2175" t="s">
        <v>14864</v>
      </c>
      <c r="Z2175" t="s">
        <v>16747</v>
      </c>
      <c r="AB2175" t="s">
        <v>21775</v>
      </c>
      <c r="AC2175">
        <v>45</v>
      </c>
      <c r="AD2175" t="s">
        <v>24595</v>
      </c>
      <c r="AE2175" t="s">
        <v>11459</v>
      </c>
      <c r="AF2175">
        <v>5</v>
      </c>
      <c r="AG2175">
        <v>4</v>
      </c>
      <c r="AH2175">
        <v>1</v>
      </c>
      <c r="AI2175">
        <v>189.59</v>
      </c>
      <c r="AL2175" t="s">
        <v>24632</v>
      </c>
      <c r="AM2175">
        <v>57200</v>
      </c>
      <c r="AS2175">
        <v>0</v>
      </c>
      <c r="AU2175" t="s">
        <v>237</v>
      </c>
      <c r="AV2175" t="s">
        <v>25335</v>
      </c>
      <c r="AW2175" t="s">
        <v>11447</v>
      </c>
    </row>
    <row r="2176" spans="1:49">
      <c r="A2176" s="1">
        <f>HYPERLINK("https://lsnyc.legalserver.org/matter/dynamic-profile/view/1914138","19-1914138")</f>
        <v>0</v>
      </c>
      <c r="B2176" t="s">
        <v>67</v>
      </c>
      <c r="C2176" t="s">
        <v>580</v>
      </c>
      <c r="E2176" t="s">
        <v>2216</v>
      </c>
      <c r="F2176" t="s">
        <v>4693</v>
      </c>
      <c r="G2176" t="s">
        <v>7596</v>
      </c>
      <c r="H2176" t="s">
        <v>10522</v>
      </c>
      <c r="I2176" t="s">
        <v>11383</v>
      </c>
      <c r="J2176">
        <v>10456</v>
      </c>
      <c r="K2176" t="s">
        <v>11447</v>
      </c>
      <c r="M2176" t="s">
        <v>14762</v>
      </c>
      <c r="N2176" t="s">
        <v>14783</v>
      </c>
      <c r="P2176" t="s">
        <v>14797</v>
      </c>
      <c r="Q2176" t="s">
        <v>11446</v>
      </c>
      <c r="S2176" t="s">
        <v>14827</v>
      </c>
      <c r="V2176">
        <v>1206</v>
      </c>
      <c r="W2176" t="s">
        <v>14858</v>
      </c>
      <c r="X2176" t="s">
        <v>14864</v>
      </c>
      <c r="Z2176" t="s">
        <v>16748</v>
      </c>
      <c r="AB2176" t="s">
        <v>21776</v>
      </c>
      <c r="AC2176">
        <v>30</v>
      </c>
      <c r="AD2176" t="s">
        <v>24595</v>
      </c>
      <c r="AF2176">
        <v>19</v>
      </c>
      <c r="AG2176">
        <v>2</v>
      </c>
      <c r="AH2176">
        <v>2</v>
      </c>
      <c r="AI2176">
        <v>191.84</v>
      </c>
      <c r="AL2176" t="s">
        <v>24646</v>
      </c>
      <c r="AM2176">
        <v>49400</v>
      </c>
      <c r="AS2176">
        <v>0</v>
      </c>
      <c r="AU2176" t="s">
        <v>67</v>
      </c>
      <c r="AW2176" t="s">
        <v>11447</v>
      </c>
    </row>
    <row r="2177" spans="1:49">
      <c r="A2177" s="1">
        <f>HYPERLINK("https://lsnyc.legalserver.org/matter/dynamic-profile/view/1912780","19-1912780")</f>
        <v>0</v>
      </c>
      <c r="B2177" t="s">
        <v>67</v>
      </c>
      <c r="C2177" t="s">
        <v>470</v>
      </c>
      <c r="E2177" t="s">
        <v>2216</v>
      </c>
      <c r="F2177" t="s">
        <v>4693</v>
      </c>
      <c r="G2177" t="s">
        <v>7596</v>
      </c>
      <c r="H2177" t="s">
        <v>10522</v>
      </c>
      <c r="I2177" t="s">
        <v>11383</v>
      </c>
      <c r="J2177">
        <v>10456</v>
      </c>
      <c r="K2177" t="s">
        <v>11446</v>
      </c>
      <c r="L2177" t="s">
        <v>12028</v>
      </c>
      <c r="M2177" t="s">
        <v>14746</v>
      </c>
      <c r="N2177" t="s">
        <v>14781</v>
      </c>
      <c r="P2177" t="s">
        <v>14797</v>
      </c>
      <c r="Q2177" t="s">
        <v>11446</v>
      </c>
      <c r="S2177" t="s">
        <v>14827</v>
      </c>
      <c r="V2177">
        <v>1206</v>
      </c>
      <c r="W2177" t="s">
        <v>14858</v>
      </c>
      <c r="X2177" t="s">
        <v>14864</v>
      </c>
      <c r="Z2177" t="s">
        <v>16748</v>
      </c>
      <c r="AB2177" t="s">
        <v>21776</v>
      </c>
      <c r="AC2177">
        <v>30</v>
      </c>
      <c r="AD2177" t="s">
        <v>24595</v>
      </c>
      <c r="AE2177" t="s">
        <v>11459</v>
      </c>
      <c r="AF2177">
        <v>19</v>
      </c>
      <c r="AG2177">
        <v>2</v>
      </c>
      <c r="AH2177">
        <v>2</v>
      </c>
      <c r="AI2177">
        <v>191.84</v>
      </c>
      <c r="AL2177" t="s">
        <v>24646</v>
      </c>
      <c r="AM2177">
        <v>49400</v>
      </c>
      <c r="AS2177">
        <v>0</v>
      </c>
      <c r="AU2177" t="s">
        <v>57</v>
      </c>
      <c r="AV2177" t="s">
        <v>25335</v>
      </c>
      <c r="AW2177" t="s">
        <v>11447</v>
      </c>
    </row>
    <row r="2178" spans="1:49">
      <c r="A2178" s="1">
        <f>HYPERLINK("https://lsnyc.legalserver.org/matter/dynamic-profile/view/1907756","19-1907756")</f>
        <v>0</v>
      </c>
      <c r="B2178" t="s">
        <v>109</v>
      </c>
      <c r="C2178" t="s">
        <v>377</v>
      </c>
      <c r="E2178" t="s">
        <v>2217</v>
      </c>
      <c r="F2178" t="s">
        <v>4762</v>
      </c>
      <c r="G2178" t="s">
        <v>7823</v>
      </c>
      <c r="H2178" t="s">
        <v>10939</v>
      </c>
      <c r="I2178" t="s">
        <v>11385</v>
      </c>
      <c r="J2178">
        <v>11205</v>
      </c>
      <c r="K2178" t="s">
        <v>11447</v>
      </c>
      <c r="M2178" t="s">
        <v>14746</v>
      </c>
      <c r="N2178" t="s">
        <v>14781</v>
      </c>
      <c r="P2178" t="s">
        <v>14797</v>
      </c>
      <c r="Q2178" t="s">
        <v>11448</v>
      </c>
      <c r="S2178" t="s">
        <v>14827</v>
      </c>
      <c r="V2178">
        <v>0</v>
      </c>
      <c r="W2178" t="s">
        <v>14859</v>
      </c>
      <c r="Z2178" t="s">
        <v>16749</v>
      </c>
      <c r="AB2178" t="s">
        <v>21777</v>
      </c>
      <c r="AC2178">
        <v>104</v>
      </c>
      <c r="AF2178">
        <v>0</v>
      </c>
      <c r="AG2178">
        <v>1</v>
      </c>
      <c r="AH2178">
        <v>1</v>
      </c>
      <c r="AI2178">
        <v>192.03</v>
      </c>
      <c r="AL2178" t="s">
        <v>5011</v>
      </c>
      <c r="AM2178">
        <v>32472</v>
      </c>
      <c r="AN2178" t="s">
        <v>24804</v>
      </c>
      <c r="AS2178">
        <v>0</v>
      </c>
      <c r="AU2178" t="s">
        <v>75</v>
      </c>
      <c r="AW2178" t="s">
        <v>11447</v>
      </c>
    </row>
    <row r="2179" spans="1:49">
      <c r="A2179" s="1">
        <f>HYPERLINK("https://lsnyc.legalserver.org/matter/dynamic-profile/view/1911517","19-1911517")</f>
        <v>0</v>
      </c>
      <c r="B2179" t="s">
        <v>229</v>
      </c>
      <c r="C2179" t="s">
        <v>486</v>
      </c>
      <c r="E2179" t="s">
        <v>1064</v>
      </c>
      <c r="F2179" t="s">
        <v>4763</v>
      </c>
      <c r="G2179" t="s">
        <v>7824</v>
      </c>
      <c r="H2179" t="s">
        <v>10527</v>
      </c>
      <c r="I2179" t="s">
        <v>11391</v>
      </c>
      <c r="J2179">
        <v>11691</v>
      </c>
      <c r="K2179" t="s">
        <v>11446</v>
      </c>
      <c r="L2179" t="s">
        <v>12171</v>
      </c>
      <c r="M2179" t="s">
        <v>14744</v>
      </c>
      <c r="N2179" t="s">
        <v>14781</v>
      </c>
      <c r="P2179" t="s">
        <v>14797</v>
      </c>
      <c r="Q2179" t="s">
        <v>11448</v>
      </c>
      <c r="S2179" t="s">
        <v>14827</v>
      </c>
      <c r="T2179" t="s">
        <v>14832</v>
      </c>
      <c r="V2179">
        <v>1556</v>
      </c>
      <c r="W2179" t="s">
        <v>14861</v>
      </c>
      <c r="X2179" t="s">
        <v>14865</v>
      </c>
      <c r="Z2179" t="s">
        <v>16750</v>
      </c>
      <c r="AB2179" t="s">
        <v>21778</v>
      </c>
      <c r="AC2179">
        <v>24</v>
      </c>
      <c r="AE2179" t="s">
        <v>11459</v>
      </c>
      <c r="AF2179">
        <v>6</v>
      </c>
      <c r="AG2179">
        <v>1</v>
      </c>
      <c r="AH2179">
        <v>0</v>
      </c>
      <c r="AI2179">
        <v>192.15</v>
      </c>
      <c r="AL2179" t="s">
        <v>5011</v>
      </c>
      <c r="AM2179">
        <v>24000</v>
      </c>
      <c r="AS2179">
        <v>12.08</v>
      </c>
      <c r="AT2179" t="s">
        <v>654</v>
      </c>
      <c r="AU2179" t="s">
        <v>25233</v>
      </c>
      <c r="AV2179" t="s">
        <v>25335</v>
      </c>
      <c r="AW2179" t="s">
        <v>11447</v>
      </c>
    </row>
    <row r="2180" spans="1:49">
      <c r="A2180" s="1">
        <f>HYPERLINK("https://lsnyc.legalserver.org/matter/dynamic-profile/view/1914338","19-1914338")</f>
        <v>0</v>
      </c>
      <c r="B2180" t="s">
        <v>170</v>
      </c>
      <c r="C2180" t="s">
        <v>506</v>
      </c>
      <c r="E2180" t="s">
        <v>2218</v>
      </c>
      <c r="F2180" t="s">
        <v>4764</v>
      </c>
      <c r="G2180" t="s">
        <v>7825</v>
      </c>
      <c r="H2180" t="s">
        <v>10506</v>
      </c>
      <c r="I2180" t="s">
        <v>11386</v>
      </c>
      <c r="J2180">
        <v>10035</v>
      </c>
      <c r="K2180" t="s">
        <v>11447</v>
      </c>
      <c r="M2180" t="s">
        <v>11601</v>
      </c>
      <c r="N2180" t="s">
        <v>14782</v>
      </c>
      <c r="P2180" t="s">
        <v>14797</v>
      </c>
      <c r="Q2180" t="s">
        <v>11448</v>
      </c>
      <c r="S2180" t="s">
        <v>14827</v>
      </c>
      <c r="T2180" t="s">
        <v>14832</v>
      </c>
      <c r="V2180">
        <v>947</v>
      </c>
      <c r="W2180" t="s">
        <v>14860</v>
      </c>
      <c r="X2180" t="s">
        <v>14879</v>
      </c>
      <c r="Z2180" t="s">
        <v>16751</v>
      </c>
      <c r="AB2180" t="s">
        <v>21779</v>
      </c>
      <c r="AC2180">
        <v>7</v>
      </c>
      <c r="AD2180" t="s">
        <v>24599</v>
      </c>
      <c r="AF2180">
        <v>5</v>
      </c>
      <c r="AG2180">
        <v>1</v>
      </c>
      <c r="AH2180">
        <v>0</v>
      </c>
      <c r="AI2180">
        <v>192.15</v>
      </c>
      <c r="AL2180" t="s">
        <v>5011</v>
      </c>
      <c r="AM2180">
        <v>24000</v>
      </c>
      <c r="AS2180">
        <v>0.95</v>
      </c>
      <c r="AT2180" t="s">
        <v>491</v>
      </c>
      <c r="AU2180" t="s">
        <v>25249</v>
      </c>
      <c r="AW2180" t="s">
        <v>11447</v>
      </c>
    </row>
    <row r="2181" spans="1:49">
      <c r="A2181" s="1">
        <f>HYPERLINK("https://lsnyc.legalserver.org/matter/dynamic-profile/view/0812242","16-0812242")</f>
        <v>0</v>
      </c>
      <c r="B2181" t="s">
        <v>138</v>
      </c>
      <c r="C2181" t="s">
        <v>712</v>
      </c>
      <c r="E2181" t="s">
        <v>2219</v>
      </c>
      <c r="F2181" t="s">
        <v>4018</v>
      </c>
      <c r="G2181" t="s">
        <v>7826</v>
      </c>
      <c r="H2181" t="s">
        <v>10460</v>
      </c>
      <c r="I2181" t="s">
        <v>11389</v>
      </c>
      <c r="J2181">
        <v>11355</v>
      </c>
      <c r="K2181" t="s">
        <v>11447</v>
      </c>
      <c r="M2181" t="s">
        <v>14746</v>
      </c>
      <c r="N2181" t="s">
        <v>14778</v>
      </c>
      <c r="P2181" t="s">
        <v>14797</v>
      </c>
      <c r="Q2181" t="s">
        <v>11448</v>
      </c>
      <c r="R2181" t="s">
        <v>14809</v>
      </c>
      <c r="S2181" t="s">
        <v>14827</v>
      </c>
      <c r="V2181">
        <v>1266.69</v>
      </c>
      <c r="W2181" t="s">
        <v>14861</v>
      </c>
      <c r="X2181" t="s">
        <v>14864</v>
      </c>
      <c r="Z2181" t="s">
        <v>16752</v>
      </c>
      <c r="AB2181" t="s">
        <v>21780</v>
      </c>
      <c r="AC2181">
        <v>84</v>
      </c>
      <c r="AD2181" t="s">
        <v>24595</v>
      </c>
      <c r="AE2181" t="s">
        <v>11459</v>
      </c>
      <c r="AF2181">
        <v>30</v>
      </c>
      <c r="AG2181">
        <v>1</v>
      </c>
      <c r="AH2181">
        <v>0</v>
      </c>
      <c r="AI2181">
        <v>196.77</v>
      </c>
      <c r="AL2181" t="s">
        <v>5011</v>
      </c>
      <c r="AM2181">
        <v>23376</v>
      </c>
      <c r="AS2181">
        <v>2.55</v>
      </c>
      <c r="AT2181" t="s">
        <v>488</v>
      </c>
      <c r="AU2181" t="s">
        <v>25241</v>
      </c>
      <c r="AW2181" t="s">
        <v>11447</v>
      </c>
    </row>
    <row r="2182" spans="1:49">
      <c r="A2182" s="1">
        <f>HYPERLINK("https://lsnyc.legalserver.org/matter/dynamic-profile/view/1912299","19-1912299")</f>
        <v>0</v>
      </c>
      <c r="B2182" t="s">
        <v>67</v>
      </c>
      <c r="C2182" t="s">
        <v>473</v>
      </c>
      <c r="E2182" t="s">
        <v>2147</v>
      </c>
      <c r="F2182" t="s">
        <v>4693</v>
      </c>
      <c r="G2182" t="s">
        <v>7596</v>
      </c>
      <c r="H2182" t="s">
        <v>10527</v>
      </c>
      <c r="I2182" t="s">
        <v>11383</v>
      </c>
      <c r="J2182">
        <v>10456</v>
      </c>
      <c r="K2182" t="s">
        <v>11446</v>
      </c>
      <c r="L2182" t="s">
        <v>12028</v>
      </c>
      <c r="M2182" t="s">
        <v>14746</v>
      </c>
      <c r="N2182" t="s">
        <v>14781</v>
      </c>
      <c r="P2182" t="s">
        <v>14797</v>
      </c>
      <c r="Q2182" t="s">
        <v>11446</v>
      </c>
      <c r="S2182" t="s">
        <v>14827</v>
      </c>
      <c r="V2182">
        <v>1235</v>
      </c>
      <c r="W2182" t="s">
        <v>14858</v>
      </c>
      <c r="X2182" t="s">
        <v>14864</v>
      </c>
      <c r="Z2182" t="s">
        <v>16628</v>
      </c>
      <c r="AB2182" t="s">
        <v>21665</v>
      </c>
      <c r="AC2182">
        <v>30</v>
      </c>
      <c r="AD2182" t="s">
        <v>24599</v>
      </c>
      <c r="AE2182" t="s">
        <v>11459</v>
      </c>
      <c r="AF2182">
        <v>19</v>
      </c>
      <c r="AG2182">
        <v>4</v>
      </c>
      <c r="AH2182">
        <v>3</v>
      </c>
      <c r="AI2182">
        <v>197.39</v>
      </c>
      <c r="AM2182">
        <v>77000</v>
      </c>
      <c r="AS2182">
        <v>0</v>
      </c>
      <c r="AU2182" t="s">
        <v>25242</v>
      </c>
      <c r="AV2182" t="s">
        <v>25335</v>
      </c>
      <c r="AW2182" t="s">
        <v>11447</v>
      </c>
    </row>
    <row r="2183" spans="1:49">
      <c r="A2183" s="1">
        <f>HYPERLINK("https://lsnyc.legalserver.org/matter/dynamic-profile/view/1904585","19-1904585")</f>
        <v>0</v>
      </c>
      <c r="B2183" t="s">
        <v>253</v>
      </c>
      <c r="C2183" t="s">
        <v>493</v>
      </c>
      <c r="E2183" t="s">
        <v>1420</v>
      </c>
      <c r="F2183" t="s">
        <v>4765</v>
      </c>
      <c r="G2183" t="s">
        <v>7827</v>
      </c>
      <c r="H2183" t="s">
        <v>10855</v>
      </c>
      <c r="I2183" t="s">
        <v>11386</v>
      </c>
      <c r="J2183">
        <v>10002</v>
      </c>
      <c r="K2183" t="s">
        <v>11446</v>
      </c>
      <c r="M2183" t="s">
        <v>14747</v>
      </c>
      <c r="N2183" t="s">
        <v>14779</v>
      </c>
      <c r="P2183" t="s">
        <v>14797</v>
      </c>
      <c r="S2183" t="s">
        <v>14827</v>
      </c>
      <c r="V2183">
        <v>1035.79</v>
      </c>
      <c r="W2183" t="s">
        <v>14860</v>
      </c>
      <c r="X2183" t="s">
        <v>14876</v>
      </c>
      <c r="Z2183" t="s">
        <v>16753</v>
      </c>
      <c r="AB2183" t="s">
        <v>21781</v>
      </c>
      <c r="AC2183">
        <v>0</v>
      </c>
      <c r="AD2183" t="s">
        <v>11479</v>
      </c>
      <c r="AF2183">
        <v>3</v>
      </c>
      <c r="AG2183">
        <v>1</v>
      </c>
      <c r="AH2183">
        <v>1</v>
      </c>
      <c r="AI2183">
        <v>197.68</v>
      </c>
      <c r="AL2183" t="s">
        <v>24632</v>
      </c>
      <c r="AM2183">
        <v>33428</v>
      </c>
      <c r="AS2183">
        <v>2.35</v>
      </c>
      <c r="AT2183" t="s">
        <v>466</v>
      </c>
      <c r="AU2183" t="s">
        <v>153</v>
      </c>
      <c r="AV2183" t="s">
        <v>25335</v>
      </c>
      <c r="AW2183" t="s">
        <v>11447</v>
      </c>
    </row>
    <row r="2184" spans="1:49">
      <c r="A2184" s="1">
        <f>HYPERLINK("https://lsnyc.legalserver.org/matter/dynamic-profile/view/1910075","19-1910075")</f>
        <v>0</v>
      </c>
      <c r="B2184" t="s">
        <v>51</v>
      </c>
      <c r="C2184" t="s">
        <v>471</v>
      </c>
      <c r="E2184" t="s">
        <v>1032</v>
      </c>
      <c r="F2184" t="s">
        <v>4120</v>
      </c>
      <c r="G2184" t="s">
        <v>7055</v>
      </c>
      <c r="I2184" t="s">
        <v>11383</v>
      </c>
      <c r="J2184">
        <v>10456</v>
      </c>
      <c r="K2184" t="s">
        <v>11446</v>
      </c>
      <c r="M2184" t="s">
        <v>11601</v>
      </c>
      <c r="N2184" t="s">
        <v>14778</v>
      </c>
      <c r="P2184" t="s">
        <v>14797</v>
      </c>
      <c r="Q2184" t="s">
        <v>11448</v>
      </c>
      <c r="S2184" t="s">
        <v>14827</v>
      </c>
      <c r="V2184">
        <v>0</v>
      </c>
      <c r="W2184" t="s">
        <v>14858</v>
      </c>
      <c r="X2184" t="s">
        <v>14864</v>
      </c>
      <c r="Z2184" t="s">
        <v>15686</v>
      </c>
      <c r="AB2184" t="s">
        <v>20788</v>
      </c>
      <c r="AC2184">
        <v>0</v>
      </c>
      <c r="AF2184">
        <v>0</v>
      </c>
      <c r="AG2184">
        <v>1</v>
      </c>
      <c r="AH2184">
        <v>0</v>
      </c>
      <c r="AI2184">
        <v>199.36</v>
      </c>
      <c r="AM2184">
        <v>24900</v>
      </c>
      <c r="AS2184">
        <v>0</v>
      </c>
      <c r="AU2184" t="s">
        <v>51</v>
      </c>
      <c r="AV2184" t="s">
        <v>25335</v>
      </c>
      <c r="AW2184" t="s">
        <v>11447</v>
      </c>
    </row>
    <row r="2185" spans="1:49">
      <c r="A2185" s="1">
        <f>HYPERLINK("https://lsnyc.legalserver.org/matter/dynamic-profile/view/1907616","19-1907616")</f>
        <v>0</v>
      </c>
      <c r="B2185" t="s">
        <v>67</v>
      </c>
      <c r="C2185" t="s">
        <v>630</v>
      </c>
      <c r="E2185" t="s">
        <v>2220</v>
      </c>
      <c r="F2185" t="s">
        <v>2002</v>
      </c>
      <c r="G2185" t="s">
        <v>6479</v>
      </c>
      <c r="H2185" t="s">
        <v>10527</v>
      </c>
      <c r="I2185" t="s">
        <v>11383</v>
      </c>
      <c r="J2185">
        <v>10474</v>
      </c>
      <c r="K2185" t="s">
        <v>11446</v>
      </c>
      <c r="L2185" t="s">
        <v>12025</v>
      </c>
      <c r="M2185" t="s">
        <v>14762</v>
      </c>
      <c r="N2185" t="s">
        <v>14783</v>
      </c>
      <c r="P2185" t="s">
        <v>14797</v>
      </c>
      <c r="Q2185" t="s">
        <v>11446</v>
      </c>
      <c r="S2185" t="s">
        <v>14827</v>
      </c>
      <c r="V2185">
        <v>1650</v>
      </c>
      <c r="W2185" t="s">
        <v>14858</v>
      </c>
      <c r="X2185" t="s">
        <v>14864</v>
      </c>
      <c r="Z2185" t="s">
        <v>16754</v>
      </c>
      <c r="AB2185" t="s">
        <v>21782</v>
      </c>
      <c r="AC2185">
        <v>40</v>
      </c>
      <c r="AD2185" t="s">
        <v>24595</v>
      </c>
      <c r="AE2185" t="s">
        <v>11459</v>
      </c>
      <c r="AF2185">
        <v>3</v>
      </c>
      <c r="AG2185">
        <v>1</v>
      </c>
      <c r="AH2185">
        <v>2</v>
      </c>
      <c r="AI2185">
        <v>199.66</v>
      </c>
      <c r="AL2185" t="s">
        <v>5011</v>
      </c>
      <c r="AM2185">
        <v>42588</v>
      </c>
      <c r="AS2185">
        <v>0</v>
      </c>
      <c r="AU2185" t="s">
        <v>57</v>
      </c>
      <c r="AV2185" t="s">
        <v>25335</v>
      </c>
      <c r="AW2185" t="s">
        <v>11447</v>
      </c>
    </row>
    <row r="2186" spans="1:49">
      <c r="A2186" s="1">
        <f>HYPERLINK("https://lsnyc.legalserver.org/matter/dynamic-profile/view/1907608","19-1907608")</f>
        <v>0</v>
      </c>
      <c r="B2186" t="s">
        <v>67</v>
      </c>
      <c r="C2186" t="s">
        <v>465</v>
      </c>
      <c r="E2186" t="s">
        <v>2220</v>
      </c>
      <c r="F2186" t="s">
        <v>2002</v>
      </c>
      <c r="G2186" t="s">
        <v>6479</v>
      </c>
      <c r="H2186" t="s">
        <v>10527</v>
      </c>
      <c r="I2186" t="s">
        <v>11383</v>
      </c>
      <c r="J2186">
        <v>10474</v>
      </c>
      <c r="K2186" t="s">
        <v>11446</v>
      </c>
      <c r="M2186" t="s">
        <v>14746</v>
      </c>
      <c r="N2186" t="s">
        <v>14781</v>
      </c>
      <c r="P2186" t="s">
        <v>14797</v>
      </c>
      <c r="Q2186" t="s">
        <v>11446</v>
      </c>
      <c r="S2186" t="s">
        <v>14827</v>
      </c>
      <c r="V2186">
        <v>1650</v>
      </c>
      <c r="W2186" t="s">
        <v>14858</v>
      </c>
      <c r="Z2186" t="s">
        <v>16754</v>
      </c>
      <c r="AB2186" t="s">
        <v>21782</v>
      </c>
      <c r="AC2186">
        <v>40</v>
      </c>
      <c r="AE2186" t="s">
        <v>11459</v>
      </c>
      <c r="AF2186">
        <v>3</v>
      </c>
      <c r="AG2186">
        <v>1</v>
      </c>
      <c r="AH2186">
        <v>2</v>
      </c>
      <c r="AI2186">
        <v>199.66</v>
      </c>
      <c r="AL2186" t="s">
        <v>5011</v>
      </c>
      <c r="AM2186">
        <v>42588</v>
      </c>
      <c r="AS2186">
        <v>0</v>
      </c>
      <c r="AU2186" t="s">
        <v>57</v>
      </c>
      <c r="AV2186" t="s">
        <v>25335</v>
      </c>
      <c r="AW2186" t="s">
        <v>11447</v>
      </c>
    </row>
    <row r="2187" spans="1:49">
      <c r="A2187" s="1">
        <f>HYPERLINK("https://lsnyc.legalserver.org/matter/dynamic-profile/view/1907325","19-1907325")</f>
        <v>0</v>
      </c>
      <c r="B2187" t="s">
        <v>100</v>
      </c>
      <c r="C2187" t="s">
        <v>362</v>
      </c>
      <c r="E2187" t="s">
        <v>2221</v>
      </c>
      <c r="F2187" t="s">
        <v>4766</v>
      </c>
      <c r="G2187" t="s">
        <v>7705</v>
      </c>
      <c r="H2187">
        <v>1</v>
      </c>
      <c r="I2187" t="s">
        <v>11383</v>
      </c>
      <c r="J2187">
        <v>10451</v>
      </c>
      <c r="K2187" t="s">
        <v>11446</v>
      </c>
      <c r="N2187" t="s">
        <v>14778</v>
      </c>
      <c r="P2187" t="s">
        <v>14797</v>
      </c>
      <c r="Q2187" t="s">
        <v>11446</v>
      </c>
      <c r="S2187" t="s">
        <v>14827</v>
      </c>
      <c r="T2187" t="s">
        <v>14832</v>
      </c>
      <c r="V2187">
        <v>1098</v>
      </c>
      <c r="W2187" t="s">
        <v>14858</v>
      </c>
      <c r="X2187" t="s">
        <v>14864</v>
      </c>
      <c r="Z2187" t="s">
        <v>16755</v>
      </c>
      <c r="AB2187" t="s">
        <v>21783</v>
      </c>
      <c r="AC2187">
        <v>14</v>
      </c>
      <c r="AD2187" t="s">
        <v>24595</v>
      </c>
      <c r="AE2187" t="s">
        <v>11459</v>
      </c>
      <c r="AF2187">
        <v>7</v>
      </c>
      <c r="AG2187">
        <v>1</v>
      </c>
      <c r="AH2187">
        <v>0</v>
      </c>
      <c r="AI2187">
        <v>200.16</v>
      </c>
      <c r="AL2187" t="s">
        <v>5011</v>
      </c>
      <c r="AM2187">
        <v>25000</v>
      </c>
      <c r="AS2187">
        <v>0</v>
      </c>
      <c r="AU2187" t="s">
        <v>237</v>
      </c>
      <c r="AV2187" t="s">
        <v>25335</v>
      </c>
      <c r="AW2187" t="s">
        <v>11447</v>
      </c>
    </row>
    <row r="2188" spans="1:49">
      <c r="A2188" s="1">
        <f>HYPERLINK("https://lsnyc.legalserver.org/matter/dynamic-profile/view/1860718","18-1860718")</f>
        <v>0</v>
      </c>
      <c r="B2188" t="s">
        <v>198</v>
      </c>
      <c r="C2188" t="s">
        <v>713</v>
      </c>
      <c r="E2188" t="s">
        <v>1228</v>
      </c>
      <c r="F2188" t="s">
        <v>4767</v>
      </c>
      <c r="G2188" t="s">
        <v>7828</v>
      </c>
      <c r="H2188" t="s">
        <v>10940</v>
      </c>
      <c r="I2188" t="s">
        <v>11385</v>
      </c>
      <c r="J2188">
        <v>11235</v>
      </c>
      <c r="K2188" t="s">
        <v>11448</v>
      </c>
      <c r="L2188" t="s">
        <v>12172</v>
      </c>
      <c r="M2188" t="s">
        <v>14744</v>
      </c>
      <c r="N2188" t="s">
        <v>14781</v>
      </c>
      <c r="P2188" t="s">
        <v>14797</v>
      </c>
      <c r="Q2188" t="s">
        <v>11448</v>
      </c>
      <c r="S2188" t="s">
        <v>14827</v>
      </c>
      <c r="V2188">
        <v>1500</v>
      </c>
      <c r="W2188" t="s">
        <v>14859</v>
      </c>
      <c r="X2188" t="s">
        <v>14868</v>
      </c>
      <c r="Z2188" t="s">
        <v>16756</v>
      </c>
      <c r="AB2188" t="s">
        <v>21784</v>
      </c>
      <c r="AC2188">
        <v>5</v>
      </c>
      <c r="AD2188" t="s">
        <v>24595</v>
      </c>
      <c r="AE2188" t="s">
        <v>11459</v>
      </c>
      <c r="AF2188">
        <v>2</v>
      </c>
      <c r="AG2188">
        <v>2</v>
      </c>
      <c r="AH2188">
        <v>0</v>
      </c>
      <c r="AI2188">
        <v>200.49</v>
      </c>
      <c r="AL2188" t="s">
        <v>5011</v>
      </c>
      <c r="AM2188">
        <v>33000</v>
      </c>
      <c r="AS2188">
        <v>22.7</v>
      </c>
      <c r="AT2188" t="s">
        <v>380</v>
      </c>
      <c r="AU2188" t="s">
        <v>263</v>
      </c>
      <c r="AW2188" t="s">
        <v>11447</v>
      </c>
    </row>
    <row r="2189" spans="1:49">
      <c r="A2189" s="1">
        <f>HYPERLINK("https://lsnyc.legalserver.org/matter/dynamic-profile/view/1905355","19-1905355")</f>
        <v>0</v>
      </c>
      <c r="B2189" t="s">
        <v>166</v>
      </c>
      <c r="C2189" t="s">
        <v>626</v>
      </c>
      <c r="E2189" t="s">
        <v>2122</v>
      </c>
      <c r="F2189" t="s">
        <v>4635</v>
      </c>
      <c r="G2189" t="s">
        <v>7052</v>
      </c>
      <c r="H2189" t="s">
        <v>10941</v>
      </c>
      <c r="I2189" t="s">
        <v>11384</v>
      </c>
      <c r="J2189">
        <v>10304</v>
      </c>
      <c r="K2189" t="s">
        <v>11446</v>
      </c>
      <c r="L2189" t="s">
        <v>12173</v>
      </c>
      <c r="M2189" t="s">
        <v>14744</v>
      </c>
      <c r="N2189" t="s">
        <v>14781</v>
      </c>
      <c r="P2189" t="s">
        <v>14797</v>
      </c>
      <c r="Q2189" t="s">
        <v>11448</v>
      </c>
      <c r="S2189" t="s">
        <v>14827</v>
      </c>
      <c r="T2189" t="s">
        <v>14832</v>
      </c>
      <c r="V2189">
        <v>941</v>
      </c>
      <c r="W2189" t="s">
        <v>14862</v>
      </c>
      <c r="X2189" t="s">
        <v>14863</v>
      </c>
      <c r="Z2189" t="s">
        <v>16757</v>
      </c>
      <c r="AB2189" t="s">
        <v>21785</v>
      </c>
      <c r="AC2189">
        <v>0</v>
      </c>
      <c r="AD2189" t="s">
        <v>24596</v>
      </c>
      <c r="AE2189" t="s">
        <v>11459</v>
      </c>
      <c r="AF2189">
        <v>10</v>
      </c>
      <c r="AG2189">
        <v>2</v>
      </c>
      <c r="AH2189">
        <v>2</v>
      </c>
      <c r="AI2189">
        <v>201.94</v>
      </c>
      <c r="AL2189" t="s">
        <v>5011</v>
      </c>
      <c r="AM2189">
        <v>52000</v>
      </c>
      <c r="AO2189" t="s">
        <v>24930</v>
      </c>
      <c r="AP2189" t="s">
        <v>24956</v>
      </c>
      <c r="AQ2189" t="s">
        <v>24986</v>
      </c>
      <c r="AR2189" t="s">
        <v>25040</v>
      </c>
      <c r="AS2189">
        <v>12.45</v>
      </c>
      <c r="AT2189" t="s">
        <v>516</v>
      </c>
      <c r="AU2189" t="s">
        <v>25270</v>
      </c>
      <c r="AV2189" t="s">
        <v>25335</v>
      </c>
      <c r="AW2189" t="s">
        <v>11447</v>
      </c>
    </row>
    <row r="2190" spans="1:49">
      <c r="A2190" s="1">
        <f>HYPERLINK("https://lsnyc.legalserver.org/matter/dynamic-profile/view/1912395","19-1912395")</f>
        <v>0</v>
      </c>
      <c r="B2190" t="s">
        <v>138</v>
      </c>
      <c r="C2190" t="s">
        <v>489</v>
      </c>
      <c r="E2190" t="s">
        <v>1372</v>
      </c>
      <c r="F2190" t="s">
        <v>4768</v>
      </c>
      <c r="G2190" t="s">
        <v>7829</v>
      </c>
      <c r="H2190" t="s">
        <v>10731</v>
      </c>
      <c r="I2190" t="s">
        <v>11388</v>
      </c>
      <c r="J2190">
        <v>11385</v>
      </c>
      <c r="K2190" t="s">
        <v>11448</v>
      </c>
      <c r="M2190" t="s">
        <v>14746</v>
      </c>
      <c r="P2190" t="s">
        <v>14797</v>
      </c>
      <c r="Q2190" t="s">
        <v>11448</v>
      </c>
      <c r="S2190" t="s">
        <v>14827</v>
      </c>
      <c r="V2190">
        <v>756.72</v>
      </c>
      <c r="W2190" t="s">
        <v>14861</v>
      </c>
      <c r="X2190" t="s">
        <v>14871</v>
      </c>
      <c r="Z2190" t="s">
        <v>16758</v>
      </c>
      <c r="AB2190" t="s">
        <v>21786</v>
      </c>
      <c r="AC2190">
        <v>0</v>
      </c>
      <c r="AD2190" t="s">
        <v>24595</v>
      </c>
      <c r="AE2190" t="s">
        <v>11459</v>
      </c>
      <c r="AF2190">
        <v>20</v>
      </c>
      <c r="AG2190">
        <v>1</v>
      </c>
      <c r="AH2190">
        <v>0</v>
      </c>
      <c r="AI2190">
        <v>204</v>
      </c>
      <c r="AL2190" t="s">
        <v>24632</v>
      </c>
      <c r="AM2190">
        <v>25480</v>
      </c>
      <c r="AS2190">
        <v>5.33</v>
      </c>
      <c r="AT2190" t="s">
        <v>574</v>
      </c>
      <c r="AU2190" t="s">
        <v>25233</v>
      </c>
      <c r="AV2190" t="s">
        <v>11459</v>
      </c>
      <c r="AW2190" t="s">
        <v>11447</v>
      </c>
    </row>
    <row r="2191" spans="1:49">
      <c r="A2191" s="1">
        <f>HYPERLINK("https://lsnyc.legalserver.org/matter/dynamic-profile/view/1861611","18-1861611")</f>
        <v>0</v>
      </c>
      <c r="B2191" t="s">
        <v>55</v>
      </c>
      <c r="C2191" t="s">
        <v>714</v>
      </c>
      <c r="E2191" t="s">
        <v>1025</v>
      </c>
      <c r="F2191" t="s">
        <v>4769</v>
      </c>
      <c r="G2191" t="s">
        <v>7409</v>
      </c>
      <c r="H2191" t="s">
        <v>10942</v>
      </c>
      <c r="I2191" t="s">
        <v>11386</v>
      </c>
      <c r="J2191">
        <v>10034</v>
      </c>
      <c r="K2191" t="s">
        <v>11447</v>
      </c>
      <c r="L2191" t="s">
        <v>12174</v>
      </c>
      <c r="M2191" t="s">
        <v>14744</v>
      </c>
      <c r="N2191" t="s">
        <v>14781</v>
      </c>
      <c r="P2191" t="s">
        <v>14797</v>
      </c>
      <c r="S2191" t="s">
        <v>14827</v>
      </c>
      <c r="V2191">
        <v>1200</v>
      </c>
      <c r="W2191" t="s">
        <v>14860</v>
      </c>
      <c r="Z2191" t="s">
        <v>16759</v>
      </c>
      <c r="AB2191" t="s">
        <v>21787</v>
      </c>
      <c r="AC2191">
        <v>20</v>
      </c>
      <c r="AD2191" t="s">
        <v>11479</v>
      </c>
      <c r="AE2191" t="s">
        <v>11459</v>
      </c>
      <c r="AF2191">
        <v>6</v>
      </c>
      <c r="AG2191">
        <v>3</v>
      </c>
      <c r="AH2191">
        <v>0</v>
      </c>
      <c r="AI2191">
        <v>206.45</v>
      </c>
      <c r="AL2191" t="s">
        <v>24632</v>
      </c>
      <c r="AM2191">
        <v>42900</v>
      </c>
      <c r="AS2191">
        <v>54.75</v>
      </c>
      <c r="AT2191" t="s">
        <v>539</v>
      </c>
      <c r="AU2191" t="s">
        <v>25236</v>
      </c>
      <c r="AW2191" t="s">
        <v>11447</v>
      </c>
    </row>
    <row r="2192" spans="1:49">
      <c r="A2192" s="1">
        <f>HYPERLINK("https://lsnyc.legalserver.org/matter/dynamic-profile/view/1911896","19-1911896")</f>
        <v>0</v>
      </c>
      <c r="B2192" t="s">
        <v>67</v>
      </c>
      <c r="C2192" t="s">
        <v>645</v>
      </c>
      <c r="E2192" t="s">
        <v>1374</v>
      </c>
      <c r="F2192" t="s">
        <v>3840</v>
      </c>
      <c r="G2192" t="s">
        <v>7638</v>
      </c>
      <c r="H2192" t="s">
        <v>10451</v>
      </c>
      <c r="I2192" t="s">
        <v>11383</v>
      </c>
      <c r="J2192">
        <v>10452</v>
      </c>
      <c r="K2192" t="s">
        <v>11446</v>
      </c>
      <c r="L2192" t="s">
        <v>12057</v>
      </c>
      <c r="M2192" t="s">
        <v>14762</v>
      </c>
      <c r="N2192" t="s">
        <v>14783</v>
      </c>
      <c r="P2192" t="s">
        <v>14797</v>
      </c>
      <c r="Q2192" t="s">
        <v>11446</v>
      </c>
      <c r="S2192" t="s">
        <v>14827</v>
      </c>
      <c r="V2192">
        <v>1248.48</v>
      </c>
      <c r="W2192" t="s">
        <v>14858</v>
      </c>
      <c r="X2192" t="s">
        <v>14864</v>
      </c>
      <c r="Z2192" t="s">
        <v>16760</v>
      </c>
      <c r="AB2192" t="s">
        <v>21788</v>
      </c>
      <c r="AC2192">
        <v>67</v>
      </c>
      <c r="AD2192" t="s">
        <v>11479</v>
      </c>
      <c r="AE2192" t="s">
        <v>11459</v>
      </c>
      <c r="AF2192">
        <v>6</v>
      </c>
      <c r="AG2192">
        <v>1</v>
      </c>
      <c r="AH2192">
        <v>0</v>
      </c>
      <c r="AI2192">
        <v>208.17</v>
      </c>
      <c r="AL2192" t="s">
        <v>24632</v>
      </c>
      <c r="AM2192">
        <v>26000</v>
      </c>
      <c r="AS2192">
        <v>0</v>
      </c>
      <c r="AU2192" t="s">
        <v>25268</v>
      </c>
      <c r="AV2192" t="s">
        <v>25335</v>
      </c>
      <c r="AW2192" t="s">
        <v>11447</v>
      </c>
    </row>
    <row r="2193" spans="1:49">
      <c r="A2193" s="1">
        <f>HYPERLINK("https://lsnyc.legalserver.org/matter/dynamic-profile/view/1906998","19-1906998")</f>
        <v>0</v>
      </c>
      <c r="B2193" t="s">
        <v>126</v>
      </c>
      <c r="C2193" t="s">
        <v>626</v>
      </c>
      <c r="E2193" t="s">
        <v>2222</v>
      </c>
      <c r="F2193" t="s">
        <v>4770</v>
      </c>
      <c r="G2193" t="s">
        <v>7021</v>
      </c>
      <c r="H2193" t="s">
        <v>10541</v>
      </c>
      <c r="I2193" t="s">
        <v>11383</v>
      </c>
      <c r="J2193">
        <v>10452</v>
      </c>
      <c r="K2193" t="s">
        <v>11446</v>
      </c>
      <c r="P2193" t="s">
        <v>14797</v>
      </c>
      <c r="Q2193" t="s">
        <v>11446</v>
      </c>
      <c r="S2193" t="s">
        <v>14827</v>
      </c>
      <c r="V2193">
        <v>794.86</v>
      </c>
      <c r="W2193" t="s">
        <v>14858</v>
      </c>
      <c r="X2193" t="s">
        <v>14876</v>
      </c>
      <c r="Z2193" t="s">
        <v>16761</v>
      </c>
      <c r="AB2193" t="s">
        <v>21789</v>
      </c>
      <c r="AC2193">
        <v>65</v>
      </c>
      <c r="AD2193" t="s">
        <v>24595</v>
      </c>
      <c r="AE2193" t="s">
        <v>11459</v>
      </c>
      <c r="AF2193">
        <v>30</v>
      </c>
      <c r="AG2193">
        <v>1</v>
      </c>
      <c r="AH2193">
        <v>0</v>
      </c>
      <c r="AI2193">
        <v>208.17</v>
      </c>
      <c r="AL2193" t="s">
        <v>5011</v>
      </c>
      <c r="AM2193">
        <v>26000</v>
      </c>
      <c r="AS2193">
        <v>0</v>
      </c>
      <c r="AU2193" t="s">
        <v>245</v>
      </c>
      <c r="AW2193" t="s">
        <v>11447</v>
      </c>
    </row>
    <row r="2194" spans="1:49">
      <c r="A2194" s="1">
        <f>HYPERLINK("https://lsnyc.legalserver.org/matter/dynamic-profile/view/1914795","19-1914795")</f>
        <v>0</v>
      </c>
      <c r="B2194" t="s">
        <v>126</v>
      </c>
      <c r="C2194" t="s">
        <v>592</v>
      </c>
      <c r="E2194" t="s">
        <v>2222</v>
      </c>
      <c r="F2194" t="s">
        <v>4770</v>
      </c>
      <c r="G2194" t="s">
        <v>7021</v>
      </c>
      <c r="H2194" t="s">
        <v>10541</v>
      </c>
      <c r="I2194" t="s">
        <v>11383</v>
      </c>
      <c r="J2194">
        <v>10452</v>
      </c>
      <c r="K2194" t="s">
        <v>11446</v>
      </c>
      <c r="P2194" t="s">
        <v>14797</v>
      </c>
      <c r="S2194" t="s">
        <v>14827</v>
      </c>
      <c r="V2194">
        <v>794.86</v>
      </c>
      <c r="W2194" t="s">
        <v>14858</v>
      </c>
      <c r="X2194" t="s">
        <v>14876</v>
      </c>
      <c r="Z2194" t="s">
        <v>16761</v>
      </c>
      <c r="AB2194" t="s">
        <v>21789</v>
      </c>
      <c r="AC2194">
        <v>65</v>
      </c>
      <c r="AD2194" t="s">
        <v>24595</v>
      </c>
      <c r="AE2194" t="s">
        <v>11459</v>
      </c>
      <c r="AF2194">
        <v>30</v>
      </c>
      <c r="AG2194">
        <v>1</v>
      </c>
      <c r="AH2194">
        <v>0</v>
      </c>
      <c r="AI2194">
        <v>208.17</v>
      </c>
      <c r="AL2194" t="s">
        <v>5011</v>
      </c>
      <c r="AM2194">
        <v>26000</v>
      </c>
      <c r="AS2194">
        <v>0</v>
      </c>
      <c r="AU2194" t="s">
        <v>237</v>
      </c>
      <c r="AV2194" t="s">
        <v>25335</v>
      </c>
      <c r="AW2194" t="s">
        <v>11447</v>
      </c>
    </row>
    <row r="2195" spans="1:49">
      <c r="A2195" s="1">
        <f>HYPERLINK("https://lsnyc.legalserver.org/matter/dynamic-profile/view/1911053","19-1911053")</f>
        <v>0</v>
      </c>
      <c r="B2195" t="s">
        <v>136</v>
      </c>
      <c r="C2195" t="s">
        <v>460</v>
      </c>
      <c r="E2195" t="s">
        <v>2223</v>
      </c>
      <c r="F2195" t="s">
        <v>1114</v>
      </c>
      <c r="G2195" t="s">
        <v>7830</v>
      </c>
      <c r="H2195" t="s">
        <v>10784</v>
      </c>
      <c r="I2195" t="s">
        <v>11385</v>
      </c>
      <c r="J2195">
        <v>11226</v>
      </c>
      <c r="K2195" t="s">
        <v>11447</v>
      </c>
      <c r="P2195" t="s">
        <v>14797</v>
      </c>
      <c r="S2195" t="s">
        <v>14827</v>
      </c>
      <c r="V2195">
        <v>0</v>
      </c>
      <c r="W2195" t="s">
        <v>14859</v>
      </c>
      <c r="Z2195" t="s">
        <v>16762</v>
      </c>
      <c r="AC2195">
        <v>0</v>
      </c>
      <c r="AF2195">
        <v>0</v>
      </c>
      <c r="AG2195">
        <v>6</v>
      </c>
      <c r="AH2195">
        <v>1</v>
      </c>
      <c r="AI2195">
        <v>212.25</v>
      </c>
      <c r="AL2195" t="s">
        <v>5011</v>
      </c>
      <c r="AM2195">
        <v>82800</v>
      </c>
      <c r="AS2195">
        <v>1.8</v>
      </c>
      <c r="AT2195" t="s">
        <v>460</v>
      </c>
      <c r="AU2195" t="s">
        <v>177</v>
      </c>
      <c r="AW2195" t="s">
        <v>11447</v>
      </c>
    </row>
    <row r="2196" spans="1:49">
      <c r="A2196" s="1">
        <f>HYPERLINK("https://lsnyc.legalserver.org/matter/dynamic-profile/view/1904164","19-1904164")</f>
        <v>0</v>
      </c>
      <c r="B2196" t="s">
        <v>165</v>
      </c>
      <c r="C2196" t="s">
        <v>619</v>
      </c>
      <c r="E2196" t="s">
        <v>2224</v>
      </c>
      <c r="F2196" t="s">
        <v>3797</v>
      </c>
      <c r="G2196" t="s">
        <v>7288</v>
      </c>
      <c r="H2196" t="s">
        <v>10943</v>
      </c>
      <c r="I2196" t="s">
        <v>11384</v>
      </c>
      <c r="J2196">
        <v>10301</v>
      </c>
      <c r="K2196" t="s">
        <v>11446</v>
      </c>
      <c r="L2196" t="s">
        <v>12175</v>
      </c>
      <c r="M2196" t="s">
        <v>14744</v>
      </c>
      <c r="N2196" t="s">
        <v>14781</v>
      </c>
      <c r="P2196" t="s">
        <v>14797</v>
      </c>
      <c r="Q2196" t="s">
        <v>11448</v>
      </c>
      <c r="S2196" t="s">
        <v>14830</v>
      </c>
      <c r="T2196" t="s">
        <v>14832</v>
      </c>
      <c r="V2196">
        <v>867</v>
      </c>
      <c r="W2196" t="s">
        <v>14862</v>
      </c>
      <c r="X2196" t="s">
        <v>14863</v>
      </c>
      <c r="Z2196" t="s">
        <v>16763</v>
      </c>
      <c r="AB2196" t="s">
        <v>21790</v>
      </c>
      <c r="AC2196">
        <v>0</v>
      </c>
      <c r="AD2196" t="s">
        <v>24596</v>
      </c>
      <c r="AE2196" t="s">
        <v>24610</v>
      </c>
      <c r="AF2196">
        <v>25</v>
      </c>
      <c r="AG2196">
        <v>2</v>
      </c>
      <c r="AH2196">
        <v>1</v>
      </c>
      <c r="AI2196">
        <v>213.31</v>
      </c>
      <c r="AL2196" t="s">
        <v>5011</v>
      </c>
      <c r="AM2196">
        <v>45500.04</v>
      </c>
      <c r="AS2196">
        <v>20.95</v>
      </c>
      <c r="AT2196" t="s">
        <v>495</v>
      </c>
      <c r="AU2196" t="s">
        <v>25270</v>
      </c>
      <c r="AV2196" t="s">
        <v>25335</v>
      </c>
      <c r="AW2196" t="s">
        <v>11447</v>
      </c>
    </row>
    <row r="2197" spans="1:49">
      <c r="A2197" s="1">
        <f>HYPERLINK("https://lsnyc.legalserver.org/matter/dynamic-profile/view/1910472","19-1910472")</f>
        <v>0</v>
      </c>
      <c r="B2197" t="s">
        <v>66</v>
      </c>
      <c r="C2197" t="s">
        <v>508</v>
      </c>
      <c r="E2197" t="s">
        <v>1652</v>
      </c>
      <c r="F2197" t="s">
        <v>4771</v>
      </c>
      <c r="G2197" t="s">
        <v>7831</v>
      </c>
      <c r="H2197" t="s">
        <v>10944</v>
      </c>
      <c r="I2197" t="s">
        <v>11385</v>
      </c>
      <c r="J2197">
        <v>11233</v>
      </c>
      <c r="K2197" t="s">
        <v>11448</v>
      </c>
      <c r="L2197" t="s">
        <v>11456</v>
      </c>
      <c r="M2197" t="s">
        <v>11601</v>
      </c>
      <c r="P2197" t="s">
        <v>14797</v>
      </c>
      <c r="Q2197" t="s">
        <v>11448</v>
      </c>
      <c r="S2197" t="s">
        <v>14827</v>
      </c>
      <c r="T2197" t="s">
        <v>14832</v>
      </c>
      <c r="V2197">
        <v>3182</v>
      </c>
      <c r="W2197" t="s">
        <v>14859</v>
      </c>
      <c r="Z2197" t="s">
        <v>16764</v>
      </c>
      <c r="AA2197" t="s">
        <v>11465</v>
      </c>
      <c r="AB2197" t="s">
        <v>21791</v>
      </c>
      <c r="AC2197">
        <v>46</v>
      </c>
      <c r="AD2197" t="s">
        <v>24595</v>
      </c>
      <c r="AE2197" t="s">
        <v>11459</v>
      </c>
      <c r="AF2197">
        <v>3</v>
      </c>
      <c r="AG2197">
        <v>1</v>
      </c>
      <c r="AH2197">
        <v>0</v>
      </c>
      <c r="AI2197">
        <v>213.48</v>
      </c>
      <c r="AL2197" t="s">
        <v>5011</v>
      </c>
      <c r="AM2197">
        <v>26664</v>
      </c>
      <c r="AS2197">
        <v>0.5</v>
      </c>
      <c r="AT2197" t="s">
        <v>508</v>
      </c>
      <c r="AU2197" t="s">
        <v>25238</v>
      </c>
      <c r="AV2197" t="s">
        <v>11459</v>
      </c>
      <c r="AW2197" t="s">
        <v>11447</v>
      </c>
    </row>
    <row r="2198" spans="1:49">
      <c r="A2198" s="1">
        <f>HYPERLINK("https://lsnyc.legalserver.org/matter/dynamic-profile/view/1907259","19-1907259")</f>
        <v>0</v>
      </c>
      <c r="B2198" t="s">
        <v>210</v>
      </c>
      <c r="C2198" t="s">
        <v>366</v>
      </c>
      <c r="E2198" t="s">
        <v>2225</v>
      </c>
      <c r="F2198" t="s">
        <v>1375</v>
      </c>
      <c r="G2198" t="s">
        <v>7282</v>
      </c>
      <c r="H2198" t="s">
        <v>10945</v>
      </c>
      <c r="I2198" t="s">
        <v>11385</v>
      </c>
      <c r="J2198">
        <v>11225</v>
      </c>
      <c r="K2198" t="s">
        <v>11448</v>
      </c>
      <c r="M2198" t="s">
        <v>14745</v>
      </c>
      <c r="N2198" t="s">
        <v>14780</v>
      </c>
      <c r="P2198" t="s">
        <v>14797</v>
      </c>
      <c r="Q2198" t="s">
        <v>11446</v>
      </c>
      <c r="S2198" t="s">
        <v>14827</v>
      </c>
      <c r="V2198">
        <v>0</v>
      </c>
      <c r="W2198" t="s">
        <v>14859</v>
      </c>
      <c r="Z2198" t="s">
        <v>16765</v>
      </c>
      <c r="AC2198">
        <v>46</v>
      </c>
      <c r="AF2198">
        <v>0</v>
      </c>
      <c r="AG2198">
        <v>2</v>
      </c>
      <c r="AH2198">
        <v>0</v>
      </c>
      <c r="AI2198">
        <v>215.26</v>
      </c>
      <c r="AL2198" t="s">
        <v>5011</v>
      </c>
      <c r="AM2198">
        <v>36400</v>
      </c>
      <c r="AS2198">
        <v>10.5</v>
      </c>
      <c r="AT2198" t="s">
        <v>477</v>
      </c>
      <c r="AU2198" t="s">
        <v>75</v>
      </c>
      <c r="AW2198" t="s">
        <v>11447</v>
      </c>
    </row>
    <row r="2199" spans="1:49">
      <c r="A2199" s="1">
        <f>HYPERLINK("https://lsnyc.legalserver.org/matter/dynamic-profile/view/1914136","19-1914136")</f>
        <v>0</v>
      </c>
      <c r="B2199" t="s">
        <v>67</v>
      </c>
      <c r="C2199" t="s">
        <v>580</v>
      </c>
      <c r="E2199" t="s">
        <v>2226</v>
      </c>
      <c r="F2199" t="s">
        <v>4772</v>
      </c>
      <c r="G2199" t="s">
        <v>7832</v>
      </c>
      <c r="H2199" t="s">
        <v>10552</v>
      </c>
      <c r="I2199" t="s">
        <v>11383</v>
      </c>
      <c r="J2199">
        <v>10456</v>
      </c>
      <c r="K2199" t="s">
        <v>11447</v>
      </c>
      <c r="M2199" t="s">
        <v>14762</v>
      </c>
      <c r="N2199" t="s">
        <v>14783</v>
      </c>
      <c r="P2199" t="s">
        <v>14797</v>
      </c>
      <c r="Q2199" t="s">
        <v>11446</v>
      </c>
      <c r="S2199" t="s">
        <v>14827</v>
      </c>
      <c r="V2199">
        <v>0</v>
      </c>
      <c r="W2199" t="s">
        <v>14858</v>
      </c>
      <c r="Z2199" t="s">
        <v>16456</v>
      </c>
      <c r="AC2199">
        <v>0</v>
      </c>
      <c r="AF2199">
        <v>16</v>
      </c>
      <c r="AG2199">
        <v>2</v>
      </c>
      <c r="AH2199">
        <v>1</v>
      </c>
      <c r="AI2199">
        <v>215.66</v>
      </c>
      <c r="AL2199" t="s">
        <v>5011</v>
      </c>
      <c r="AM2199">
        <v>46000</v>
      </c>
      <c r="AS2199">
        <v>0</v>
      </c>
      <c r="AU2199" t="s">
        <v>67</v>
      </c>
      <c r="AW2199" t="s">
        <v>11447</v>
      </c>
    </row>
    <row r="2200" spans="1:49">
      <c r="A2200" s="1">
        <f>HYPERLINK("https://lsnyc.legalserver.org/matter/dynamic-profile/view/1912303","19-1912303")</f>
        <v>0</v>
      </c>
      <c r="B2200" t="s">
        <v>67</v>
      </c>
      <c r="C2200" t="s">
        <v>473</v>
      </c>
      <c r="E2200" t="s">
        <v>2226</v>
      </c>
      <c r="F2200" t="s">
        <v>4772</v>
      </c>
      <c r="G2200" t="s">
        <v>7832</v>
      </c>
      <c r="H2200" t="s">
        <v>10552</v>
      </c>
      <c r="I2200" t="s">
        <v>11383</v>
      </c>
      <c r="J2200">
        <v>10456</v>
      </c>
      <c r="K2200" t="s">
        <v>11446</v>
      </c>
      <c r="L2200" t="s">
        <v>12028</v>
      </c>
      <c r="M2200" t="s">
        <v>14746</v>
      </c>
      <c r="N2200" t="s">
        <v>14781</v>
      </c>
      <c r="P2200" t="s">
        <v>14797</v>
      </c>
      <c r="Q2200" t="s">
        <v>11446</v>
      </c>
      <c r="S2200" t="s">
        <v>14827</v>
      </c>
      <c r="V2200">
        <v>0</v>
      </c>
      <c r="W2200" t="s">
        <v>14858</v>
      </c>
      <c r="X2200" t="s">
        <v>14864</v>
      </c>
      <c r="Z2200" t="s">
        <v>16456</v>
      </c>
      <c r="AC2200">
        <v>30</v>
      </c>
      <c r="AD2200" t="s">
        <v>11479</v>
      </c>
      <c r="AE2200" t="s">
        <v>11459</v>
      </c>
      <c r="AF2200">
        <v>16</v>
      </c>
      <c r="AG2200">
        <v>2</v>
      </c>
      <c r="AH2200">
        <v>1</v>
      </c>
      <c r="AI2200">
        <v>215.66</v>
      </c>
      <c r="AL2200" t="s">
        <v>5011</v>
      </c>
      <c r="AM2200">
        <v>46000</v>
      </c>
      <c r="AS2200">
        <v>0</v>
      </c>
      <c r="AU2200" t="s">
        <v>25242</v>
      </c>
      <c r="AV2200" t="s">
        <v>25335</v>
      </c>
      <c r="AW2200" t="s">
        <v>11447</v>
      </c>
    </row>
    <row r="2201" spans="1:49">
      <c r="A2201" s="1">
        <f>HYPERLINK("https://lsnyc.legalserver.org/matter/dynamic-profile/view/1911194","19-1911194")</f>
        <v>0</v>
      </c>
      <c r="B2201" t="s">
        <v>165</v>
      </c>
      <c r="C2201" t="s">
        <v>645</v>
      </c>
      <c r="E2201" t="s">
        <v>2227</v>
      </c>
      <c r="F2201" t="s">
        <v>4773</v>
      </c>
      <c r="G2201" t="s">
        <v>7833</v>
      </c>
      <c r="H2201" t="s">
        <v>10604</v>
      </c>
      <c r="I2201" t="s">
        <v>11384</v>
      </c>
      <c r="J2201">
        <v>10301</v>
      </c>
      <c r="K2201" t="s">
        <v>11447</v>
      </c>
      <c r="L2201" t="s">
        <v>12176</v>
      </c>
      <c r="M2201" t="s">
        <v>14743</v>
      </c>
      <c r="P2201" t="s">
        <v>14797</v>
      </c>
      <c r="Q2201" t="s">
        <v>11448</v>
      </c>
      <c r="S2201" t="s">
        <v>14827</v>
      </c>
      <c r="T2201" t="s">
        <v>14832</v>
      </c>
      <c r="V2201">
        <v>1975</v>
      </c>
      <c r="W2201" t="s">
        <v>14862</v>
      </c>
      <c r="X2201" t="s">
        <v>14872</v>
      </c>
      <c r="Z2201" t="s">
        <v>16766</v>
      </c>
      <c r="AB2201" t="s">
        <v>21792</v>
      </c>
      <c r="AC2201">
        <v>2</v>
      </c>
      <c r="AD2201" t="s">
        <v>24600</v>
      </c>
      <c r="AE2201" t="s">
        <v>11459</v>
      </c>
      <c r="AF2201">
        <v>4</v>
      </c>
      <c r="AG2201">
        <v>2</v>
      </c>
      <c r="AH2201">
        <v>2</v>
      </c>
      <c r="AI2201">
        <v>218.7</v>
      </c>
      <c r="AL2201" t="s">
        <v>5011</v>
      </c>
      <c r="AM2201">
        <v>56316</v>
      </c>
      <c r="AS2201">
        <v>4.7</v>
      </c>
      <c r="AT2201" t="s">
        <v>476</v>
      </c>
      <c r="AU2201" t="s">
        <v>25270</v>
      </c>
      <c r="AW2201" t="s">
        <v>11447</v>
      </c>
    </row>
    <row r="2202" spans="1:49">
      <c r="A2202" s="1">
        <f>HYPERLINK("https://lsnyc.legalserver.org/matter/dynamic-profile/view/1862829","18-1862829")</f>
        <v>0</v>
      </c>
      <c r="B2202" t="s">
        <v>84</v>
      </c>
      <c r="C2202" t="s">
        <v>671</v>
      </c>
      <c r="E2202" t="s">
        <v>2228</v>
      </c>
      <c r="F2202" t="s">
        <v>4774</v>
      </c>
      <c r="G2202" t="s">
        <v>7593</v>
      </c>
      <c r="H2202" t="s">
        <v>10620</v>
      </c>
      <c r="I2202" t="s">
        <v>11383</v>
      </c>
      <c r="J2202">
        <v>10457</v>
      </c>
      <c r="K2202" t="s">
        <v>11446</v>
      </c>
      <c r="L2202" t="s">
        <v>12027</v>
      </c>
      <c r="M2202" t="s">
        <v>14756</v>
      </c>
      <c r="N2202" t="s">
        <v>14783</v>
      </c>
      <c r="P2202" t="s">
        <v>14797</v>
      </c>
      <c r="Q2202" t="s">
        <v>11446</v>
      </c>
      <c r="S2202" t="s">
        <v>14827</v>
      </c>
      <c r="V2202">
        <v>1051</v>
      </c>
      <c r="W2202" t="s">
        <v>14858</v>
      </c>
      <c r="X2202" t="s">
        <v>14864</v>
      </c>
      <c r="Z2202" t="s">
        <v>16767</v>
      </c>
      <c r="AB2202" t="s">
        <v>21793</v>
      </c>
      <c r="AC2202">
        <v>100</v>
      </c>
      <c r="AD2202" t="s">
        <v>24595</v>
      </c>
      <c r="AF2202">
        <v>36</v>
      </c>
      <c r="AG2202">
        <v>1</v>
      </c>
      <c r="AH2202">
        <v>0</v>
      </c>
      <c r="AI2202">
        <v>220.81</v>
      </c>
      <c r="AL2202" t="s">
        <v>5011</v>
      </c>
      <c r="AM2202">
        <v>26806</v>
      </c>
      <c r="AS2202">
        <v>0.4</v>
      </c>
      <c r="AT2202" t="s">
        <v>671</v>
      </c>
      <c r="AU2202" t="s">
        <v>25242</v>
      </c>
      <c r="AW2202" t="s">
        <v>11447</v>
      </c>
    </row>
    <row r="2203" spans="1:49">
      <c r="A2203" s="1">
        <f>HYPERLINK("https://lsnyc.legalserver.org/matter/dynamic-profile/view/1857317","18-1857317")</f>
        <v>0</v>
      </c>
      <c r="B2203" t="s">
        <v>100</v>
      </c>
      <c r="C2203" t="s">
        <v>674</v>
      </c>
      <c r="E2203" t="s">
        <v>2229</v>
      </c>
      <c r="F2203" t="s">
        <v>4775</v>
      </c>
      <c r="G2203" t="s">
        <v>7569</v>
      </c>
      <c r="H2203" t="s">
        <v>10946</v>
      </c>
      <c r="I2203" t="s">
        <v>11383</v>
      </c>
      <c r="J2203">
        <v>10452</v>
      </c>
      <c r="K2203" t="s">
        <v>11446</v>
      </c>
      <c r="L2203" t="s">
        <v>12032</v>
      </c>
      <c r="M2203" t="s">
        <v>14756</v>
      </c>
      <c r="N2203" t="s">
        <v>14783</v>
      </c>
      <c r="P2203" t="s">
        <v>14797</v>
      </c>
      <c r="Q2203" t="s">
        <v>11446</v>
      </c>
      <c r="S2203" t="s">
        <v>14827</v>
      </c>
      <c r="V2203">
        <v>1038.43</v>
      </c>
      <c r="W2203" t="s">
        <v>14858</v>
      </c>
      <c r="X2203" t="s">
        <v>14864</v>
      </c>
      <c r="Z2203" t="s">
        <v>16768</v>
      </c>
      <c r="AB2203" t="s">
        <v>21794</v>
      </c>
      <c r="AC2203">
        <v>122</v>
      </c>
      <c r="AD2203" t="s">
        <v>24595</v>
      </c>
      <c r="AF2203">
        <v>8</v>
      </c>
      <c r="AG2203">
        <v>2</v>
      </c>
      <c r="AH2203">
        <v>1</v>
      </c>
      <c r="AI2203">
        <v>221.36</v>
      </c>
      <c r="AL2203" t="s">
        <v>5011</v>
      </c>
      <c r="AM2203">
        <v>45202.56</v>
      </c>
      <c r="AS2203">
        <v>0</v>
      </c>
      <c r="AU2203" t="s">
        <v>25268</v>
      </c>
      <c r="AW2203" t="s">
        <v>11447</v>
      </c>
    </row>
    <row r="2204" spans="1:49">
      <c r="A2204" s="1">
        <f>HYPERLINK("https://lsnyc.legalserver.org/matter/dynamic-profile/view/1913118","19-1913118")</f>
        <v>0</v>
      </c>
      <c r="B2204" t="s">
        <v>87</v>
      </c>
      <c r="C2204" t="s">
        <v>490</v>
      </c>
      <c r="E2204" t="s">
        <v>2230</v>
      </c>
      <c r="F2204" t="s">
        <v>4310</v>
      </c>
      <c r="G2204" t="s">
        <v>6807</v>
      </c>
      <c r="H2204" t="s">
        <v>10947</v>
      </c>
      <c r="I2204" t="s">
        <v>11384</v>
      </c>
      <c r="J2204">
        <v>10304</v>
      </c>
      <c r="K2204" t="s">
        <v>11447</v>
      </c>
      <c r="L2204" t="s">
        <v>11456</v>
      </c>
      <c r="M2204" t="s">
        <v>11601</v>
      </c>
      <c r="P2204" t="s">
        <v>14797</v>
      </c>
      <c r="Q2204" t="s">
        <v>11446</v>
      </c>
      <c r="S2204" t="s">
        <v>14827</v>
      </c>
      <c r="V2204">
        <v>692</v>
      </c>
      <c r="W2204" t="s">
        <v>14862</v>
      </c>
      <c r="X2204" t="s">
        <v>14879</v>
      </c>
      <c r="Z2204" t="s">
        <v>16769</v>
      </c>
      <c r="AB2204" t="s">
        <v>21795</v>
      </c>
      <c r="AC2204">
        <v>0</v>
      </c>
      <c r="AD2204" t="s">
        <v>24596</v>
      </c>
      <c r="AE2204" t="s">
        <v>11459</v>
      </c>
      <c r="AF2204">
        <v>14</v>
      </c>
      <c r="AG2204">
        <v>2</v>
      </c>
      <c r="AH2204">
        <v>0</v>
      </c>
      <c r="AI2204">
        <v>221.41</v>
      </c>
      <c r="AM2204">
        <v>37440</v>
      </c>
      <c r="AS2204">
        <v>5.3</v>
      </c>
      <c r="AT2204" t="s">
        <v>537</v>
      </c>
      <c r="AU2204" t="s">
        <v>25270</v>
      </c>
      <c r="AW2204" t="s">
        <v>11447</v>
      </c>
    </row>
    <row r="2205" spans="1:49">
      <c r="A2205" s="1">
        <f>HYPERLINK("https://lsnyc.legalserver.org/matter/dynamic-profile/view/1912606","19-1912606")</f>
        <v>0</v>
      </c>
      <c r="B2205" t="s">
        <v>126</v>
      </c>
      <c r="C2205" t="s">
        <v>355</v>
      </c>
      <c r="E2205" t="s">
        <v>1320</v>
      </c>
      <c r="F2205" t="s">
        <v>4776</v>
      </c>
      <c r="G2205" t="s">
        <v>7021</v>
      </c>
      <c r="I2205" t="s">
        <v>11383</v>
      </c>
      <c r="J2205">
        <v>10452</v>
      </c>
      <c r="K2205" t="s">
        <v>11446</v>
      </c>
      <c r="P2205" t="s">
        <v>14797</v>
      </c>
      <c r="S2205" t="s">
        <v>14827</v>
      </c>
      <c r="V2205">
        <v>1756.68</v>
      </c>
      <c r="W2205" t="s">
        <v>14858</v>
      </c>
      <c r="X2205" t="s">
        <v>14864</v>
      </c>
      <c r="Z2205" t="s">
        <v>16770</v>
      </c>
      <c r="AC2205">
        <v>63</v>
      </c>
      <c r="AE2205" t="s">
        <v>11459</v>
      </c>
      <c r="AF2205">
        <v>22</v>
      </c>
      <c r="AG2205">
        <v>3</v>
      </c>
      <c r="AH2205">
        <v>1</v>
      </c>
      <c r="AI2205">
        <v>222.14</v>
      </c>
      <c r="AL2205" t="s">
        <v>24632</v>
      </c>
      <c r="AM2205">
        <v>57200</v>
      </c>
      <c r="AS2205">
        <v>0.1</v>
      </c>
      <c r="AT2205" t="s">
        <v>578</v>
      </c>
      <c r="AU2205" t="s">
        <v>237</v>
      </c>
      <c r="AV2205" t="s">
        <v>25335</v>
      </c>
      <c r="AW2205" t="s">
        <v>11447</v>
      </c>
    </row>
    <row r="2206" spans="1:49">
      <c r="A2206" s="1">
        <f>HYPERLINK("https://lsnyc.legalserver.org/matter/dynamic-profile/view/1914948","19-1914948")</f>
        <v>0</v>
      </c>
      <c r="B2206" t="s">
        <v>126</v>
      </c>
      <c r="C2206" t="s">
        <v>537</v>
      </c>
      <c r="E2206" t="s">
        <v>1320</v>
      </c>
      <c r="F2206" t="s">
        <v>4776</v>
      </c>
      <c r="G2206" t="s">
        <v>7021</v>
      </c>
      <c r="H2206" t="s">
        <v>10542</v>
      </c>
      <c r="I2206" t="s">
        <v>11383</v>
      </c>
      <c r="J2206">
        <v>10452</v>
      </c>
      <c r="K2206" t="s">
        <v>11447</v>
      </c>
      <c r="P2206" t="s">
        <v>14797</v>
      </c>
      <c r="Q2206" t="s">
        <v>11446</v>
      </c>
      <c r="S2206" t="s">
        <v>14827</v>
      </c>
      <c r="V2206">
        <v>1756.68</v>
      </c>
      <c r="W2206" t="s">
        <v>14858</v>
      </c>
      <c r="X2206" t="s">
        <v>14864</v>
      </c>
      <c r="Z2206" t="s">
        <v>16770</v>
      </c>
      <c r="AC2206">
        <v>65</v>
      </c>
      <c r="AF2206">
        <v>22</v>
      </c>
      <c r="AG2206">
        <v>3</v>
      </c>
      <c r="AH2206">
        <v>1</v>
      </c>
      <c r="AI2206">
        <v>222.14</v>
      </c>
      <c r="AL2206" t="s">
        <v>24632</v>
      </c>
      <c r="AM2206">
        <v>57200</v>
      </c>
      <c r="AS2206">
        <v>0</v>
      </c>
      <c r="AU2206" t="s">
        <v>25268</v>
      </c>
      <c r="AW2206" t="s">
        <v>11447</v>
      </c>
    </row>
    <row r="2207" spans="1:49">
      <c r="A2207" s="1">
        <f>HYPERLINK("https://lsnyc.legalserver.org/matter/dynamic-profile/view/1882910","18-1882910")</f>
        <v>0</v>
      </c>
      <c r="B2207" t="s">
        <v>193</v>
      </c>
      <c r="C2207" t="s">
        <v>715</v>
      </c>
      <c r="E2207" t="s">
        <v>1084</v>
      </c>
      <c r="F2207" t="s">
        <v>4750</v>
      </c>
      <c r="G2207" t="s">
        <v>7834</v>
      </c>
      <c r="H2207">
        <v>1</v>
      </c>
      <c r="I2207" t="s">
        <v>11385</v>
      </c>
      <c r="J2207">
        <v>11233</v>
      </c>
      <c r="K2207" t="s">
        <v>11447</v>
      </c>
      <c r="P2207" t="s">
        <v>14797</v>
      </c>
      <c r="S2207" t="s">
        <v>14827</v>
      </c>
      <c r="V2207">
        <v>0</v>
      </c>
      <c r="W2207" t="s">
        <v>14859</v>
      </c>
      <c r="Z2207" t="s">
        <v>16771</v>
      </c>
      <c r="AB2207" t="s">
        <v>21796</v>
      </c>
      <c r="AC2207">
        <v>0</v>
      </c>
      <c r="AF2207">
        <v>0</v>
      </c>
      <c r="AG2207">
        <v>1</v>
      </c>
      <c r="AH2207">
        <v>0</v>
      </c>
      <c r="AI2207">
        <v>222.41</v>
      </c>
      <c r="AL2207" t="s">
        <v>5011</v>
      </c>
      <c r="AM2207">
        <v>27000</v>
      </c>
      <c r="AS2207">
        <v>1.1</v>
      </c>
      <c r="AT2207" t="s">
        <v>405</v>
      </c>
      <c r="AU2207" t="s">
        <v>25273</v>
      </c>
      <c r="AW2207" t="s">
        <v>11447</v>
      </c>
    </row>
    <row r="2208" spans="1:49">
      <c r="A2208" s="1">
        <f>HYPERLINK("https://lsnyc.legalserver.org/matter/dynamic-profile/view/1914733","19-1914733")</f>
        <v>0</v>
      </c>
      <c r="B2208" t="s">
        <v>119</v>
      </c>
      <c r="C2208" t="s">
        <v>592</v>
      </c>
      <c r="E2208" t="s">
        <v>1602</v>
      </c>
      <c r="F2208" t="s">
        <v>4096</v>
      </c>
      <c r="G2208" t="s">
        <v>7015</v>
      </c>
      <c r="H2208" t="s">
        <v>10555</v>
      </c>
      <c r="I2208" t="s">
        <v>11383</v>
      </c>
      <c r="J2208">
        <v>10453</v>
      </c>
      <c r="K2208" t="s">
        <v>11446</v>
      </c>
      <c r="L2208" t="s">
        <v>12177</v>
      </c>
      <c r="M2208" t="s">
        <v>14744</v>
      </c>
      <c r="N2208" t="s">
        <v>14781</v>
      </c>
      <c r="P2208" t="s">
        <v>14797</v>
      </c>
      <c r="Q2208" t="s">
        <v>11448</v>
      </c>
      <c r="S2208" t="s">
        <v>14827</v>
      </c>
      <c r="T2208" t="s">
        <v>14832</v>
      </c>
      <c r="V2208">
        <v>1317</v>
      </c>
      <c r="W2208" t="s">
        <v>14858</v>
      </c>
      <c r="X2208" t="s">
        <v>14864</v>
      </c>
      <c r="Z2208" t="s">
        <v>15648</v>
      </c>
      <c r="AC2208">
        <v>170</v>
      </c>
      <c r="AD2208" t="s">
        <v>24595</v>
      </c>
      <c r="AE2208" t="s">
        <v>11459</v>
      </c>
      <c r="AF2208">
        <v>3</v>
      </c>
      <c r="AG2208">
        <v>2</v>
      </c>
      <c r="AH2208">
        <v>0</v>
      </c>
      <c r="AI2208">
        <v>223.54</v>
      </c>
      <c r="AL2208" t="s">
        <v>24632</v>
      </c>
      <c r="AM2208">
        <v>37800</v>
      </c>
      <c r="AS2208">
        <v>5.1</v>
      </c>
      <c r="AT2208" t="s">
        <v>654</v>
      </c>
      <c r="AU2208" t="s">
        <v>245</v>
      </c>
      <c r="AV2208" t="s">
        <v>25335</v>
      </c>
      <c r="AW2208" t="s">
        <v>11447</v>
      </c>
    </row>
    <row r="2209" spans="1:49">
      <c r="A2209" s="1">
        <f>HYPERLINK("https://lsnyc.legalserver.org/matter/dynamic-profile/view/1910096","19-1910096")</f>
        <v>0</v>
      </c>
      <c r="B2209" t="s">
        <v>184</v>
      </c>
      <c r="C2209" t="s">
        <v>471</v>
      </c>
      <c r="E2209" t="s">
        <v>1025</v>
      </c>
      <c r="F2209" t="s">
        <v>4777</v>
      </c>
      <c r="G2209" t="s">
        <v>7835</v>
      </c>
      <c r="H2209" t="s">
        <v>10620</v>
      </c>
      <c r="I2209" t="s">
        <v>11383</v>
      </c>
      <c r="J2209">
        <v>10453</v>
      </c>
      <c r="K2209" t="s">
        <v>11446</v>
      </c>
      <c r="M2209" t="s">
        <v>11601</v>
      </c>
      <c r="N2209" t="s">
        <v>14778</v>
      </c>
      <c r="P2209" t="s">
        <v>14797</v>
      </c>
      <c r="Q2209" t="s">
        <v>11448</v>
      </c>
      <c r="S2209" t="s">
        <v>14827</v>
      </c>
      <c r="V2209">
        <v>668.79</v>
      </c>
      <c r="W2209" t="s">
        <v>14858</v>
      </c>
      <c r="X2209" t="s">
        <v>14864</v>
      </c>
      <c r="Z2209" t="s">
        <v>16772</v>
      </c>
      <c r="AB2209" t="s">
        <v>21797</v>
      </c>
      <c r="AC2209">
        <v>58</v>
      </c>
      <c r="AD2209" t="s">
        <v>24606</v>
      </c>
      <c r="AE2209" t="s">
        <v>24610</v>
      </c>
      <c r="AF2209">
        <v>35</v>
      </c>
      <c r="AG2209">
        <v>1</v>
      </c>
      <c r="AH2209">
        <v>0</v>
      </c>
      <c r="AI2209">
        <v>231.48</v>
      </c>
      <c r="AL2209" t="s">
        <v>5011</v>
      </c>
      <c r="AM2209">
        <v>28912</v>
      </c>
      <c r="AS2209">
        <v>1.6</v>
      </c>
      <c r="AT2209" t="s">
        <v>663</v>
      </c>
      <c r="AU2209" t="s">
        <v>184</v>
      </c>
      <c r="AV2209" t="s">
        <v>25335</v>
      </c>
      <c r="AW2209" t="s">
        <v>11447</v>
      </c>
    </row>
    <row r="2210" spans="1:49">
      <c r="A2210" s="1">
        <f>HYPERLINK("https://lsnyc.legalserver.org/matter/dynamic-profile/view/1911895","19-1911895")</f>
        <v>0</v>
      </c>
      <c r="B2210" t="s">
        <v>90</v>
      </c>
      <c r="C2210" t="s">
        <v>645</v>
      </c>
      <c r="E2210" t="s">
        <v>1134</v>
      </c>
      <c r="F2210" t="s">
        <v>4778</v>
      </c>
      <c r="G2210" t="s">
        <v>7617</v>
      </c>
      <c r="H2210" t="s">
        <v>10471</v>
      </c>
      <c r="I2210" t="s">
        <v>11383</v>
      </c>
      <c r="J2210">
        <v>10452</v>
      </c>
      <c r="K2210" t="s">
        <v>11446</v>
      </c>
      <c r="M2210" t="s">
        <v>14762</v>
      </c>
      <c r="N2210" t="s">
        <v>14783</v>
      </c>
      <c r="P2210" t="s">
        <v>14797</v>
      </c>
      <c r="Q2210" t="s">
        <v>11446</v>
      </c>
      <c r="S2210" t="s">
        <v>14827</v>
      </c>
      <c r="V2210">
        <v>1584.95</v>
      </c>
      <c r="W2210" t="s">
        <v>14858</v>
      </c>
      <c r="X2210" t="s">
        <v>14864</v>
      </c>
      <c r="Z2210" t="s">
        <v>16773</v>
      </c>
      <c r="AB2210" t="s">
        <v>21798</v>
      </c>
      <c r="AC2210">
        <v>52</v>
      </c>
      <c r="AD2210" t="s">
        <v>24595</v>
      </c>
      <c r="AE2210" t="s">
        <v>11459</v>
      </c>
      <c r="AF2210">
        <v>10</v>
      </c>
      <c r="AG2210">
        <v>1</v>
      </c>
      <c r="AH2210">
        <v>2</v>
      </c>
      <c r="AI2210">
        <v>234.41</v>
      </c>
      <c r="AL2210" t="s">
        <v>5011</v>
      </c>
      <c r="AM2210">
        <v>50000</v>
      </c>
      <c r="AS2210">
        <v>0.4</v>
      </c>
      <c r="AT2210" t="s">
        <v>645</v>
      </c>
      <c r="AU2210" t="s">
        <v>230</v>
      </c>
      <c r="AV2210" t="s">
        <v>25335</v>
      </c>
      <c r="AW2210" t="s">
        <v>11447</v>
      </c>
    </row>
    <row r="2211" spans="1:49">
      <c r="A2211" s="1">
        <f>HYPERLINK("https://lsnyc.legalserver.org/matter/dynamic-profile/view/1911898","19-1911898")</f>
        <v>0</v>
      </c>
      <c r="B2211" t="s">
        <v>90</v>
      </c>
      <c r="C2211" t="s">
        <v>645</v>
      </c>
      <c r="E2211" t="s">
        <v>1134</v>
      </c>
      <c r="F2211" t="s">
        <v>4778</v>
      </c>
      <c r="G2211" t="s">
        <v>7617</v>
      </c>
      <c r="H2211" t="s">
        <v>10471</v>
      </c>
      <c r="I2211" t="s">
        <v>11383</v>
      </c>
      <c r="J2211">
        <v>10452</v>
      </c>
      <c r="K2211" t="s">
        <v>11446</v>
      </c>
      <c r="M2211" t="s">
        <v>14762</v>
      </c>
      <c r="N2211" t="s">
        <v>14783</v>
      </c>
      <c r="P2211" t="s">
        <v>14797</v>
      </c>
      <c r="Q2211" t="s">
        <v>11446</v>
      </c>
      <c r="S2211" t="s">
        <v>14827</v>
      </c>
      <c r="V2211">
        <v>1584.95</v>
      </c>
      <c r="W2211" t="s">
        <v>14858</v>
      </c>
      <c r="X2211" t="s">
        <v>14864</v>
      </c>
      <c r="Z2211" t="s">
        <v>16773</v>
      </c>
      <c r="AB2211" t="s">
        <v>21798</v>
      </c>
      <c r="AC2211">
        <v>52</v>
      </c>
      <c r="AD2211" t="s">
        <v>24595</v>
      </c>
      <c r="AE2211" t="s">
        <v>11459</v>
      </c>
      <c r="AF2211">
        <v>10</v>
      </c>
      <c r="AG2211">
        <v>1</v>
      </c>
      <c r="AH2211">
        <v>2</v>
      </c>
      <c r="AI2211">
        <v>234.41</v>
      </c>
      <c r="AL2211" t="s">
        <v>5011</v>
      </c>
      <c r="AM2211">
        <v>50000</v>
      </c>
      <c r="AS2211">
        <v>0.4</v>
      </c>
      <c r="AT2211" t="s">
        <v>645</v>
      </c>
      <c r="AU2211" t="s">
        <v>230</v>
      </c>
      <c r="AV2211" t="s">
        <v>25335</v>
      </c>
      <c r="AW2211" t="s">
        <v>11447</v>
      </c>
    </row>
    <row r="2212" spans="1:49">
      <c r="A2212" s="1">
        <f>HYPERLINK("https://lsnyc.legalserver.org/matter/dynamic-profile/view/1904698","19-1904698")</f>
        <v>0</v>
      </c>
      <c r="B2212" t="s">
        <v>100</v>
      </c>
      <c r="C2212" t="s">
        <v>365</v>
      </c>
      <c r="E2212" t="s">
        <v>2231</v>
      </c>
      <c r="F2212" t="s">
        <v>4779</v>
      </c>
      <c r="G2212" t="s">
        <v>7705</v>
      </c>
      <c r="H2212">
        <v>12</v>
      </c>
      <c r="I2212" t="s">
        <v>11383</v>
      </c>
      <c r="J2212">
        <v>10451</v>
      </c>
      <c r="K2212" t="s">
        <v>11446</v>
      </c>
      <c r="M2212" t="s">
        <v>14763</v>
      </c>
      <c r="N2212" t="s">
        <v>14782</v>
      </c>
      <c r="P2212" t="s">
        <v>14797</v>
      </c>
      <c r="Q2212" t="s">
        <v>11446</v>
      </c>
      <c r="S2212" t="s">
        <v>14827</v>
      </c>
      <c r="V2212">
        <v>0</v>
      </c>
      <c r="W2212" t="s">
        <v>14858</v>
      </c>
      <c r="X2212" t="s">
        <v>14867</v>
      </c>
      <c r="Z2212" t="s">
        <v>16774</v>
      </c>
      <c r="AB2212" t="s">
        <v>21799</v>
      </c>
      <c r="AC2212">
        <v>13</v>
      </c>
      <c r="AD2212" t="s">
        <v>24595</v>
      </c>
      <c r="AE2212" t="s">
        <v>11459</v>
      </c>
      <c r="AF2212">
        <v>5</v>
      </c>
      <c r="AG2212">
        <v>3</v>
      </c>
      <c r="AH2212">
        <v>0</v>
      </c>
      <c r="AI2212">
        <v>234.41</v>
      </c>
      <c r="AL2212" t="s">
        <v>5011</v>
      </c>
      <c r="AM2212">
        <v>50000</v>
      </c>
      <c r="AS2212">
        <v>38.7</v>
      </c>
      <c r="AT2212" t="s">
        <v>516</v>
      </c>
      <c r="AU2212" t="s">
        <v>57</v>
      </c>
      <c r="AV2212" t="s">
        <v>25335</v>
      </c>
      <c r="AW2212" t="s">
        <v>11447</v>
      </c>
    </row>
    <row r="2213" spans="1:49">
      <c r="A2213" s="1">
        <f>HYPERLINK("https://lsnyc.legalserver.org/matter/dynamic-profile/view/1903672","19-1903672")</f>
        <v>0</v>
      </c>
      <c r="B2213" t="s">
        <v>164</v>
      </c>
      <c r="C2213" t="s">
        <v>522</v>
      </c>
      <c r="E2213" t="s">
        <v>1181</v>
      </c>
      <c r="F2213" t="s">
        <v>4237</v>
      </c>
      <c r="G2213" t="s">
        <v>7204</v>
      </c>
      <c r="H2213" t="s">
        <v>10763</v>
      </c>
      <c r="I2213" t="s">
        <v>11384</v>
      </c>
      <c r="J2213">
        <v>10314</v>
      </c>
      <c r="K2213" t="s">
        <v>11446</v>
      </c>
      <c r="M2213" t="s">
        <v>14762</v>
      </c>
      <c r="P2213" t="s">
        <v>14797</v>
      </c>
      <c r="Q2213" t="s">
        <v>11446</v>
      </c>
      <c r="S2213" t="s">
        <v>14827</v>
      </c>
      <c r="V2213">
        <v>967</v>
      </c>
      <c r="W2213" t="s">
        <v>14862</v>
      </c>
      <c r="X2213" t="s">
        <v>14868</v>
      </c>
      <c r="Z2213" t="s">
        <v>15865</v>
      </c>
      <c r="AB2213" t="s">
        <v>20955</v>
      </c>
      <c r="AC2213">
        <v>96</v>
      </c>
      <c r="AE2213" t="s">
        <v>24613</v>
      </c>
      <c r="AF2213">
        <v>8</v>
      </c>
      <c r="AG2213">
        <v>1</v>
      </c>
      <c r="AH2213">
        <v>0</v>
      </c>
      <c r="AI2213">
        <v>236.89</v>
      </c>
      <c r="AL2213" t="s">
        <v>5011</v>
      </c>
      <c r="AM2213">
        <v>29587.92</v>
      </c>
      <c r="AS2213">
        <v>2</v>
      </c>
      <c r="AT2213" t="s">
        <v>472</v>
      </c>
      <c r="AU2213" t="s">
        <v>25270</v>
      </c>
      <c r="AV2213" t="s">
        <v>25335</v>
      </c>
      <c r="AW2213" t="s">
        <v>11447</v>
      </c>
    </row>
    <row r="2214" spans="1:49">
      <c r="A2214" s="1">
        <f>HYPERLINK("https://lsnyc.legalserver.org/matter/dynamic-profile/view/1903243","19-1903243")</f>
        <v>0</v>
      </c>
      <c r="B2214" t="s">
        <v>166</v>
      </c>
      <c r="C2214" t="s">
        <v>365</v>
      </c>
      <c r="E2214" t="s">
        <v>1359</v>
      </c>
      <c r="F2214" t="s">
        <v>2758</v>
      </c>
      <c r="G2214" t="s">
        <v>7836</v>
      </c>
      <c r="I2214" t="s">
        <v>11384</v>
      </c>
      <c r="J2214">
        <v>10301</v>
      </c>
      <c r="K2214" t="s">
        <v>11446</v>
      </c>
      <c r="L2214" t="s">
        <v>12178</v>
      </c>
      <c r="M2214" t="s">
        <v>14743</v>
      </c>
      <c r="N2214" t="s">
        <v>14781</v>
      </c>
      <c r="P2214" t="s">
        <v>14797</v>
      </c>
      <c r="Q2214" t="s">
        <v>11448</v>
      </c>
      <c r="S2214" t="s">
        <v>14827</v>
      </c>
      <c r="T2214" t="s">
        <v>14834</v>
      </c>
      <c r="V2214">
        <v>1490</v>
      </c>
      <c r="W2214" t="s">
        <v>14862</v>
      </c>
      <c r="X2214" t="s">
        <v>14863</v>
      </c>
      <c r="Z2214" t="s">
        <v>16775</v>
      </c>
      <c r="AB2214" t="s">
        <v>21800</v>
      </c>
      <c r="AC2214">
        <v>4</v>
      </c>
      <c r="AD2214" t="s">
        <v>24595</v>
      </c>
      <c r="AE2214" t="s">
        <v>11459</v>
      </c>
      <c r="AF2214">
        <v>20</v>
      </c>
      <c r="AG2214">
        <v>2</v>
      </c>
      <c r="AH2214">
        <v>0</v>
      </c>
      <c r="AI2214">
        <v>238.82</v>
      </c>
      <c r="AJ2214" t="s">
        <v>332</v>
      </c>
      <c r="AK2214" t="s">
        <v>24629</v>
      </c>
      <c r="AL2214" t="s">
        <v>5011</v>
      </c>
      <c r="AM2214">
        <v>40384</v>
      </c>
      <c r="AO2214" t="s">
        <v>24933</v>
      </c>
      <c r="AP2214" t="s">
        <v>24957</v>
      </c>
      <c r="AQ2214" t="s">
        <v>24986</v>
      </c>
      <c r="AR2214" t="s">
        <v>25001</v>
      </c>
      <c r="AS2214">
        <v>38</v>
      </c>
      <c r="AT2214" t="s">
        <v>654</v>
      </c>
      <c r="AU2214" t="s">
        <v>25270</v>
      </c>
      <c r="AV2214" t="s">
        <v>25335</v>
      </c>
      <c r="AW2214" t="s">
        <v>11447</v>
      </c>
    </row>
    <row r="2215" spans="1:49">
      <c r="A2215" s="1">
        <f>HYPERLINK("https://lsnyc.legalserver.org/matter/dynamic-profile/view/1907121","19-1907121")</f>
        <v>0</v>
      </c>
      <c r="B2215" t="s">
        <v>209</v>
      </c>
      <c r="C2215" t="s">
        <v>661</v>
      </c>
      <c r="E2215" t="s">
        <v>1398</v>
      </c>
      <c r="F2215" t="s">
        <v>4780</v>
      </c>
      <c r="G2215" t="s">
        <v>7837</v>
      </c>
      <c r="H2215" t="s">
        <v>10948</v>
      </c>
      <c r="I2215" t="s">
        <v>11390</v>
      </c>
      <c r="J2215">
        <v>11368</v>
      </c>
      <c r="K2215" t="s">
        <v>11446</v>
      </c>
      <c r="L2215" t="s">
        <v>12179</v>
      </c>
      <c r="M2215" t="s">
        <v>14762</v>
      </c>
      <c r="N2215" t="s">
        <v>14783</v>
      </c>
      <c r="P2215" t="s">
        <v>14797</v>
      </c>
      <c r="Q2215" t="s">
        <v>11446</v>
      </c>
      <c r="S2215" t="s">
        <v>14827</v>
      </c>
      <c r="T2215" t="s">
        <v>14832</v>
      </c>
      <c r="V2215">
        <v>932</v>
      </c>
      <c r="W2215" t="s">
        <v>14861</v>
      </c>
      <c r="X2215" t="s">
        <v>14876</v>
      </c>
      <c r="Z2215" t="s">
        <v>16776</v>
      </c>
      <c r="AB2215" t="s">
        <v>21801</v>
      </c>
      <c r="AC2215">
        <v>30</v>
      </c>
      <c r="AD2215" t="s">
        <v>24595</v>
      </c>
      <c r="AE2215" t="s">
        <v>24613</v>
      </c>
      <c r="AF2215">
        <v>42</v>
      </c>
      <c r="AG2215">
        <v>1</v>
      </c>
      <c r="AH2215">
        <v>0</v>
      </c>
      <c r="AI2215">
        <v>240.19</v>
      </c>
      <c r="AL2215" t="s">
        <v>5011</v>
      </c>
      <c r="AM2215">
        <v>30000</v>
      </c>
      <c r="AS2215">
        <v>1.05</v>
      </c>
      <c r="AT2215" t="s">
        <v>633</v>
      </c>
      <c r="AU2215" t="s">
        <v>209</v>
      </c>
      <c r="AV2215" t="s">
        <v>25335</v>
      </c>
      <c r="AW2215" t="s">
        <v>11447</v>
      </c>
    </row>
    <row r="2216" spans="1:49">
      <c r="A2216" s="1">
        <f>HYPERLINK("https://lsnyc.legalserver.org/matter/dynamic-profile/view/1907120","19-1907120")</f>
        <v>0</v>
      </c>
      <c r="B2216" t="s">
        <v>171</v>
      </c>
      <c r="C2216" t="s">
        <v>661</v>
      </c>
      <c r="E2216" t="s">
        <v>1398</v>
      </c>
      <c r="F2216" t="s">
        <v>4780</v>
      </c>
      <c r="G2216" t="s">
        <v>7837</v>
      </c>
      <c r="H2216" t="s">
        <v>10948</v>
      </c>
      <c r="I2216" t="s">
        <v>11390</v>
      </c>
      <c r="J2216">
        <v>11368</v>
      </c>
      <c r="K2216" t="s">
        <v>11446</v>
      </c>
      <c r="L2216" t="s">
        <v>12180</v>
      </c>
      <c r="M2216" t="s">
        <v>14744</v>
      </c>
      <c r="N2216" t="s">
        <v>14781</v>
      </c>
      <c r="P2216" t="s">
        <v>14797</v>
      </c>
      <c r="Q2216" t="s">
        <v>11448</v>
      </c>
      <c r="S2216" t="s">
        <v>14827</v>
      </c>
      <c r="T2216" t="s">
        <v>14832</v>
      </c>
      <c r="V2216">
        <v>932</v>
      </c>
      <c r="W2216" t="s">
        <v>14861</v>
      </c>
      <c r="Z2216" t="s">
        <v>16776</v>
      </c>
      <c r="AB2216" t="s">
        <v>21801</v>
      </c>
      <c r="AC2216">
        <v>30</v>
      </c>
      <c r="AD2216" t="s">
        <v>24595</v>
      </c>
      <c r="AE2216" t="s">
        <v>24613</v>
      </c>
      <c r="AF2216">
        <v>42</v>
      </c>
      <c r="AG2216">
        <v>1</v>
      </c>
      <c r="AH2216">
        <v>0</v>
      </c>
      <c r="AI2216">
        <v>240.19</v>
      </c>
      <c r="AL2216" t="s">
        <v>5011</v>
      </c>
      <c r="AM2216">
        <v>30000</v>
      </c>
      <c r="AS2216">
        <v>20.85</v>
      </c>
      <c r="AT2216" t="s">
        <v>477</v>
      </c>
      <c r="AU2216" t="s">
        <v>209</v>
      </c>
      <c r="AV2216" t="s">
        <v>25335</v>
      </c>
      <c r="AW2216" t="s">
        <v>11447</v>
      </c>
    </row>
    <row r="2217" spans="1:49">
      <c r="A2217" s="1">
        <f>HYPERLINK("https://lsnyc.legalserver.org/matter/dynamic-profile/view/1909792","19-1909792")</f>
        <v>0</v>
      </c>
      <c r="B2217" t="s">
        <v>92</v>
      </c>
      <c r="C2217" t="s">
        <v>519</v>
      </c>
      <c r="E2217" t="s">
        <v>1153</v>
      </c>
      <c r="F2217" t="s">
        <v>4781</v>
      </c>
      <c r="I2217" t="s">
        <v>11383</v>
      </c>
      <c r="J2217">
        <v>10456</v>
      </c>
      <c r="K2217" t="s">
        <v>11446</v>
      </c>
      <c r="P2217" t="s">
        <v>14797</v>
      </c>
      <c r="S2217" t="s">
        <v>14827</v>
      </c>
      <c r="V2217">
        <v>0</v>
      </c>
      <c r="W2217" t="s">
        <v>14858</v>
      </c>
      <c r="Z2217" t="s">
        <v>15287</v>
      </c>
      <c r="AB2217" t="s">
        <v>21802</v>
      </c>
      <c r="AC2217">
        <v>0</v>
      </c>
      <c r="AF2217">
        <v>0</v>
      </c>
      <c r="AG2217">
        <v>1</v>
      </c>
      <c r="AH2217">
        <v>0</v>
      </c>
      <c r="AI2217">
        <v>240.19</v>
      </c>
      <c r="AM2217">
        <v>30000</v>
      </c>
      <c r="AS2217">
        <v>0</v>
      </c>
      <c r="AU2217" t="s">
        <v>92</v>
      </c>
      <c r="AV2217" t="s">
        <v>25335</v>
      </c>
      <c r="AW2217" t="s">
        <v>11447</v>
      </c>
    </row>
    <row r="2218" spans="1:49">
      <c r="A2218" s="1">
        <f>HYPERLINK("https://lsnyc.legalserver.org/matter/dynamic-profile/view/1896378","19-1896378")</f>
        <v>0</v>
      </c>
      <c r="B2218" t="s">
        <v>216</v>
      </c>
      <c r="C2218" t="s">
        <v>416</v>
      </c>
      <c r="E2218" t="s">
        <v>1672</v>
      </c>
      <c r="F2218" t="s">
        <v>3547</v>
      </c>
      <c r="G2218" t="s">
        <v>7484</v>
      </c>
      <c r="H2218">
        <v>42</v>
      </c>
      <c r="I2218" t="s">
        <v>11386</v>
      </c>
      <c r="J2218">
        <v>10034</v>
      </c>
      <c r="K2218" t="s">
        <v>11447</v>
      </c>
      <c r="M2218" t="s">
        <v>11601</v>
      </c>
      <c r="P2218" t="s">
        <v>14797</v>
      </c>
      <c r="S2218" t="s">
        <v>14827</v>
      </c>
      <c r="V2218">
        <v>937</v>
      </c>
      <c r="W2218" t="s">
        <v>14860</v>
      </c>
      <c r="Z2218" t="s">
        <v>16289</v>
      </c>
      <c r="AB2218" t="s">
        <v>21360</v>
      </c>
      <c r="AC2218">
        <v>0</v>
      </c>
      <c r="AF2218">
        <v>45</v>
      </c>
      <c r="AG2218">
        <v>1</v>
      </c>
      <c r="AH2218">
        <v>0</v>
      </c>
      <c r="AI2218">
        <v>240.19</v>
      </c>
      <c r="AL2218" t="s">
        <v>5011</v>
      </c>
      <c r="AM2218">
        <v>30000</v>
      </c>
      <c r="AS2218">
        <v>20.65</v>
      </c>
      <c r="AT2218" t="s">
        <v>476</v>
      </c>
      <c r="AU2218" t="s">
        <v>25278</v>
      </c>
      <c r="AW2218" t="s">
        <v>11447</v>
      </c>
    </row>
    <row r="2219" spans="1:49">
      <c r="A2219" s="1">
        <f>HYPERLINK("https://lsnyc.legalserver.org/matter/dynamic-profile/view/1915358","19-1915358")</f>
        <v>0</v>
      </c>
      <c r="B2219" t="s">
        <v>100</v>
      </c>
      <c r="C2219" t="s">
        <v>495</v>
      </c>
      <c r="E2219" t="s">
        <v>2232</v>
      </c>
      <c r="F2219" t="s">
        <v>1840</v>
      </c>
      <c r="G2219" t="s">
        <v>6868</v>
      </c>
      <c r="H2219" t="s">
        <v>10450</v>
      </c>
      <c r="I2219" t="s">
        <v>11383</v>
      </c>
      <c r="J2219">
        <v>10456</v>
      </c>
      <c r="K2219" t="s">
        <v>11446</v>
      </c>
      <c r="M2219" t="s">
        <v>14762</v>
      </c>
      <c r="N2219" t="s">
        <v>14783</v>
      </c>
      <c r="P2219" t="s">
        <v>14797</v>
      </c>
      <c r="Q2219" t="s">
        <v>11446</v>
      </c>
      <c r="S2219" t="s">
        <v>14827</v>
      </c>
      <c r="V2219">
        <v>886</v>
      </c>
      <c r="W2219" t="s">
        <v>14858</v>
      </c>
      <c r="X2219" t="s">
        <v>14864</v>
      </c>
      <c r="Z2219" t="s">
        <v>16777</v>
      </c>
      <c r="AB2219" t="s">
        <v>21803</v>
      </c>
      <c r="AC2219">
        <v>131</v>
      </c>
      <c r="AD2219" t="s">
        <v>24595</v>
      </c>
      <c r="AE2219" t="s">
        <v>11459</v>
      </c>
      <c r="AF2219">
        <v>28</v>
      </c>
      <c r="AG2219">
        <v>2</v>
      </c>
      <c r="AH2219">
        <v>0</v>
      </c>
      <c r="AI2219">
        <v>248.37</v>
      </c>
      <c r="AL2219" t="s">
        <v>5011</v>
      </c>
      <c r="AM2219">
        <v>42000</v>
      </c>
      <c r="AS2219">
        <v>0.25</v>
      </c>
      <c r="AT2219" t="s">
        <v>495</v>
      </c>
      <c r="AU2219" t="s">
        <v>237</v>
      </c>
      <c r="AW2219" t="s">
        <v>11447</v>
      </c>
    </row>
    <row r="2220" spans="1:49">
      <c r="A2220" s="1">
        <f>HYPERLINK("https://lsnyc.legalserver.org/matter/dynamic-profile/view/1912173","19-1912173")</f>
        <v>0</v>
      </c>
      <c r="B2220" t="s">
        <v>169</v>
      </c>
      <c r="C2220" t="s">
        <v>483</v>
      </c>
      <c r="E2220" t="s">
        <v>2233</v>
      </c>
      <c r="F2220" t="s">
        <v>4782</v>
      </c>
      <c r="G2220" t="s">
        <v>7838</v>
      </c>
      <c r="I2220" t="s">
        <v>11384</v>
      </c>
      <c r="J2220">
        <v>10304</v>
      </c>
      <c r="K2220" t="s">
        <v>11447</v>
      </c>
      <c r="L2220" t="s">
        <v>11456</v>
      </c>
      <c r="M2220" t="s">
        <v>11601</v>
      </c>
      <c r="P2220" t="s">
        <v>14797</v>
      </c>
      <c r="Q2220" t="s">
        <v>11448</v>
      </c>
      <c r="S2220" t="s">
        <v>14827</v>
      </c>
      <c r="V2220">
        <v>0</v>
      </c>
      <c r="W2220" t="s">
        <v>14862</v>
      </c>
      <c r="Z2220" t="s">
        <v>16778</v>
      </c>
      <c r="AB2220" t="s">
        <v>21804</v>
      </c>
      <c r="AC2220">
        <v>0</v>
      </c>
      <c r="AE2220" t="s">
        <v>11459</v>
      </c>
      <c r="AF2220">
        <v>15</v>
      </c>
      <c r="AG2220">
        <v>1</v>
      </c>
      <c r="AH2220">
        <v>1</v>
      </c>
      <c r="AI2220">
        <v>248.37</v>
      </c>
      <c r="AJ2220" t="s">
        <v>603</v>
      </c>
      <c r="AK2220" t="s">
        <v>24629</v>
      </c>
      <c r="AL2220" t="s">
        <v>5011</v>
      </c>
      <c r="AM2220">
        <v>42000</v>
      </c>
      <c r="AS2220">
        <v>1.4</v>
      </c>
      <c r="AT2220" t="s">
        <v>533</v>
      </c>
      <c r="AU2220" t="s">
        <v>25271</v>
      </c>
      <c r="AW2220" t="s">
        <v>11447</v>
      </c>
    </row>
    <row r="2221" spans="1:49">
      <c r="A2221" s="1">
        <f>HYPERLINK("https://lsnyc.legalserver.org/matter/dynamic-profile/view/1915169","19-1915169")</f>
        <v>0</v>
      </c>
      <c r="B2221" t="s">
        <v>183</v>
      </c>
      <c r="C2221" t="s">
        <v>516</v>
      </c>
      <c r="E2221" t="s">
        <v>2234</v>
      </c>
      <c r="F2221" t="s">
        <v>4783</v>
      </c>
      <c r="G2221" t="s">
        <v>7839</v>
      </c>
      <c r="H2221" t="s">
        <v>10513</v>
      </c>
      <c r="I2221" t="s">
        <v>11385</v>
      </c>
      <c r="J2221">
        <v>11233</v>
      </c>
      <c r="K2221" t="s">
        <v>11448</v>
      </c>
      <c r="L2221" t="s">
        <v>12181</v>
      </c>
      <c r="M2221" t="s">
        <v>14744</v>
      </c>
      <c r="P2221" t="s">
        <v>14797</v>
      </c>
      <c r="Q2221" t="s">
        <v>11448</v>
      </c>
      <c r="S2221" t="s">
        <v>14827</v>
      </c>
      <c r="T2221" t="s">
        <v>14832</v>
      </c>
      <c r="V2221">
        <v>996</v>
      </c>
      <c r="W2221" t="s">
        <v>14859</v>
      </c>
      <c r="X2221" t="s">
        <v>14880</v>
      </c>
      <c r="Z2221" t="s">
        <v>16779</v>
      </c>
      <c r="AA2221" t="s">
        <v>11465</v>
      </c>
      <c r="AB2221" t="s">
        <v>21805</v>
      </c>
      <c r="AC2221">
        <v>6</v>
      </c>
      <c r="AD2221" t="s">
        <v>24595</v>
      </c>
      <c r="AE2221" t="s">
        <v>11459</v>
      </c>
      <c r="AF2221">
        <v>14</v>
      </c>
      <c r="AG2221">
        <v>4</v>
      </c>
      <c r="AH2221">
        <v>1</v>
      </c>
      <c r="AI2221">
        <v>248.88</v>
      </c>
      <c r="AL2221" t="s">
        <v>5011</v>
      </c>
      <c r="AM2221">
        <v>75088</v>
      </c>
      <c r="AN2221" t="s">
        <v>24805</v>
      </c>
      <c r="AS2221">
        <v>0</v>
      </c>
      <c r="AU2221" t="s">
        <v>66</v>
      </c>
      <c r="AV2221" t="s">
        <v>11459</v>
      </c>
      <c r="AW2221" t="s">
        <v>11447</v>
      </c>
    </row>
    <row r="2222" spans="1:49">
      <c r="A2222" s="1">
        <f>HYPERLINK("https://lsnyc.legalserver.org/matter/dynamic-profile/view/1894945","19-1894945")</f>
        <v>0</v>
      </c>
      <c r="B2222" t="s">
        <v>168</v>
      </c>
      <c r="C2222" t="s">
        <v>666</v>
      </c>
      <c r="E2222" t="s">
        <v>2235</v>
      </c>
      <c r="F2222" t="s">
        <v>4784</v>
      </c>
      <c r="G2222" t="s">
        <v>7840</v>
      </c>
      <c r="H2222" t="s">
        <v>10949</v>
      </c>
      <c r="I2222" t="s">
        <v>11384</v>
      </c>
      <c r="J2222">
        <v>10301</v>
      </c>
      <c r="K2222" t="s">
        <v>11446</v>
      </c>
      <c r="L2222" t="s">
        <v>12182</v>
      </c>
      <c r="M2222" t="s">
        <v>14746</v>
      </c>
      <c r="P2222" t="s">
        <v>14797</v>
      </c>
      <c r="Q2222" t="s">
        <v>11448</v>
      </c>
      <c r="S2222" t="s">
        <v>14827</v>
      </c>
      <c r="T2222" t="s">
        <v>14832</v>
      </c>
      <c r="V2222">
        <v>1121.2</v>
      </c>
      <c r="W2222" t="s">
        <v>14862</v>
      </c>
      <c r="X2222" t="s">
        <v>14863</v>
      </c>
      <c r="Z2222" t="s">
        <v>16780</v>
      </c>
      <c r="AB2222" t="s">
        <v>21806</v>
      </c>
      <c r="AC2222">
        <v>120</v>
      </c>
      <c r="AD2222" t="s">
        <v>24595</v>
      </c>
      <c r="AE2222" t="s">
        <v>11459</v>
      </c>
      <c r="AF2222">
        <v>17</v>
      </c>
      <c r="AG2222">
        <v>1</v>
      </c>
      <c r="AH2222">
        <v>0</v>
      </c>
      <c r="AI2222">
        <v>249.8</v>
      </c>
      <c r="AL2222" t="s">
        <v>5011</v>
      </c>
      <c r="AM2222">
        <v>31200</v>
      </c>
      <c r="AS2222">
        <v>21.7</v>
      </c>
      <c r="AT2222" t="s">
        <v>476</v>
      </c>
      <c r="AU2222" t="s">
        <v>25270</v>
      </c>
      <c r="AV2222" t="s">
        <v>25335</v>
      </c>
      <c r="AW2222" t="s">
        <v>11447</v>
      </c>
    </row>
    <row r="2223" spans="1:49">
      <c r="A2223" s="1">
        <f>HYPERLINK("https://lsnyc.legalserver.org/matter/dynamic-profile/view/1891156","19-1891156")</f>
        <v>0</v>
      </c>
      <c r="B2223" t="s">
        <v>249</v>
      </c>
      <c r="C2223" t="s">
        <v>534</v>
      </c>
      <c r="E2223" t="s">
        <v>2236</v>
      </c>
      <c r="F2223" t="s">
        <v>2569</v>
      </c>
      <c r="G2223" t="s">
        <v>7841</v>
      </c>
      <c r="H2223">
        <v>5</v>
      </c>
      <c r="I2223" t="s">
        <v>11386</v>
      </c>
      <c r="J2223">
        <v>10013</v>
      </c>
      <c r="K2223" t="s">
        <v>11448</v>
      </c>
      <c r="M2223" t="s">
        <v>11601</v>
      </c>
      <c r="N2223" t="s">
        <v>14782</v>
      </c>
      <c r="P2223" t="s">
        <v>14797</v>
      </c>
      <c r="Q2223" t="s">
        <v>11448</v>
      </c>
      <c r="S2223" t="s">
        <v>14827</v>
      </c>
      <c r="V2223">
        <v>0</v>
      </c>
      <c r="W2223" t="s">
        <v>14860</v>
      </c>
      <c r="X2223" t="s">
        <v>14876</v>
      </c>
      <c r="Z2223" t="s">
        <v>16781</v>
      </c>
      <c r="AC2223">
        <v>0</v>
      </c>
      <c r="AD2223" t="s">
        <v>11479</v>
      </c>
      <c r="AE2223" t="s">
        <v>11459</v>
      </c>
      <c r="AF2223">
        <v>3</v>
      </c>
      <c r="AG2223">
        <v>1</v>
      </c>
      <c r="AH2223">
        <v>0</v>
      </c>
      <c r="AI2223">
        <v>249.8</v>
      </c>
      <c r="AL2223" t="s">
        <v>24650</v>
      </c>
      <c r="AM2223">
        <v>31200</v>
      </c>
      <c r="AS2223">
        <v>0</v>
      </c>
      <c r="AU2223" t="s">
        <v>153</v>
      </c>
      <c r="AW2223" t="s">
        <v>11446</v>
      </c>
    </row>
    <row r="2224" spans="1:49">
      <c r="A2224" s="1">
        <f>HYPERLINK("https://lsnyc.legalserver.org/matter/dynamic-profile/view/1907238","19-1907238")</f>
        <v>0</v>
      </c>
      <c r="B2224" t="s">
        <v>95</v>
      </c>
      <c r="C2224" t="s">
        <v>633</v>
      </c>
      <c r="E2224" t="s">
        <v>1059</v>
      </c>
      <c r="F2224" t="s">
        <v>4785</v>
      </c>
      <c r="G2224" t="s">
        <v>7569</v>
      </c>
      <c r="H2224" t="s">
        <v>10950</v>
      </c>
      <c r="I2224" t="s">
        <v>11383</v>
      </c>
      <c r="J2224">
        <v>10452</v>
      </c>
      <c r="K2224" t="s">
        <v>11446</v>
      </c>
      <c r="L2224" t="s">
        <v>12183</v>
      </c>
      <c r="M2224" t="s">
        <v>14744</v>
      </c>
      <c r="N2224" t="s">
        <v>14781</v>
      </c>
      <c r="P2224" t="s">
        <v>14797</v>
      </c>
      <c r="Q2224" t="s">
        <v>11448</v>
      </c>
      <c r="S2224" t="s">
        <v>14827</v>
      </c>
      <c r="T2224" t="s">
        <v>14832</v>
      </c>
      <c r="V2224">
        <v>931</v>
      </c>
      <c r="W2224" t="s">
        <v>14858</v>
      </c>
      <c r="X2224" t="s">
        <v>14868</v>
      </c>
      <c r="Z2224" t="s">
        <v>16782</v>
      </c>
      <c r="AB2224" t="s">
        <v>21807</v>
      </c>
      <c r="AC2224">
        <v>122</v>
      </c>
      <c r="AD2224" t="s">
        <v>24595</v>
      </c>
      <c r="AE2224" t="s">
        <v>24610</v>
      </c>
      <c r="AF2224">
        <v>28</v>
      </c>
      <c r="AG2224">
        <v>2</v>
      </c>
      <c r="AH2224">
        <v>0</v>
      </c>
      <c r="AI2224">
        <v>254.29</v>
      </c>
      <c r="AL2224" t="s">
        <v>5011</v>
      </c>
      <c r="AM2224">
        <v>43000</v>
      </c>
      <c r="AN2224" t="s">
        <v>24747</v>
      </c>
      <c r="AS2224">
        <v>24.1</v>
      </c>
      <c r="AT2224" t="s">
        <v>477</v>
      </c>
      <c r="AU2224" t="s">
        <v>95</v>
      </c>
      <c r="AV2224" t="s">
        <v>25335</v>
      </c>
      <c r="AW2224" t="s">
        <v>11447</v>
      </c>
    </row>
    <row r="2225" spans="1:49">
      <c r="A2225" s="1">
        <f>HYPERLINK("https://lsnyc.legalserver.org/matter/dynamic-profile/view/1915001","19-1915001")</f>
        <v>0</v>
      </c>
      <c r="B2225" t="s">
        <v>100</v>
      </c>
      <c r="C2225" t="s">
        <v>521</v>
      </c>
      <c r="E2225" t="s">
        <v>2237</v>
      </c>
      <c r="F2225" t="s">
        <v>4157</v>
      </c>
      <c r="G2225" t="s">
        <v>6868</v>
      </c>
      <c r="H2225" t="s">
        <v>10582</v>
      </c>
      <c r="I2225" t="s">
        <v>11383</v>
      </c>
      <c r="J2225">
        <v>10456</v>
      </c>
      <c r="K2225" t="s">
        <v>11446</v>
      </c>
      <c r="M2225" t="s">
        <v>14762</v>
      </c>
      <c r="N2225" t="s">
        <v>14783</v>
      </c>
      <c r="P2225" t="s">
        <v>14797</v>
      </c>
      <c r="Q2225" t="s">
        <v>11446</v>
      </c>
      <c r="S2225" t="s">
        <v>14827</v>
      </c>
      <c r="V2225">
        <v>889.6</v>
      </c>
      <c r="W2225" t="s">
        <v>14858</v>
      </c>
      <c r="X2225" t="s">
        <v>14864</v>
      </c>
      <c r="Z2225" t="s">
        <v>16783</v>
      </c>
      <c r="AB2225" t="s">
        <v>21808</v>
      </c>
      <c r="AC2225">
        <v>131</v>
      </c>
      <c r="AD2225" t="s">
        <v>24595</v>
      </c>
      <c r="AE2225" t="s">
        <v>11459</v>
      </c>
      <c r="AF2225">
        <v>26</v>
      </c>
      <c r="AG2225">
        <v>1</v>
      </c>
      <c r="AH2225">
        <v>0</v>
      </c>
      <c r="AI2225">
        <v>256.2</v>
      </c>
      <c r="AL2225" t="s">
        <v>5011</v>
      </c>
      <c r="AM2225">
        <v>32000</v>
      </c>
      <c r="AS2225">
        <v>0</v>
      </c>
      <c r="AU2225" t="s">
        <v>245</v>
      </c>
      <c r="AW2225" t="s">
        <v>11447</v>
      </c>
    </row>
    <row r="2226" spans="1:49">
      <c r="A2226" s="1">
        <f>HYPERLINK("https://lsnyc.legalserver.org/matter/dynamic-profile/view/1914711","19-1914711")</f>
        <v>0</v>
      </c>
      <c r="B2226" t="s">
        <v>165</v>
      </c>
      <c r="C2226" t="s">
        <v>592</v>
      </c>
      <c r="E2226" t="s">
        <v>2238</v>
      </c>
      <c r="F2226" t="s">
        <v>4786</v>
      </c>
      <c r="G2226" t="s">
        <v>7842</v>
      </c>
      <c r="H2226" t="s">
        <v>10637</v>
      </c>
      <c r="I2226" t="s">
        <v>11384</v>
      </c>
      <c r="J2226">
        <v>10301</v>
      </c>
      <c r="K2226" t="s">
        <v>11447</v>
      </c>
      <c r="N2226" t="s">
        <v>14781</v>
      </c>
      <c r="P2226" t="s">
        <v>14797</v>
      </c>
      <c r="S2226" t="s">
        <v>14827</v>
      </c>
      <c r="V2226">
        <v>0</v>
      </c>
      <c r="W2226" t="s">
        <v>14862</v>
      </c>
      <c r="Z2226" t="s">
        <v>16784</v>
      </c>
      <c r="AB2226" t="s">
        <v>21809</v>
      </c>
      <c r="AC2226">
        <v>0</v>
      </c>
      <c r="AF2226">
        <v>0</v>
      </c>
      <c r="AG2226">
        <v>1</v>
      </c>
      <c r="AH2226">
        <v>2</v>
      </c>
      <c r="AI2226">
        <v>257.85</v>
      </c>
      <c r="AK2226" t="s">
        <v>24629</v>
      </c>
      <c r="AM2226">
        <v>55000</v>
      </c>
      <c r="AS2226">
        <v>4.6</v>
      </c>
      <c r="AT2226" t="s">
        <v>509</v>
      </c>
      <c r="AU2226" t="s">
        <v>165</v>
      </c>
      <c r="AW2226" t="s">
        <v>11447</v>
      </c>
    </row>
    <row r="2227" spans="1:49">
      <c r="A2227" s="1">
        <f>HYPERLINK("https://lsnyc.legalserver.org/matter/dynamic-profile/view/1907394","19-1907394")</f>
        <v>0</v>
      </c>
      <c r="B2227" t="s">
        <v>140</v>
      </c>
      <c r="C2227" t="s">
        <v>368</v>
      </c>
      <c r="E2227" t="s">
        <v>1151</v>
      </c>
      <c r="F2227" t="s">
        <v>4787</v>
      </c>
      <c r="G2227" t="s">
        <v>7015</v>
      </c>
      <c r="H2227" t="s">
        <v>10951</v>
      </c>
      <c r="I2227" t="s">
        <v>11383</v>
      </c>
      <c r="J2227">
        <v>10453</v>
      </c>
      <c r="K2227" t="s">
        <v>11446</v>
      </c>
      <c r="P2227" t="s">
        <v>14797</v>
      </c>
      <c r="Q2227" t="s">
        <v>11446</v>
      </c>
      <c r="S2227" t="s">
        <v>14827</v>
      </c>
      <c r="V2227">
        <v>802.4400000000001</v>
      </c>
      <c r="W2227" t="s">
        <v>14858</v>
      </c>
      <c r="X2227" t="s">
        <v>14864</v>
      </c>
      <c r="Z2227" t="s">
        <v>16785</v>
      </c>
      <c r="AB2227" t="s">
        <v>21810</v>
      </c>
      <c r="AC2227">
        <v>170</v>
      </c>
      <c r="AD2227" t="s">
        <v>24595</v>
      </c>
      <c r="AE2227" t="s">
        <v>11459</v>
      </c>
      <c r="AF2227">
        <v>30</v>
      </c>
      <c r="AG2227">
        <v>2</v>
      </c>
      <c r="AH2227">
        <v>0</v>
      </c>
      <c r="AI2227">
        <v>260.2</v>
      </c>
      <c r="AL2227" t="s">
        <v>5011</v>
      </c>
      <c r="AM2227">
        <v>44000</v>
      </c>
      <c r="AS2227">
        <v>5.9</v>
      </c>
      <c r="AT2227" t="s">
        <v>644</v>
      </c>
      <c r="AU2227" t="s">
        <v>245</v>
      </c>
      <c r="AW2227" t="s">
        <v>11447</v>
      </c>
    </row>
    <row r="2228" spans="1:49">
      <c r="A2228" s="1">
        <f>HYPERLINK("https://lsnyc.legalserver.org/matter/dynamic-profile/view/1832972","17-1832972")</f>
        <v>0</v>
      </c>
      <c r="B2228" t="s">
        <v>155</v>
      </c>
      <c r="C2228" t="s">
        <v>716</v>
      </c>
      <c r="E2228" t="s">
        <v>1241</v>
      </c>
      <c r="F2228" t="s">
        <v>4788</v>
      </c>
      <c r="G2228" t="s">
        <v>7843</v>
      </c>
      <c r="I2228" t="s">
        <v>11385</v>
      </c>
      <c r="J2228">
        <v>11213</v>
      </c>
      <c r="K2228" t="s">
        <v>11446</v>
      </c>
      <c r="M2228" t="s">
        <v>14745</v>
      </c>
      <c r="N2228" t="s">
        <v>14779</v>
      </c>
      <c r="P2228" t="s">
        <v>14797</v>
      </c>
      <c r="Q2228" t="s">
        <v>11446</v>
      </c>
      <c r="S2228" t="s">
        <v>14827</v>
      </c>
      <c r="V2228">
        <v>0</v>
      </c>
      <c r="W2228" t="s">
        <v>14859</v>
      </c>
      <c r="X2228" t="s">
        <v>14876</v>
      </c>
      <c r="Z2228" t="s">
        <v>16786</v>
      </c>
      <c r="AC2228">
        <v>74</v>
      </c>
      <c r="AD2228" t="s">
        <v>24595</v>
      </c>
      <c r="AF2228">
        <v>0</v>
      </c>
      <c r="AG2228">
        <v>1</v>
      </c>
      <c r="AH2228">
        <v>0</v>
      </c>
      <c r="AI2228">
        <v>261.89</v>
      </c>
      <c r="AJ2228" t="s">
        <v>24625</v>
      </c>
      <c r="AL2228" t="s">
        <v>5011</v>
      </c>
      <c r="AM2228">
        <v>31584</v>
      </c>
      <c r="AS2228">
        <v>0</v>
      </c>
      <c r="AU2228" t="s">
        <v>25250</v>
      </c>
      <c r="AW2228" t="s">
        <v>11447</v>
      </c>
    </row>
    <row r="2229" spans="1:49">
      <c r="A2229" s="1">
        <f>HYPERLINK("https://lsnyc.legalserver.org/matter/dynamic-profile/view/1857032","18-1857032")</f>
        <v>0</v>
      </c>
      <c r="B2229" t="s">
        <v>100</v>
      </c>
      <c r="C2229" t="s">
        <v>673</v>
      </c>
      <c r="E2229" t="s">
        <v>2239</v>
      </c>
      <c r="F2229" t="s">
        <v>4456</v>
      </c>
      <c r="G2229" t="s">
        <v>7569</v>
      </c>
      <c r="H2229" t="s">
        <v>10952</v>
      </c>
      <c r="I2229" t="s">
        <v>11383</v>
      </c>
      <c r="J2229">
        <v>10452</v>
      </c>
      <c r="K2229" t="s">
        <v>11447</v>
      </c>
      <c r="M2229" t="s">
        <v>14756</v>
      </c>
      <c r="N2229" t="s">
        <v>14783</v>
      </c>
      <c r="P2229" t="s">
        <v>14797</v>
      </c>
      <c r="Q2229" t="s">
        <v>11446</v>
      </c>
      <c r="S2229" t="s">
        <v>14827</v>
      </c>
      <c r="V2229">
        <v>1050</v>
      </c>
      <c r="W2229" t="s">
        <v>14858</v>
      </c>
      <c r="X2229" t="s">
        <v>14864</v>
      </c>
      <c r="Z2229" t="s">
        <v>16691</v>
      </c>
      <c r="AB2229" t="s">
        <v>21811</v>
      </c>
      <c r="AC2229">
        <v>122</v>
      </c>
      <c r="AD2229" t="s">
        <v>24595</v>
      </c>
      <c r="AE2229" t="s">
        <v>11459</v>
      </c>
      <c r="AF2229">
        <v>2</v>
      </c>
      <c r="AG2229">
        <v>1</v>
      </c>
      <c r="AH2229">
        <v>0</v>
      </c>
      <c r="AI2229">
        <v>271.64</v>
      </c>
      <c r="AL2229" t="s">
        <v>5011</v>
      </c>
      <c r="AM2229">
        <v>32760</v>
      </c>
      <c r="AS2229">
        <v>0</v>
      </c>
      <c r="AU2229" t="s">
        <v>25268</v>
      </c>
      <c r="AW2229" t="s">
        <v>11447</v>
      </c>
    </row>
    <row r="2230" spans="1:49">
      <c r="A2230" s="1">
        <f>HYPERLINK("https://lsnyc.legalserver.org/matter/dynamic-profile/view/1857478","18-1857478")</f>
        <v>0</v>
      </c>
      <c r="B2230" t="s">
        <v>100</v>
      </c>
      <c r="C2230" t="s">
        <v>675</v>
      </c>
      <c r="E2230" t="s">
        <v>2239</v>
      </c>
      <c r="F2230" t="s">
        <v>4456</v>
      </c>
      <c r="G2230" t="s">
        <v>7569</v>
      </c>
      <c r="H2230" t="s">
        <v>10952</v>
      </c>
      <c r="I2230" t="s">
        <v>11383</v>
      </c>
      <c r="J2230">
        <v>10452</v>
      </c>
      <c r="K2230" t="s">
        <v>11447</v>
      </c>
      <c r="L2230" t="s">
        <v>12032</v>
      </c>
      <c r="M2230" t="s">
        <v>14756</v>
      </c>
      <c r="N2230" t="s">
        <v>14783</v>
      </c>
      <c r="P2230" t="s">
        <v>14797</v>
      </c>
      <c r="Q2230" t="s">
        <v>11446</v>
      </c>
      <c r="S2230" t="s">
        <v>14827</v>
      </c>
      <c r="V2230">
        <v>1050</v>
      </c>
      <c r="W2230" t="s">
        <v>14858</v>
      </c>
      <c r="X2230" t="s">
        <v>14864</v>
      </c>
      <c r="Z2230" t="s">
        <v>16691</v>
      </c>
      <c r="AB2230" t="s">
        <v>21811</v>
      </c>
      <c r="AC2230">
        <v>122</v>
      </c>
      <c r="AD2230" t="s">
        <v>24595</v>
      </c>
      <c r="AE2230" t="s">
        <v>11459</v>
      </c>
      <c r="AF2230">
        <v>2</v>
      </c>
      <c r="AG2230">
        <v>1</v>
      </c>
      <c r="AH2230">
        <v>0</v>
      </c>
      <c r="AI2230">
        <v>271.64</v>
      </c>
      <c r="AL2230" t="s">
        <v>5011</v>
      </c>
      <c r="AM2230">
        <v>32760</v>
      </c>
      <c r="AS2230">
        <v>0.1</v>
      </c>
      <c r="AT2230" t="s">
        <v>356</v>
      </c>
      <c r="AU2230" t="s">
        <v>25268</v>
      </c>
      <c r="AW2230" t="s">
        <v>11447</v>
      </c>
    </row>
    <row r="2231" spans="1:49">
      <c r="A2231" s="1">
        <f>HYPERLINK("https://lsnyc.legalserver.org/matter/dynamic-profile/view/1907526","19-1907526")</f>
        <v>0</v>
      </c>
      <c r="B2231" t="s">
        <v>67</v>
      </c>
      <c r="C2231" t="s">
        <v>465</v>
      </c>
      <c r="E2231" t="s">
        <v>2240</v>
      </c>
      <c r="F2231" t="s">
        <v>1035</v>
      </c>
      <c r="G2231" t="s">
        <v>6479</v>
      </c>
      <c r="H2231" t="s">
        <v>10575</v>
      </c>
      <c r="I2231" t="s">
        <v>11383</v>
      </c>
      <c r="J2231">
        <v>10474</v>
      </c>
      <c r="K2231" t="s">
        <v>11447</v>
      </c>
      <c r="L2231" t="s">
        <v>12025</v>
      </c>
      <c r="M2231" t="s">
        <v>14762</v>
      </c>
      <c r="N2231" t="s">
        <v>14783</v>
      </c>
      <c r="P2231" t="s">
        <v>14797</v>
      </c>
      <c r="S2231" t="s">
        <v>14827</v>
      </c>
      <c r="V2231">
        <v>0</v>
      </c>
      <c r="W2231" t="s">
        <v>14858</v>
      </c>
      <c r="Z2231" t="s">
        <v>16787</v>
      </c>
      <c r="AB2231" t="s">
        <v>21812</v>
      </c>
      <c r="AC2231">
        <v>0</v>
      </c>
      <c r="AF2231">
        <v>0</v>
      </c>
      <c r="AG2231">
        <v>2</v>
      </c>
      <c r="AH2231">
        <v>1</v>
      </c>
      <c r="AI2231">
        <v>271.92</v>
      </c>
      <c r="AL2231" t="s">
        <v>5011</v>
      </c>
      <c r="AM2231">
        <v>58000</v>
      </c>
      <c r="AS2231">
        <v>0</v>
      </c>
      <c r="AU2231" t="s">
        <v>67</v>
      </c>
      <c r="AW2231" t="s">
        <v>11447</v>
      </c>
    </row>
    <row r="2232" spans="1:49">
      <c r="A2232" s="1">
        <f>HYPERLINK("https://lsnyc.legalserver.org/matter/dynamic-profile/view/1896083","19-1896083")</f>
        <v>0</v>
      </c>
      <c r="B2232" t="s">
        <v>144</v>
      </c>
      <c r="C2232" t="s">
        <v>432</v>
      </c>
      <c r="E2232" t="s">
        <v>2241</v>
      </c>
      <c r="F2232" t="s">
        <v>4563</v>
      </c>
      <c r="G2232" t="s">
        <v>7844</v>
      </c>
      <c r="H2232" t="s">
        <v>10814</v>
      </c>
      <c r="I2232" t="s">
        <v>11389</v>
      </c>
      <c r="J2232">
        <v>11354</v>
      </c>
      <c r="K2232" t="s">
        <v>11446</v>
      </c>
      <c r="L2232" t="s">
        <v>12184</v>
      </c>
      <c r="M2232" t="s">
        <v>14743</v>
      </c>
      <c r="N2232" t="s">
        <v>14781</v>
      </c>
      <c r="P2232" t="s">
        <v>14797</v>
      </c>
      <c r="Q2232" t="s">
        <v>11448</v>
      </c>
      <c r="S2232" t="s">
        <v>14827</v>
      </c>
      <c r="T2232" t="s">
        <v>14835</v>
      </c>
      <c r="V2232">
        <v>774</v>
      </c>
      <c r="W2232" t="s">
        <v>14861</v>
      </c>
      <c r="X2232" t="s">
        <v>14865</v>
      </c>
      <c r="Z2232" t="s">
        <v>16788</v>
      </c>
      <c r="AA2232" t="s">
        <v>19344</v>
      </c>
      <c r="AB2232" t="s">
        <v>21813</v>
      </c>
      <c r="AC2232">
        <v>6</v>
      </c>
      <c r="AD2232" t="s">
        <v>24595</v>
      </c>
      <c r="AE2232" t="s">
        <v>11459</v>
      </c>
      <c r="AF2232">
        <v>39</v>
      </c>
      <c r="AG2232">
        <v>2</v>
      </c>
      <c r="AH2232">
        <v>0</v>
      </c>
      <c r="AI2232">
        <v>276.76</v>
      </c>
      <c r="AL2232" t="s">
        <v>5011</v>
      </c>
      <c r="AM2232">
        <v>46800</v>
      </c>
      <c r="AS2232">
        <v>7.4</v>
      </c>
      <c r="AT2232" t="s">
        <v>767</v>
      </c>
      <c r="AU2232" t="s">
        <v>25231</v>
      </c>
      <c r="AV2232" t="s">
        <v>25335</v>
      </c>
      <c r="AW2232" t="s">
        <v>11447</v>
      </c>
    </row>
    <row r="2233" spans="1:49">
      <c r="A2233" s="1">
        <f>HYPERLINK("https://lsnyc.legalserver.org/matter/dynamic-profile/view/0789070","15-0789070")</f>
        <v>0</v>
      </c>
      <c r="B2233" t="s">
        <v>100</v>
      </c>
      <c r="C2233" t="s">
        <v>717</v>
      </c>
      <c r="E2233" t="s">
        <v>2239</v>
      </c>
      <c r="F2233" t="s">
        <v>4456</v>
      </c>
      <c r="G2233" t="s">
        <v>7569</v>
      </c>
      <c r="H2233" t="s">
        <v>10952</v>
      </c>
      <c r="I2233" t="s">
        <v>11383</v>
      </c>
      <c r="J2233">
        <v>10452</v>
      </c>
      <c r="K2233" t="s">
        <v>11448</v>
      </c>
      <c r="L2233" t="s">
        <v>12030</v>
      </c>
      <c r="M2233" t="s">
        <v>14763</v>
      </c>
      <c r="N2233" t="s">
        <v>14781</v>
      </c>
      <c r="P2233" t="s">
        <v>14797</v>
      </c>
      <c r="Q2233" t="s">
        <v>11446</v>
      </c>
      <c r="S2233" t="s">
        <v>14827</v>
      </c>
      <c r="V2233">
        <v>1050</v>
      </c>
      <c r="W2233" t="s">
        <v>14858</v>
      </c>
      <c r="X2233" t="s">
        <v>14871</v>
      </c>
      <c r="Z2233" t="s">
        <v>16691</v>
      </c>
      <c r="AB2233" t="s">
        <v>21811</v>
      </c>
      <c r="AC2233">
        <v>122</v>
      </c>
      <c r="AD2233" t="s">
        <v>24595</v>
      </c>
      <c r="AE2233" t="s">
        <v>11459</v>
      </c>
      <c r="AF2233">
        <v>1</v>
      </c>
      <c r="AG2233">
        <v>1</v>
      </c>
      <c r="AH2233">
        <v>0</v>
      </c>
      <c r="AI2233">
        <v>278.33</v>
      </c>
      <c r="AL2233" t="s">
        <v>5011</v>
      </c>
      <c r="AM2233">
        <v>32760</v>
      </c>
      <c r="AS2233">
        <v>0.1</v>
      </c>
      <c r="AT2233" t="s">
        <v>25141</v>
      </c>
      <c r="AU2233" t="s">
        <v>186</v>
      </c>
      <c r="AW2233" t="s">
        <v>11447</v>
      </c>
    </row>
    <row r="2234" spans="1:49">
      <c r="A2234" s="1">
        <f>HYPERLINK("https://lsnyc.legalserver.org/matter/dynamic-profile/view/1913771","19-1913771")</f>
        <v>0</v>
      </c>
      <c r="B2234" t="s">
        <v>197</v>
      </c>
      <c r="C2234" t="s">
        <v>476</v>
      </c>
      <c r="E2234" t="s">
        <v>1277</v>
      </c>
      <c r="F2234" t="s">
        <v>4789</v>
      </c>
      <c r="G2234" t="s">
        <v>6809</v>
      </c>
      <c r="H2234" t="s">
        <v>10951</v>
      </c>
      <c r="I2234" t="s">
        <v>11383</v>
      </c>
      <c r="J2234">
        <v>10457</v>
      </c>
      <c r="K2234" t="s">
        <v>11446</v>
      </c>
      <c r="L2234" t="s">
        <v>12185</v>
      </c>
      <c r="N2234" t="s">
        <v>14782</v>
      </c>
      <c r="P2234" t="s">
        <v>14797</v>
      </c>
      <c r="S2234" t="s">
        <v>14827</v>
      </c>
      <c r="V2234">
        <v>0</v>
      </c>
      <c r="W2234" t="s">
        <v>14858</v>
      </c>
      <c r="Z2234" t="s">
        <v>16789</v>
      </c>
      <c r="AB2234" t="s">
        <v>21814</v>
      </c>
      <c r="AC2234">
        <v>0</v>
      </c>
      <c r="AF2234">
        <v>0</v>
      </c>
      <c r="AG2234">
        <v>1</v>
      </c>
      <c r="AH2234">
        <v>0</v>
      </c>
      <c r="AI2234">
        <v>278.84</v>
      </c>
      <c r="AL2234" t="s">
        <v>5011</v>
      </c>
      <c r="AM2234">
        <v>34826.76</v>
      </c>
      <c r="AS2234">
        <v>2.25</v>
      </c>
      <c r="AT2234" t="s">
        <v>495</v>
      </c>
      <c r="AU2234" t="s">
        <v>197</v>
      </c>
      <c r="AW2234" t="s">
        <v>11447</v>
      </c>
    </row>
    <row r="2235" spans="1:49">
      <c r="A2235" s="1">
        <f>HYPERLINK("https://lsnyc.legalserver.org/matter/dynamic-profile/view/1910539","19-1910539")</f>
        <v>0</v>
      </c>
      <c r="B2235" t="s">
        <v>108</v>
      </c>
      <c r="C2235" t="s">
        <v>602</v>
      </c>
      <c r="E2235" t="s">
        <v>1610</v>
      </c>
      <c r="F2235" t="s">
        <v>2559</v>
      </c>
      <c r="G2235" t="s">
        <v>7845</v>
      </c>
      <c r="H2235" t="s">
        <v>10562</v>
      </c>
      <c r="I2235" t="s">
        <v>11385</v>
      </c>
      <c r="J2235">
        <v>11203</v>
      </c>
      <c r="K2235" t="s">
        <v>11447</v>
      </c>
      <c r="L2235" t="s">
        <v>12186</v>
      </c>
      <c r="M2235" t="s">
        <v>14743</v>
      </c>
      <c r="N2235" t="s">
        <v>14782</v>
      </c>
      <c r="P2235" t="s">
        <v>14797</v>
      </c>
      <c r="Q2235" t="s">
        <v>11446</v>
      </c>
      <c r="S2235" t="s">
        <v>14827</v>
      </c>
      <c r="V2235">
        <v>1269</v>
      </c>
      <c r="W2235" t="s">
        <v>14859</v>
      </c>
      <c r="Z2235" t="s">
        <v>16790</v>
      </c>
      <c r="AB2235" t="s">
        <v>21815</v>
      </c>
      <c r="AC2235">
        <v>6</v>
      </c>
      <c r="AF2235">
        <v>8</v>
      </c>
      <c r="AG2235">
        <v>2</v>
      </c>
      <c r="AH2235">
        <v>0</v>
      </c>
      <c r="AI2235">
        <v>279.53</v>
      </c>
      <c r="AL2235" t="s">
        <v>5011</v>
      </c>
      <c r="AM2235">
        <v>47268</v>
      </c>
      <c r="AS2235">
        <v>2.5</v>
      </c>
      <c r="AT2235" t="s">
        <v>473</v>
      </c>
      <c r="AU2235" t="s">
        <v>25237</v>
      </c>
      <c r="AW2235" t="s">
        <v>11447</v>
      </c>
    </row>
    <row r="2236" spans="1:49">
      <c r="A2236" s="1">
        <f>HYPERLINK("https://lsnyc.legalserver.org/matter/dynamic-profile/view/1907628","19-1907628")</f>
        <v>0</v>
      </c>
      <c r="B2236" t="s">
        <v>209</v>
      </c>
      <c r="C2236" t="s">
        <v>633</v>
      </c>
      <c r="E2236" t="s">
        <v>1176</v>
      </c>
      <c r="F2236" t="s">
        <v>4297</v>
      </c>
      <c r="G2236" t="s">
        <v>7846</v>
      </c>
      <c r="H2236" t="s">
        <v>10953</v>
      </c>
      <c r="I2236" t="s">
        <v>11390</v>
      </c>
      <c r="J2236">
        <v>11368</v>
      </c>
      <c r="K2236" t="s">
        <v>11447</v>
      </c>
      <c r="M2236" t="s">
        <v>14762</v>
      </c>
      <c r="P2236" t="s">
        <v>14797</v>
      </c>
      <c r="S2236" t="s">
        <v>14827</v>
      </c>
      <c r="V2236">
        <v>1240.73</v>
      </c>
      <c r="W2236" t="s">
        <v>14861</v>
      </c>
      <c r="AB2236" t="s">
        <v>21816</v>
      </c>
      <c r="AC2236">
        <v>0</v>
      </c>
      <c r="AE2236" t="s">
        <v>11459</v>
      </c>
      <c r="AF2236">
        <v>33</v>
      </c>
      <c r="AG2236">
        <v>1</v>
      </c>
      <c r="AH2236">
        <v>0</v>
      </c>
      <c r="AI2236">
        <v>280.22</v>
      </c>
      <c r="AL2236" t="s">
        <v>5011</v>
      </c>
      <c r="AM2236">
        <v>35000</v>
      </c>
      <c r="AS2236">
        <v>0</v>
      </c>
      <c r="AU2236" t="s">
        <v>25233</v>
      </c>
      <c r="AW2236" t="s">
        <v>11447</v>
      </c>
    </row>
    <row r="2237" spans="1:49">
      <c r="A2237" s="1">
        <f>HYPERLINK("https://lsnyc.legalserver.org/matter/dynamic-profile/view/1909562","19-1909562")</f>
        <v>0</v>
      </c>
      <c r="B2237" t="s">
        <v>66</v>
      </c>
      <c r="C2237" t="s">
        <v>488</v>
      </c>
      <c r="E2237" t="s">
        <v>1644</v>
      </c>
      <c r="F2237" t="s">
        <v>3901</v>
      </c>
      <c r="G2237" t="s">
        <v>7847</v>
      </c>
      <c r="H2237" t="s">
        <v>10954</v>
      </c>
      <c r="I2237" t="s">
        <v>11385</v>
      </c>
      <c r="J2237">
        <v>11212</v>
      </c>
      <c r="K2237" t="s">
        <v>11448</v>
      </c>
      <c r="M2237" t="s">
        <v>11601</v>
      </c>
      <c r="P2237" t="s">
        <v>14797</v>
      </c>
      <c r="Q2237" t="s">
        <v>11448</v>
      </c>
      <c r="S2237" t="s">
        <v>14827</v>
      </c>
      <c r="V2237">
        <v>1241.41</v>
      </c>
      <c r="W2237" t="s">
        <v>14859</v>
      </c>
      <c r="X2237" t="s">
        <v>14873</v>
      </c>
      <c r="Z2237" t="s">
        <v>16791</v>
      </c>
      <c r="AB2237" t="s">
        <v>21817</v>
      </c>
      <c r="AC2237">
        <v>30</v>
      </c>
      <c r="AD2237" t="s">
        <v>24595</v>
      </c>
      <c r="AE2237" t="s">
        <v>11459</v>
      </c>
      <c r="AF2237">
        <v>6</v>
      </c>
      <c r="AG2237">
        <v>1</v>
      </c>
      <c r="AH2237">
        <v>0</v>
      </c>
      <c r="AI2237">
        <v>284.36</v>
      </c>
      <c r="AL2237" t="s">
        <v>5011</v>
      </c>
      <c r="AM2237">
        <v>35516</v>
      </c>
      <c r="AS2237">
        <v>1</v>
      </c>
      <c r="AT2237" t="s">
        <v>488</v>
      </c>
      <c r="AU2237" t="s">
        <v>25226</v>
      </c>
      <c r="AV2237" t="s">
        <v>11459</v>
      </c>
      <c r="AW2237" t="s">
        <v>11447</v>
      </c>
    </row>
    <row r="2238" spans="1:49">
      <c r="A2238" s="1">
        <f>HYPERLINK("https://lsnyc.legalserver.org/matter/dynamic-profile/view/1915132","19-1915132")</f>
        <v>0</v>
      </c>
      <c r="B2238" t="s">
        <v>183</v>
      </c>
      <c r="C2238" t="s">
        <v>516</v>
      </c>
      <c r="E2238" t="s">
        <v>1334</v>
      </c>
      <c r="F2238" t="s">
        <v>3975</v>
      </c>
      <c r="G2238" t="s">
        <v>7848</v>
      </c>
      <c r="H2238" t="s">
        <v>10467</v>
      </c>
      <c r="I2238" t="s">
        <v>11385</v>
      </c>
      <c r="J2238">
        <v>11212</v>
      </c>
      <c r="K2238" t="s">
        <v>11448</v>
      </c>
      <c r="L2238" t="s">
        <v>12009</v>
      </c>
      <c r="M2238" t="s">
        <v>14744</v>
      </c>
      <c r="P2238" t="s">
        <v>14797</v>
      </c>
      <c r="Q2238" t="s">
        <v>11448</v>
      </c>
      <c r="S2238" t="s">
        <v>14827</v>
      </c>
      <c r="T2238" t="s">
        <v>14832</v>
      </c>
      <c r="V2238">
        <v>1225</v>
      </c>
      <c r="W2238" t="s">
        <v>14859</v>
      </c>
      <c r="X2238" t="s">
        <v>14868</v>
      </c>
      <c r="Z2238" t="s">
        <v>16792</v>
      </c>
      <c r="AA2238" t="s">
        <v>11465</v>
      </c>
      <c r="AB2238" t="s">
        <v>21818</v>
      </c>
      <c r="AC2238">
        <v>32</v>
      </c>
      <c r="AD2238" t="s">
        <v>24595</v>
      </c>
      <c r="AE2238" t="s">
        <v>11459</v>
      </c>
      <c r="AF2238">
        <v>9</v>
      </c>
      <c r="AG2238">
        <v>1</v>
      </c>
      <c r="AH2238">
        <v>0</v>
      </c>
      <c r="AI2238">
        <v>289.19</v>
      </c>
      <c r="AL2238" t="s">
        <v>5011</v>
      </c>
      <c r="AM2238">
        <v>36120</v>
      </c>
      <c r="AS2238">
        <v>0</v>
      </c>
      <c r="AU2238" t="s">
        <v>66</v>
      </c>
      <c r="AV2238" t="s">
        <v>11459</v>
      </c>
      <c r="AW2238" t="s">
        <v>11447</v>
      </c>
    </row>
    <row r="2239" spans="1:49">
      <c r="A2239" s="1">
        <f>HYPERLINK("https://lsnyc.legalserver.org/matter/dynamic-profile/view/1910919","19-1910919")</f>
        <v>0</v>
      </c>
      <c r="B2239" t="s">
        <v>113</v>
      </c>
      <c r="C2239" t="s">
        <v>604</v>
      </c>
      <c r="E2239" t="s">
        <v>2242</v>
      </c>
      <c r="F2239" t="s">
        <v>4790</v>
      </c>
      <c r="G2239" t="s">
        <v>7849</v>
      </c>
      <c r="H2239" t="s">
        <v>10496</v>
      </c>
      <c r="I2239" t="s">
        <v>11385</v>
      </c>
      <c r="J2239">
        <v>11208</v>
      </c>
      <c r="K2239" t="s">
        <v>11448</v>
      </c>
      <c r="L2239" t="s">
        <v>12187</v>
      </c>
      <c r="M2239" t="s">
        <v>14743</v>
      </c>
      <c r="N2239" t="s">
        <v>14782</v>
      </c>
      <c r="P2239" t="s">
        <v>14797</v>
      </c>
      <c r="Q2239" t="s">
        <v>11448</v>
      </c>
      <c r="S2239" t="s">
        <v>14827</v>
      </c>
      <c r="V2239">
        <v>1300</v>
      </c>
      <c r="W2239" t="s">
        <v>14859</v>
      </c>
      <c r="X2239" t="s">
        <v>14873</v>
      </c>
      <c r="Z2239" t="s">
        <v>16793</v>
      </c>
      <c r="AA2239" t="s">
        <v>11459</v>
      </c>
      <c r="AB2239" t="s">
        <v>21819</v>
      </c>
      <c r="AC2239">
        <v>2</v>
      </c>
      <c r="AD2239" t="s">
        <v>24600</v>
      </c>
      <c r="AE2239" t="s">
        <v>11459</v>
      </c>
      <c r="AF2239">
        <v>1</v>
      </c>
      <c r="AG2239">
        <v>1</v>
      </c>
      <c r="AH2239">
        <v>0</v>
      </c>
      <c r="AI2239">
        <v>291.43</v>
      </c>
      <c r="AL2239" t="s">
        <v>5011</v>
      </c>
      <c r="AM2239">
        <v>36400</v>
      </c>
      <c r="AS2239">
        <v>0</v>
      </c>
      <c r="AU2239" t="s">
        <v>120</v>
      </c>
      <c r="AV2239" t="s">
        <v>11459</v>
      </c>
      <c r="AW2239" t="s">
        <v>11447</v>
      </c>
    </row>
    <row r="2240" spans="1:49">
      <c r="A2240" s="1">
        <f>HYPERLINK("https://lsnyc.legalserver.org/matter/dynamic-profile/view/1907523","19-1907523")</f>
        <v>0</v>
      </c>
      <c r="B2240" t="s">
        <v>57</v>
      </c>
      <c r="C2240" t="s">
        <v>465</v>
      </c>
      <c r="E2240" t="s">
        <v>2243</v>
      </c>
      <c r="F2240" t="s">
        <v>4791</v>
      </c>
      <c r="G2240" t="s">
        <v>6479</v>
      </c>
      <c r="H2240" t="s">
        <v>10649</v>
      </c>
      <c r="I2240" t="s">
        <v>11383</v>
      </c>
      <c r="J2240">
        <v>10474</v>
      </c>
      <c r="K2240" t="s">
        <v>11447</v>
      </c>
      <c r="L2240" t="s">
        <v>12025</v>
      </c>
      <c r="M2240" t="s">
        <v>14762</v>
      </c>
      <c r="N2240" t="s">
        <v>14783</v>
      </c>
      <c r="P2240" t="s">
        <v>14797</v>
      </c>
      <c r="Q2240" t="s">
        <v>11446</v>
      </c>
      <c r="S2240" t="s">
        <v>14827</v>
      </c>
      <c r="V2240">
        <v>0</v>
      </c>
      <c r="W2240" t="s">
        <v>14858</v>
      </c>
      <c r="Z2240" t="s">
        <v>16794</v>
      </c>
      <c r="AB2240" t="s">
        <v>21820</v>
      </c>
      <c r="AC2240">
        <v>0</v>
      </c>
      <c r="AD2240" t="s">
        <v>24595</v>
      </c>
      <c r="AF2240">
        <v>0</v>
      </c>
      <c r="AG2240">
        <v>2</v>
      </c>
      <c r="AH2240">
        <v>0</v>
      </c>
      <c r="AI2240">
        <v>292.13</v>
      </c>
      <c r="AL2240" t="s">
        <v>5011</v>
      </c>
      <c r="AM2240">
        <v>49400</v>
      </c>
      <c r="AS2240">
        <v>9.5</v>
      </c>
      <c r="AT2240" t="s">
        <v>466</v>
      </c>
      <c r="AU2240" t="s">
        <v>67</v>
      </c>
      <c r="AW2240" t="s">
        <v>11447</v>
      </c>
    </row>
    <row r="2241" spans="1:49">
      <c r="A2241" s="1">
        <f>HYPERLINK("https://lsnyc.legalserver.org/matter/dynamic-profile/view/1906062","19-1906062")</f>
        <v>0</v>
      </c>
      <c r="B2241" t="s">
        <v>67</v>
      </c>
      <c r="C2241" t="s">
        <v>618</v>
      </c>
      <c r="E2241" t="s">
        <v>2243</v>
      </c>
      <c r="F2241" t="s">
        <v>4791</v>
      </c>
      <c r="G2241" t="s">
        <v>6479</v>
      </c>
      <c r="H2241" t="s">
        <v>10649</v>
      </c>
      <c r="I2241" t="s">
        <v>11383</v>
      </c>
      <c r="J2241">
        <v>10474</v>
      </c>
      <c r="K2241" t="s">
        <v>11446</v>
      </c>
      <c r="L2241" t="s">
        <v>11496</v>
      </c>
      <c r="M2241" t="s">
        <v>14746</v>
      </c>
      <c r="N2241" t="s">
        <v>14781</v>
      </c>
      <c r="P2241" t="s">
        <v>14797</v>
      </c>
      <c r="Q2241" t="s">
        <v>11446</v>
      </c>
      <c r="S2241" t="s">
        <v>14827</v>
      </c>
      <c r="V2241">
        <v>1425</v>
      </c>
      <c r="W2241" t="s">
        <v>14858</v>
      </c>
      <c r="X2241" t="s">
        <v>14864</v>
      </c>
      <c r="Z2241" t="s">
        <v>16794</v>
      </c>
      <c r="AB2241" t="s">
        <v>21820</v>
      </c>
      <c r="AC2241">
        <v>47</v>
      </c>
      <c r="AD2241" t="s">
        <v>24595</v>
      </c>
      <c r="AE2241" t="s">
        <v>11459</v>
      </c>
      <c r="AF2241">
        <v>4</v>
      </c>
      <c r="AG2241">
        <v>2</v>
      </c>
      <c r="AH2241">
        <v>0</v>
      </c>
      <c r="AI2241">
        <v>292.13</v>
      </c>
      <c r="AL2241" t="s">
        <v>5011</v>
      </c>
      <c r="AM2241">
        <v>49400</v>
      </c>
      <c r="AS2241">
        <v>106.8</v>
      </c>
      <c r="AT2241" t="s">
        <v>509</v>
      </c>
      <c r="AU2241" t="s">
        <v>245</v>
      </c>
      <c r="AW2241" t="s">
        <v>11447</v>
      </c>
    </row>
    <row r="2242" spans="1:49">
      <c r="A2242" s="1">
        <f>HYPERLINK("https://lsnyc.legalserver.org/matter/dynamic-profile/view/1914969","19-1914969")</f>
        <v>0</v>
      </c>
      <c r="B2242" t="s">
        <v>90</v>
      </c>
      <c r="C2242" t="s">
        <v>521</v>
      </c>
      <c r="E2242" t="s">
        <v>2244</v>
      </c>
      <c r="F2242" t="s">
        <v>3709</v>
      </c>
      <c r="G2242" t="s">
        <v>7850</v>
      </c>
      <c r="H2242" t="s">
        <v>10699</v>
      </c>
      <c r="I2242" t="s">
        <v>11383</v>
      </c>
      <c r="J2242">
        <v>10459</v>
      </c>
      <c r="K2242" t="s">
        <v>11446</v>
      </c>
      <c r="P2242" t="s">
        <v>14797</v>
      </c>
      <c r="Q2242" t="s">
        <v>11448</v>
      </c>
      <c r="S2242" t="s">
        <v>14827</v>
      </c>
      <c r="V2242">
        <v>1115.94</v>
      </c>
      <c r="W2242" t="s">
        <v>14858</v>
      </c>
      <c r="X2242" t="s">
        <v>14864</v>
      </c>
      <c r="Z2242" t="s">
        <v>16795</v>
      </c>
      <c r="AB2242" t="s">
        <v>21821</v>
      </c>
      <c r="AC2242">
        <v>370</v>
      </c>
      <c r="AD2242" t="s">
        <v>24595</v>
      </c>
      <c r="AE2242" t="s">
        <v>11459</v>
      </c>
      <c r="AF2242">
        <v>8</v>
      </c>
      <c r="AG2242">
        <v>1</v>
      </c>
      <c r="AH2242">
        <v>1</v>
      </c>
      <c r="AI2242">
        <v>295.68</v>
      </c>
      <c r="AL2242" t="s">
        <v>5011</v>
      </c>
      <c r="AM2242">
        <v>50000</v>
      </c>
      <c r="AS2242">
        <v>8.199999999999999</v>
      </c>
      <c r="AT2242" t="s">
        <v>495</v>
      </c>
      <c r="AU2242" t="s">
        <v>245</v>
      </c>
      <c r="AW2242" t="s">
        <v>11447</v>
      </c>
    </row>
    <row r="2243" spans="1:49">
      <c r="A2243" s="1">
        <f>HYPERLINK("https://lsnyc.legalserver.org/matter/dynamic-profile/view/1911839","19-1911839")</f>
        <v>0</v>
      </c>
      <c r="B2243" t="s">
        <v>90</v>
      </c>
      <c r="C2243" t="s">
        <v>645</v>
      </c>
      <c r="E2243" t="s">
        <v>2245</v>
      </c>
      <c r="F2243" t="s">
        <v>4792</v>
      </c>
      <c r="G2243" t="s">
        <v>7617</v>
      </c>
      <c r="H2243" t="s">
        <v>10452</v>
      </c>
      <c r="I2243" t="s">
        <v>11383</v>
      </c>
      <c r="J2243">
        <v>10452</v>
      </c>
      <c r="K2243" t="s">
        <v>11446</v>
      </c>
      <c r="M2243" t="s">
        <v>14762</v>
      </c>
      <c r="N2243" t="s">
        <v>14783</v>
      </c>
      <c r="P2243" t="s">
        <v>14797</v>
      </c>
      <c r="Q2243" t="s">
        <v>11446</v>
      </c>
      <c r="S2243" t="s">
        <v>14827</v>
      </c>
      <c r="V2243">
        <v>1208.34</v>
      </c>
      <c r="W2243" t="s">
        <v>14858</v>
      </c>
      <c r="X2243" t="s">
        <v>14864</v>
      </c>
      <c r="Z2243" t="s">
        <v>16796</v>
      </c>
      <c r="AB2243" t="s">
        <v>21822</v>
      </c>
      <c r="AC2243">
        <v>52</v>
      </c>
      <c r="AD2243" t="s">
        <v>24595</v>
      </c>
      <c r="AE2243" t="s">
        <v>11459</v>
      </c>
      <c r="AF2243">
        <v>20</v>
      </c>
      <c r="AG2243">
        <v>2</v>
      </c>
      <c r="AH2243">
        <v>0</v>
      </c>
      <c r="AI2243">
        <v>303.96</v>
      </c>
      <c r="AL2243" t="s">
        <v>5011</v>
      </c>
      <c r="AM2243">
        <v>51400</v>
      </c>
      <c r="AS2243">
        <v>0.4</v>
      </c>
      <c r="AT2243" t="s">
        <v>645</v>
      </c>
      <c r="AU2243" t="s">
        <v>230</v>
      </c>
      <c r="AV2243" t="s">
        <v>25335</v>
      </c>
      <c r="AW2243" t="s">
        <v>11447</v>
      </c>
    </row>
    <row r="2244" spans="1:49">
      <c r="A2244" s="1">
        <f>HYPERLINK("https://lsnyc.legalserver.org/matter/dynamic-profile/view/0810502","16-0810502")</f>
        <v>0</v>
      </c>
      <c r="B2244" t="s">
        <v>189</v>
      </c>
      <c r="C2244" t="s">
        <v>718</v>
      </c>
      <c r="E2244" t="s">
        <v>2246</v>
      </c>
      <c r="F2244" t="s">
        <v>4793</v>
      </c>
      <c r="G2244" t="s">
        <v>7851</v>
      </c>
      <c r="I2244" t="s">
        <v>11385</v>
      </c>
      <c r="J2244">
        <v>11217</v>
      </c>
      <c r="K2244" t="s">
        <v>11446</v>
      </c>
      <c r="L2244" t="s">
        <v>12188</v>
      </c>
      <c r="M2244" t="s">
        <v>14743</v>
      </c>
      <c r="N2244" t="s">
        <v>14781</v>
      </c>
      <c r="P2244" t="s">
        <v>14797</v>
      </c>
      <c r="R2244" t="s">
        <v>14812</v>
      </c>
      <c r="S2244" t="s">
        <v>14827</v>
      </c>
      <c r="V2244">
        <v>270</v>
      </c>
      <c r="W2244" t="s">
        <v>14859</v>
      </c>
      <c r="X2244" t="s">
        <v>14864</v>
      </c>
      <c r="Z2244" t="s">
        <v>16116</v>
      </c>
      <c r="AC2244">
        <v>6</v>
      </c>
      <c r="AD2244" t="s">
        <v>24595</v>
      </c>
      <c r="AE2244" t="s">
        <v>11459</v>
      </c>
      <c r="AF2244">
        <v>6</v>
      </c>
      <c r="AG2244">
        <v>1</v>
      </c>
      <c r="AH2244">
        <v>0</v>
      </c>
      <c r="AI2244">
        <v>311.45</v>
      </c>
      <c r="AL2244" t="s">
        <v>5011</v>
      </c>
      <c r="AM2244">
        <v>37000</v>
      </c>
      <c r="AS2244">
        <v>237.3</v>
      </c>
      <c r="AT2244" t="s">
        <v>506</v>
      </c>
      <c r="AU2244" t="s">
        <v>263</v>
      </c>
      <c r="AW2244" t="s">
        <v>11447</v>
      </c>
    </row>
    <row r="2245" spans="1:49">
      <c r="A2245" s="1">
        <f>HYPERLINK("https://lsnyc.legalserver.org/matter/dynamic-profile/view/1905072","19-1905072")</f>
        <v>0</v>
      </c>
      <c r="B2245" t="s">
        <v>75</v>
      </c>
      <c r="C2245" t="s">
        <v>456</v>
      </c>
      <c r="E2245" t="s">
        <v>2247</v>
      </c>
      <c r="F2245" t="s">
        <v>4794</v>
      </c>
      <c r="G2245" t="s">
        <v>7852</v>
      </c>
      <c r="H2245" t="s">
        <v>10569</v>
      </c>
      <c r="I2245" t="s">
        <v>11385</v>
      </c>
      <c r="J2245">
        <v>11226</v>
      </c>
      <c r="K2245" t="s">
        <v>11447</v>
      </c>
      <c r="M2245" t="s">
        <v>14744</v>
      </c>
      <c r="P2245" t="s">
        <v>14797</v>
      </c>
      <c r="Q2245" t="s">
        <v>11448</v>
      </c>
      <c r="S2245" t="s">
        <v>14827</v>
      </c>
      <c r="V2245">
        <v>762</v>
      </c>
      <c r="W2245" t="s">
        <v>14859</v>
      </c>
      <c r="X2245" t="s">
        <v>14867</v>
      </c>
      <c r="Z2245" t="s">
        <v>16797</v>
      </c>
      <c r="AB2245" t="s">
        <v>21823</v>
      </c>
      <c r="AC2245">
        <v>42</v>
      </c>
      <c r="AE2245" t="s">
        <v>11459</v>
      </c>
      <c r="AF2245">
        <v>21</v>
      </c>
      <c r="AG2245">
        <v>1</v>
      </c>
      <c r="AH2245">
        <v>0</v>
      </c>
      <c r="AI2245">
        <v>312.25</v>
      </c>
      <c r="AL2245" t="s">
        <v>5011</v>
      </c>
      <c r="AM2245">
        <v>39000</v>
      </c>
      <c r="AN2245" t="s">
        <v>24806</v>
      </c>
      <c r="AS2245">
        <v>0.5</v>
      </c>
      <c r="AT2245" t="s">
        <v>456</v>
      </c>
      <c r="AU2245" t="s">
        <v>25236</v>
      </c>
      <c r="AW2245" t="s">
        <v>11447</v>
      </c>
    </row>
    <row r="2246" spans="1:49">
      <c r="A2246" s="1">
        <f>HYPERLINK("https://lsnyc.legalserver.org/matter/dynamic-profile/view/1911843","19-1911843")</f>
        <v>0</v>
      </c>
      <c r="B2246" t="s">
        <v>90</v>
      </c>
      <c r="C2246" t="s">
        <v>645</v>
      </c>
      <c r="E2246" t="s">
        <v>2248</v>
      </c>
      <c r="F2246" t="s">
        <v>4795</v>
      </c>
      <c r="G2246" t="s">
        <v>7617</v>
      </c>
      <c r="H2246" t="s">
        <v>10482</v>
      </c>
      <c r="I2246" t="s">
        <v>11383</v>
      </c>
      <c r="J2246">
        <v>10452</v>
      </c>
      <c r="K2246" t="s">
        <v>11446</v>
      </c>
      <c r="M2246" t="s">
        <v>14762</v>
      </c>
      <c r="N2246" t="s">
        <v>14783</v>
      </c>
      <c r="P2246" t="s">
        <v>14797</v>
      </c>
      <c r="Q2246" t="s">
        <v>11446</v>
      </c>
      <c r="S2246" t="s">
        <v>14827</v>
      </c>
      <c r="V2246">
        <v>1182</v>
      </c>
      <c r="W2246" t="s">
        <v>14858</v>
      </c>
      <c r="X2246" t="s">
        <v>14864</v>
      </c>
      <c r="Z2246" t="s">
        <v>16798</v>
      </c>
      <c r="AB2246" t="s">
        <v>21824</v>
      </c>
      <c r="AC2246">
        <v>52</v>
      </c>
      <c r="AD2246" t="s">
        <v>24595</v>
      </c>
      <c r="AE2246" t="s">
        <v>11459</v>
      </c>
      <c r="AF2246">
        <v>4</v>
      </c>
      <c r="AG2246">
        <v>1</v>
      </c>
      <c r="AH2246">
        <v>0</v>
      </c>
      <c r="AI2246">
        <v>312.25</v>
      </c>
      <c r="AL2246" t="s">
        <v>5011</v>
      </c>
      <c r="AM2246">
        <v>39000</v>
      </c>
      <c r="AS2246">
        <v>0.4</v>
      </c>
      <c r="AT2246" t="s">
        <v>645</v>
      </c>
      <c r="AU2246" t="s">
        <v>230</v>
      </c>
      <c r="AV2246" t="s">
        <v>25335</v>
      </c>
      <c r="AW2246" t="s">
        <v>11447</v>
      </c>
    </row>
    <row r="2247" spans="1:49">
      <c r="A2247" s="1">
        <f>HYPERLINK("https://lsnyc.legalserver.org/matter/dynamic-profile/view/1911847","19-1911847")</f>
        <v>0</v>
      </c>
      <c r="B2247" t="s">
        <v>90</v>
      </c>
      <c r="C2247" t="s">
        <v>645</v>
      </c>
      <c r="E2247" t="s">
        <v>2248</v>
      </c>
      <c r="F2247" t="s">
        <v>4795</v>
      </c>
      <c r="G2247" t="s">
        <v>7617</v>
      </c>
      <c r="H2247" t="s">
        <v>10482</v>
      </c>
      <c r="I2247" t="s">
        <v>11383</v>
      </c>
      <c r="J2247">
        <v>10452</v>
      </c>
      <c r="K2247" t="s">
        <v>11446</v>
      </c>
      <c r="M2247" t="s">
        <v>14762</v>
      </c>
      <c r="N2247" t="s">
        <v>14783</v>
      </c>
      <c r="P2247" t="s">
        <v>14797</v>
      </c>
      <c r="Q2247" t="s">
        <v>11446</v>
      </c>
      <c r="S2247" t="s">
        <v>14827</v>
      </c>
      <c r="V2247">
        <v>1182</v>
      </c>
      <c r="W2247" t="s">
        <v>14858</v>
      </c>
      <c r="X2247" t="s">
        <v>14864</v>
      </c>
      <c r="Z2247" t="s">
        <v>16798</v>
      </c>
      <c r="AB2247" t="s">
        <v>21824</v>
      </c>
      <c r="AC2247">
        <v>52</v>
      </c>
      <c r="AD2247" t="s">
        <v>24595</v>
      </c>
      <c r="AE2247" t="s">
        <v>11459</v>
      </c>
      <c r="AF2247">
        <v>4</v>
      </c>
      <c r="AG2247">
        <v>1</v>
      </c>
      <c r="AH2247">
        <v>0</v>
      </c>
      <c r="AI2247">
        <v>312.25</v>
      </c>
      <c r="AL2247" t="s">
        <v>5011</v>
      </c>
      <c r="AM2247">
        <v>39000</v>
      </c>
      <c r="AS2247">
        <v>0.4</v>
      </c>
      <c r="AT2247" t="s">
        <v>645</v>
      </c>
      <c r="AU2247" t="s">
        <v>230</v>
      </c>
      <c r="AV2247" t="s">
        <v>25335</v>
      </c>
      <c r="AW2247" t="s">
        <v>11447</v>
      </c>
    </row>
    <row r="2248" spans="1:49">
      <c r="A2248" s="1">
        <f>HYPERLINK("https://lsnyc.legalserver.org/matter/dynamic-profile/view/1908649","19-1908649")</f>
        <v>0</v>
      </c>
      <c r="B2248" t="s">
        <v>67</v>
      </c>
      <c r="C2248" t="s">
        <v>497</v>
      </c>
      <c r="E2248" t="s">
        <v>2249</v>
      </c>
      <c r="F2248" t="s">
        <v>4541</v>
      </c>
      <c r="G2248" t="s">
        <v>6479</v>
      </c>
      <c r="H2248" t="s">
        <v>10509</v>
      </c>
      <c r="I2248" t="s">
        <v>11383</v>
      </c>
      <c r="J2248">
        <v>10474</v>
      </c>
      <c r="K2248" t="s">
        <v>11447</v>
      </c>
      <c r="L2248" t="s">
        <v>12025</v>
      </c>
      <c r="M2248" t="s">
        <v>14762</v>
      </c>
      <c r="N2248" t="s">
        <v>14783</v>
      </c>
      <c r="P2248" t="s">
        <v>14797</v>
      </c>
      <c r="Q2248" t="s">
        <v>11446</v>
      </c>
      <c r="S2248" t="s">
        <v>14827</v>
      </c>
      <c r="V2248">
        <v>0</v>
      </c>
      <c r="W2248" t="s">
        <v>14858</v>
      </c>
      <c r="Z2248" t="s">
        <v>16799</v>
      </c>
      <c r="AB2248" t="s">
        <v>21825</v>
      </c>
      <c r="AC2248">
        <v>0</v>
      </c>
      <c r="AF2248">
        <v>0</v>
      </c>
      <c r="AG2248">
        <v>1</v>
      </c>
      <c r="AH2248">
        <v>0</v>
      </c>
      <c r="AI2248">
        <v>316.41</v>
      </c>
      <c r="AL2248" t="s">
        <v>5011</v>
      </c>
      <c r="AM2248">
        <v>39520</v>
      </c>
      <c r="AS2248">
        <v>0</v>
      </c>
      <c r="AU2248" t="s">
        <v>67</v>
      </c>
      <c r="AW2248" t="s">
        <v>11447</v>
      </c>
    </row>
    <row r="2249" spans="1:49">
      <c r="A2249" s="1">
        <f>HYPERLINK("https://lsnyc.legalserver.org/matter/dynamic-profile/view/1907861","19-1907861")</f>
        <v>0</v>
      </c>
      <c r="B2249" t="s">
        <v>67</v>
      </c>
      <c r="C2249" t="s">
        <v>377</v>
      </c>
      <c r="E2249" t="s">
        <v>2249</v>
      </c>
      <c r="F2249" t="s">
        <v>4541</v>
      </c>
      <c r="G2249" t="s">
        <v>6479</v>
      </c>
      <c r="H2249" t="s">
        <v>10509</v>
      </c>
      <c r="I2249" t="s">
        <v>11383</v>
      </c>
      <c r="J2249">
        <v>10474</v>
      </c>
      <c r="K2249" t="s">
        <v>11446</v>
      </c>
      <c r="M2249" t="s">
        <v>14746</v>
      </c>
      <c r="N2249" t="s">
        <v>14781</v>
      </c>
      <c r="P2249" t="s">
        <v>14797</v>
      </c>
      <c r="Q2249" t="s">
        <v>11446</v>
      </c>
      <c r="S2249" t="s">
        <v>14827</v>
      </c>
      <c r="V2249">
        <v>1450</v>
      </c>
      <c r="W2249" t="s">
        <v>14858</v>
      </c>
      <c r="X2249" t="s">
        <v>14864</v>
      </c>
      <c r="Z2249" t="s">
        <v>16799</v>
      </c>
      <c r="AB2249" t="s">
        <v>21825</v>
      </c>
      <c r="AC2249">
        <v>40</v>
      </c>
      <c r="AD2249" t="s">
        <v>24595</v>
      </c>
      <c r="AE2249" t="s">
        <v>11459</v>
      </c>
      <c r="AF2249">
        <v>2</v>
      </c>
      <c r="AG2249">
        <v>1</v>
      </c>
      <c r="AH2249">
        <v>0</v>
      </c>
      <c r="AI2249">
        <v>316.41</v>
      </c>
      <c r="AL2249" t="s">
        <v>5011</v>
      </c>
      <c r="AM2249">
        <v>39520</v>
      </c>
      <c r="AS2249">
        <v>0</v>
      </c>
      <c r="AU2249" t="s">
        <v>57</v>
      </c>
      <c r="AV2249" t="s">
        <v>25335</v>
      </c>
      <c r="AW2249" t="s">
        <v>11447</v>
      </c>
    </row>
    <row r="2250" spans="1:49">
      <c r="A2250" s="1">
        <f>HYPERLINK("https://lsnyc.legalserver.org/matter/dynamic-profile/view/1913534","19-1913534")</f>
        <v>0</v>
      </c>
      <c r="B2250" t="s">
        <v>67</v>
      </c>
      <c r="C2250" t="s">
        <v>477</v>
      </c>
      <c r="E2250" t="s">
        <v>1598</v>
      </c>
      <c r="F2250" t="s">
        <v>3709</v>
      </c>
      <c r="G2250" t="s">
        <v>7638</v>
      </c>
      <c r="H2250" t="s">
        <v>10542</v>
      </c>
      <c r="I2250" t="s">
        <v>11383</v>
      </c>
      <c r="J2250">
        <v>10452</v>
      </c>
      <c r="K2250" t="s">
        <v>11446</v>
      </c>
      <c r="L2250" t="s">
        <v>12057</v>
      </c>
      <c r="M2250" t="s">
        <v>14762</v>
      </c>
      <c r="N2250" t="s">
        <v>14783</v>
      </c>
      <c r="P2250" t="s">
        <v>14797</v>
      </c>
      <c r="Q2250" t="s">
        <v>11446</v>
      </c>
      <c r="S2250" t="s">
        <v>14827</v>
      </c>
      <c r="V2250">
        <v>485</v>
      </c>
      <c r="W2250" t="s">
        <v>14858</v>
      </c>
      <c r="X2250" t="s">
        <v>14864</v>
      </c>
      <c r="Z2250" t="s">
        <v>16800</v>
      </c>
      <c r="AA2250" t="s">
        <v>19509</v>
      </c>
      <c r="AB2250" t="s">
        <v>21826</v>
      </c>
      <c r="AC2250">
        <v>67</v>
      </c>
      <c r="AD2250" t="s">
        <v>24595</v>
      </c>
      <c r="AE2250" t="s">
        <v>11459</v>
      </c>
      <c r="AF2250">
        <v>51</v>
      </c>
      <c r="AG2250">
        <v>2</v>
      </c>
      <c r="AH2250">
        <v>0</v>
      </c>
      <c r="AI2250">
        <v>324.94</v>
      </c>
      <c r="AL2250" t="s">
        <v>5011</v>
      </c>
      <c r="AM2250">
        <v>54948</v>
      </c>
      <c r="AS2250">
        <v>0</v>
      </c>
      <c r="AU2250" t="s">
        <v>25242</v>
      </c>
      <c r="AV2250" t="s">
        <v>25335</v>
      </c>
      <c r="AW2250" t="s">
        <v>11447</v>
      </c>
    </row>
    <row r="2251" spans="1:49">
      <c r="A2251" s="1">
        <f>HYPERLINK("https://lsnyc.legalserver.org/matter/dynamic-profile/view/1914518","19-1914518")</f>
        <v>0</v>
      </c>
      <c r="B2251" t="s">
        <v>126</v>
      </c>
      <c r="C2251" t="s">
        <v>533</v>
      </c>
      <c r="E2251" t="s">
        <v>1249</v>
      </c>
      <c r="F2251" t="s">
        <v>4476</v>
      </c>
      <c r="G2251" t="s">
        <v>7021</v>
      </c>
      <c r="H2251" t="s">
        <v>10859</v>
      </c>
      <c r="I2251" t="s">
        <v>11383</v>
      </c>
      <c r="J2251">
        <v>10452</v>
      </c>
      <c r="K2251" t="s">
        <v>11446</v>
      </c>
      <c r="P2251" t="s">
        <v>14797</v>
      </c>
      <c r="Q2251" t="s">
        <v>11446</v>
      </c>
      <c r="S2251" t="s">
        <v>14827</v>
      </c>
      <c r="V2251">
        <v>851.47</v>
      </c>
      <c r="W2251" t="s">
        <v>14858</v>
      </c>
      <c r="X2251" t="s">
        <v>14864</v>
      </c>
      <c r="Z2251" t="s">
        <v>16801</v>
      </c>
      <c r="AB2251" t="s">
        <v>21827</v>
      </c>
      <c r="AC2251">
        <v>63</v>
      </c>
      <c r="AD2251" t="s">
        <v>24595</v>
      </c>
      <c r="AE2251" t="s">
        <v>11459</v>
      </c>
      <c r="AF2251">
        <v>45</v>
      </c>
      <c r="AG2251">
        <v>1</v>
      </c>
      <c r="AH2251">
        <v>0</v>
      </c>
      <c r="AI2251">
        <v>326.66</v>
      </c>
      <c r="AL2251" t="s">
        <v>5011</v>
      </c>
      <c r="AM2251">
        <v>40800</v>
      </c>
      <c r="AS2251">
        <v>0.75</v>
      </c>
      <c r="AT2251" t="s">
        <v>491</v>
      </c>
      <c r="AU2251" t="s">
        <v>237</v>
      </c>
      <c r="AV2251" t="s">
        <v>25335</v>
      </c>
      <c r="AW2251" t="s">
        <v>11447</v>
      </c>
    </row>
    <row r="2252" spans="1:49">
      <c r="A2252" s="1">
        <f>HYPERLINK("https://lsnyc.legalserver.org/matter/dynamic-profile/view/1914698","19-1914698")</f>
        <v>0</v>
      </c>
      <c r="B2252" t="s">
        <v>254</v>
      </c>
      <c r="C2252" t="s">
        <v>491</v>
      </c>
      <c r="E2252" t="s">
        <v>1249</v>
      </c>
      <c r="F2252" t="s">
        <v>4476</v>
      </c>
      <c r="G2252" t="s">
        <v>7021</v>
      </c>
      <c r="H2252" t="s">
        <v>10859</v>
      </c>
      <c r="I2252" t="s">
        <v>11383</v>
      </c>
      <c r="J2252">
        <v>10452</v>
      </c>
      <c r="K2252" t="s">
        <v>11446</v>
      </c>
      <c r="P2252" t="s">
        <v>14797</v>
      </c>
      <c r="Q2252" t="s">
        <v>11446</v>
      </c>
      <c r="S2252" t="s">
        <v>14827</v>
      </c>
      <c r="V2252">
        <v>851.47</v>
      </c>
      <c r="W2252" t="s">
        <v>14858</v>
      </c>
      <c r="X2252" t="s">
        <v>14864</v>
      </c>
      <c r="Z2252" t="s">
        <v>16801</v>
      </c>
      <c r="AB2252" t="s">
        <v>21827</v>
      </c>
      <c r="AC2252">
        <v>63</v>
      </c>
      <c r="AD2252" t="s">
        <v>24595</v>
      </c>
      <c r="AE2252" t="s">
        <v>11459</v>
      </c>
      <c r="AF2252">
        <v>45</v>
      </c>
      <c r="AG2252">
        <v>1</v>
      </c>
      <c r="AH2252">
        <v>0</v>
      </c>
      <c r="AI2252">
        <v>326.66</v>
      </c>
      <c r="AL2252" t="s">
        <v>5011</v>
      </c>
      <c r="AM2252">
        <v>40800</v>
      </c>
      <c r="AS2252">
        <v>0</v>
      </c>
      <c r="AU2252" t="s">
        <v>25242</v>
      </c>
      <c r="AV2252" t="s">
        <v>25335</v>
      </c>
      <c r="AW2252" t="s">
        <v>11447</v>
      </c>
    </row>
    <row r="2253" spans="1:49">
      <c r="A2253" s="1">
        <f>HYPERLINK("https://lsnyc.legalserver.org/matter/dynamic-profile/view/1898330","19-1898330")</f>
        <v>0</v>
      </c>
      <c r="B2253" t="s">
        <v>102</v>
      </c>
      <c r="C2253" t="s">
        <v>510</v>
      </c>
      <c r="E2253" t="s">
        <v>1404</v>
      </c>
      <c r="F2253" t="s">
        <v>4490</v>
      </c>
      <c r="G2253" t="s">
        <v>7486</v>
      </c>
      <c r="H2253" t="s">
        <v>10509</v>
      </c>
      <c r="I2253" t="s">
        <v>11383</v>
      </c>
      <c r="J2253">
        <v>10467</v>
      </c>
      <c r="K2253" t="s">
        <v>11446</v>
      </c>
      <c r="L2253" t="s">
        <v>12189</v>
      </c>
      <c r="M2253" t="s">
        <v>14762</v>
      </c>
      <c r="N2253" t="s">
        <v>14783</v>
      </c>
      <c r="P2253" t="s">
        <v>14797</v>
      </c>
      <c r="Q2253" t="s">
        <v>11446</v>
      </c>
      <c r="S2253" t="s">
        <v>14827</v>
      </c>
      <c r="V2253">
        <v>752</v>
      </c>
      <c r="W2253" t="s">
        <v>14858</v>
      </c>
      <c r="X2253" t="s">
        <v>14864</v>
      </c>
      <c r="Z2253" t="s">
        <v>16290</v>
      </c>
      <c r="AB2253" t="s">
        <v>21361</v>
      </c>
      <c r="AC2253">
        <v>60</v>
      </c>
      <c r="AD2253" t="s">
        <v>24595</v>
      </c>
      <c r="AE2253" t="s">
        <v>11459</v>
      </c>
      <c r="AF2253">
        <v>19</v>
      </c>
      <c r="AG2253">
        <v>1</v>
      </c>
      <c r="AH2253">
        <v>0</v>
      </c>
      <c r="AI2253">
        <v>340.27</v>
      </c>
      <c r="AL2253" t="s">
        <v>5011</v>
      </c>
      <c r="AM2253">
        <v>42500</v>
      </c>
      <c r="AN2253" t="s">
        <v>24807</v>
      </c>
      <c r="AS2253">
        <v>0</v>
      </c>
      <c r="AU2253" t="s">
        <v>25242</v>
      </c>
      <c r="AV2253" t="s">
        <v>25335</v>
      </c>
      <c r="AW2253" t="s">
        <v>11446</v>
      </c>
    </row>
    <row r="2254" spans="1:49">
      <c r="A2254" s="1">
        <f>HYPERLINK("https://lsnyc.legalserver.org/matter/dynamic-profile/view/1910518","19-1910518")</f>
        <v>0</v>
      </c>
      <c r="B2254" t="s">
        <v>140</v>
      </c>
      <c r="C2254" t="s">
        <v>602</v>
      </c>
      <c r="E2254" t="s">
        <v>1404</v>
      </c>
      <c r="F2254" t="s">
        <v>4490</v>
      </c>
      <c r="G2254" t="s">
        <v>7486</v>
      </c>
      <c r="H2254" t="s">
        <v>10509</v>
      </c>
      <c r="I2254" t="s">
        <v>11383</v>
      </c>
      <c r="J2254">
        <v>10467</v>
      </c>
      <c r="K2254" t="s">
        <v>11446</v>
      </c>
      <c r="L2254" t="s">
        <v>12190</v>
      </c>
      <c r="M2254" t="s">
        <v>14743</v>
      </c>
      <c r="P2254" t="s">
        <v>14797</v>
      </c>
      <c r="Q2254" t="s">
        <v>11448</v>
      </c>
      <c r="S2254" t="s">
        <v>14827</v>
      </c>
      <c r="V2254">
        <v>752</v>
      </c>
      <c r="W2254" t="s">
        <v>14858</v>
      </c>
      <c r="X2254" t="s">
        <v>14868</v>
      </c>
      <c r="Z2254" t="s">
        <v>16290</v>
      </c>
      <c r="AB2254" t="s">
        <v>21361</v>
      </c>
      <c r="AC2254">
        <v>59</v>
      </c>
      <c r="AD2254" t="s">
        <v>24595</v>
      </c>
      <c r="AE2254" t="s">
        <v>11459</v>
      </c>
      <c r="AF2254">
        <v>19</v>
      </c>
      <c r="AG2254">
        <v>1</v>
      </c>
      <c r="AH2254">
        <v>0</v>
      </c>
      <c r="AI2254">
        <v>340.27</v>
      </c>
      <c r="AL2254" t="s">
        <v>5011</v>
      </c>
      <c r="AM2254">
        <v>42500</v>
      </c>
      <c r="AS2254">
        <v>2.6</v>
      </c>
      <c r="AT2254" t="s">
        <v>484</v>
      </c>
      <c r="AU2254" t="s">
        <v>25242</v>
      </c>
      <c r="AV2254" t="s">
        <v>25335</v>
      </c>
      <c r="AW2254" t="s">
        <v>11447</v>
      </c>
    </row>
    <row r="2255" spans="1:49">
      <c r="A2255" s="1">
        <f>HYPERLINK("https://lsnyc.legalserver.org/matter/dynamic-profile/view/1911880","19-1911880")</f>
        <v>0</v>
      </c>
      <c r="B2255" t="s">
        <v>67</v>
      </c>
      <c r="C2255" t="s">
        <v>645</v>
      </c>
      <c r="E2255" t="s">
        <v>1584</v>
      </c>
      <c r="F2255" t="s">
        <v>4796</v>
      </c>
      <c r="G2255" t="s">
        <v>7638</v>
      </c>
      <c r="H2255" t="s">
        <v>10665</v>
      </c>
      <c r="I2255" t="s">
        <v>11383</v>
      </c>
      <c r="J2255">
        <v>10452</v>
      </c>
      <c r="K2255" t="s">
        <v>11446</v>
      </c>
      <c r="L2255" t="s">
        <v>12057</v>
      </c>
      <c r="M2255" t="s">
        <v>14762</v>
      </c>
      <c r="N2255" t="s">
        <v>14783</v>
      </c>
      <c r="P2255" t="s">
        <v>14797</v>
      </c>
      <c r="Q2255" t="s">
        <v>11446</v>
      </c>
      <c r="S2255" t="s">
        <v>14827</v>
      </c>
      <c r="V2255">
        <v>757.24</v>
      </c>
      <c r="W2255" t="s">
        <v>14858</v>
      </c>
      <c r="X2255" t="s">
        <v>14864</v>
      </c>
      <c r="Z2255" t="s">
        <v>16802</v>
      </c>
      <c r="AB2255" t="s">
        <v>21828</v>
      </c>
      <c r="AC2255">
        <v>67</v>
      </c>
      <c r="AD2255" t="s">
        <v>24595</v>
      </c>
      <c r="AE2255" t="s">
        <v>11459</v>
      </c>
      <c r="AF2255">
        <v>43</v>
      </c>
      <c r="AG2255">
        <v>1</v>
      </c>
      <c r="AH2255">
        <v>0</v>
      </c>
      <c r="AI2255">
        <v>350.69</v>
      </c>
      <c r="AL2255" t="s">
        <v>5011</v>
      </c>
      <c r="AM2255">
        <v>43801.08</v>
      </c>
      <c r="AS2255">
        <v>3.5</v>
      </c>
      <c r="AT2255" t="s">
        <v>486</v>
      </c>
      <c r="AU2255" t="s">
        <v>25268</v>
      </c>
      <c r="AV2255" t="s">
        <v>25335</v>
      </c>
      <c r="AW2255" t="s">
        <v>11447</v>
      </c>
    </row>
    <row r="2256" spans="1:49">
      <c r="A2256" s="1">
        <f>HYPERLINK("https://lsnyc.legalserver.org/matter/dynamic-profile/view/1906660","19-1906660")</f>
        <v>0</v>
      </c>
      <c r="B2256" t="s">
        <v>126</v>
      </c>
      <c r="C2256" t="s">
        <v>373</v>
      </c>
      <c r="E2256" t="s">
        <v>2250</v>
      </c>
      <c r="F2256" t="s">
        <v>4797</v>
      </c>
      <c r="G2256" t="s">
        <v>7021</v>
      </c>
      <c r="H2256" t="s">
        <v>10484</v>
      </c>
      <c r="I2256" t="s">
        <v>11383</v>
      </c>
      <c r="J2256">
        <v>10452</v>
      </c>
      <c r="K2256" t="s">
        <v>11446</v>
      </c>
      <c r="P2256" t="s">
        <v>14797</v>
      </c>
      <c r="Q2256" t="s">
        <v>11446</v>
      </c>
      <c r="S2256" t="s">
        <v>14827</v>
      </c>
      <c r="V2256">
        <v>15</v>
      </c>
      <c r="W2256" t="s">
        <v>14858</v>
      </c>
      <c r="X2256" t="s">
        <v>14864</v>
      </c>
      <c r="Z2256" t="s">
        <v>16803</v>
      </c>
      <c r="AB2256" t="s">
        <v>21829</v>
      </c>
      <c r="AC2256">
        <v>65</v>
      </c>
      <c r="AD2256" t="s">
        <v>24595</v>
      </c>
      <c r="AE2256" t="s">
        <v>11459</v>
      </c>
      <c r="AF2256">
        <v>15</v>
      </c>
      <c r="AG2256">
        <v>2</v>
      </c>
      <c r="AH2256">
        <v>0</v>
      </c>
      <c r="AI2256">
        <v>354.82</v>
      </c>
      <c r="AL2256" t="s">
        <v>5011</v>
      </c>
      <c r="AM2256">
        <v>60000</v>
      </c>
      <c r="AS2256">
        <v>9</v>
      </c>
      <c r="AT2256" t="s">
        <v>585</v>
      </c>
      <c r="AU2256" t="s">
        <v>245</v>
      </c>
      <c r="AW2256" t="s">
        <v>11447</v>
      </c>
    </row>
    <row r="2257" spans="1:49">
      <c r="A2257" s="1">
        <f>HYPERLINK("https://lsnyc.legalserver.org/matter/dynamic-profile/view/1914867","19-1914867")</f>
        <v>0</v>
      </c>
      <c r="B2257" t="s">
        <v>126</v>
      </c>
      <c r="C2257" t="s">
        <v>537</v>
      </c>
      <c r="E2257" t="s">
        <v>2250</v>
      </c>
      <c r="F2257" t="s">
        <v>4797</v>
      </c>
      <c r="G2257" t="s">
        <v>7021</v>
      </c>
      <c r="H2257" t="s">
        <v>10484</v>
      </c>
      <c r="I2257" t="s">
        <v>11383</v>
      </c>
      <c r="J2257">
        <v>10452</v>
      </c>
      <c r="K2257" t="s">
        <v>11446</v>
      </c>
      <c r="P2257" t="s">
        <v>14797</v>
      </c>
      <c r="Q2257" t="s">
        <v>11446</v>
      </c>
      <c r="S2257" t="s">
        <v>14827</v>
      </c>
      <c r="V2257">
        <v>15</v>
      </c>
      <c r="W2257" t="s">
        <v>14858</v>
      </c>
      <c r="X2257" t="s">
        <v>14864</v>
      </c>
      <c r="Z2257" t="s">
        <v>16803</v>
      </c>
      <c r="AB2257" t="s">
        <v>21829</v>
      </c>
      <c r="AC2257">
        <v>65</v>
      </c>
      <c r="AD2257" t="s">
        <v>24595</v>
      </c>
      <c r="AE2257" t="s">
        <v>11459</v>
      </c>
      <c r="AF2257">
        <v>15</v>
      </c>
      <c r="AG2257">
        <v>2</v>
      </c>
      <c r="AH2257">
        <v>0</v>
      </c>
      <c r="AI2257">
        <v>354.82</v>
      </c>
      <c r="AL2257" t="s">
        <v>5011</v>
      </c>
      <c r="AM2257">
        <v>60000</v>
      </c>
      <c r="AS2257">
        <v>0</v>
      </c>
      <c r="AU2257" t="s">
        <v>245</v>
      </c>
      <c r="AW2257" t="s">
        <v>11447</v>
      </c>
    </row>
    <row r="2258" spans="1:49">
      <c r="A2258" s="1">
        <f>HYPERLINK("https://lsnyc.legalserver.org/matter/dynamic-profile/view/1907524","19-1907524")</f>
        <v>0</v>
      </c>
      <c r="B2258" t="s">
        <v>67</v>
      </c>
      <c r="C2258" t="s">
        <v>465</v>
      </c>
      <c r="E2258" t="s">
        <v>2118</v>
      </c>
      <c r="F2258" t="s">
        <v>4663</v>
      </c>
      <c r="G2258" t="s">
        <v>6479</v>
      </c>
      <c r="H2258" t="s">
        <v>10738</v>
      </c>
      <c r="I2258" t="s">
        <v>11383</v>
      </c>
      <c r="J2258">
        <v>10474</v>
      </c>
      <c r="K2258" t="s">
        <v>11447</v>
      </c>
      <c r="L2258" t="s">
        <v>12025</v>
      </c>
      <c r="M2258" t="s">
        <v>14762</v>
      </c>
      <c r="N2258" t="s">
        <v>14783</v>
      </c>
      <c r="P2258" t="s">
        <v>14797</v>
      </c>
      <c r="Q2258" t="s">
        <v>11446</v>
      </c>
      <c r="S2258" t="s">
        <v>14827</v>
      </c>
      <c r="T2258" t="s">
        <v>14832</v>
      </c>
      <c r="V2258">
        <v>0</v>
      </c>
      <c r="W2258" t="s">
        <v>14858</v>
      </c>
      <c r="Z2258" t="s">
        <v>16571</v>
      </c>
      <c r="AB2258" t="s">
        <v>21609</v>
      </c>
      <c r="AC2258">
        <v>0</v>
      </c>
      <c r="AF2258">
        <v>0</v>
      </c>
      <c r="AG2258">
        <v>2</v>
      </c>
      <c r="AH2258">
        <v>0</v>
      </c>
      <c r="AI2258">
        <v>366.65</v>
      </c>
      <c r="AL2258" t="s">
        <v>5011</v>
      </c>
      <c r="AM2258">
        <v>62000</v>
      </c>
      <c r="AS2258">
        <v>0</v>
      </c>
      <c r="AU2258" t="s">
        <v>67</v>
      </c>
      <c r="AW2258" t="s">
        <v>11447</v>
      </c>
    </row>
    <row r="2259" spans="1:49">
      <c r="A2259" s="1">
        <f>HYPERLINK("https://lsnyc.legalserver.org/matter/dynamic-profile/view/0832916","17-0832916")</f>
        <v>0</v>
      </c>
      <c r="B2259" t="s">
        <v>255</v>
      </c>
      <c r="C2259" t="s">
        <v>719</v>
      </c>
      <c r="E2259" t="s">
        <v>2251</v>
      </c>
      <c r="F2259" t="s">
        <v>4798</v>
      </c>
      <c r="G2259" t="s">
        <v>7853</v>
      </c>
      <c r="H2259" t="s">
        <v>10955</v>
      </c>
      <c r="I2259" t="s">
        <v>11385</v>
      </c>
      <c r="J2259">
        <v>11238</v>
      </c>
      <c r="K2259" t="s">
        <v>11446</v>
      </c>
      <c r="L2259" t="s">
        <v>12191</v>
      </c>
      <c r="M2259" t="s">
        <v>14744</v>
      </c>
      <c r="N2259" t="s">
        <v>14781</v>
      </c>
      <c r="P2259" t="s">
        <v>14797</v>
      </c>
      <c r="Q2259" t="s">
        <v>11448</v>
      </c>
      <c r="R2259" t="s">
        <v>14819</v>
      </c>
      <c r="S2259" t="s">
        <v>14827</v>
      </c>
      <c r="V2259">
        <v>0</v>
      </c>
      <c r="W2259" t="s">
        <v>14859</v>
      </c>
      <c r="X2259" t="s">
        <v>14755</v>
      </c>
      <c r="Z2259" t="s">
        <v>16804</v>
      </c>
      <c r="AB2259" t="s">
        <v>21830</v>
      </c>
      <c r="AC2259">
        <v>24</v>
      </c>
      <c r="AD2259" t="s">
        <v>24595</v>
      </c>
      <c r="AE2259" t="s">
        <v>11459</v>
      </c>
      <c r="AF2259">
        <v>14</v>
      </c>
      <c r="AG2259">
        <v>1</v>
      </c>
      <c r="AH2259">
        <v>2</v>
      </c>
      <c r="AI2259">
        <v>416.26</v>
      </c>
      <c r="AL2259" t="s">
        <v>5011</v>
      </c>
      <c r="AM2259">
        <v>85000</v>
      </c>
      <c r="AS2259">
        <v>78.34999999999999</v>
      </c>
      <c r="AT2259" t="s">
        <v>25142</v>
      </c>
      <c r="AU2259" t="s">
        <v>25275</v>
      </c>
      <c r="AW2259" t="s">
        <v>11447</v>
      </c>
    </row>
    <row r="2260" spans="1:49">
      <c r="A2260" s="1">
        <f>HYPERLINK("https://lsnyc.legalserver.org/matter/dynamic-profile/view/1911830","19-1911830")</f>
        <v>0</v>
      </c>
      <c r="B2260" t="s">
        <v>90</v>
      </c>
      <c r="C2260" t="s">
        <v>645</v>
      </c>
      <c r="E2260" t="s">
        <v>2252</v>
      </c>
      <c r="F2260" t="s">
        <v>4299</v>
      </c>
      <c r="G2260" t="s">
        <v>7617</v>
      </c>
      <c r="H2260" t="s">
        <v>10547</v>
      </c>
      <c r="I2260" t="s">
        <v>11383</v>
      </c>
      <c r="J2260">
        <v>10452</v>
      </c>
      <c r="K2260" t="s">
        <v>11446</v>
      </c>
      <c r="M2260" t="s">
        <v>14762</v>
      </c>
      <c r="N2260" t="s">
        <v>14783</v>
      </c>
      <c r="P2260" t="s">
        <v>14797</v>
      </c>
      <c r="Q2260" t="s">
        <v>11446</v>
      </c>
      <c r="S2260" t="s">
        <v>14827</v>
      </c>
      <c r="V2260">
        <v>1277.74</v>
      </c>
      <c r="W2260" t="s">
        <v>14858</v>
      </c>
      <c r="X2260" t="s">
        <v>14864</v>
      </c>
      <c r="Z2260" t="s">
        <v>16805</v>
      </c>
      <c r="AB2260" t="s">
        <v>21831</v>
      </c>
      <c r="AC2260">
        <v>52</v>
      </c>
      <c r="AD2260" t="s">
        <v>24595</v>
      </c>
      <c r="AE2260" t="s">
        <v>11459</v>
      </c>
      <c r="AF2260">
        <v>20</v>
      </c>
      <c r="AG2260">
        <v>2</v>
      </c>
      <c r="AH2260">
        <v>0</v>
      </c>
      <c r="AI2260">
        <v>425.78</v>
      </c>
      <c r="AL2260" t="s">
        <v>5011</v>
      </c>
      <c r="AM2260">
        <v>72000</v>
      </c>
      <c r="AS2260">
        <v>0.4</v>
      </c>
      <c r="AT2260" t="s">
        <v>645</v>
      </c>
      <c r="AU2260" t="s">
        <v>230</v>
      </c>
      <c r="AV2260" t="s">
        <v>25335</v>
      </c>
      <c r="AW2260" t="s">
        <v>11447</v>
      </c>
    </row>
    <row r="2261" spans="1:49">
      <c r="A2261" s="1">
        <f>HYPERLINK("https://lsnyc.legalserver.org/matter/dynamic-profile/view/1914788","19-1914788")</f>
        <v>0</v>
      </c>
      <c r="B2261" t="s">
        <v>224</v>
      </c>
      <c r="C2261" t="s">
        <v>592</v>
      </c>
      <c r="E2261" t="s">
        <v>1056</v>
      </c>
      <c r="F2261" t="s">
        <v>1374</v>
      </c>
      <c r="G2261" t="s">
        <v>7365</v>
      </c>
      <c r="H2261">
        <v>44</v>
      </c>
      <c r="I2261" t="s">
        <v>11385</v>
      </c>
      <c r="J2261">
        <v>11213</v>
      </c>
      <c r="K2261" t="s">
        <v>11446</v>
      </c>
      <c r="L2261" t="s">
        <v>12009</v>
      </c>
      <c r="M2261" t="s">
        <v>14763</v>
      </c>
      <c r="N2261" t="s">
        <v>14781</v>
      </c>
      <c r="P2261" t="s">
        <v>14797</v>
      </c>
      <c r="Q2261" t="s">
        <v>11446</v>
      </c>
      <c r="S2261" t="s">
        <v>14827</v>
      </c>
      <c r="T2261" t="s">
        <v>14832</v>
      </c>
      <c r="V2261">
        <v>996.34</v>
      </c>
      <c r="W2261" t="s">
        <v>14859</v>
      </c>
      <c r="Z2261" t="s">
        <v>16282</v>
      </c>
      <c r="AA2261" t="s">
        <v>11465</v>
      </c>
      <c r="AB2261" t="s">
        <v>21354</v>
      </c>
      <c r="AC2261">
        <v>31</v>
      </c>
      <c r="AD2261" t="s">
        <v>24595</v>
      </c>
      <c r="AE2261" t="s">
        <v>11459</v>
      </c>
      <c r="AF2261">
        <v>15</v>
      </c>
      <c r="AG2261">
        <v>1</v>
      </c>
      <c r="AH2261">
        <v>0</v>
      </c>
      <c r="AI2261">
        <v>432.35</v>
      </c>
      <c r="AK2261" t="s">
        <v>24629</v>
      </c>
      <c r="AL2261" t="s">
        <v>5011</v>
      </c>
      <c r="AM2261">
        <v>54000</v>
      </c>
      <c r="AN2261" t="s">
        <v>24808</v>
      </c>
      <c r="AS2261">
        <v>0</v>
      </c>
      <c r="AU2261" t="s">
        <v>66</v>
      </c>
      <c r="AV2261" t="s">
        <v>25335</v>
      </c>
      <c r="AW2261" t="s">
        <v>11447</v>
      </c>
    </row>
    <row r="2262" spans="1:49">
      <c r="A2262" s="1">
        <f>HYPERLINK("https://lsnyc.legalserver.org/matter/dynamic-profile/view/1914633","19-1914633")</f>
        <v>0</v>
      </c>
      <c r="B2262" t="s">
        <v>107</v>
      </c>
      <c r="C2262" t="s">
        <v>491</v>
      </c>
      <c r="E2262" t="s">
        <v>1056</v>
      </c>
      <c r="F2262" t="s">
        <v>1374</v>
      </c>
      <c r="G2262" t="s">
        <v>7365</v>
      </c>
      <c r="H2262">
        <v>44</v>
      </c>
      <c r="I2262" t="s">
        <v>11385</v>
      </c>
      <c r="J2262">
        <v>11213</v>
      </c>
      <c r="K2262" t="s">
        <v>11446</v>
      </c>
      <c r="L2262" t="s">
        <v>11465</v>
      </c>
      <c r="M2262" t="s">
        <v>14762</v>
      </c>
      <c r="N2262" t="s">
        <v>14783</v>
      </c>
      <c r="P2262" t="s">
        <v>14797</v>
      </c>
      <c r="Q2262" t="s">
        <v>11446</v>
      </c>
      <c r="S2262" t="s">
        <v>14827</v>
      </c>
      <c r="T2262" t="s">
        <v>14832</v>
      </c>
      <c r="V2262">
        <v>996.34</v>
      </c>
      <c r="W2262" t="s">
        <v>14859</v>
      </c>
      <c r="X2262" t="s">
        <v>14864</v>
      </c>
      <c r="Z2262" t="s">
        <v>16282</v>
      </c>
      <c r="AA2262" t="s">
        <v>11465</v>
      </c>
      <c r="AB2262" t="s">
        <v>21354</v>
      </c>
      <c r="AC2262">
        <v>31</v>
      </c>
      <c r="AD2262" t="s">
        <v>24595</v>
      </c>
      <c r="AE2262" t="s">
        <v>11459</v>
      </c>
      <c r="AF2262">
        <v>15</v>
      </c>
      <c r="AG2262">
        <v>1</v>
      </c>
      <c r="AH2262">
        <v>0</v>
      </c>
      <c r="AI2262">
        <v>432.35</v>
      </c>
      <c r="AK2262" t="s">
        <v>24629</v>
      </c>
      <c r="AL2262" t="s">
        <v>5011</v>
      </c>
      <c r="AM2262">
        <v>54000</v>
      </c>
      <c r="AN2262" t="s">
        <v>24809</v>
      </c>
      <c r="AS2262">
        <v>0</v>
      </c>
      <c r="AU2262" t="s">
        <v>66</v>
      </c>
      <c r="AV2262" t="s">
        <v>25335</v>
      </c>
      <c r="AW2262" t="s">
        <v>11447</v>
      </c>
    </row>
    <row r="2263" spans="1:49">
      <c r="A2263" s="1">
        <f>HYPERLINK("https://lsnyc.legalserver.org/matter/dynamic-profile/view/1914635","19-1914635")</f>
        <v>0</v>
      </c>
      <c r="B2263" t="s">
        <v>107</v>
      </c>
      <c r="C2263" t="s">
        <v>491</v>
      </c>
      <c r="E2263" t="s">
        <v>1056</v>
      </c>
      <c r="F2263" t="s">
        <v>1374</v>
      </c>
      <c r="G2263" t="s">
        <v>7365</v>
      </c>
      <c r="H2263">
        <v>44</v>
      </c>
      <c r="I2263" t="s">
        <v>11385</v>
      </c>
      <c r="J2263">
        <v>11213</v>
      </c>
      <c r="K2263" t="s">
        <v>11446</v>
      </c>
      <c r="L2263" t="s">
        <v>11707</v>
      </c>
      <c r="M2263" t="s">
        <v>14762</v>
      </c>
      <c r="N2263" t="s">
        <v>14783</v>
      </c>
      <c r="P2263" t="s">
        <v>14797</v>
      </c>
      <c r="Q2263" t="s">
        <v>11448</v>
      </c>
      <c r="S2263" t="s">
        <v>14827</v>
      </c>
      <c r="T2263" t="s">
        <v>14832</v>
      </c>
      <c r="V2263">
        <v>996.34</v>
      </c>
      <c r="W2263" t="s">
        <v>14859</v>
      </c>
      <c r="X2263" t="s">
        <v>14864</v>
      </c>
      <c r="Z2263" t="s">
        <v>16282</v>
      </c>
      <c r="AA2263" t="s">
        <v>11465</v>
      </c>
      <c r="AB2263" t="s">
        <v>21354</v>
      </c>
      <c r="AC2263">
        <v>31</v>
      </c>
      <c r="AD2263" t="s">
        <v>24595</v>
      </c>
      <c r="AE2263" t="s">
        <v>11459</v>
      </c>
      <c r="AF2263">
        <v>15</v>
      </c>
      <c r="AG2263">
        <v>1</v>
      </c>
      <c r="AH2263">
        <v>0</v>
      </c>
      <c r="AI2263">
        <v>432.35</v>
      </c>
      <c r="AK2263" t="s">
        <v>24629</v>
      </c>
      <c r="AL2263" t="s">
        <v>5011</v>
      </c>
      <c r="AM2263">
        <v>54000</v>
      </c>
      <c r="AN2263" t="s">
        <v>24809</v>
      </c>
      <c r="AS2263">
        <v>0</v>
      </c>
      <c r="AU2263" t="s">
        <v>66</v>
      </c>
      <c r="AV2263" t="s">
        <v>25335</v>
      </c>
      <c r="AW2263" t="s">
        <v>11447</v>
      </c>
    </row>
    <row r="2264" spans="1:49">
      <c r="A2264" s="1">
        <f>HYPERLINK("https://lsnyc.legalserver.org/matter/dynamic-profile/view/1904774","19-1904774")</f>
        <v>0</v>
      </c>
      <c r="B2264" t="s">
        <v>116</v>
      </c>
      <c r="C2264" t="s">
        <v>345</v>
      </c>
      <c r="E2264" t="s">
        <v>2253</v>
      </c>
      <c r="F2264" t="s">
        <v>4799</v>
      </c>
      <c r="G2264" t="s">
        <v>7137</v>
      </c>
      <c r="H2264" t="s">
        <v>10579</v>
      </c>
      <c r="I2264" t="s">
        <v>11383</v>
      </c>
      <c r="J2264">
        <v>10456</v>
      </c>
      <c r="K2264" t="s">
        <v>11446</v>
      </c>
      <c r="N2264" t="s">
        <v>14778</v>
      </c>
      <c r="P2264" t="s">
        <v>14797</v>
      </c>
      <c r="Q2264" t="s">
        <v>11448</v>
      </c>
      <c r="S2264" t="s">
        <v>14827</v>
      </c>
      <c r="V2264">
        <v>982.92</v>
      </c>
      <c r="W2264" t="s">
        <v>14858</v>
      </c>
      <c r="X2264" t="s">
        <v>14864</v>
      </c>
      <c r="Z2264" t="s">
        <v>16806</v>
      </c>
      <c r="AB2264" t="s">
        <v>21832</v>
      </c>
      <c r="AC2264">
        <v>56</v>
      </c>
      <c r="AE2264" t="s">
        <v>11459</v>
      </c>
      <c r="AF2264">
        <v>48</v>
      </c>
      <c r="AG2264">
        <v>2</v>
      </c>
      <c r="AH2264">
        <v>0</v>
      </c>
      <c r="AI2264">
        <v>454.17</v>
      </c>
      <c r="AM2264">
        <v>76800</v>
      </c>
      <c r="AS2264">
        <v>1.4</v>
      </c>
      <c r="AT2264" t="s">
        <v>458</v>
      </c>
      <c r="AU2264" t="s">
        <v>25242</v>
      </c>
      <c r="AV2264" t="s">
        <v>25335</v>
      </c>
      <c r="AW2264" t="s">
        <v>11447</v>
      </c>
    </row>
    <row r="2265" spans="1:49">
      <c r="A2265" s="1">
        <f>HYPERLINK("https://lsnyc.legalserver.org/matter/dynamic-profile/view/1911826","19-1911826")</f>
        <v>0</v>
      </c>
      <c r="B2265" t="s">
        <v>67</v>
      </c>
      <c r="C2265" t="s">
        <v>645</v>
      </c>
      <c r="E2265" t="s">
        <v>1245</v>
      </c>
      <c r="F2265" t="s">
        <v>4172</v>
      </c>
      <c r="G2265" t="s">
        <v>7638</v>
      </c>
      <c r="H2265" t="s">
        <v>10541</v>
      </c>
      <c r="I2265" t="s">
        <v>11383</v>
      </c>
      <c r="J2265">
        <v>10452</v>
      </c>
      <c r="K2265" t="s">
        <v>11446</v>
      </c>
      <c r="L2265" t="s">
        <v>12057</v>
      </c>
      <c r="M2265" t="s">
        <v>14762</v>
      </c>
      <c r="N2265" t="s">
        <v>14783</v>
      </c>
      <c r="P2265" t="s">
        <v>14797</v>
      </c>
      <c r="Q2265" t="s">
        <v>11446</v>
      </c>
      <c r="S2265" t="s">
        <v>14827</v>
      </c>
      <c r="V2265">
        <v>1326</v>
      </c>
      <c r="W2265" t="s">
        <v>14858</v>
      </c>
      <c r="X2265" t="s">
        <v>14864</v>
      </c>
      <c r="Z2265" t="s">
        <v>16807</v>
      </c>
      <c r="AB2265" t="s">
        <v>21833</v>
      </c>
      <c r="AC2265">
        <v>67</v>
      </c>
      <c r="AD2265" t="s">
        <v>24595</v>
      </c>
      <c r="AE2265" t="s">
        <v>11459</v>
      </c>
      <c r="AF2265">
        <v>5</v>
      </c>
      <c r="AG2265">
        <v>1</v>
      </c>
      <c r="AH2265">
        <v>1</v>
      </c>
      <c r="AI2265">
        <v>455.35</v>
      </c>
      <c r="AL2265" t="s">
        <v>5011</v>
      </c>
      <c r="AM2265">
        <v>77000</v>
      </c>
      <c r="AS2265">
        <v>0</v>
      </c>
      <c r="AU2265" t="s">
        <v>25268</v>
      </c>
      <c r="AV2265" t="s">
        <v>25335</v>
      </c>
      <c r="AW2265" t="s">
        <v>11447</v>
      </c>
    </row>
    <row r="2266" spans="1:49">
      <c r="A2266" s="1">
        <f>HYPERLINK("https://lsnyc.legalserver.org/matter/dynamic-profile/view/1862815","18-1862815")</f>
        <v>0</v>
      </c>
      <c r="B2266" t="s">
        <v>84</v>
      </c>
      <c r="C2266" t="s">
        <v>671</v>
      </c>
      <c r="E2266" t="s">
        <v>2116</v>
      </c>
      <c r="F2266" t="s">
        <v>3675</v>
      </c>
      <c r="G2266" t="s">
        <v>7593</v>
      </c>
      <c r="H2266" t="s">
        <v>10569</v>
      </c>
      <c r="I2266" t="s">
        <v>11383</v>
      </c>
      <c r="J2266">
        <v>10457</v>
      </c>
      <c r="K2266" t="s">
        <v>11446</v>
      </c>
      <c r="L2266" t="s">
        <v>12027</v>
      </c>
      <c r="M2266" t="s">
        <v>14756</v>
      </c>
      <c r="N2266" t="s">
        <v>14783</v>
      </c>
      <c r="P2266" t="s">
        <v>14797</v>
      </c>
      <c r="Q2266" t="s">
        <v>11446</v>
      </c>
      <c r="S2266" t="s">
        <v>14827</v>
      </c>
      <c r="V2266">
        <v>787</v>
      </c>
      <c r="W2266" t="s">
        <v>14858</v>
      </c>
      <c r="X2266" t="s">
        <v>14868</v>
      </c>
      <c r="Z2266" t="s">
        <v>16808</v>
      </c>
      <c r="AB2266" t="s">
        <v>21834</v>
      </c>
      <c r="AC2266">
        <v>100</v>
      </c>
      <c r="AD2266" t="s">
        <v>24595</v>
      </c>
      <c r="AF2266">
        <v>30</v>
      </c>
      <c r="AG2266">
        <v>2</v>
      </c>
      <c r="AH2266">
        <v>0</v>
      </c>
      <c r="AI2266">
        <v>455.65</v>
      </c>
      <c r="AL2266" t="s">
        <v>5011</v>
      </c>
      <c r="AM2266">
        <v>120000</v>
      </c>
      <c r="AS2266">
        <v>0.4</v>
      </c>
      <c r="AT2266" t="s">
        <v>671</v>
      </c>
      <c r="AU2266" t="s">
        <v>25242</v>
      </c>
      <c r="AW2266" t="s">
        <v>11447</v>
      </c>
    </row>
    <row r="2267" spans="1:49">
      <c r="A2267" s="1">
        <f>HYPERLINK("https://lsnyc.legalserver.org/matter/dynamic-profile/view/1905731","19-1905731")</f>
        <v>0</v>
      </c>
      <c r="B2267" t="s">
        <v>203</v>
      </c>
      <c r="C2267" t="s">
        <v>496</v>
      </c>
      <c r="E2267" t="s">
        <v>1620</v>
      </c>
      <c r="F2267" t="s">
        <v>3756</v>
      </c>
      <c r="G2267" t="s">
        <v>7087</v>
      </c>
      <c r="H2267" t="s">
        <v>10638</v>
      </c>
      <c r="I2267" t="s">
        <v>11385</v>
      </c>
      <c r="J2267">
        <v>11233</v>
      </c>
      <c r="K2267" t="s">
        <v>11446</v>
      </c>
      <c r="L2267" t="s">
        <v>11474</v>
      </c>
      <c r="M2267" t="s">
        <v>14745</v>
      </c>
      <c r="N2267" t="s">
        <v>14779</v>
      </c>
      <c r="P2267" t="s">
        <v>14797</v>
      </c>
      <c r="Q2267" t="s">
        <v>11446</v>
      </c>
      <c r="S2267" t="s">
        <v>14827</v>
      </c>
      <c r="T2267" t="s">
        <v>14832</v>
      </c>
      <c r="V2267">
        <v>1200</v>
      </c>
      <c r="W2267" t="s">
        <v>14859</v>
      </c>
      <c r="X2267" t="s">
        <v>14868</v>
      </c>
      <c r="Z2267" t="s">
        <v>15721</v>
      </c>
      <c r="AA2267" t="s">
        <v>11465</v>
      </c>
      <c r="AB2267" t="s">
        <v>20821</v>
      </c>
      <c r="AC2267">
        <v>6</v>
      </c>
      <c r="AD2267" t="s">
        <v>24595</v>
      </c>
      <c r="AE2267" t="s">
        <v>11459</v>
      </c>
      <c r="AF2267">
        <v>6</v>
      </c>
      <c r="AG2267">
        <v>1</v>
      </c>
      <c r="AH2267">
        <v>0</v>
      </c>
      <c r="AI2267">
        <v>464.37</v>
      </c>
      <c r="AL2267" t="s">
        <v>5011</v>
      </c>
      <c r="AM2267">
        <v>58000</v>
      </c>
      <c r="AN2267" t="s">
        <v>24739</v>
      </c>
      <c r="AS2267">
        <v>0.1</v>
      </c>
      <c r="AT2267" t="s">
        <v>511</v>
      </c>
      <c r="AU2267" t="s">
        <v>66</v>
      </c>
      <c r="AV2267" t="s">
        <v>25335</v>
      </c>
      <c r="AW2267" t="s">
        <v>11447</v>
      </c>
    </row>
    <row r="2268" spans="1:49">
      <c r="A2268" s="1">
        <f>HYPERLINK("https://lsnyc.legalserver.org/matter/dynamic-profile/view/1905734","19-1905734")</f>
        <v>0</v>
      </c>
      <c r="B2268" t="s">
        <v>203</v>
      </c>
      <c r="C2268" t="s">
        <v>496</v>
      </c>
      <c r="E2268" t="s">
        <v>1620</v>
      </c>
      <c r="F2268" t="s">
        <v>3756</v>
      </c>
      <c r="G2268" t="s">
        <v>7087</v>
      </c>
      <c r="H2268" t="s">
        <v>10638</v>
      </c>
      <c r="I2268" t="s">
        <v>11385</v>
      </c>
      <c r="J2268">
        <v>11233</v>
      </c>
      <c r="K2268" t="s">
        <v>11446</v>
      </c>
      <c r="L2268" t="s">
        <v>11474</v>
      </c>
      <c r="M2268" t="s">
        <v>14745</v>
      </c>
      <c r="N2268" t="s">
        <v>14779</v>
      </c>
      <c r="P2268" t="s">
        <v>14797</v>
      </c>
      <c r="Q2268" t="s">
        <v>11446</v>
      </c>
      <c r="S2268" t="s">
        <v>14827</v>
      </c>
      <c r="T2268" t="s">
        <v>14832</v>
      </c>
      <c r="V2268">
        <v>1200</v>
      </c>
      <c r="W2268" t="s">
        <v>14859</v>
      </c>
      <c r="X2268" t="s">
        <v>14868</v>
      </c>
      <c r="Z2268" t="s">
        <v>15721</v>
      </c>
      <c r="AA2268" t="s">
        <v>11465</v>
      </c>
      <c r="AB2268" t="s">
        <v>20821</v>
      </c>
      <c r="AC2268">
        <v>6</v>
      </c>
      <c r="AD2268" t="s">
        <v>24595</v>
      </c>
      <c r="AE2268" t="s">
        <v>11459</v>
      </c>
      <c r="AF2268">
        <v>6</v>
      </c>
      <c r="AG2268">
        <v>1</v>
      </c>
      <c r="AH2268">
        <v>0</v>
      </c>
      <c r="AI2268">
        <v>464.37</v>
      </c>
      <c r="AL2268" t="s">
        <v>5011</v>
      </c>
      <c r="AM2268">
        <v>58000</v>
      </c>
      <c r="AN2268" t="s">
        <v>24739</v>
      </c>
      <c r="AS2268">
        <v>0.1</v>
      </c>
      <c r="AT2268" t="s">
        <v>511</v>
      </c>
      <c r="AU2268" t="s">
        <v>66</v>
      </c>
      <c r="AV2268" t="s">
        <v>25335</v>
      </c>
      <c r="AW2268" t="s">
        <v>11447</v>
      </c>
    </row>
    <row r="2269" spans="1:49">
      <c r="A2269" s="1">
        <f>HYPERLINK("https://lsnyc.legalserver.org/matter/dynamic-profile/view/1912812","19-1912812")</f>
        <v>0</v>
      </c>
      <c r="B2269" t="s">
        <v>100</v>
      </c>
      <c r="C2269" t="s">
        <v>470</v>
      </c>
      <c r="E2269" t="s">
        <v>2254</v>
      </c>
      <c r="F2269" t="s">
        <v>4040</v>
      </c>
      <c r="G2269" t="s">
        <v>7854</v>
      </c>
      <c r="H2269">
        <v>102</v>
      </c>
      <c r="I2269" t="s">
        <v>11383</v>
      </c>
      <c r="J2269">
        <v>10457</v>
      </c>
      <c r="K2269" t="s">
        <v>11446</v>
      </c>
      <c r="M2269" t="s">
        <v>14746</v>
      </c>
      <c r="N2269" t="s">
        <v>14779</v>
      </c>
      <c r="P2269" t="s">
        <v>14797</v>
      </c>
      <c r="Q2269" t="s">
        <v>11448</v>
      </c>
      <c r="S2269" t="s">
        <v>14827</v>
      </c>
      <c r="V2269">
        <v>887</v>
      </c>
      <c r="W2269" t="s">
        <v>14858</v>
      </c>
      <c r="X2269" t="s">
        <v>14867</v>
      </c>
      <c r="Z2269" t="s">
        <v>15215</v>
      </c>
      <c r="AB2269" t="s">
        <v>21835</v>
      </c>
      <c r="AC2269">
        <v>0</v>
      </c>
      <c r="AD2269" t="s">
        <v>24603</v>
      </c>
      <c r="AE2269" t="s">
        <v>14755</v>
      </c>
      <c r="AF2269">
        <v>7</v>
      </c>
      <c r="AG2269">
        <v>1</v>
      </c>
      <c r="AH2269">
        <v>0</v>
      </c>
      <c r="AI2269">
        <v>464.37</v>
      </c>
      <c r="AL2269" t="s">
        <v>5011</v>
      </c>
      <c r="AM2269">
        <v>58000</v>
      </c>
      <c r="AS2269">
        <v>0</v>
      </c>
      <c r="AU2269" t="s">
        <v>100</v>
      </c>
      <c r="AV2269" t="s">
        <v>25335</v>
      </c>
      <c r="AW2269" t="s">
        <v>11447</v>
      </c>
    </row>
    <row r="2270" spans="1:49">
      <c r="A2270" s="1">
        <f>HYPERLINK("https://lsnyc.legalserver.org/matter/dynamic-profile/view/1914999","19-1914999")</f>
        <v>0</v>
      </c>
      <c r="B2270" t="s">
        <v>100</v>
      </c>
      <c r="C2270" t="s">
        <v>470</v>
      </c>
      <c r="E2270" t="s">
        <v>2254</v>
      </c>
      <c r="F2270" t="s">
        <v>4040</v>
      </c>
      <c r="G2270" t="s">
        <v>7854</v>
      </c>
      <c r="H2270">
        <v>102</v>
      </c>
      <c r="I2270" t="s">
        <v>11383</v>
      </c>
      <c r="J2270">
        <v>10457</v>
      </c>
      <c r="K2270" t="s">
        <v>11446</v>
      </c>
      <c r="N2270" t="s">
        <v>14778</v>
      </c>
      <c r="P2270" t="s">
        <v>14797</v>
      </c>
      <c r="Q2270" t="s">
        <v>11448</v>
      </c>
      <c r="S2270" t="s">
        <v>14827</v>
      </c>
      <c r="V2270">
        <v>887</v>
      </c>
      <c r="W2270" t="s">
        <v>14858</v>
      </c>
      <c r="X2270" t="s">
        <v>14864</v>
      </c>
      <c r="Z2270" t="s">
        <v>15215</v>
      </c>
      <c r="AB2270" t="s">
        <v>21835</v>
      </c>
      <c r="AC2270">
        <v>8</v>
      </c>
      <c r="AD2270" t="s">
        <v>24607</v>
      </c>
      <c r="AE2270" t="s">
        <v>11459</v>
      </c>
      <c r="AF2270">
        <v>7</v>
      </c>
      <c r="AG2270">
        <v>1</v>
      </c>
      <c r="AH2270">
        <v>0</v>
      </c>
      <c r="AI2270">
        <v>464.37</v>
      </c>
      <c r="AL2270" t="s">
        <v>5011</v>
      </c>
      <c r="AM2270">
        <v>58000</v>
      </c>
      <c r="AS2270">
        <v>0</v>
      </c>
      <c r="AU2270" t="s">
        <v>237</v>
      </c>
      <c r="AW2270" t="s">
        <v>11447</v>
      </c>
    </row>
    <row r="2271" spans="1:49">
      <c r="A2271" s="1">
        <f>HYPERLINK("https://lsnyc.legalserver.org/matter/dynamic-profile/view/1909155","19-1909155")</f>
        <v>0</v>
      </c>
      <c r="B2271" t="s">
        <v>67</v>
      </c>
      <c r="C2271" t="s">
        <v>462</v>
      </c>
      <c r="E2271" t="s">
        <v>2228</v>
      </c>
      <c r="F2271" t="s">
        <v>3752</v>
      </c>
      <c r="G2271" t="s">
        <v>7596</v>
      </c>
      <c r="H2271" t="s">
        <v>10450</v>
      </c>
      <c r="I2271" t="s">
        <v>11383</v>
      </c>
      <c r="J2271">
        <v>10456</v>
      </c>
      <c r="K2271" t="s">
        <v>11446</v>
      </c>
      <c r="M2271" t="s">
        <v>14762</v>
      </c>
      <c r="N2271" t="s">
        <v>14783</v>
      </c>
      <c r="P2271" t="s">
        <v>14797</v>
      </c>
      <c r="Q2271" t="s">
        <v>11446</v>
      </c>
      <c r="S2271" t="s">
        <v>14827</v>
      </c>
      <c r="V2271">
        <v>998</v>
      </c>
      <c r="W2271" t="s">
        <v>14858</v>
      </c>
      <c r="X2271" t="s">
        <v>14864</v>
      </c>
      <c r="Z2271" t="s">
        <v>16809</v>
      </c>
      <c r="AB2271" t="s">
        <v>21836</v>
      </c>
      <c r="AC2271">
        <v>30</v>
      </c>
      <c r="AD2271" t="s">
        <v>24595</v>
      </c>
      <c r="AE2271" t="s">
        <v>11459</v>
      </c>
      <c r="AF2271">
        <v>32</v>
      </c>
      <c r="AG2271">
        <v>2</v>
      </c>
      <c r="AH2271">
        <v>0</v>
      </c>
      <c r="AI2271">
        <v>473.09</v>
      </c>
      <c r="AL2271" t="s">
        <v>5011</v>
      </c>
      <c r="AM2271">
        <v>80000</v>
      </c>
      <c r="AS2271">
        <v>0</v>
      </c>
      <c r="AU2271" t="s">
        <v>25242</v>
      </c>
      <c r="AV2271" t="s">
        <v>25335</v>
      </c>
      <c r="AW2271" t="s">
        <v>11447</v>
      </c>
    </row>
    <row r="2272" spans="1:49">
      <c r="A2272" s="1">
        <f>HYPERLINK("https://lsnyc.legalserver.org/matter/dynamic-profile/view/1909152","19-1909152")</f>
        <v>0</v>
      </c>
      <c r="B2272" t="s">
        <v>67</v>
      </c>
      <c r="C2272" t="s">
        <v>462</v>
      </c>
      <c r="E2272" t="s">
        <v>2228</v>
      </c>
      <c r="F2272" t="s">
        <v>3752</v>
      </c>
      <c r="G2272" t="s">
        <v>7596</v>
      </c>
      <c r="H2272" t="s">
        <v>10450</v>
      </c>
      <c r="I2272" t="s">
        <v>11383</v>
      </c>
      <c r="J2272">
        <v>10456</v>
      </c>
      <c r="K2272" t="s">
        <v>11446</v>
      </c>
      <c r="L2272" t="s">
        <v>12028</v>
      </c>
      <c r="M2272" t="s">
        <v>14746</v>
      </c>
      <c r="N2272" t="s">
        <v>14781</v>
      </c>
      <c r="P2272" t="s">
        <v>14797</v>
      </c>
      <c r="Q2272" t="s">
        <v>11446</v>
      </c>
      <c r="S2272" t="s">
        <v>14827</v>
      </c>
      <c r="V2272">
        <v>998</v>
      </c>
      <c r="W2272" t="s">
        <v>14858</v>
      </c>
      <c r="X2272" t="s">
        <v>14864</v>
      </c>
      <c r="Z2272" t="s">
        <v>16809</v>
      </c>
      <c r="AB2272" t="s">
        <v>21836</v>
      </c>
      <c r="AC2272">
        <v>30</v>
      </c>
      <c r="AD2272" t="s">
        <v>24595</v>
      </c>
      <c r="AE2272" t="s">
        <v>11459</v>
      </c>
      <c r="AF2272">
        <v>32</v>
      </c>
      <c r="AG2272">
        <v>2</v>
      </c>
      <c r="AH2272">
        <v>0</v>
      </c>
      <c r="AI2272">
        <v>473.09</v>
      </c>
      <c r="AL2272" t="s">
        <v>5011</v>
      </c>
      <c r="AM2272">
        <v>80000</v>
      </c>
      <c r="AS2272">
        <v>0</v>
      </c>
      <c r="AU2272" t="s">
        <v>25242</v>
      </c>
      <c r="AV2272" t="s">
        <v>25335</v>
      </c>
      <c r="AW2272" t="s">
        <v>11447</v>
      </c>
    </row>
    <row r="2273" spans="1:49">
      <c r="A2273" s="1">
        <f>HYPERLINK("https://lsnyc.legalserver.org/matter/dynamic-profile/view/1909140","19-1909140")</f>
        <v>0</v>
      </c>
      <c r="B2273" t="s">
        <v>67</v>
      </c>
      <c r="C2273" t="s">
        <v>462</v>
      </c>
      <c r="E2273" t="s">
        <v>1615</v>
      </c>
      <c r="F2273" t="s">
        <v>3814</v>
      </c>
      <c r="G2273" t="s">
        <v>7596</v>
      </c>
      <c r="H2273" t="s">
        <v>10451</v>
      </c>
      <c r="I2273" t="s">
        <v>11383</v>
      </c>
      <c r="J2273">
        <v>10456</v>
      </c>
      <c r="K2273" t="s">
        <v>11446</v>
      </c>
      <c r="M2273" t="s">
        <v>14762</v>
      </c>
      <c r="N2273" t="s">
        <v>14783</v>
      </c>
      <c r="P2273" t="s">
        <v>14797</v>
      </c>
      <c r="Q2273" t="s">
        <v>11446</v>
      </c>
      <c r="S2273" t="s">
        <v>14827</v>
      </c>
      <c r="V2273">
        <v>30</v>
      </c>
      <c r="W2273" t="s">
        <v>14858</v>
      </c>
      <c r="X2273" t="s">
        <v>14864</v>
      </c>
      <c r="Z2273" t="s">
        <v>16810</v>
      </c>
      <c r="AB2273" t="s">
        <v>21837</v>
      </c>
      <c r="AC2273">
        <v>30</v>
      </c>
      <c r="AD2273" t="s">
        <v>24595</v>
      </c>
      <c r="AE2273" t="s">
        <v>11459</v>
      </c>
      <c r="AF2273">
        <v>26</v>
      </c>
      <c r="AG2273">
        <v>1</v>
      </c>
      <c r="AH2273">
        <v>0</v>
      </c>
      <c r="AI2273">
        <v>480.38</v>
      </c>
      <c r="AL2273" t="s">
        <v>5011</v>
      </c>
      <c r="AM2273">
        <v>60000</v>
      </c>
      <c r="AS2273">
        <v>0</v>
      </c>
      <c r="AU2273" t="s">
        <v>25242</v>
      </c>
      <c r="AV2273" t="s">
        <v>25335</v>
      </c>
      <c r="AW2273" t="s">
        <v>11447</v>
      </c>
    </row>
    <row r="2274" spans="1:49">
      <c r="A2274" s="1">
        <f>HYPERLINK("https://lsnyc.legalserver.org/matter/dynamic-profile/view/1909139","19-1909139")</f>
        <v>0</v>
      </c>
      <c r="B2274" t="s">
        <v>67</v>
      </c>
      <c r="C2274" t="s">
        <v>462</v>
      </c>
      <c r="E2274" t="s">
        <v>1615</v>
      </c>
      <c r="F2274" t="s">
        <v>3814</v>
      </c>
      <c r="G2274" t="s">
        <v>7596</v>
      </c>
      <c r="H2274" t="s">
        <v>10451</v>
      </c>
      <c r="I2274" t="s">
        <v>11383</v>
      </c>
      <c r="J2274">
        <v>10456</v>
      </c>
      <c r="K2274" t="s">
        <v>11446</v>
      </c>
      <c r="L2274" t="s">
        <v>12028</v>
      </c>
      <c r="M2274" t="s">
        <v>14746</v>
      </c>
      <c r="N2274" t="s">
        <v>14781</v>
      </c>
      <c r="P2274" t="s">
        <v>14797</v>
      </c>
      <c r="Q2274" t="s">
        <v>11446</v>
      </c>
      <c r="S2274" t="s">
        <v>14827</v>
      </c>
      <c r="V2274">
        <v>1075</v>
      </c>
      <c r="W2274" t="s">
        <v>14858</v>
      </c>
      <c r="X2274" t="s">
        <v>14864</v>
      </c>
      <c r="Z2274" t="s">
        <v>16810</v>
      </c>
      <c r="AB2274" t="s">
        <v>21837</v>
      </c>
      <c r="AC2274">
        <v>30</v>
      </c>
      <c r="AD2274" t="s">
        <v>24595</v>
      </c>
      <c r="AE2274" t="s">
        <v>11459</v>
      </c>
      <c r="AF2274">
        <v>26</v>
      </c>
      <c r="AG2274">
        <v>1</v>
      </c>
      <c r="AH2274">
        <v>0</v>
      </c>
      <c r="AI2274">
        <v>480.38</v>
      </c>
      <c r="AL2274" t="s">
        <v>5011</v>
      </c>
      <c r="AM2274">
        <v>60000</v>
      </c>
      <c r="AS2274">
        <v>0</v>
      </c>
      <c r="AU2274" t="s">
        <v>25242</v>
      </c>
      <c r="AV2274" t="s">
        <v>25335</v>
      </c>
      <c r="AW2274" t="s">
        <v>11447</v>
      </c>
    </row>
    <row r="2275" spans="1:49">
      <c r="A2275" s="1">
        <f>HYPERLINK("https://lsnyc.legalserver.org/matter/dynamic-profile/view/1915073","19-1915073")</f>
        <v>0</v>
      </c>
      <c r="B2275" t="s">
        <v>187</v>
      </c>
      <c r="C2275" t="s">
        <v>521</v>
      </c>
      <c r="E2275" t="s">
        <v>1080</v>
      </c>
      <c r="F2275" t="s">
        <v>1139</v>
      </c>
      <c r="G2275" t="s">
        <v>7517</v>
      </c>
      <c r="H2275" t="s">
        <v>10568</v>
      </c>
      <c r="I2275" t="s">
        <v>11385</v>
      </c>
      <c r="J2275">
        <v>11212</v>
      </c>
      <c r="K2275" t="s">
        <v>11446</v>
      </c>
      <c r="L2275" t="s">
        <v>11474</v>
      </c>
      <c r="M2275" t="s">
        <v>14745</v>
      </c>
      <c r="N2275" t="s">
        <v>14779</v>
      </c>
      <c r="P2275" t="s">
        <v>14797</v>
      </c>
      <c r="Q2275" t="s">
        <v>11446</v>
      </c>
      <c r="S2275" t="s">
        <v>14827</v>
      </c>
      <c r="T2275" t="s">
        <v>14832</v>
      </c>
      <c r="V2275">
        <v>789.73</v>
      </c>
      <c r="W2275" t="s">
        <v>14859</v>
      </c>
      <c r="X2275" t="s">
        <v>14876</v>
      </c>
      <c r="Z2275" t="s">
        <v>16811</v>
      </c>
      <c r="AA2275" t="s">
        <v>11465</v>
      </c>
      <c r="AB2275" t="s">
        <v>21838</v>
      </c>
      <c r="AC2275">
        <v>19</v>
      </c>
      <c r="AD2275" t="s">
        <v>24595</v>
      </c>
      <c r="AE2275" t="s">
        <v>11459</v>
      </c>
      <c r="AF2275">
        <v>0</v>
      </c>
      <c r="AG2275">
        <v>1</v>
      </c>
      <c r="AH2275">
        <v>0</v>
      </c>
      <c r="AI2275">
        <v>520.42</v>
      </c>
      <c r="AL2275" t="s">
        <v>5011</v>
      </c>
      <c r="AM2275">
        <v>65000</v>
      </c>
      <c r="AN2275" t="s">
        <v>24810</v>
      </c>
      <c r="AS2275">
        <v>0</v>
      </c>
      <c r="AU2275" t="s">
        <v>66</v>
      </c>
      <c r="AV2275" t="s">
        <v>25335</v>
      </c>
      <c r="AW2275" t="s">
        <v>11447</v>
      </c>
    </row>
    <row r="2276" spans="1:49">
      <c r="A2276" s="1">
        <f>HYPERLINK("https://lsnyc.legalserver.org/matter/dynamic-profile/view/1915071","19-1915071")</f>
        <v>0</v>
      </c>
      <c r="B2276" t="s">
        <v>187</v>
      </c>
      <c r="C2276" t="s">
        <v>521</v>
      </c>
      <c r="E2276" t="s">
        <v>1080</v>
      </c>
      <c r="F2276" t="s">
        <v>1139</v>
      </c>
      <c r="G2276" t="s">
        <v>7517</v>
      </c>
      <c r="H2276" t="s">
        <v>10568</v>
      </c>
      <c r="I2276" t="s">
        <v>11385</v>
      </c>
      <c r="J2276">
        <v>11212</v>
      </c>
      <c r="K2276" t="s">
        <v>11446</v>
      </c>
      <c r="L2276" t="s">
        <v>12192</v>
      </c>
      <c r="M2276" t="s">
        <v>14747</v>
      </c>
      <c r="N2276" t="s">
        <v>14784</v>
      </c>
      <c r="P2276" t="s">
        <v>14797</v>
      </c>
      <c r="Q2276" t="s">
        <v>11446</v>
      </c>
      <c r="S2276" t="s">
        <v>14827</v>
      </c>
      <c r="T2276" t="s">
        <v>14832</v>
      </c>
      <c r="V2276">
        <v>789.73</v>
      </c>
      <c r="W2276" t="s">
        <v>14859</v>
      </c>
      <c r="X2276" t="s">
        <v>14876</v>
      </c>
      <c r="Z2276" t="s">
        <v>16811</v>
      </c>
      <c r="AA2276" t="s">
        <v>11465</v>
      </c>
      <c r="AB2276" t="s">
        <v>21838</v>
      </c>
      <c r="AC2276">
        <v>19</v>
      </c>
      <c r="AD2276" t="s">
        <v>24595</v>
      </c>
      <c r="AE2276" t="s">
        <v>11459</v>
      </c>
      <c r="AF2276">
        <v>0</v>
      </c>
      <c r="AG2276">
        <v>1</v>
      </c>
      <c r="AH2276">
        <v>0</v>
      </c>
      <c r="AI2276">
        <v>520.42</v>
      </c>
      <c r="AL2276" t="s">
        <v>5011</v>
      </c>
      <c r="AM2276">
        <v>65000</v>
      </c>
      <c r="AN2276" t="s">
        <v>24811</v>
      </c>
      <c r="AS2276">
        <v>0</v>
      </c>
      <c r="AU2276" t="s">
        <v>66</v>
      </c>
      <c r="AV2276" t="s">
        <v>25335</v>
      </c>
      <c r="AW2276" t="s">
        <v>11447</v>
      </c>
    </row>
    <row r="2277" spans="1:49">
      <c r="A2277" s="1">
        <f>HYPERLINK("https://lsnyc.legalserver.org/matter/dynamic-profile/view/1887826","19-1887826")</f>
        <v>0</v>
      </c>
      <c r="B2277" t="s">
        <v>174</v>
      </c>
      <c r="C2277" t="s">
        <v>664</v>
      </c>
      <c r="E2277" t="s">
        <v>2255</v>
      </c>
      <c r="F2277" t="s">
        <v>3891</v>
      </c>
      <c r="G2277" t="s">
        <v>7581</v>
      </c>
      <c r="H2277" t="s">
        <v>10533</v>
      </c>
      <c r="I2277" t="s">
        <v>11385</v>
      </c>
      <c r="J2277">
        <v>11225</v>
      </c>
      <c r="K2277" t="s">
        <v>11446</v>
      </c>
      <c r="L2277" t="s">
        <v>12193</v>
      </c>
      <c r="M2277" t="s">
        <v>14762</v>
      </c>
      <c r="N2277" t="s">
        <v>14783</v>
      </c>
      <c r="P2277" t="s">
        <v>14797</v>
      </c>
      <c r="Q2277" t="s">
        <v>11446</v>
      </c>
      <c r="S2277" t="s">
        <v>14827</v>
      </c>
      <c r="V2277">
        <v>1740.79</v>
      </c>
      <c r="W2277" t="s">
        <v>14859</v>
      </c>
      <c r="X2277" t="s">
        <v>14876</v>
      </c>
      <c r="Z2277" t="s">
        <v>16812</v>
      </c>
      <c r="AB2277" t="s">
        <v>21839</v>
      </c>
      <c r="AC2277">
        <v>89</v>
      </c>
      <c r="AD2277" t="s">
        <v>24595</v>
      </c>
      <c r="AE2277" t="s">
        <v>11459</v>
      </c>
      <c r="AF2277">
        <v>7</v>
      </c>
      <c r="AG2277">
        <v>1</v>
      </c>
      <c r="AH2277">
        <v>0</v>
      </c>
      <c r="AI2277">
        <v>535.42</v>
      </c>
      <c r="AL2277" t="s">
        <v>5011</v>
      </c>
      <c r="AM2277">
        <v>65000</v>
      </c>
      <c r="AS2277">
        <v>0</v>
      </c>
      <c r="AU2277" t="s">
        <v>120</v>
      </c>
      <c r="AW2277" t="s">
        <v>11447</v>
      </c>
    </row>
    <row r="2278" spans="1:49">
      <c r="A2278" s="1">
        <f>HYPERLINK("https://lsnyc.legalserver.org/matter/dynamic-profile/view/1909946","19-1909946")</f>
        <v>0</v>
      </c>
      <c r="B2278" t="s">
        <v>126</v>
      </c>
      <c r="C2278" t="s">
        <v>468</v>
      </c>
      <c r="E2278" t="s">
        <v>1264</v>
      </c>
      <c r="F2278" t="s">
        <v>4102</v>
      </c>
      <c r="G2278" t="s">
        <v>7021</v>
      </c>
      <c r="H2278" t="s">
        <v>10557</v>
      </c>
      <c r="I2278" t="s">
        <v>11383</v>
      </c>
      <c r="J2278">
        <v>10452</v>
      </c>
      <c r="K2278" t="s">
        <v>11446</v>
      </c>
      <c r="P2278" t="s">
        <v>14797</v>
      </c>
      <c r="S2278" t="s">
        <v>14827</v>
      </c>
      <c r="V2278">
        <v>930.77</v>
      </c>
      <c r="W2278" t="s">
        <v>14858</v>
      </c>
      <c r="X2278" t="s">
        <v>14864</v>
      </c>
      <c r="Z2278" t="s">
        <v>15654</v>
      </c>
      <c r="AB2278" t="s">
        <v>21840</v>
      </c>
      <c r="AC2278">
        <v>63</v>
      </c>
      <c r="AD2278" t="s">
        <v>24595</v>
      </c>
      <c r="AE2278" t="s">
        <v>11459</v>
      </c>
      <c r="AF2278">
        <v>0</v>
      </c>
      <c r="AG2278">
        <v>1</v>
      </c>
      <c r="AH2278">
        <v>0</v>
      </c>
      <c r="AI2278">
        <v>547.64</v>
      </c>
      <c r="AL2278" t="s">
        <v>5011</v>
      </c>
      <c r="AM2278">
        <v>68400</v>
      </c>
      <c r="AS2278">
        <v>0</v>
      </c>
      <c r="AU2278" t="s">
        <v>237</v>
      </c>
      <c r="AW2278" t="s">
        <v>11447</v>
      </c>
    </row>
    <row r="2279" spans="1:49">
      <c r="A2279" s="1">
        <f>HYPERLINK("https://lsnyc.legalserver.org/matter/dynamic-profile/view/1914697","19-1914697")</f>
        <v>0</v>
      </c>
      <c r="B2279" t="s">
        <v>126</v>
      </c>
      <c r="C2279" t="s">
        <v>491</v>
      </c>
      <c r="E2279" t="s">
        <v>1264</v>
      </c>
      <c r="F2279" t="s">
        <v>4102</v>
      </c>
      <c r="G2279" t="s">
        <v>7021</v>
      </c>
      <c r="H2279" t="s">
        <v>10557</v>
      </c>
      <c r="I2279" t="s">
        <v>11383</v>
      </c>
      <c r="J2279">
        <v>10452</v>
      </c>
      <c r="K2279" t="s">
        <v>11446</v>
      </c>
      <c r="P2279" t="s">
        <v>14797</v>
      </c>
      <c r="Q2279" t="s">
        <v>11446</v>
      </c>
      <c r="S2279" t="s">
        <v>14827</v>
      </c>
      <c r="V2279">
        <v>930.77</v>
      </c>
      <c r="W2279" t="s">
        <v>14858</v>
      </c>
      <c r="X2279" t="s">
        <v>14864</v>
      </c>
      <c r="Z2279" t="s">
        <v>15654</v>
      </c>
      <c r="AB2279" t="s">
        <v>21840</v>
      </c>
      <c r="AC2279">
        <v>63</v>
      </c>
      <c r="AD2279" t="s">
        <v>24595</v>
      </c>
      <c r="AE2279" t="s">
        <v>11459</v>
      </c>
      <c r="AF2279">
        <v>0</v>
      </c>
      <c r="AG2279">
        <v>1</v>
      </c>
      <c r="AH2279">
        <v>0</v>
      </c>
      <c r="AI2279">
        <v>547.64</v>
      </c>
      <c r="AL2279" t="s">
        <v>5011</v>
      </c>
      <c r="AM2279">
        <v>68400</v>
      </c>
      <c r="AS2279">
        <v>0</v>
      </c>
      <c r="AU2279" t="s">
        <v>25242</v>
      </c>
      <c r="AW2279" t="s">
        <v>11447</v>
      </c>
    </row>
    <row r="2280" spans="1:49">
      <c r="A2280" s="1">
        <f>HYPERLINK("https://lsnyc.legalserver.org/matter/dynamic-profile/view/1907723","19-1907723")</f>
        <v>0</v>
      </c>
      <c r="B2280" t="s">
        <v>100</v>
      </c>
      <c r="C2280" t="s">
        <v>633</v>
      </c>
      <c r="E2280" t="s">
        <v>2256</v>
      </c>
      <c r="F2280" t="s">
        <v>4248</v>
      </c>
      <c r="G2280" t="s">
        <v>7855</v>
      </c>
      <c r="H2280">
        <v>52</v>
      </c>
      <c r="I2280" t="s">
        <v>11383</v>
      </c>
      <c r="J2280">
        <v>10452</v>
      </c>
      <c r="K2280" t="s">
        <v>11446</v>
      </c>
      <c r="P2280" t="s">
        <v>14797</v>
      </c>
      <c r="Q2280" t="s">
        <v>11446</v>
      </c>
      <c r="S2280" t="s">
        <v>14827</v>
      </c>
      <c r="V2280">
        <v>1380.54</v>
      </c>
      <c r="W2280" t="s">
        <v>14858</v>
      </c>
      <c r="X2280" t="s">
        <v>14864</v>
      </c>
      <c r="Z2280" t="s">
        <v>16813</v>
      </c>
      <c r="AB2280" t="s">
        <v>21841</v>
      </c>
      <c r="AC2280">
        <v>31</v>
      </c>
      <c r="AD2280" t="s">
        <v>24595</v>
      </c>
      <c r="AE2280" t="s">
        <v>11459</v>
      </c>
      <c r="AF2280">
        <v>3</v>
      </c>
      <c r="AG2280">
        <v>1</v>
      </c>
      <c r="AH2280">
        <v>0</v>
      </c>
      <c r="AI2280">
        <v>560.45</v>
      </c>
      <c r="AL2280" t="s">
        <v>5011</v>
      </c>
      <c r="AM2280">
        <v>70000</v>
      </c>
      <c r="AS2280">
        <v>0</v>
      </c>
      <c r="AU2280" t="s">
        <v>25268</v>
      </c>
      <c r="AV2280" t="s">
        <v>25335</v>
      </c>
      <c r="AW2280" t="s">
        <v>11447</v>
      </c>
    </row>
    <row r="2281" spans="1:49">
      <c r="A2281" s="1">
        <f>HYPERLINK("https://lsnyc.legalserver.org/matter/dynamic-profile/view/1911834","19-1911834")</f>
        <v>0</v>
      </c>
      <c r="B2281" t="s">
        <v>90</v>
      </c>
      <c r="C2281" t="s">
        <v>645</v>
      </c>
      <c r="E2281" t="s">
        <v>1337</v>
      </c>
      <c r="F2281" t="s">
        <v>4800</v>
      </c>
      <c r="G2281" t="s">
        <v>7617</v>
      </c>
      <c r="H2281" t="s">
        <v>10665</v>
      </c>
      <c r="I2281" t="s">
        <v>11383</v>
      </c>
      <c r="J2281">
        <v>10452</v>
      </c>
      <c r="K2281" t="s">
        <v>11446</v>
      </c>
      <c r="M2281" t="s">
        <v>14762</v>
      </c>
      <c r="N2281" t="s">
        <v>14783</v>
      </c>
      <c r="P2281" t="s">
        <v>14797</v>
      </c>
      <c r="Q2281" t="s">
        <v>11446</v>
      </c>
      <c r="S2281" t="s">
        <v>14827</v>
      </c>
      <c r="V2281">
        <v>1156.92</v>
      </c>
      <c r="W2281" t="s">
        <v>14858</v>
      </c>
      <c r="X2281" t="s">
        <v>14864</v>
      </c>
      <c r="Z2281" t="s">
        <v>16814</v>
      </c>
      <c r="AB2281" t="s">
        <v>21842</v>
      </c>
      <c r="AC2281">
        <v>52</v>
      </c>
      <c r="AD2281" t="s">
        <v>24595</v>
      </c>
      <c r="AE2281" t="s">
        <v>11459</v>
      </c>
      <c r="AF2281">
        <v>16</v>
      </c>
      <c r="AG2281">
        <v>2</v>
      </c>
      <c r="AH2281">
        <v>0</v>
      </c>
      <c r="AI2281">
        <v>603.1900000000001</v>
      </c>
      <c r="AL2281" t="s">
        <v>5011</v>
      </c>
      <c r="AM2281">
        <v>102000</v>
      </c>
      <c r="AS2281">
        <v>0.4</v>
      </c>
      <c r="AT2281" t="s">
        <v>645</v>
      </c>
      <c r="AU2281" t="s">
        <v>230</v>
      </c>
      <c r="AV2281" t="s">
        <v>25335</v>
      </c>
      <c r="AW2281" t="s">
        <v>11447</v>
      </c>
    </row>
    <row r="2282" spans="1:49">
      <c r="A2282" s="1">
        <f>HYPERLINK("https://lsnyc.legalserver.org/matter/dynamic-profile/view/1908347","19-1908347")</f>
        <v>0</v>
      </c>
      <c r="B2282" t="s">
        <v>90</v>
      </c>
      <c r="C2282" t="s">
        <v>375</v>
      </c>
      <c r="E2282" t="s">
        <v>1337</v>
      </c>
      <c r="F2282" t="s">
        <v>4800</v>
      </c>
      <c r="G2282" t="s">
        <v>7617</v>
      </c>
      <c r="H2282" t="s">
        <v>10665</v>
      </c>
      <c r="I2282" t="s">
        <v>11383</v>
      </c>
      <c r="J2282">
        <v>10452</v>
      </c>
      <c r="K2282" t="s">
        <v>11446</v>
      </c>
      <c r="M2282" t="s">
        <v>14746</v>
      </c>
      <c r="N2282" t="s">
        <v>14781</v>
      </c>
      <c r="P2282" t="s">
        <v>14797</v>
      </c>
      <c r="Q2282" t="s">
        <v>11446</v>
      </c>
      <c r="S2282" t="s">
        <v>14827</v>
      </c>
      <c r="V2282">
        <v>1156.92</v>
      </c>
      <c r="W2282" t="s">
        <v>14858</v>
      </c>
      <c r="X2282" t="s">
        <v>14864</v>
      </c>
      <c r="Z2282" t="s">
        <v>16814</v>
      </c>
      <c r="AB2282" t="s">
        <v>21842</v>
      </c>
      <c r="AC2282">
        <v>52</v>
      </c>
      <c r="AD2282" t="s">
        <v>24595</v>
      </c>
      <c r="AE2282" t="s">
        <v>11459</v>
      </c>
      <c r="AF2282">
        <v>16</v>
      </c>
      <c r="AG2282">
        <v>2</v>
      </c>
      <c r="AH2282">
        <v>0</v>
      </c>
      <c r="AI2282">
        <v>603.1900000000001</v>
      </c>
      <c r="AL2282" t="s">
        <v>5011</v>
      </c>
      <c r="AM2282">
        <v>102000</v>
      </c>
      <c r="AS2282">
        <v>25.2</v>
      </c>
      <c r="AT2282" t="s">
        <v>509</v>
      </c>
      <c r="AU2282" t="s">
        <v>230</v>
      </c>
      <c r="AV2282" t="s">
        <v>25335</v>
      </c>
      <c r="AW2282" t="s">
        <v>11447</v>
      </c>
    </row>
    <row r="2283" spans="1:49">
      <c r="A2283" s="1">
        <f>HYPERLINK("https://lsnyc.legalserver.org/matter/dynamic-profile/view/1905984","19-1905984")</f>
        <v>0</v>
      </c>
      <c r="B2283" t="s">
        <v>107</v>
      </c>
      <c r="C2283" t="s">
        <v>461</v>
      </c>
      <c r="E2283" t="s">
        <v>1181</v>
      </c>
      <c r="F2283" t="s">
        <v>1893</v>
      </c>
      <c r="G2283" t="s">
        <v>6985</v>
      </c>
      <c r="H2283" t="s">
        <v>10956</v>
      </c>
      <c r="I2283" t="s">
        <v>11385</v>
      </c>
      <c r="J2283">
        <v>11233</v>
      </c>
      <c r="K2283" t="s">
        <v>11446</v>
      </c>
      <c r="L2283" t="s">
        <v>11456</v>
      </c>
      <c r="M2283" t="s">
        <v>14745</v>
      </c>
      <c r="P2283" t="s">
        <v>14797</v>
      </c>
      <c r="Q2283" t="s">
        <v>11446</v>
      </c>
      <c r="S2283" t="s">
        <v>14827</v>
      </c>
      <c r="T2283" t="s">
        <v>14832</v>
      </c>
      <c r="V2283">
        <v>1001.91</v>
      </c>
      <c r="W2283" t="s">
        <v>14859</v>
      </c>
      <c r="X2283" t="s">
        <v>14876</v>
      </c>
      <c r="Z2283" t="s">
        <v>16815</v>
      </c>
      <c r="AA2283" t="s">
        <v>11465</v>
      </c>
      <c r="AC2283">
        <v>1117</v>
      </c>
      <c r="AD2283" t="s">
        <v>24595</v>
      </c>
      <c r="AE2283" t="s">
        <v>11459</v>
      </c>
      <c r="AF2283">
        <v>40</v>
      </c>
      <c r="AG2283">
        <v>2</v>
      </c>
      <c r="AH2283">
        <v>0</v>
      </c>
      <c r="AI2283">
        <v>620.9299999999999</v>
      </c>
      <c r="AK2283" t="s">
        <v>24629</v>
      </c>
      <c r="AL2283" t="s">
        <v>5011</v>
      </c>
      <c r="AM2283">
        <v>105000</v>
      </c>
      <c r="AN2283" t="s">
        <v>24810</v>
      </c>
      <c r="AS2283">
        <v>0</v>
      </c>
      <c r="AU2283" t="s">
        <v>66</v>
      </c>
      <c r="AV2283" t="s">
        <v>25335</v>
      </c>
      <c r="AW2283" t="s">
        <v>11447</v>
      </c>
    </row>
    <row r="2284" spans="1:49">
      <c r="A2284" s="1">
        <f>HYPERLINK("https://lsnyc.legalserver.org/matter/dynamic-profile/view/1905957","19-1905957")</f>
        <v>0</v>
      </c>
      <c r="B2284" t="s">
        <v>90</v>
      </c>
      <c r="C2284" t="s">
        <v>461</v>
      </c>
      <c r="E2284" t="s">
        <v>2079</v>
      </c>
      <c r="F2284" t="s">
        <v>3714</v>
      </c>
      <c r="G2284" t="s">
        <v>7617</v>
      </c>
      <c r="H2284" t="s">
        <v>10575</v>
      </c>
      <c r="I2284" t="s">
        <v>11383</v>
      </c>
      <c r="J2284">
        <v>10452</v>
      </c>
      <c r="K2284" t="s">
        <v>11446</v>
      </c>
      <c r="M2284" t="s">
        <v>14762</v>
      </c>
      <c r="N2284" t="s">
        <v>14783</v>
      </c>
      <c r="P2284" t="s">
        <v>14797</v>
      </c>
      <c r="Q2284" t="s">
        <v>11446</v>
      </c>
      <c r="S2284" t="s">
        <v>14827</v>
      </c>
      <c r="V2284">
        <v>1728.15</v>
      </c>
      <c r="W2284" t="s">
        <v>14858</v>
      </c>
      <c r="X2284" t="s">
        <v>14864</v>
      </c>
      <c r="Z2284" t="s">
        <v>16816</v>
      </c>
      <c r="AB2284" t="s">
        <v>21843</v>
      </c>
      <c r="AC2284">
        <v>52</v>
      </c>
      <c r="AD2284" t="s">
        <v>24595</v>
      </c>
      <c r="AE2284" t="s">
        <v>11459</v>
      </c>
      <c r="AF2284">
        <v>8</v>
      </c>
      <c r="AG2284">
        <v>2</v>
      </c>
      <c r="AH2284">
        <v>0</v>
      </c>
      <c r="AI2284">
        <v>679.74</v>
      </c>
      <c r="AL2284" t="s">
        <v>5011</v>
      </c>
      <c r="AM2284">
        <v>114944.72</v>
      </c>
      <c r="AS2284">
        <v>0.6</v>
      </c>
      <c r="AT2284" t="s">
        <v>461</v>
      </c>
      <c r="AU2284" t="s">
        <v>230</v>
      </c>
      <c r="AV2284" t="s">
        <v>25335</v>
      </c>
      <c r="AW2284" t="s">
        <v>11447</v>
      </c>
    </row>
    <row r="2285" spans="1:49">
      <c r="A2285" s="1">
        <f>HYPERLINK("https://lsnyc.legalserver.org/matter/dynamic-profile/view/1911818","19-1911818")</f>
        <v>0</v>
      </c>
      <c r="B2285" t="s">
        <v>90</v>
      </c>
      <c r="C2285" t="s">
        <v>645</v>
      </c>
      <c r="E2285" t="s">
        <v>2079</v>
      </c>
      <c r="F2285" t="s">
        <v>3714</v>
      </c>
      <c r="G2285" t="s">
        <v>7617</v>
      </c>
      <c r="H2285" t="s">
        <v>10575</v>
      </c>
      <c r="I2285" t="s">
        <v>11383</v>
      </c>
      <c r="J2285">
        <v>10452</v>
      </c>
      <c r="K2285" t="s">
        <v>11446</v>
      </c>
      <c r="M2285" t="s">
        <v>14762</v>
      </c>
      <c r="N2285" t="s">
        <v>14783</v>
      </c>
      <c r="P2285" t="s">
        <v>14797</v>
      </c>
      <c r="Q2285" t="s">
        <v>11446</v>
      </c>
      <c r="S2285" t="s">
        <v>14827</v>
      </c>
      <c r="V2285">
        <v>1728.15</v>
      </c>
      <c r="W2285" t="s">
        <v>14858</v>
      </c>
      <c r="X2285" t="s">
        <v>14864</v>
      </c>
      <c r="Z2285" t="s">
        <v>16816</v>
      </c>
      <c r="AB2285" t="s">
        <v>21843</v>
      </c>
      <c r="AC2285">
        <v>52</v>
      </c>
      <c r="AD2285" t="s">
        <v>24595</v>
      </c>
      <c r="AE2285" t="s">
        <v>11459</v>
      </c>
      <c r="AF2285">
        <v>8</v>
      </c>
      <c r="AG2285">
        <v>2</v>
      </c>
      <c r="AH2285">
        <v>0</v>
      </c>
      <c r="AI2285">
        <v>679.74</v>
      </c>
      <c r="AL2285" t="s">
        <v>5011</v>
      </c>
      <c r="AM2285">
        <v>114944.72</v>
      </c>
      <c r="AS2285">
        <v>0.4</v>
      </c>
      <c r="AT2285" t="s">
        <v>645</v>
      </c>
      <c r="AU2285" t="s">
        <v>230</v>
      </c>
      <c r="AV2285" t="s">
        <v>25335</v>
      </c>
      <c r="AW2285" t="s">
        <v>11447</v>
      </c>
    </row>
    <row r="2286" spans="1:49">
      <c r="A2286" s="1">
        <f>HYPERLINK("https://lsnyc.legalserver.org/matter/dynamic-profile/view/1907527","19-1907527")</f>
        <v>0</v>
      </c>
      <c r="B2286" t="s">
        <v>67</v>
      </c>
      <c r="C2286" t="s">
        <v>465</v>
      </c>
      <c r="E2286" t="s">
        <v>2257</v>
      </c>
      <c r="F2286" t="s">
        <v>4519</v>
      </c>
      <c r="G2286" t="s">
        <v>6479</v>
      </c>
      <c r="H2286" t="s">
        <v>10579</v>
      </c>
      <c r="I2286" t="s">
        <v>11383</v>
      </c>
      <c r="J2286">
        <v>10474</v>
      </c>
      <c r="K2286" t="s">
        <v>11447</v>
      </c>
      <c r="L2286" t="s">
        <v>12025</v>
      </c>
      <c r="M2286" t="s">
        <v>14762</v>
      </c>
      <c r="N2286" t="s">
        <v>14783</v>
      </c>
      <c r="P2286" t="s">
        <v>14797</v>
      </c>
      <c r="S2286" t="s">
        <v>14827</v>
      </c>
      <c r="V2286">
        <v>0</v>
      </c>
      <c r="W2286" t="s">
        <v>14858</v>
      </c>
      <c r="Z2286" t="s">
        <v>16817</v>
      </c>
      <c r="AB2286" t="s">
        <v>21844</v>
      </c>
      <c r="AC2286">
        <v>0</v>
      </c>
      <c r="AF2286">
        <v>0</v>
      </c>
      <c r="AG2286">
        <v>2</v>
      </c>
      <c r="AH2286">
        <v>0</v>
      </c>
      <c r="AI2286">
        <v>680.0700000000001</v>
      </c>
      <c r="AL2286" t="s">
        <v>24654</v>
      </c>
      <c r="AM2286">
        <v>115000</v>
      </c>
      <c r="AS2286">
        <v>0</v>
      </c>
      <c r="AU2286" t="s">
        <v>67</v>
      </c>
      <c r="AW2286" t="s">
        <v>11447</v>
      </c>
    </row>
    <row r="2287" spans="1:49">
      <c r="A2287" s="1">
        <f>HYPERLINK("https://lsnyc.legalserver.org/matter/dynamic-profile/view/1914892","19-1914892")</f>
        <v>0</v>
      </c>
      <c r="B2287" t="s">
        <v>224</v>
      </c>
      <c r="C2287" t="s">
        <v>537</v>
      </c>
      <c r="E2287" t="s">
        <v>1955</v>
      </c>
      <c r="F2287" t="s">
        <v>2951</v>
      </c>
      <c r="G2287" t="s">
        <v>7365</v>
      </c>
      <c r="H2287">
        <v>31</v>
      </c>
      <c r="I2287" t="s">
        <v>11385</v>
      </c>
      <c r="J2287">
        <v>11213</v>
      </c>
      <c r="K2287" t="s">
        <v>11446</v>
      </c>
      <c r="L2287" t="s">
        <v>12009</v>
      </c>
      <c r="M2287" t="s">
        <v>14763</v>
      </c>
      <c r="N2287" t="s">
        <v>14781</v>
      </c>
      <c r="P2287" t="s">
        <v>14797</v>
      </c>
      <c r="Q2287" t="s">
        <v>11446</v>
      </c>
      <c r="S2287" t="s">
        <v>14827</v>
      </c>
      <c r="T2287" t="s">
        <v>14832</v>
      </c>
      <c r="V2287">
        <v>944.38</v>
      </c>
      <c r="W2287" t="s">
        <v>14859</v>
      </c>
      <c r="X2287" t="s">
        <v>14876</v>
      </c>
      <c r="Z2287" t="s">
        <v>16273</v>
      </c>
      <c r="AA2287" t="s">
        <v>11465</v>
      </c>
      <c r="AB2287" t="s">
        <v>21347</v>
      </c>
      <c r="AC2287">
        <v>31</v>
      </c>
      <c r="AD2287" t="s">
        <v>24595</v>
      </c>
      <c r="AE2287" t="s">
        <v>11459</v>
      </c>
      <c r="AF2287">
        <v>15</v>
      </c>
      <c r="AG2287">
        <v>2</v>
      </c>
      <c r="AH2287">
        <v>0</v>
      </c>
      <c r="AI2287">
        <v>786.52</v>
      </c>
      <c r="AK2287" t="s">
        <v>24629</v>
      </c>
      <c r="AL2287" t="s">
        <v>5011</v>
      </c>
      <c r="AM2287">
        <v>133000</v>
      </c>
      <c r="AN2287" t="s">
        <v>24785</v>
      </c>
      <c r="AS2287">
        <v>0</v>
      </c>
      <c r="AU2287" t="s">
        <v>66</v>
      </c>
      <c r="AV2287" t="s">
        <v>25335</v>
      </c>
      <c r="AW2287" t="s">
        <v>11447</v>
      </c>
    </row>
    <row r="2288" spans="1:49">
      <c r="A2288" s="1">
        <f>HYPERLINK("https://lsnyc.legalserver.org/matter/dynamic-profile/view/1912910","19-1912910")</f>
        <v>0</v>
      </c>
      <c r="B2288" t="s">
        <v>67</v>
      </c>
      <c r="C2288" t="s">
        <v>574</v>
      </c>
      <c r="E2288" t="s">
        <v>2258</v>
      </c>
      <c r="F2288" t="s">
        <v>4801</v>
      </c>
      <c r="G2288" t="s">
        <v>6923</v>
      </c>
      <c r="H2288" t="s">
        <v>10557</v>
      </c>
      <c r="I2288" t="s">
        <v>11383</v>
      </c>
      <c r="J2288">
        <v>10458</v>
      </c>
      <c r="K2288" t="s">
        <v>11446</v>
      </c>
      <c r="M2288" t="s">
        <v>14746</v>
      </c>
      <c r="N2288" t="s">
        <v>14781</v>
      </c>
      <c r="P2288" t="s">
        <v>14797</v>
      </c>
      <c r="Q2288" t="s">
        <v>11446</v>
      </c>
      <c r="S2288" t="s">
        <v>14827</v>
      </c>
      <c r="V2288">
        <v>1020</v>
      </c>
      <c r="W2288" t="s">
        <v>14858</v>
      </c>
      <c r="X2288" t="s">
        <v>14864</v>
      </c>
      <c r="AB2288" t="s">
        <v>21845</v>
      </c>
      <c r="AC2288">
        <v>94</v>
      </c>
      <c r="AD2288" t="s">
        <v>24595</v>
      </c>
      <c r="AE2288" t="s">
        <v>11459</v>
      </c>
      <c r="AF2288">
        <v>34</v>
      </c>
      <c r="AG2288">
        <v>2</v>
      </c>
      <c r="AH2288">
        <v>0</v>
      </c>
      <c r="AI2288">
        <v>798.34</v>
      </c>
      <c r="AL2288" t="s">
        <v>5011</v>
      </c>
      <c r="AM2288">
        <v>135000</v>
      </c>
      <c r="AS2288">
        <v>0</v>
      </c>
      <c r="AU2288" t="s">
        <v>25242</v>
      </c>
      <c r="AV2288" t="s">
        <v>25335</v>
      </c>
      <c r="AW2288" t="s">
        <v>11447</v>
      </c>
    </row>
    <row r="2289" spans="1:49">
      <c r="A2289" s="1">
        <f>HYPERLINK("https://lsnyc.legalserver.org/matter/dynamic-profile/view/1910121","19-1910121")</f>
        <v>0</v>
      </c>
      <c r="B2289" t="s">
        <v>51</v>
      </c>
      <c r="C2289" t="s">
        <v>471</v>
      </c>
      <c r="E2289" t="s">
        <v>1378</v>
      </c>
      <c r="F2289" t="s">
        <v>3804</v>
      </c>
      <c r="G2289" t="s">
        <v>7856</v>
      </c>
      <c r="H2289" t="s">
        <v>10448</v>
      </c>
      <c r="I2289" t="s">
        <v>11383</v>
      </c>
      <c r="J2289">
        <v>10463</v>
      </c>
      <c r="K2289" t="s">
        <v>11446</v>
      </c>
      <c r="N2289" t="s">
        <v>14779</v>
      </c>
      <c r="P2289" t="s">
        <v>14797</v>
      </c>
      <c r="Q2289" t="s">
        <v>11448</v>
      </c>
      <c r="S2289" t="s">
        <v>14827</v>
      </c>
      <c r="V2289">
        <v>1200</v>
      </c>
      <c r="W2289" t="s">
        <v>14858</v>
      </c>
      <c r="X2289" t="s">
        <v>14864</v>
      </c>
      <c r="Z2289" t="s">
        <v>16818</v>
      </c>
      <c r="AB2289" t="s">
        <v>21846</v>
      </c>
      <c r="AC2289">
        <v>0</v>
      </c>
      <c r="AD2289" t="s">
        <v>24597</v>
      </c>
      <c r="AF2289">
        <v>24</v>
      </c>
      <c r="AG2289">
        <v>2</v>
      </c>
      <c r="AH2289">
        <v>0</v>
      </c>
      <c r="AI2289">
        <v>1096.89</v>
      </c>
      <c r="AL2289" t="s">
        <v>24632</v>
      </c>
      <c r="AM2289">
        <v>185484</v>
      </c>
      <c r="AS2289">
        <v>0</v>
      </c>
      <c r="AU2289" t="s">
        <v>51</v>
      </c>
      <c r="AV2289" t="s">
        <v>25335</v>
      </c>
      <c r="AW2289" t="s">
        <v>11447</v>
      </c>
    </row>
    <row r="2290" spans="1:49">
      <c r="A2290" s="1">
        <f>HYPERLINK("https://lsnyc.legalserver.org/matter/dynamic-profile/view/1884563","18-1884563")</f>
        <v>0</v>
      </c>
      <c r="B2290" t="s">
        <v>109</v>
      </c>
      <c r="C2290" t="s">
        <v>720</v>
      </c>
      <c r="E2290" t="s">
        <v>2259</v>
      </c>
      <c r="F2290" t="s">
        <v>4409</v>
      </c>
      <c r="G2290" t="s">
        <v>7441</v>
      </c>
      <c r="H2290">
        <v>10</v>
      </c>
      <c r="I2290" t="s">
        <v>11385</v>
      </c>
      <c r="J2290">
        <v>11238</v>
      </c>
      <c r="K2290" t="s">
        <v>11447</v>
      </c>
      <c r="M2290" t="s">
        <v>14747</v>
      </c>
      <c r="N2290" t="s">
        <v>14780</v>
      </c>
      <c r="P2290" t="s">
        <v>14797</v>
      </c>
      <c r="S2290" t="s">
        <v>14827</v>
      </c>
      <c r="V2290">
        <v>0</v>
      </c>
      <c r="W2290" t="s">
        <v>14859</v>
      </c>
      <c r="Z2290" t="s">
        <v>16520</v>
      </c>
      <c r="AC2290">
        <v>0</v>
      </c>
      <c r="AD2290" t="s">
        <v>24595</v>
      </c>
      <c r="AF2290">
        <v>0</v>
      </c>
      <c r="AG2290">
        <v>2</v>
      </c>
      <c r="AH2290">
        <v>0</v>
      </c>
      <c r="AI2290">
        <v>1439.85</v>
      </c>
      <c r="AL2290" t="s">
        <v>5011</v>
      </c>
      <c r="AM2290">
        <v>255000</v>
      </c>
      <c r="AN2290" t="s">
        <v>24812</v>
      </c>
      <c r="AS2290">
        <v>1.26</v>
      </c>
      <c r="AT2290" t="s">
        <v>500</v>
      </c>
      <c r="AU2290" t="s">
        <v>25230</v>
      </c>
      <c r="AW2290" t="s">
        <v>11447</v>
      </c>
    </row>
    <row r="2291" spans="1:49">
      <c r="A2291" s="1">
        <f>HYPERLINK("https://lsnyc.legalserver.org/matter/dynamic-profile/view/1850074","17-1850074")</f>
        <v>0</v>
      </c>
      <c r="B2291" t="s">
        <v>156</v>
      </c>
      <c r="C2291" t="s">
        <v>721</v>
      </c>
      <c r="G2291" t="s">
        <v>7711</v>
      </c>
      <c r="I2291" t="s">
        <v>11386</v>
      </c>
      <c r="J2291">
        <v>10002</v>
      </c>
      <c r="K2291" t="s">
        <v>11447</v>
      </c>
      <c r="P2291" t="s">
        <v>14797</v>
      </c>
      <c r="S2291" t="s">
        <v>14827</v>
      </c>
      <c r="V2291">
        <v>0</v>
      </c>
      <c r="W2291" t="s">
        <v>14860</v>
      </c>
      <c r="AC2291">
        <v>0</v>
      </c>
      <c r="AF2291">
        <v>0</v>
      </c>
      <c r="AG2291">
        <v>0</v>
      </c>
      <c r="AH2291">
        <v>0</v>
      </c>
      <c r="AI2291">
        <v>0</v>
      </c>
      <c r="AM2291">
        <v>5000</v>
      </c>
      <c r="AS2291">
        <v>101.25</v>
      </c>
      <c r="AT2291" t="s">
        <v>571</v>
      </c>
      <c r="AU2291" t="s">
        <v>153</v>
      </c>
      <c r="AW2291" t="s">
        <v>11447</v>
      </c>
    </row>
    <row r="2292" spans="1:49">
      <c r="A2292" s="1">
        <f>HYPERLINK("https://lsnyc.legalserver.org/matter/dynamic-profile/view/1850587","17-1850587")</f>
        <v>0</v>
      </c>
      <c r="B2292" t="s">
        <v>156</v>
      </c>
      <c r="C2292" t="s">
        <v>722</v>
      </c>
      <c r="G2292" t="s">
        <v>7811</v>
      </c>
      <c r="I2292" t="s">
        <v>11386</v>
      </c>
      <c r="J2292">
        <v>10002</v>
      </c>
      <c r="K2292" t="s">
        <v>11447</v>
      </c>
      <c r="P2292" t="s">
        <v>14797</v>
      </c>
      <c r="S2292" t="s">
        <v>14827</v>
      </c>
      <c r="V2292">
        <v>0</v>
      </c>
      <c r="W2292" t="s">
        <v>14860</v>
      </c>
      <c r="AC2292">
        <v>0</v>
      </c>
      <c r="AF2292">
        <v>0</v>
      </c>
      <c r="AG2292">
        <v>0</v>
      </c>
      <c r="AH2292">
        <v>0</v>
      </c>
      <c r="AI2292">
        <v>0</v>
      </c>
      <c r="AM2292">
        <v>66360</v>
      </c>
      <c r="AS2292">
        <v>208.15</v>
      </c>
      <c r="AT2292" t="s">
        <v>472</v>
      </c>
      <c r="AU2292" t="s">
        <v>153</v>
      </c>
      <c r="AW2292" t="s">
        <v>11447</v>
      </c>
    </row>
    <row r="2293" spans="1:49">
      <c r="A2293" s="1">
        <f>HYPERLINK("https://lsnyc.legalserver.org/matter/dynamic-profile/view/1891591","19-1891591")</f>
        <v>0</v>
      </c>
      <c r="B2293" t="s">
        <v>88</v>
      </c>
      <c r="C2293" t="s">
        <v>596</v>
      </c>
      <c r="D2293" t="s">
        <v>378</v>
      </c>
      <c r="E2293" t="s">
        <v>2260</v>
      </c>
      <c r="F2293" t="s">
        <v>4802</v>
      </c>
      <c r="G2293" t="s">
        <v>7857</v>
      </c>
      <c r="H2293" t="s">
        <v>10522</v>
      </c>
      <c r="I2293" t="s">
        <v>11385</v>
      </c>
      <c r="J2293">
        <v>11233</v>
      </c>
      <c r="K2293" t="s">
        <v>11447</v>
      </c>
      <c r="L2293" t="s">
        <v>12194</v>
      </c>
      <c r="M2293" t="s">
        <v>14743</v>
      </c>
      <c r="O2293" t="s">
        <v>14786</v>
      </c>
      <c r="P2293" t="s">
        <v>14798</v>
      </c>
      <c r="S2293" t="s">
        <v>14827</v>
      </c>
      <c r="V2293">
        <v>1900</v>
      </c>
      <c r="W2293" t="s">
        <v>14859</v>
      </c>
      <c r="X2293" t="s">
        <v>14755</v>
      </c>
      <c r="Y2293" t="s">
        <v>14885</v>
      </c>
      <c r="Z2293" t="s">
        <v>16819</v>
      </c>
      <c r="AB2293" t="s">
        <v>21847</v>
      </c>
      <c r="AC2293">
        <v>2</v>
      </c>
      <c r="AD2293" t="s">
        <v>24600</v>
      </c>
      <c r="AE2293" t="s">
        <v>11459</v>
      </c>
      <c r="AF2293">
        <v>2</v>
      </c>
      <c r="AG2293">
        <v>2</v>
      </c>
      <c r="AH2293">
        <v>2</v>
      </c>
      <c r="AI2293">
        <v>271.84</v>
      </c>
      <c r="AL2293" t="s">
        <v>5011</v>
      </c>
      <c r="AM2293">
        <v>70000</v>
      </c>
      <c r="AS2293">
        <v>2.65</v>
      </c>
      <c r="AT2293" t="s">
        <v>378</v>
      </c>
      <c r="AU2293" t="s">
        <v>25244</v>
      </c>
      <c r="AW2293" t="s">
        <v>11447</v>
      </c>
    </row>
    <row r="2294" spans="1:49">
      <c r="A2294" s="1">
        <f>HYPERLINK("https://lsnyc.legalserver.org/matter/dynamic-profile/view/1901904","19-1901904")</f>
        <v>0</v>
      </c>
      <c r="B2294" t="s">
        <v>256</v>
      </c>
      <c r="C2294" t="s">
        <v>347</v>
      </c>
      <c r="D2294" t="s">
        <v>621</v>
      </c>
      <c r="E2294" t="s">
        <v>2261</v>
      </c>
      <c r="F2294" t="s">
        <v>4803</v>
      </c>
      <c r="G2294" t="s">
        <v>6486</v>
      </c>
      <c r="H2294">
        <v>214</v>
      </c>
      <c r="I2294" t="s">
        <v>11383</v>
      </c>
      <c r="J2294">
        <v>10453</v>
      </c>
      <c r="K2294" t="s">
        <v>11447</v>
      </c>
      <c r="N2294" t="s">
        <v>14778</v>
      </c>
      <c r="O2294" t="s">
        <v>14786</v>
      </c>
      <c r="P2294" t="s">
        <v>14798</v>
      </c>
      <c r="S2294" t="s">
        <v>14827</v>
      </c>
      <c r="V2294">
        <v>560</v>
      </c>
      <c r="W2294" t="s">
        <v>14858</v>
      </c>
      <c r="Y2294" t="s">
        <v>14883</v>
      </c>
      <c r="Z2294" t="s">
        <v>16820</v>
      </c>
      <c r="AC2294">
        <v>0</v>
      </c>
      <c r="AF2294">
        <v>28</v>
      </c>
      <c r="AG2294">
        <v>1</v>
      </c>
      <c r="AH2294">
        <v>0</v>
      </c>
      <c r="AI2294">
        <v>224.18</v>
      </c>
      <c r="AL2294" t="s">
        <v>5011</v>
      </c>
      <c r="AM2294">
        <v>28000</v>
      </c>
      <c r="AN2294" t="s">
        <v>24813</v>
      </c>
      <c r="AS2294">
        <v>1.2</v>
      </c>
      <c r="AT2294" t="s">
        <v>517</v>
      </c>
      <c r="AU2294" t="s">
        <v>114</v>
      </c>
      <c r="AW2294" t="s">
        <v>11447</v>
      </c>
    </row>
    <row r="2295" spans="1:49">
      <c r="A2295" s="1">
        <f>HYPERLINK("https://lsnyc.legalserver.org/matter/dynamic-profile/view/1879182","18-1879182")</f>
        <v>0</v>
      </c>
      <c r="B2295" t="s">
        <v>191</v>
      </c>
      <c r="C2295" t="s">
        <v>715</v>
      </c>
      <c r="D2295" t="s">
        <v>338</v>
      </c>
      <c r="E2295" t="s">
        <v>2262</v>
      </c>
      <c r="F2295" t="s">
        <v>3975</v>
      </c>
      <c r="G2295" t="s">
        <v>7858</v>
      </c>
      <c r="H2295">
        <v>3</v>
      </c>
      <c r="I2295" t="s">
        <v>11385</v>
      </c>
      <c r="J2295">
        <v>11236</v>
      </c>
      <c r="K2295" t="s">
        <v>11447</v>
      </c>
      <c r="L2295" t="s">
        <v>12195</v>
      </c>
      <c r="M2295" t="s">
        <v>14743</v>
      </c>
      <c r="N2295" t="s">
        <v>14781</v>
      </c>
      <c r="O2295" t="s">
        <v>14788</v>
      </c>
      <c r="P2295" t="s">
        <v>14798</v>
      </c>
      <c r="S2295" t="s">
        <v>14827</v>
      </c>
      <c r="V2295">
        <v>0</v>
      </c>
      <c r="W2295" t="s">
        <v>14859</v>
      </c>
      <c r="Y2295" t="s">
        <v>14887</v>
      </c>
      <c r="Z2295" t="s">
        <v>16821</v>
      </c>
      <c r="AB2295" t="s">
        <v>21848</v>
      </c>
      <c r="AC2295">
        <v>0</v>
      </c>
      <c r="AF2295">
        <v>0</v>
      </c>
      <c r="AG2295">
        <v>2</v>
      </c>
      <c r="AH2295">
        <v>1</v>
      </c>
      <c r="AI2295">
        <v>230.99</v>
      </c>
      <c r="AL2295" t="s">
        <v>5011</v>
      </c>
      <c r="AM2295">
        <v>48000</v>
      </c>
      <c r="AS2295">
        <v>21.8</v>
      </c>
      <c r="AT2295" t="s">
        <v>660</v>
      </c>
      <c r="AU2295" t="s">
        <v>25275</v>
      </c>
      <c r="AW2295" t="s">
        <v>11447</v>
      </c>
    </row>
    <row r="2296" spans="1:49">
      <c r="A2296" s="1">
        <f>HYPERLINK("https://lsnyc.legalserver.org/matter/dynamic-profile/view/1902704","19-1902704")</f>
        <v>0</v>
      </c>
      <c r="B2296" t="s">
        <v>257</v>
      </c>
      <c r="C2296" t="s">
        <v>371</v>
      </c>
      <c r="D2296" t="s">
        <v>456</v>
      </c>
      <c r="E2296" t="s">
        <v>1025</v>
      </c>
      <c r="F2296" t="s">
        <v>4166</v>
      </c>
      <c r="G2296" t="s">
        <v>7661</v>
      </c>
      <c r="H2296" t="s">
        <v>10478</v>
      </c>
      <c r="I2296" t="s">
        <v>11383</v>
      </c>
      <c r="J2296">
        <v>10457</v>
      </c>
      <c r="K2296" t="s">
        <v>11446</v>
      </c>
      <c r="L2296" t="s">
        <v>12196</v>
      </c>
      <c r="M2296" t="s">
        <v>14743</v>
      </c>
      <c r="N2296" t="s">
        <v>14778</v>
      </c>
      <c r="O2296" t="s">
        <v>14786</v>
      </c>
      <c r="P2296" t="s">
        <v>14798</v>
      </c>
      <c r="Q2296" t="s">
        <v>11448</v>
      </c>
      <c r="S2296" t="s">
        <v>14827</v>
      </c>
      <c r="T2296" t="s">
        <v>14833</v>
      </c>
      <c r="V2296">
        <v>1625.28</v>
      </c>
      <c r="W2296" t="s">
        <v>14858</v>
      </c>
      <c r="X2296" t="s">
        <v>14863</v>
      </c>
      <c r="Y2296" t="s">
        <v>14883</v>
      </c>
      <c r="Z2296" t="s">
        <v>16822</v>
      </c>
      <c r="AA2296" t="s">
        <v>19510</v>
      </c>
      <c r="AB2296" t="s">
        <v>21849</v>
      </c>
      <c r="AC2296">
        <v>55</v>
      </c>
      <c r="AD2296" t="s">
        <v>24595</v>
      </c>
      <c r="AE2296" t="s">
        <v>11459</v>
      </c>
      <c r="AF2296">
        <v>18</v>
      </c>
      <c r="AG2296">
        <v>2</v>
      </c>
      <c r="AH2296">
        <v>0</v>
      </c>
      <c r="AI2296">
        <v>259.87</v>
      </c>
      <c r="AL2296" t="s">
        <v>24632</v>
      </c>
      <c r="AM2296">
        <v>43944</v>
      </c>
      <c r="AN2296" t="s">
        <v>24814</v>
      </c>
      <c r="AS2296">
        <v>3.3</v>
      </c>
      <c r="AT2296" t="s">
        <v>493</v>
      </c>
      <c r="AU2296" t="s">
        <v>25252</v>
      </c>
      <c r="AV2296" t="s">
        <v>25334</v>
      </c>
      <c r="AW2296" t="s">
        <v>11447</v>
      </c>
    </row>
    <row r="2297" spans="1:49">
      <c r="A2297" s="1">
        <f>HYPERLINK("https://lsnyc.legalserver.org/matter/dynamic-profile/view/0813542","16-0813542")</f>
        <v>0</v>
      </c>
      <c r="B2297" t="s">
        <v>62</v>
      </c>
      <c r="C2297" t="s">
        <v>723</v>
      </c>
      <c r="D2297" t="s">
        <v>520</v>
      </c>
      <c r="E2297" t="s">
        <v>2263</v>
      </c>
      <c r="F2297" t="s">
        <v>4804</v>
      </c>
      <c r="G2297" t="s">
        <v>7859</v>
      </c>
      <c r="H2297" t="s">
        <v>10957</v>
      </c>
      <c r="I2297" t="s">
        <v>11392</v>
      </c>
      <c r="J2297">
        <v>11372</v>
      </c>
      <c r="K2297" t="s">
        <v>11447</v>
      </c>
      <c r="L2297" t="s">
        <v>12197</v>
      </c>
      <c r="M2297" t="s">
        <v>14743</v>
      </c>
      <c r="N2297" t="s">
        <v>14781</v>
      </c>
      <c r="O2297" t="s">
        <v>14788</v>
      </c>
      <c r="P2297" t="s">
        <v>14798</v>
      </c>
      <c r="Q2297" t="s">
        <v>11446</v>
      </c>
      <c r="S2297" t="s">
        <v>14827</v>
      </c>
      <c r="V2297">
        <v>0</v>
      </c>
      <c r="W2297" t="s">
        <v>14861</v>
      </c>
      <c r="Y2297" t="s">
        <v>14897</v>
      </c>
      <c r="Z2297" t="s">
        <v>16823</v>
      </c>
      <c r="AB2297" t="s">
        <v>21850</v>
      </c>
      <c r="AC2297">
        <v>0</v>
      </c>
      <c r="AD2297" t="s">
        <v>24595</v>
      </c>
      <c r="AE2297" t="s">
        <v>14755</v>
      </c>
      <c r="AF2297">
        <v>0</v>
      </c>
      <c r="AG2297">
        <v>1</v>
      </c>
      <c r="AH2297">
        <v>0</v>
      </c>
      <c r="AI2297">
        <v>140.07</v>
      </c>
      <c r="AL2297" t="s">
        <v>5011</v>
      </c>
      <c r="AM2297">
        <v>16640</v>
      </c>
      <c r="AP2297" t="s">
        <v>24958</v>
      </c>
      <c r="AQ2297" t="s">
        <v>24986</v>
      </c>
      <c r="AR2297" t="s">
        <v>25041</v>
      </c>
      <c r="AS2297">
        <v>3.3</v>
      </c>
      <c r="AT2297" t="s">
        <v>619</v>
      </c>
      <c r="AU2297" t="s">
        <v>99</v>
      </c>
      <c r="AW2297" t="s">
        <v>11447</v>
      </c>
    </row>
    <row r="2298" spans="1:49">
      <c r="A2298" s="1">
        <f>HYPERLINK("https://lsnyc.legalserver.org/matter/dynamic-profile/view/1905455","19-1905455")</f>
        <v>0</v>
      </c>
      <c r="B2298" t="s">
        <v>119</v>
      </c>
      <c r="C2298" t="s">
        <v>520</v>
      </c>
      <c r="D2298" t="s">
        <v>520</v>
      </c>
      <c r="E2298" t="s">
        <v>1372</v>
      </c>
      <c r="F2298" t="s">
        <v>4805</v>
      </c>
      <c r="G2298" t="s">
        <v>6983</v>
      </c>
      <c r="H2298" t="s">
        <v>10481</v>
      </c>
      <c r="I2298" t="s">
        <v>11383</v>
      </c>
      <c r="J2298">
        <v>10451</v>
      </c>
      <c r="K2298" t="s">
        <v>11446</v>
      </c>
      <c r="L2298" t="s">
        <v>11465</v>
      </c>
      <c r="M2298" t="s">
        <v>14744</v>
      </c>
      <c r="N2298" t="s">
        <v>14779</v>
      </c>
      <c r="O2298" t="s">
        <v>14787</v>
      </c>
      <c r="P2298" t="s">
        <v>14798</v>
      </c>
      <c r="Q2298" t="s">
        <v>11448</v>
      </c>
      <c r="S2298" t="s">
        <v>14827</v>
      </c>
      <c r="T2298" t="s">
        <v>14832</v>
      </c>
      <c r="V2298">
        <v>978</v>
      </c>
      <c r="W2298" t="s">
        <v>14858</v>
      </c>
      <c r="X2298" t="s">
        <v>14868</v>
      </c>
      <c r="Y2298" t="s">
        <v>14885</v>
      </c>
      <c r="Z2298" t="s">
        <v>16824</v>
      </c>
      <c r="AB2298" t="s">
        <v>21851</v>
      </c>
      <c r="AC2298">
        <v>81</v>
      </c>
      <c r="AD2298" t="s">
        <v>24595</v>
      </c>
      <c r="AE2298" t="s">
        <v>11459</v>
      </c>
      <c r="AF2298">
        <v>37</v>
      </c>
      <c r="AG2298">
        <v>2</v>
      </c>
      <c r="AH2298">
        <v>0</v>
      </c>
      <c r="AI2298">
        <v>283.86</v>
      </c>
      <c r="AL2298" t="s">
        <v>5011</v>
      </c>
      <c r="AM2298">
        <v>48000</v>
      </c>
      <c r="AS2298">
        <v>0.3</v>
      </c>
      <c r="AT2298" t="s">
        <v>520</v>
      </c>
      <c r="AU2298" t="s">
        <v>245</v>
      </c>
      <c r="AV2298" t="s">
        <v>25335</v>
      </c>
      <c r="AW2298" t="s">
        <v>11447</v>
      </c>
    </row>
    <row r="2299" spans="1:49">
      <c r="A2299" s="1">
        <f>HYPERLINK("https://lsnyc.legalserver.org/matter/dynamic-profile/view/1898652","19-1898652")</f>
        <v>0</v>
      </c>
      <c r="B2299" t="s">
        <v>56</v>
      </c>
      <c r="C2299" t="s">
        <v>518</v>
      </c>
      <c r="D2299" t="s">
        <v>555</v>
      </c>
      <c r="E2299" t="s">
        <v>1372</v>
      </c>
      <c r="F2299" t="s">
        <v>3623</v>
      </c>
      <c r="G2299" t="s">
        <v>7860</v>
      </c>
      <c r="H2299" t="s">
        <v>10958</v>
      </c>
      <c r="I2299" t="s">
        <v>11385</v>
      </c>
      <c r="J2299">
        <v>11224</v>
      </c>
      <c r="K2299" t="s">
        <v>11446</v>
      </c>
      <c r="O2299" t="s">
        <v>14786</v>
      </c>
      <c r="P2299" t="s">
        <v>14798</v>
      </c>
      <c r="Q2299" t="s">
        <v>11448</v>
      </c>
      <c r="S2299" t="s">
        <v>14827</v>
      </c>
      <c r="T2299" t="s">
        <v>14832</v>
      </c>
      <c r="V2299">
        <v>0</v>
      </c>
      <c r="W2299" t="s">
        <v>14859</v>
      </c>
      <c r="Y2299" t="s">
        <v>14883</v>
      </c>
      <c r="Z2299" t="s">
        <v>16825</v>
      </c>
      <c r="AA2299" t="s">
        <v>19418</v>
      </c>
      <c r="AC2299">
        <v>0</v>
      </c>
      <c r="AE2299" t="s">
        <v>24610</v>
      </c>
      <c r="AF2299">
        <v>0</v>
      </c>
      <c r="AG2299">
        <v>1</v>
      </c>
      <c r="AH2299">
        <v>0</v>
      </c>
      <c r="AI2299">
        <v>83.59</v>
      </c>
      <c r="AM2299">
        <v>10440</v>
      </c>
      <c r="AS2299">
        <v>0.7</v>
      </c>
      <c r="AT2299" t="s">
        <v>555</v>
      </c>
      <c r="AU2299" t="s">
        <v>66</v>
      </c>
      <c r="AW2299" t="s">
        <v>11446</v>
      </c>
    </row>
    <row r="2300" spans="1:49">
      <c r="A2300" s="1">
        <f>HYPERLINK("https://lsnyc.legalserver.org/matter/dynamic-profile/view/1898656","19-1898656")</f>
        <v>0</v>
      </c>
      <c r="B2300" t="s">
        <v>56</v>
      </c>
      <c r="C2300" t="s">
        <v>518</v>
      </c>
      <c r="D2300" t="s">
        <v>555</v>
      </c>
      <c r="E2300" t="s">
        <v>1591</v>
      </c>
      <c r="F2300" t="s">
        <v>4806</v>
      </c>
      <c r="G2300" t="s">
        <v>7861</v>
      </c>
      <c r="H2300" t="s">
        <v>10719</v>
      </c>
      <c r="I2300" t="s">
        <v>11385</v>
      </c>
      <c r="J2300">
        <v>11222</v>
      </c>
      <c r="K2300" t="s">
        <v>11446</v>
      </c>
      <c r="O2300" t="s">
        <v>14786</v>
      </c>
      <c r="P2300" t="s">
        <v>14798</v>
      </c>
      <c r="Q2300" t="s">
        <v>11448</v>
      </c>
      <c r="S2300" t="s">
        <v>14827</v>
      </c>
      <c r="T2300" t="s">
        <v>14832</v>
      </c>
      <c r="V2300">
        <v>0</v>
      </c>
      <c r="W2300" t="s">
        <v>14859</v>
      </c>
      <c r="Y2300" t="s">
        <v>14887</v>
      </c>
      <c r="Z2300" t="s">
        <v>16826</v>
      </c>
      <c r="AC2300">
        <v>0</v>
      </c>
      <c r="AE2300" t="s">
        <v>14755</v>
      </c>
      <c r="AF2300">
        <v>3</v>
      </c>
      <c r="AG2300">
        <v>2</v>
      </c>
      <c r="AH2300">
        <v>1</v>
      </c>
      <c r="AI2300">
        <v>129.4</v>
      </c>
      <c r="AL2300" t="s">
        <v>5011</v>
      </c>
      <c r="AM2300">
        <v>27600</v>
      </c>
      <c r="AS2300">
        <v>0.9</v>
      </c>
      <c r="AT2300" t="s">
        <v>555</v>
      </c>
      <c r="AU2300" t="s">
        <v>66</v>
      </c>
      <c r="AW2300" t="s">
        <v>11446</v>
      </c>
    </row>
    <row r="2301" spans="1:49">
      <c r="A2301" s="1">
        <f>HYPERLINK("https://lsnyc.legalserver.org/matter/dynamic-profile/view/1898628","19-1898628")</f>
        <v>0</v>
      </c>
      <c r="B2301" t="s">
        <v>56</v>
      </c>
      <c r="C2301" t="s">
        <v>411</v>
      </c>
      <c r="D2301" t="s">
        <v>555</v>
      </c>
      <c r="E2301" t="s">
        <v>1140</v>
      </c>
      <c r="F2301" t="s">
        <v>4807</v>
      </c>
      <c r="G2301" t="s">
        <v>7862</v>
      </c>
      <c r="H2301" t="s">
        <v>10959</v>
      </c>
      <c r="I2301" t="s">
        <v>11385</v>
      </c>
      <c r="J2301">
        <v>11238</v>
      </c>
      <c r="K2301" t="s">
        <v>11446</v>
      </c>
      <c r="O2301" t="s">
        <v>14786</v>
      </c>
      <c r="P2301" t="s">
        <v>14798</v>
      </c>
      <c r="S2301" t="s">
        <v>14827</v>
      </c>
      <c r="V2301">
        <v>781</v>
      </c>
      <c r="W2301" t="s">
        <v>14859</v>
      </c>
      <c r="Y2301" t="s">
        <v>14883</v>
      </c>
      <c r="Z2301" t="s">
        <v>16827</v>
      </c>
      <c r="AB2301" t="s">
        <v>21852</v>
      </c>
      <c r="AC2301">
        <v>328</v>
      </c>
      <c r="AE2301" t="s">
        <v>11459</v>
      </c>
      <c r="AF2301">
        <v>1</v>
      </c>
      <c r="AG2301">
        <v>1</v>
      </c>
      <c r="AH2301">
        <v>0</v>
      </c>
      <c r="AI2301">
        <v>211.37</v>
      </c>
      <c r="AL2301" t="s">
        <v>5011</v>
      </c>
      <c r="AM2301">
        <v>26400</v>
      </c>
      <c r="AS2301">
        <v>0.8</v>
      </c>
      <c r="AT2301" t="s">
        <v>553</v>
      </c>
      <c r="AU2301" t="s">
        <v>66</v>
      </c>
      <c r="AW2301" t="s">
        <v>11446</v>
      </c>
    </row>
    <row r="2302" spans="1:49">
      <c r="A2302" s="1">
        <f>HYPERLINK("https://lsnyc.legalserver.org/matter/dynamic-profile/view/1889802","19-1889802")</f>
        <v>0</v>
      </c>
      <c r="B2302" t="s">
        <v>56</v>
      </c>
      <c r="C2302" t="s">
        <v>359</v>
      </c>
      <c r="D2302" t="s">
        <v>555</v>
      </c>
      <c r="E2302" t="s">
        <v>2264</v>
      </c>
      <c r="F2302" t="s">
        <v>4808</v>
      </c>
      <c r="G2302" t="s">
        <v>7863</v>
      </c>
      <c r="H2302" t="s">
        <v>10636</v>
      </c>
      <c r="I2302" t="s">
        <v>11385</v>
      </c>
      <c r="J2302">
        <v>11233</v>
      </c>
      <c r="K2302" t="s">
        <v>11446</v>
      </c>
      <c r="L2302" t="s">
        <v>12198</v>
      </c>
      <c r="M2302" t="s">
        <v>14743</v>
      </c>
      <c r="N2302" t="s">
        <v>14778</v>
      </c>
      <c r="O2302" t="s">
        <v>14786</v>
      </c>
      <c r="P2302" t="s">
        <v>14798</v>
      </c>
      <c r="Q2302" t="s">
        <v>11448</v>
      </c>
      <c r="S2302" t="s">
        <v>14827</v>
      </c>
      <c r="V2302">
        <v>1600</v>
      </c>
      <c r="W2302" t="s">
        <v>14859</v>
      </c>
      <c r="X2302" t="s">
        <v>14872</v>
      </c>
      <c r="Y2302" t="s">
        <v>14883</v>
      </c>
      <c r="Z2302" t="s">
        <v>16828</v>
      </c>
      <c r="AB2302" t="s">
        <v>21853</v>
      </c>
      <c r="AC2302">
        <v>2</v>
      </c>
      <c r="AE2302" t="s">
        <v>11459</v>
      </c>
      <c r="AF2302">
        <v>10</v>
      </c>
      <c r="AG2302">
        <v>2</v>
      </c>
      <c r="AH2302">
        <v>2</v>
      </c>
      <c r="AI2302">
        <v>258.64</v>
      </c>
      <c r="AL2302" t="s">
        <v>5011</v>
      </c>
      <c r="AM2302">
        <v>66600</v>
      </c>
      <c r="AS2302">
        <v>1.8</v>
      </c>
      <c r="AT2302" t="s">
        <v>575</v>
      </c>
      <c r="AU2302" t="s">
        <v>66</v>
      </c>
      <c r="AV2302" t="s">
        <v>25335</v>
      </c>
      <c r="AW2302" t="s">
        <v>11446</v>
      </c>
    </row>
    <row r="2303" spans="1:49">
      <c r="A2303" s="1">
        <f>HYPERLINK("https://lsnyc.legalserver.org/matter/dynamic-profile/view/1903945","19-1903945")</f>
        <v>0</v>
      </c>
      <c r="B2303" t="s">
        <v>81</v>
      </c>
      <c r="C2303" t="s">
        <v>378</v>
      </c>
      <c r="D2303" t="s">
        <v>555</v>
      </c>
      <c r="E2303" t="s">
        <v>1056</v>
      </c>
      <c r="F2303" t="s">
        <v>3716</v>
      </c>
      <c r="G2303" t="s">
        <v>7864</v>
      </c>
      <c r="I2303" t="s">
        <v>11383</v>
      </c>
      <c r="J2303">
        <v>10454</v>
      </c>
      <c r="K2303" t="s">
        <v>11446</v>
      </c>
      <c r="N2303" t="s">
        <v>14778</v>
      </c>
      <c r="O2303" t="s">
        <v>14786</v>
      </c>
      <c r="P2303" t="s">
        <v>14798</v>
      </c>
      <c r="S2303" t="s">
        <v>14827</v>
      </c>
      <c r="V2303">
        <v>1500</v>
      </c>
      <c r="W2303" t="s">
        <v>14858</v>
      </c>
      <c r="Y2303" t="s">
        <v>14883</v>
      </c>
      <c r="Z2303" t="s">
        <v>15828</v>
      </c>
      <c r="AB2303" t="s">
        <v>21854</v>
      </c>
      <c r="AC2303">
        <v>0</v>
      </c>
      <c r="AD2303" t="s">
        <v>24600</v>
      </c>
      <c r="AF2303">
        <v>1</v>
      </c>
      <c r="AG2303">
        <v>2</v>
      </c>
      <c r="AH2303">
        <v>0</v>
      </c>
      <c r="AI2303">
        <v>357.89</v>
      </c>
      <c r="AL2303" t="s">
        <v>5011</v>
      </c>
      <c r="AM2303">
        <v>60519.68</v>
      </c>
      <c r="AN2303" t="s">
        <v>24815</v>
      </c>
      <c r="AS2303">
        <v>0.8</v>
      </c>
      <c r="AT2303" t="s">
        <v>555</v>
      </c>
      <c r="AU2303" t="s">
        <v>25239</v>
      </c>
      <c r="AV2303" t="s">
        <v>25335</v>
      </c>
      <c r="AW2303" t="s">
        <v>11447</v>
      </c>
    </row>
    <row r="2304" spans="1:49">
      <c r="A2304" s="1">
        <f>HYPERLINK("https://lsnyc.legalserver.org/matter/dynamic-profile/view/1869917","18-1869917")</f>
        <v>0</v>
      </c>
      <c r="B2304" t="s">
        <v>107</v>
      </c>
      <c r="C2304" t="s">
        <v>557</v>
      </c>
      <c r="D2304" t="s">
        <v>461</v>
      </c>
      <c r="E2304" t="s">
        <v>1969</v>
      </c>
      <c r="F2304" t="s">
        <v>4809</v>
      </c>
      <c r="G2304" t="s">
        <v>6918</v>
      </c>
      <c r="H2304">
        <v>410</v>
      </c>
      <c r="I2304" t="s">
        <v>11385</v>
      </c>
      <c r="J2304">
        <v>11212</v>
      </c>
      <c r="K2304" t="s">
        <v>11446</v>
      </c>
      <c r="L2304" t="s">
        <v>11601</v>
      </c>
      <c r="M2304" t="s">
        <v>11601</v>
      </c>
      <c r="O2304" t="s">
        <v>14786</v>
      </c>
      <c r="P2304" t="s">
        <v>14798</v>
      </c>
      <c r="S2304" t="s">
        <v>14827</v>
      </c>
      <c r="V2304">
        <v>620</v>
      </c>
      <c r="W2304" t="s">
        <v>14859</v>
      </c>
      <c r="Y2304" t="s">
        <v>14883</v>
      </c>
      <c r="Z2304" t="s">
        <v>16829</v>
      </c>
      <c r="AB2304" t="s">
        <v>21855</v>
      </c>
      <c r="AC2304">
        <v>161</v>
      </c>
      <c r="AD2304" t="s">
        <v>24595</v>
      </c>
      <c r="AE2304" t="s">
        <v>11459</v>
      </c>
      <c r="AF2304">
        <v>1</v>
      </c>
      <c r="AG2304">
        <v>1</v>
      </c>
      <c r="AH2304">
        <v>0</v>
      </c>
      <c r="AI2304">
        <v>257</v>
      </c>
      <c r="AL2304" t="s">
        <v>5011</v>
      </c>
      <c r="AM2304">
        <v>31200</v>
      </c>
      <c r="AS2304">
        <v>1</v>
      </c>
      <c r="AT2304" t="s">
        <v>557</v>
      </c>
      <c r="AU2304" t="s">
        <v>25231</v>
      </c>
      <c r="AW2304" t="s">
        <v>11447</v>
      </c>
    </row>
    <row r="2305" spans="1:49">
      <c r="A2305" s="1">
        <f>HYPERLINK("https://lsnyc.legalserver.org/matter/dynamic-profile/view/1906096","19-1906096")</f>
        <v>0</v>
      </c>
      <c r="B2305" t="s">
        <v>81</v>
      </c>
      <c r="C2305" t="s">
        <v>618</v>
      </c>
      <c r="D2305" t="s">
        <v>553</v>
      </c>
      <c r="E2305" t="s">
        <v>1536</v>
      </c>
      <c r="F2305" t="s">
        <v>3727</v>
      </c>
      <c r="G2305" t="s">
        <v>7865</v>
      </c>
      <c r="H2305" t="s">
        <v>10573</v>
      </c>
      <c r="I2305" t="s">
        <v>11383</v>
      </c>
      <c r="J2305">
        <v>10460</v>
      </c>
      <c r="K2305" t="s">
        <v>11446</v>
      </c>
      <c r="L2305" t="s">
        <v>12199</v>
      </c>
      <c r="M2305" t="s">
        <v>14743</v>
      </c>
      <c r="N2305" t="s">
        <v>14778</v>
      </c>
      <c r="O2305" t="s">
        <v>14786</v>
      </c>
      <c r="P2305" t="s">
        <v>14798</v>
      </c>
      <c r="Q2305" t="s">
        <v>11448</v>
      </c>
      <c r="S2305" t="s">
        <v>14827</v>
      </c>
      <c r="U2305" t="s">
        <v>379</v>
      </c>
      <c r="V2305">
        <v>0</v>
      </c>
      <c r="W2305" t="s">
        <v>14858</v>
      </c>
      <c r="X2305" t="s">
        <v>14877</v>
      </c>
      <c r="Y2305" t="s">
        <v>14883</v>
      </c>
      <c r="Z2305" t="s">
        <v>16830</v>
      </c>
      <c r="AB2305" t="s">
        <v>21856</v>
      </c>
      <c r="AC2305">
        <v>237</v>
      </c>
      <c r="AF2305">
        <v>0</v>
      </c>
      <c r="AG2305">
        <v>1</v>
      </c>
      <c r="AH2305">
        <v>0</v>
      </c>
      <c r="AI2305">
        <v>232.19</v>
      </c>
      <c r="AL2305" t="s">
        <v>5011</v>
      </c>
      <c r="AM2305">
        <v>29000</v>
      </c>
      <c r="AN2305" t="s">
        <v>24816</v>
      </c>
      <c r="AS2305">
        <v>0.7</v>
      </c>
      <c r="AT2305" t="s">
        <v>553</v>
      </c>
      <c r="AU2305" t="s">
        <v>145</v>
      </c>
      <c r="AV2305" t="s">
        <v>25335</v>
      </c>
      <c r="AW2305" t="s">
        <v>11447</v>
      </c>
    </row>
    <row r="2306" spans="1:49">
      <c r="A2306" s="1">
        <f>HYPERLINK("https://lsnyc.legalserver.org/matter/dynamic-profile/view/1906374","19-1906374")</f>
        <v>0</v>
      </c>
      <c r="B2306" t="s">
        <v>66</v>
      </c>
      <c r="C2306" t="s">
        <v>485</v>
      </c>
      <c r="D2306" t="s">
        <v>485</v>
      </c>
      <c r="E2306" t="s">
        <v>2265</v>
      </c>
      <c r="F2306" t="s">
        <v>3250</v>
      </c>
      <c r="G2306" t="s">
        <v>7866</v>
      </c>
      <c r="H2306" t="s">
        <v>10908</v>
      </c>
      <c r="I2306" t="s">
        <v>11385</v>
      </c>
      <c r="J2306">
        <v>11212</v>
      </c>
      <c r="K2306" t="s">
        <v>11447</v>
      </c>
      <c r="M2306" t="s">
        <v>14743</v>
      </c>
      <c r="O2306" t="s">
        <v>14786</v>
      </c>
      <c r="P2306" t="s">
        <v>14798</v>
      </c>
      <c r="S2306" t="s">
        <v>14827</v>
      </c>
      <c r="V2306">
        <v>1300</v>
      </c>
      <c r="W2306" t="s">
        <v>14859</v>
      </c>
      <c r="X2306" t="s">
        <v>14755</v>
      </c>
      <c r="Y2306" t="s">
        <v>14883</v>
      </c>
      <c r="Z2306" t="s">
        <v>16831</v>
      </c>
      <c r="AB2306" t="s">
        <v>21857</v>
      </c>
      <c r="AC2306">
        <v>3</v>
      </c>
      <c r="AD2306" t="s">
        <v>11479</v>
      </c>
      <c r="AF2306">
        <v>1</v>
      </c>
      <c r="AG2306">
        <v>1</v>
      </c>
      <c r="AH2306">
        <v>0</v>
      </c>
      <c r="AI2306">
        <v>312.25</v>
      </c>
      <c r="AL2306" t="s">
        <v>5011</v>
      </c>
      <c r="AM2306">
        <v>39000</v>
      </c>
      <c r="AS2306">
        <v>0.5</v>
      </c>
      <c r="AT2306" t="s">
        <v>485</v>
      </c>
      <c r="AU2306" t="s">
        <v>25244</v>
      </c>
      <c r="AW2306" t="s">
        <v>11447</v>
      </c>
    </row>
    <row r="2307" spans="1:49">
      <c r="A2307" s="1">
        <f>HYPERLINK("https://lsnyc.legalserver.org/matter/dynamic-profile/view/1900711","19-1900711")</f>
        <v>0</v>
      </c>
      <c r="B2307" t="s">
        <v>77</v>
      </c>
      <c r="C2307" t="s">
        <v>336</v>
      </c>
      <c r="D2307" t="s">
        <v>485</v>
      </c>
      <c r="E2307" t="s">
        <v>2266</v>
      </c>
      <c r="F2307" t="s">
        <v>2645</v>
      </c>
      <c r="G2307" t="s">
        <v>7867</v>
      </c>
      <c r="H2307">
        <v>303</v>
      </c>
      <c r="I2307" t="s">
        <v>11385</v>
      </c>
      <c r="J2307">
        <v>11231</v>
      </c>
      <c r="K2307" t="s">
        <v>11447</v>
      </c>
      <c r="L2307" t="s">
        <v>12200</v>
      </c>
      <c r="M2307" t="s">
        <v>14744</v>
      </c>
      <c r="N2307" t="s">
        <v>14778</v>
      </c>
      <c r="O2307" t="s">
        <v>14786</v>
      </c>
      <c r="P2307" t="s">
        <v>14798</v>
      </c>
      <c r="Q2307" t="s">
        <v>11448</v>
      </c>
      <c r="S2307" t="s">
        <v>14827</v>
      </c>
      <c r="T2307" t="s">
        <v>14837</v>
      </c>
      <c r="V2307">
        <v>2825</v>
      </c>
      <c r="W2307" t="s">
        <v>14859</v>
      </c>
      <c r="X2307" t="s">
        <v>14864</v>
      </c>
      <c r="Y2307" t="s">
        <v>14883</v>
      </c>
      <c r="Z2307" t="s">
        <v>16832</v>
      </c>
      <c r="AB2307" t="s">
        <v>21858</v>
      </c>
      <c r="AC2307">
        <v>100</v>
      </c>
      <c r="AD2307" t="s">
        <v>11479</v>
      </c>
      <c r="AF2307">
        <v>0</v>
      </c>
      <c r="AG2307">
        <v>2</v>
      </c>
      <c r="AH2307">
        <v>0</v>
      </c>
      <c r="AI2307">
        <v>650.5</v>
      </c>
      <c r="AL2307" t="s">
        <v>5011</v>
      </c>
      <c r="AM2307">
        <v>110000</v>
      </c>
      <c r="AS2307">
        <v>9</v>
      </c>
      <c r="AT2307" t="s">
        <v>485</v>
      </c>
      <c r="AU2307" t="s">
        <v>88</v>
      </c>
      <c r="AW2307" t="s">
        <v>11447</v>
      </c>
    </row>
    <row r="2308" spans="1:49">
      <c r="A2308" s="1">
        <f>HYPERLINK("https://lsnyc.legalserver.org/matter/dynamic-profile/view/0808988","16-0808988")</f>
        <v>0</v>
      </c>
      <c r="B2308" t="s">
        <v>189</v>
      </c>
      <c r="C2308" t="s">
        <v>724</v>
      </c>
      <c r="D2308" t="s">
        <v>380</v>
      </c>
      <c r="E2308" t="s">
        <v>2217</v>
      </c>
      <c r="F2308" t="s">
        <v>4762</v>
      </c>
      <c r="G2308" t="s">
        <v>7823</v>
      </c>
      <c r="H2308" t="s">
        <v>10939</v>
      </c>
      <c r="I2308" t="s">
        <v>11385</v>
      </c>
      <c r="J2308">
        <v>11205</v>
      </c>
      <c r="K2308" t="s">
        <v>11446</v>
      </c>
      <c r="L2308" t="s">
        <v>12201</v>
      </c>
      <c r="M2308" t="s">
        <v>14743</v>
      </c>
      <c r="N2308" t="s">
        <v>14781</v>
      </c>
      <c r="O2308" t="s">
        <v>14793</v>
      </c>
      <c r="P2308" t="s">
        <v>14798</v>
      </c>
      <c r="S2308" t="s">
        <v>14827</v>
      </c>
      <c r="V2308">
        <v>1059.78</v>
      </c>
      <c r="W2308" t="s">
        <v>14859</v>
      </c>
      <c r="X2308" t="s">
        <v>14878</v>
      </c>
      <c r="Y2308" t="s">
        <v>14887</v>
      </c>
      <c r="Z2308" t="s">
        <v>16749</v>
      </c>
      <c r="AB2308" t="s">
        <v>21777</v>
      </c>
      <c r="AC2308">
        <v>76</v>
      </c>
      <c r="AD2308" t="s">
        <v>24599</v>
      </c>
      <c r="AE2308" t="s">
        <v>11459</v>
      </c>
      <c r="AF2308">
        <v>28</v>
      </c>
      <c r="AG2308">
        <v>1</v>
      </c>
      <c r="AH2308">
        <v>1</v>
      </c>
      <c r="AI2308">
        <v>232.38</v>
      </c>
      <c r="AJ2308" t="s">
        <v>440</v>
      </c>
      <c r="AL2308" t="s">
        <v>5011</v>
      </c>
      <c r="AM2308">
        <v>37228</v>
      </c>
      <c r="AS2308">
        <v>57</v>
      </c>
      <c r="AT2308" t="s">
        <v>380</v>
      </c>
      <c r="AU2308" t="s">
        <v>263</v>
      </c>
      <c r="AW2308" t="s">
        <v>11447</v>
      </c>
    </row>
    <row r="2309" spans="1:49">
      <c r="A2309" s="1">
        <f>HYPERLINK("https://lsnyc.legalserver.org/matter/dynamic-profile/view/1905924","19-1905924")</f>
        <v>0</v>
      </c>
      <c r="B2309" t="s">
        <v>173</v>
      </c>
      <c r="C2309" t="s">
        <v>355</v>
      </c>
      <c r="D2309" t="s">
        <v>373</v>
      </c>
      <c r="E2309" t="s">
        <v>1034</v>
      </c>
      <c r="F2309" t="s">
        <v>4810</v>
      </c>
      <c r="G2309" t="s">
        <v>7868</v>
      </c>
      <c r="H2309">
        <v>8</v>
      </c>
      <c r="I2309" t="s">
        <v>11386</v>
      </c>
      <c r="J2309">
        <v>10011</v>
      </c>
      <c r="K2309" t="s">
        <v>11447</v>
      </c>
      <c r="O2309" t="s">
        <v>14786</v>
      </c>
      <c r="P2309" t="s">
        <v>14798</v>
      </c>
      <c r="S2309" t="s">
        <v>14829</v>
      </c>
      <c r="V2309">
        <v>0</v>
      </c>
      <c r="W2309" t="s">
        <v>14860</v>
      </c>
      <c r="Y2309" t="s">
        <v>14883</v>
      </c>
      <c r="Z2309" t="s">
        <v>16833</v>
      </c>
      <c r="AC2309">
        <v>0</v>
      </c>
      <c r="AF2309">
        <v>0</v>
      </c>
      <c r="AG2309">
        <v>1</v>
      </c>
      <c r="AH2309">
        <v>0</v>
      </c>
      <c r="AI2309">
        <v>320.26</v>
      </c>
      <c r="AL2309" t="s">
        <v>5011</v>
      </c>
      <c r="AM2309">
        <v>40000</v>
      </c>
      <c r="AS2309">
        <v>4.7</v>
      </c>
      <c r="AT2309" t="s">
        <v>373</v>
      </c>
      <c r="AU2309" t="s">
        <v>101</v>
      </c>
      <c r="AW2309" t="s">
        <v>11447</v>
      </c>
    </row>
    <row r="2310" spans="1:49">
      <c r="A2310" s="1">
        <f>HYPERLINK("https://lsnyc.legalserver.org/matter/dynamic-profile/view/1900550","19-1900550")</f>
        <v>0</v>
      </c>
      <c r="B2310" t="s">
        <v>142</v>
      </c>
      <c r="C2310" t="s">
        <v>351</v>
      </c>
      <c r="D2310" t="s">
        <v>373</v>
      </c>
      <c r="E2310" t="s">
        <v>2267</v>
      </c>
      <c r="F2310" t="s">
        <v>4811</v>
      </c>
      <c r="G2310" t="s">
        <v>7869</v>
      </c>
      <c r="H2310" t="s">
        <v>10831</v>
      </c>
      <c r="I2310" t="s">
        <v>11383</v>
      </c>
      <c r="J2310">
        <v>10473</v>
      </c>
      <c r="K2310" t="s">
        <v>11446</v>
      </c>
      <c r="L2310" t="s">
        <v>12202</v>
      </c>
      <c r="M2310" t="s">
        <v>14743</v>
      </c>
      <c r="N2310" t="s">
        <v>14778</v>
      </c>
      <c r="O2310" t="s">
        <v>14786</v>
      </c>
      <c r="P2310" t="s">
        <v>14798</v>
      </c>
      <c r="Q2310" t="s">
        <v>11448</v>
      </c>
      <c r="S2310" t="s">
        <v>14827</v>
      </c>
      <c r="V2310">
        <v>59</v>
      </c>
      <c r="W2310" t="s">
        <v>14858</v>
      </c>
      <c r="X2310" t="s">
        <v>14863</v>
      </c>
      <c r="Y2310" t="s">
        <v>14883</v>
      </c>
      <c r="Z2310" t="s">
        <v>16834</v>
      </c>
      <c r="AC2310">
        <v>900</v>
      </c>
      <c r="AD2310" t="s">
        <v>24595</v>
      </c>
      <c r="AE2310" t="s">
        <v>11459</v>
      </c>
      <c r="AF2310">
        <v>25</v>
      </c>
      <c r="AG2310">
        <v>2</v>
      </c>
      <c r="AH2310">
        <v>0</v>
      </c>
      <c r="AI2310">
        <v>350.56</v>
      </c>
      <c r="AL2310" t="s">
        <v>5011</v>
      </c>
      <c r="AM2310">
        <v>59280</v>
      </c>
      <c r="AN2310" t="s">
        <v>24817</v>
      </c>
      <c r="AS2310">
        <v>5.6</v>
      </c>
      <c r="AT2310" t="s">
        <v>555</v>
      </c>
      <c r="AU2310" t="s">
        <v>25239</v>
      </c>
      <c r="AV2310" t="s">
        <v>25335</v>
      </c>
      <c r="AW2310" t="s">
        <v>11447</v>
      </c>
    </row>
    <row r="2311" spans="1:49">
      <c r="A2311" s="1">
        <f>HYPERLINK("https://lsnyc.legalserver.org/matter/dynamic-profile/view/1899736","19-1899736")</f>
        <v>0</v>
      </c>
      <c r="B2311" t="s">
        <v>72</v>
      </c>
      <c r="C2311" t="s">
        <v>543</v>
      </c>
      <c r="D2311" t="s">
        <v>366</v>
      </c>
      <c r="E2311" t="s">
        <v>1866</v>
      </c>
      <c r="F2311" t="s">
        <v>4624</v>
      </c>
      <c r="G2311" t="s">
        <v>7870</v>
      </c>
      <c r="H2311" t="s">
        <v>10509</v>
      </c>
      <c r="I2311" t="s">
        <v>11385</v>
      </c>
      <c r="J2311">
        <v>11231</v>
      </c>
      <c r="K2311" t="s">
        <v>11447</v>
      </c>
      <c r="O2311" t="s">
        <v>14786</v>
      </c>
      <c r="P2311" t="s">
        <v>14798</v>
      </c>
      <c r="S2311" t="s">
        <v>14827</v>
      </c>
      <c r="V2311">
        <v>1377</v>
      </c>
      <c r="W2311" t="s">
        <v>14859</v>
      </c>
      <c r="Y2311" t="s">
        <v>14883</v>
      </c>
      <c r="Z2311" t="s">
        <v>16835</v>
      </c>
      <c r="AB2311" t="s">
        <v>21859</v>
      </c>
      <c r="AC2311">
        <v>52</v>
      </c>
      <c r="AF2311">
        <v>12</v>
      </c>
      <c r="AG2311">
        <v>1</v>
      </c>
      <c r="AH2311">
        <v>0</v>
      </c>
      <c r="AI2311">
        <v>353.18</v>
      </c>
      <c r="AL2311" t="s">
        <v>5011</v>
      </c>
      <c r="AM2311">
        <v>44112</v>
      </c>
      <c r="AS2311">
        <v>5</v>
      </c>
      <c r="AT2311" t="s">
        <v>595</v>
      </c>
      <c r="AU2311" t="s">
        <v>25227</v>
      </c>
      <c r="AW2311" t="s">
        <v>11447</v>
      </c>
    </row>
    <row r="2312" spans="1:49">
      <c r="A2312" s="1">
        <f>HYPERLINK("https://lsnyc.legalserver.org/matter/dynamic-profile/view/1905214","19-1905214")</f>
        <v>0</v>
      </c>
      <c r="B2312" t="s">
        <v>258</v>
      </c>
      <c r="C2312" t="s">
        <v>456</v>
      </c>
      <c r="D2312" t="s">
        <v>368</v>
      </c>
      <c r="E2312" t="s">
        <v>2268</v>
      </c>
      <c r="F2312" t="s">
        <v>4812</v>
      </c>
      <c r="G2312" t="s">
        <v>7871</v>
      </c>
      <c r="H2312" t="s">
        <v>10960</v>
      </c>
      <c r="I2312" t="s">
        <v>11389</v>
      </c>
      <c r="J2312">
        <v>11373</v>
      </c>
      <c r="K2312" t="s">
        <v>11447</v>
      </c>
      <c r="N2312" t="s">
        <v>14778</v>
      </c>
      <c r="O2312" t="s">
        <v>14786</v>
      </c>
      <c r="P2312" t="s">
        <v>14798</v>
      </c>
      <c r="S2312" t="s">
        <v>14827</v>
      </c>
      <c r="V2312">
        <v>0</v>
      </c>
      <c r="W2312" t="s">
        <v>14859</v>
      </c>
      <c r="Y2312" t="s">
        <v>14883</v>
      </c>
      <c r="Z2312" t="s">
        <v>16836</v>
      </c>
      <c r="AB2312" t="s">
        <v>21860</v>
      </c>
      <c r="AC2312">
        <v>0</v>
      </c>
      <c r="AF2312">
        <v>0</v>
      </c>
      <c r="AG2312">
        <v>3</v>
      </c>
      <c r="AH2312">
        <v>0</v>
      </c>
      <c r="AI2312">
        <v>243.79</v>
      </c>
      <c r="AL2312" t="s">
        <v>24632</v>
      </c>
      <c r="AM2312">
        <v>52000</v>
      </c>
      <c r="AS2312">
        <v>1.8</v>
      </c>
      <c r="AT2312" t="s">
        <v>379</v>
      </c>
      <c r="AU2312" t="s">
        <v>77</v>
      </c>
      <c r="AW2312" t="s">
        <v>11447</v>
      </c>
    </row>
    <row r="2313" spans="1:49">
      <c r="A2313" s="1">
        <f>HYPERLINK("https://lsnyc.legalserver.org/matter/dynamic-profile/view/1903415","19-1903415")</f>
        <v>0</v>
      </c>
      <c r="B2313" t="s">
        <v>72</v>
      </c>
      <c r="C2313" t="s">
        <v>608</v>
      </c>
      <c r="D2313" t="s">
        <v>465</v>
      </c>
      <c r="E2313" t="s">
        <v>1861</v>
      </c>
      <c r="F2313" t="s">
        <v>1983</v>
      </c>
      <c r="G2313" t="s">
        <v>7872</v>
      </c>
      <c r="H2313" t="s">
        <v>10559</v>
      </c>
      <c r="I2313" t="s">
        <v>11385</v>
      </c>
      <c r="J2313">
        <v>11207</v>
      </c>
      <c r="K2313" t="s">
        <v>11447</v>
      </c>
      <c r="M2313" t="s">
        <v>14744</v>
      </c>
      <c r="O2313" t="s">
        <v>14786</v>
      </c>
      <c r="P2313" t="s">
        <v>14798</v>
      </c>
      <c r="Q2313" t="s">
        <v>11448</v>
      </c>
      <c r="S2313" t="s">
        <v>14828</v>
      </c>
      <c r="V2313">
        <v>950</v>
      </c>
      <c r="W2313" t="s">
        <v>14859</v>
      </c>
      <c r="X2313" t="s">
        <v>14864</v>
      </c>
      <c r="Y2313" t="s">
        <v>14883</v>
      </c>
      <c r="Z2313" t="s">
        <v>16837</v>
      </c>
      <c r="AB2313" t="s">
        <v>21861</v>
      </c>
      <c r="AC2313">
        <v>98</v>
      </c>
      <c r="AD2313" t="s">
        <v>24597</v>
      </c>
      <c r="AE2313" t="s">
        <v>24610</v>
      </c>
      <c r="AF2313">
        <v>7</v>
      </c>
      <c r="AG2313">
        <v>1</v>
      </c>
      <c r="AH2313">
        <v>0</v>
      </c>
      <c r="AI2313">
        <v>272.22</v>
      </c>
      <c r="AL2313" t="s">
        <v>5011</v>
      </c>
      <c r="AM2313">
        <v>34000</v>
      </c>
      <c r="AS2313">
        <v>2.2</v>
      </c>
      <c r="AT2313" t="s">
        <v>631</v>
      </c>
      <c r="AU2313" t="s">
        <v>25244</v>
      </c>
      <c r="AW2313" t="s">
        <v>11447</v>
      </c>
    </row>
    <row r="2314" spans="1:49">
      <c r="A2314" s="1">
        <f>HYPERLINK("https://lsnyc.legalserver.org/matter/dynamic-profile/view/1901009","19-1901009")</f>
        <v>0</v>
      </c>
      <c r="B2314" t="s">
        <v>50</v>
      </c>
      <c r="C2314" t="s">
        <v>530</v>
      </c>
      <c r="D2314" t="s">
        <v>524</v>
      </c>
      <c r="E2314" t="s">
        <v>1264</v>
      </c>
      <c r="F2314" t="s">
        <v>4673</v>
      </c>
      <c r="G2314" t="s">
        <v>7873</v>
      </c>
      <c r="I2314" t="s">
        <v>11384</v>
      </c>
      <c r="J2314">
        <v>10308</v>
      </c>
      <c r="K2314" t="s">
        <v>11447</v>
      </c>
      <c r="M2314" t="s">
        <v>11601</v>
      </c>
      <c r="N2314" t="s">
        <v>14778</v>
      </c>
      <c r="O2314" t="s">
        <v>14786</v>
      </c>
      <c r="P2314" t="s">
        <v>14798</v>
      </c>
      <c r="S2314" t="s">
        <v>14827</v>
      </c>
      <c r="V2314">
        <v>977</v>
      </c>
      <c r="W2314" t="s">
        <v>14859</v>
      </c>
      <c r="Y2314" t="s">
        <v>14883</v>
      </c>
      <c r="Z2314" t="s">
        <v>16838</v>
      </c>
      <c r="AB2314" t="s">
        <v>21862</v>
      </c>
      <c r="AC2314">
        <v>0</v>
      </c>
      <c r="AD2314" t="s">
        <v>24603</v>
      </c>
      <c r="AE2314" t="s">
        <v>11459</v>
      </c>
      <c r="AF2314">
        <v>1</v>
      </c>
      <c r="AG2314">
        <v>1</v>
      </c>
      <c r="AH2314">
        <v>0</v>
      </c>
      <c r="AI2314">
        <v>232.51</v>
      </c>
      <c r="AL2314" t="s">
        <v>5011</v>
      </c>
      <c r="AM2314">
        <v>29040</v>
      </c>
      <c r="AS2314">
        <v>1.9</v>
      </c>
      <c r="AT2314" t="s">
        <v>524</v>
      </c>
      <c r="AU2314" t="s">
        <v>25231</v>
      </c>
      <c r="AW2314" t="s">
        <v>11447</v>
      </c>
    </row>
    <row r="2315" spans="1:49">
      <c r="A2315" s="1">
        <f>HYPERLINK("https://lsnyc.legalserver.org/matter/dynamic-profile/view/1903632","19-1903632")</f>
        <v>0</v>
      </c>
      <c r="B2315" t="s">
        <v>156</v>
      </c>
      <c r="C2315" t="s">
        <v>522</v>
      </c>
      <c r="D2315" t="s">
        <v>375</v>
      </c>
      <c r="E2315" t="s">
        <v>1114</v>
      </c>
      <c r="F2315" t="s">
        <v>3262</v>
      </c>
      <c r="G2315" t="s">
        <v>7874</v>
      </c>
      <c r="H2315" t="s">
        <v>10760</v>
      </c>
      <c r="I2315" t="s">
        <v>11386</v>
      </c>
      <c r="J2315">
        <v>10003</v>
      </c>
      <c r="K2315" t="s">
        <v>11447</v>
      </c>
      <c r="M2315" t="s">
        <v>11601</v>
      </c>
      <c r="N2315" t="s">
        <v>14782</v>
      </c>
      <c r="O2315" t="s">
        <v>14786</v>
      </c>
      <c r="P2315" t="s">
        <v>14798</v>
      </c>
      <c r="S2315" t="s">
        <v>14827</v>
      </c>
      <c r="V2315">
        <v>970</v>
      </c>
      <c r="W2315" t="s">
        <v>14860</v>
      </c>
      <c r="Y2315" t="s">
        <v>14883</v>
      </c>
      <c r="Z2315" t="s">
        <v>16839</v>
      </c>
      <c r="AB2315" t="s">
        <v>21863</v>
      </c>
      <c r="AC2315">
        <v>0</v>
      </c>
      <c r="AD2315" t="s">
        <v>24598</v>
      </c>
      <c r="AF2315">
        <v>21</v>
      </c>
      <c r="AG2315">
        <v>1</v>
      </c>
      <c r="AH2315">
        <v>0</v>
      </c>
      <c r="AI2315">
        <v>326.66</v>
      </c>
      <c r="AL2315" t="s">
        <v>5011</v>
      </c>
      <c r="AM2315">
        <v>40800</v>
      </c>
      <c r="AS2315">
        <v>1.3</v>
      </c>
      <c r="AT2315" t="s">
        <v>375</v>
      </c>
      <c r="AU2315" t="s">
        <v>25231</v>
      </c>
      <c r="AW2315" t="s">
        <v>11447</v>
      </c>
    </row>
    <row r="2316" spans="1:49">
      <c r="A2316" s="1">
        <f>HYPERLINK("https://lsnyc.legalserver.org/matter/dynamic-profile/view/1907051","19-1907051")</f>
        <v>0</v>
      </c>
      <c r="B2316" t="s">
        <v>81</v>
      </c>
      <c r="C2316" t="s">
        <v>626</v>
      </c>
      <c r="D2316" t="s">
        <v>464</v>
      </c>
      <c r="E2316" t="s">
        <v>1270</v>
      </c>
      <c r="F2316" t="s">
        <v>4776</v>
      </c>
      <c r="G2316" t="s">
        <v>7875</v>
      </c>
      <c r="H2316" t="s">
        <v>10463</v>
      </c>
      <c r="I2316" t="s">
        <v>11383</v>
      </c>
      <c r="J2316">
        <v>10458</v>
      </c>
      <c r="K2316" t="s">
        <v>11446</v>
      </c>
      <c r="L2316" t="s">
        <v>12203</v>
      </c>
      <c r="M2316" t="s">
        <v>14743</v>
      </c>
      <c r="N2316" t="s">
        <v>14778</v>
      </c>
      <c r="O2316" t="s">
        <v>14786</v>
      </c>
      <c r="P2316" t="s">
        <v>14798</v>
      </c>
      <c r="Q2316" t="s">
        <v>11448</v>
      </c>
      <c r="S2316" t="s">
        <v>14827</v>
      </c>
      <c r="V2316">
        <v>886</v>
      </c>
      <c r="W2316" t="s">
        <v>14858</v>
      </c>
      <c r="X2316" t="s">
        <v>14863</v>
      </c>
      <c r="Y2316" t="s">
        <v>14883</v>
      </c>
      <c r="Z2316" t="s">
        <v>16840</v>
      </c>
      <c r="AB2316" t="s">
        <v>21864</v>
      </c>
      <c r="AC2316">
        <v>32</v>
      </c>
      <c r="AD2316" t="s">
        <v>24595</v>
      </c>
      <c r="AF2316">
        <v>4</v>
      </c>
      <c r="AG2316">
        <v>1</v>
      </c>
      <c r="AH2316">
        <v>0</v>
      </c>
      <c r="AI2316">
        <v>283.11</v>
      </c>
      <c r="AL2316" t="s">
        <v>5011</v>
      </c>
      <c r="AM2316">
        <v>35360</v>
      </c>
      <c r="AS2316">
        <v>0.5</v>
      </c>
      <c r="AT2316" t="s">
        <v>464</v>
      </c>
      <c r="AU2316" t="s">
        <v>145</v>
      </c>
      <c r="AV2316" t="s">
        <v>25335</v>
      </c>
      <c r="AW2316" t="s">
        <v>11447</v>
      </c>
    </row>
    <row r="2317" spans="1:49">
      <c r="A2317" s="1">
        <f>HYPERLINK("https://lsnyc.legalserver.org/matter/dynamic-profile/view/1906774","19-1906774")</f>
        <v>0</v>
      </c>
      <c r="B2317" t="s">
        <v>120</v>
      </c>
      <c r="C2317" t="s">
        <v>620</v>
      </c>
      <c r="D2317" t="s">
        <v>466</v>
      </c>
      <c r="E2317" t="s">
        <v>1861</v>
      </c>
      <c r="F2317" t="s">
        <v>4813</v>
      </c>
      <c r="G2317" t="s">
        <v>7876</v>
      </c>
      <c r="H2317" t="s">
        <v>10961</v>
      </c>
      <c r="I2317" t="s">
        <v>11385</v>
      </c>
      <c r="J2317">
        <v>11239</v>
      </c>
      <c r="K2317" t="s">
        <v>11447</v>
      </c>
      <c r="L2317" t="s">
        <v>11459</v>
      </c>
      <c r="M2317" t="s">
        <v>11601</v>
      </c>
      <c r="N2317" t="s">
        <v>14778</v>
      </c>
      <c r="O2317" t="s">
        <v>14786</v>
      </c>
      <c r="P2317" t="s">
        <v>14798</v>
      </c>
      <c r="Q2317" t="s">
        <v>11448</v>
      </c>
      <c r="S2317" t="s">
        <v>14827</v>
      </c>
      <c r="V2317">
        <v>254</v>
      </c>
      <c r="W2317" t="s">
        <v>14859</v>
      </c>
      <c r="X2317" t="s">
        <v>14755</v>
      </c>
      <c r="Y2317" t="s">
        <v>14883</v>
      </c>
      <c r="Z2317" t="s">
        <v>16841</v>
      </c>
      <c r="AB2317" t="s">
        <v>21865</v>
      </c>
      <c r="AC2317">
        <v>436</v>
      </c>
      <c r="AD2317" t="s">
        <v>24595</v>
      </c>
      <c r="AE2317" t="s">
        <v>11459</v>
      </c>
      <c r="AF2317">
        <v>19</v>
      </c>
      <c r="AG2317">
        <v>1</v>
      </c>
      <c r="AH2317">
        <v>0</v>
      </c>
      <c r="AI2317">
        <v>74.08</v>
      </c>
      <c r="AL2317" t="s">
        <v>5011</v>
      </c>
      <c r="AM2317">
        <v>9252</v>
      </c>
      <c r="AS2317">
        <v>0.5</v>
      </c>
      <c r="AT2317" t="s">
        <v>620</v>
      </c>
      <c r="AU2317" t="s">
        <v>25229</v>
      </c>
      <c r="AW2317" t="s">
        <v>11447</v>
      </c>
    </row>
    <row r="2318" spans="1:49">
      <c r="A2318" s="1">
        <f>HYPERLINK("https://lsnyc.legalserver.org/matter/dynamic-profile/view/1907247","19-1907247")</f>
        <v>0</v>
      </c>
      <c r="B2318" t="s">
        <v>63</v>
      </c>
      <c r="C2318" t="s">
        <v>366</v>
      </c>
      <c r="D2318" t="s">
        <v>1014</v>
      </c>
      <c r="E2318" t="s">
        <v>1030</v>
      </c>
      <c r="F2318" t="s">
        <v>3547</v>
      </c>
      <c r="G2318" t="s">
        <v>7877</v>
      </c>
      <c r="H2318" t="s">
        <v>10798</v>
      </c>
      <c r="I2318" t="s">
        <v>11400</v>
      </c>
      <c r="J2318">
        <v>11385</v>
      </c>
      <c r="K2318" t="s">
        <v>11447</v>
      </c>
      <c r="M2318" t="s">
        <v>11601</v>
      </c>
      <c r="O2318" t="s">
        <v>14786</v>
      </c>
      <c r="P2318" t="s">
        <v>14798</v>
      </c>
      <c r="S2318" t="s">
        <v>14827</v>
      </c>
      <c r="V2318">
        <v>1500</v>
      </c>
      <c r="W2318" t="s">
        <v>14861</v>
      </c>
      <c r="X2318" t="s">
        <v>14871</v>
      </c>
      <c r="Y2318" t="s">
        <v>14883</v>
      </c>
      <c r="Z2318" t="s">
        <v>16842</v>
      </c>
      <c r="AB2318" t="s">
        <v>21866</v>
      </c>
      <c r="AC2318">
        <v>3</v>
      </c>
      <c r="AD2318" t="s">
        <v>24600</v>
      </c>
      <c r="AE2318" t="s">
        <v>11459</v>
      </c>
      <c r="AF2318">
        <v>6</v>
      </c>
      <c r="AG2318">
        <v>2</v>
      </c>
      <c r="AH2318">
        <v>2</v>
      </c>
      <c r="AI2318">
        <v>392.23</v>
      </c>
      <c r="AL2318" t="s">
        <v>5011</v>
      </c>
      <c r="AM2318">
        <v>101000</v>
      </c>
      <c r="AS2318">
        <v>1.85</v>
      </c>
      <c r="AT2318" t="s">
        <v>633</v>
      </c>
      <c r="AU2318" t="s">
        <v>25231</v>
      </c>
      <c r="AW2318" t="s">
        <v>11447</v>
      </c>
    </row>
    <row r="2319" spans="1:49">
      <c r="A2319" s="1">
        <f>HYPERLINK("https://lsnyc.legalserver.org/matter/dynamic-profile/view/1908669","19-1908669")</f>
        <v>0</v>
      </c>
      <c r="B2319" t="s">
        <v>120</v>
      </c>
      <c r="C2319" t="s">
        <v>410</v>
      </c>
      <c r="D2319" t="s">
        <v>410</v>
      </c>
      <c r="E2319" t="s">
        <v>2203</v>
      </c>
      <c r="F2319" t="s">
        <v>3984</v>
      </c>
      <c r="G2319" t="s">
        <v>7878</v>
      </c>
      <c r="H2319" t="s">
        <v>10859</v>
      </c>
      <c r="I2319" t="s">
        <v>11385</v>
      </c>
      <c r="J2319">
        <v>11207</v>
      </c>
      <c r="K2319" t="s">
        <v>11447</v>
      </c>
      <c r="L2319" t="s">
        <v>11459</v>
      </c>
      <c r="M2319" t="s">
        <v>11601</v>
      </c>
      <c r="N2319" t="s">
        <v>14778</v>
      </c>
      <c r="O2319" t="s">
        <v>14786</v>
      </c>
      <c r="P2319" t="s">
        <v>14798</v>
      </c>
      <c r="Q2319" t="s">
        <v>11448</v>
      </c>
      <c r="S2319" t="s">
        <v>14827</v>
      </c>
      <c r="V2319">
        <v>1504</v>
      </c>
      <c r="W2319" t="s">
        <v>14859</v>
      </c>
      <c r="X2319" t="s">
        <v>14755</v>
      </c>
      <c r="Y2319" t="s">
        <v>14883</v>
      </c>
      <c r="Z2319" t="s">
        <v>16843</v>
      </c>
      <c r="AB2319" t="s">
        <v>21867</v>
      </c>
      <c r="AC2319">
        <v>48</v>
      </c>
      <c r="AD2319" t="s">
        <v>24599</v>
      </c>
      <c r="AE2319" t="s">
        <v>11459</v>
      </c>
      <c r="AF2319">
        <v>10</v>
      </c>
      <c r="AG2319">
        <v>1</v>
      </c>
      <c r="AH2319">
        <v>4</v>
      </c>
      <c r="AI2319">
        <v>86.18000000000001</v>
      </c>
      <c r="AL2319" t="s">
        <v>5011</v>
      </c>
      <c r="AM2319">
        <v>26000</v>
      </c>
      <c r="AS2319">
        <v>0.6</v>
      </c>
      <c r="AT2319" t="s">
        <v>410</v>
      </c>
      <c r="AU2319" t="s">
        <v>25244</v>
      </c>
      <c r="AW2319" t="s">
        <v>11447</v>
      </c>
    </row>
    <row r="2320" spans="1:49">
      <c r="A2320" s="1">
        <f>HYPERLINK("https://lsnyc.legalserver.org/matter/dynamic-profile/view/1895935","19-1895935")</f>
        <v>0</v>
      </c>
      <c r="B2320" t="s">
        <v>259</v>
      </c>
      <c r="C2320" t="s">
        <v>363</v>
      </c>
      <c r="D2320" t="s">
        <v>410</v>
      </c>
      <c r="E2320" t="s">
        <v>1302</v>
      </c>
      <c r="F2320" t="s">
        <v>4779</v>
      </c>
      <c r="G2320" t="s">
        <v>7879</v>
      </c>
      <c r="H2320">
        <v>29</v>
      </c>
      <c r="I2320" t="s">
        <v>11383</v>
      </c>
      <c r="J2320">
        <v>10455</v>
      </c>
      <c r="K2320" t="s">
        <v>11447</v>
      </c>
      <c r="O2320" t="s">
        <v>14790</v>
      </c>
      <c r="P2320" t="s">
        <v>14798</v>
      </c>
      <c r="S2320" t="s">
        <v>14829</v>
      </c>
      <c r="V2320">
        <v>0</v>
      </c>
      <c r="W2320" t="s">
        <v>14858</v>
      </c>
      <c r="Y2320" t="s">
        <v>14884</v>
      </c>
      <c r="Z2320" t="s">
        <v>16844</v>
      </c>
      <c r="AB2320" t="s">
        <v>21868</v>
      </c>
      <c r="AC2320">
        <v>0</v>
      </c>
      <c r="AF2320">
        <v>0</v>
      </c>
      <c r="AG2320">
        <v>2</v>
      </c>
      <c r="AH2320">
        <v>0</v>
      </c>
      <c r="AI2320">
        <v>109.57</v>
      </c>
      <c r="AL2320" t="s">
        <v>5011</v>
      </c>
      <c r="AM2320">
        <v>18528</v>
      </c>
      <c r="AS2320">
        <v>3.6</v>
      </c>
      <c r="AT2320" t="s">
        <v>410</v>
      </c>
      <c r="AU2320" t="s">
        <v>259</v>
      </c>
      <c r="AW2320" t="s">
        <v>11447</v>
      </c>
    </row>
    <row r="2321" spans="1:49">
      <c r="A2321" s="1">
        <f>HYPERLINK("https://lsnyc.legalserver.org/matter/dynamic-profile/view/1852181","17-1852181")</f>
        <v>0</v>
      </c>
      <c r="B2321" t="s">
        <v>85</v>
      </c>
      <c r="C2321" t="s">
        <v>599</v>
      </c>
      <c r="D2321" t="s">
        <v>585</v>
      </c>
      <c r="E2321" t="s">
        <v>2269</v>
      </c>
      <c r="F2321" t="s">
        <v>1035</v>
      </c>
      <c r="G2321" t="s">
        <v>7880</v>
      </c>
      <c r="H2321" t="s">
        <v>10848</v>
      </c>
      <c r="I2321" t="s">
        <v>11413</v>
      </c>
      <c r="J2321">
        <v>11413</v>
      </c>
      <c r="K2321" t="s">
        <v>11447</v>
      </c>
      <c r="M2321" t="s">
        <v>14746</v>
      </c>
      <c r="N2321" t="s">
        <v>14778</v>
      </c>
      <c r="O2321" t="s">
        <v>14786</v>
      </c>
      <c r="P2321" t="s">
        <v>14798</v>
      </c>
      <c r="S2321" t="s">
        <v>14827</v>
      </c>
      <c r="V2321">
        <v>0</v>
      </c>
      <c r="W2321" t="s">
        <v>14861</v>
      </c>
      <c r="Y2321" t="s">
        <v>14883</v>
      </c>
      <c r="Z2321" t="s">
        <v>16845</v>
      </c>
      <c r="AC2321">
        <v>0</v>
      </c>
      <c r="AF2321">
        <v>0</v>
      </c>
      <c r="AG2321">
        <v>1</v>
      </c>
      <c r="AH2321">
        <v>0</v>
      </c>
      <c r="AI2321">
        <v>224.21</v>
      </c>
      <c r="AL2321" t="s">
        <v>5011</v>
      </c>
      <c r="AM2321">
        <v>27040</v>
      </c>
      <c r="AS2321">
        <v>1.95</v>
      </c>
      <c r="AT2321" t="s">
        <v>827</v>
      </c>
      <c r="AU2321" t="s">
        <v>25231</v>
      </c>
      <c r="AW2321" t="s">
        <v>11447</v>
      </c>
    </row>
    <row r="2322" spans="1:49">
      <c r="A2322" s="1">
        <f>HYPERLINK("https://lsnyc.legalserver.org/matter/dynamic-profile/view/1867892","18-1867892")</f>
        <v>0</v>
      </c>
      <c r="B2322" t="s">
        <v>85</v>
      </c>
      <c r="C2322" t="s">
        <v>725</v>
      </c>
      <c r="D2322" t="s">
        <v>585</v>
      </c>
      <c r="E2322" t="s">
        <v>1650</v>
      </c>
      <c r="F2322" t="s">
        <v>4814</v>
      </c>
      <c r="G2322" t="s">
        <v>7881</v>
      </c>
      <c r="H2322" t="s">
        <v>10493</v>
      </c>
      <c r="I2322" t="s">
        <v>11393</v>
      </c>
      <c r="J2322">
        <v>11374</v>
      </c>
      <c r="K2322" t="s">
        <v>11447</v>
      </c>
      <c r="O2322" t="s">
        <v>14786</v>
      </c>
      <c r="P2322" t="s">
        <v>14798</v>
      </c>
      <c r="S2322" t="s">
        <v>14827</v>
      </c>
      <c r="V2322">
        <v>855.87</v>
      </c>
      <c r="W2322" t="s">
        <v>14861</v>
      </c>
      <c r="X2322" t="s">
        <v>14755</v>
      </c>
      <c r="Y2322" t="s">
        <v>14883</v>
      </c>
      <c r="Z2322" t="s">
        <v>16846</v>
      </c>
      <c r="AB2322" t="s">
        <v>21869</v>
      </c>
      <c r="AC2322">
        <v>148</v>
      </c>
      <c r="AD2322" t="s">
        <v>24595</v>
      </c>
      <c r="AE2322" t="s">
        <v>11459</v>
      </c>
      <c r="AF2322">
        <v>44</v>
      </c>
      <c r="AG2322">
        <v>1</v>
      </c>
      <c r="AH2322">
        <v>0</v>
      </c>
      <c r="AI2322">
        <v>227.35</v>
      </c>
      <c r="AL2322" t="s">
        <v>5011</v>
      </c>
      <c r="AM2322">
        <v>27600</v>
      </c>
      <c r="AS2322">
        <v>0.95</v>
      </c>
      <c r="AT2322" t="s">
        <v>431</v>
      </c>
      <c r="AU2322" t="s">
        <v>25297</v>
      </c>
      <c r="AW2322" t="s">
        <v>11447</v>
      </c>
    </row>
    <row r="2323" spans="1:49">
      <c r="A2323" s="1">
        <f>HYPERLINK("https://lsnyc.legalserver.org/matter/dynamic-profile/view/1879300","18-1879300")</f>
        <v>0</v>
      </c>
      <c r="B2323" t="s">
        <v>85</v>
      </c>
      <c r="C2323" t="s">
        <v>420</v>
      </c>
      <c r="D2323" t="s">
        <v>585</v>
      </c>
      <c r="E2323" t="s">
        <v>1523</v>
      </c>
      <c r="F2323" t="s">
        <v>4616</v>
      </c>
      <c r="G2323" t="s">
        <v>7882</v>
      </c>
      <c r="H2323">
        <v>3</v>
      </c>
      <c r="I2323" t="s">
        <v>11389</v>
      </c>
      <c r="J2323">
        <v>11379</v>
      </c>
      <c r="K2323" t="s">
        <v>11447</v>
      </c>
      <c r="O2323" t="s">
        <v>14786</v>
      </c>
      <c r="P2323" t="s">
        <v>14798</v>
      </c>
      <c r="S2323" t="s">
        <v>14827</v>
      </c>
      <c r="V2323">
        <v>1337</v>
      </c>
      <c r="W2323" t="s">
        <v>14861</v>
      </c>
      <c r="Y2323" t="s">
        <v>14883</v>
      </c>
      <c r="Z2323" t="s">
        <v>16847</v>
      </c>
      <c r="AB2323" t="s">
        <v>21870</v>
      </c>
      <c r="AC2323">
        <v>4</v>
      </c>
      <c r="AE2323" t="s">
        <v>24610</v>
      </c>
      <c r="AF2323">
        <v>4</v>
      </c>
      <c r="AG2323">
        <v>3</v>
      </c>
      <c r="AH2323">
        <v>0</v>
      </c>
      <c r="AI2323">
        <v>255.05</v>
      </c>
      <c r="AL2323" t="s">
        <v>5011</v>
      </c>
      <c r="AM2323">
        <v>53000</v>
      </c>
      <c r="AS2323">
        <v>1</v>
      </c>
      <c r="AT2323" t="s">
        <v>420</v>
      </c>
      <c r="AU2323" t="s">
        <v>25226</v>
      </c>
      <c r="AW2323" t="s">
        <v>11447</v>
      </c>
    </row>
    <row r="2324" spans="1:49">
      <c r="A2324" s="1">
        <f>HYPERLINK("https://lsnyc.legalserver.org/matter/dynamic-profile/view/1878531","18-1878531")</f>
        <v>0</v>
      </c>
      <c r="B2324" t="s">
        <v>85</v>
      </c>
      <c r="C2324" t="s">
        <v>393</v>
      </c>
      <c r="D2324" t="s">
        <v>585</v>
      </c>
      <c r="E2324" t="s">
        <v>1063</v>
      </c>
      <c r="F2324" t="s">
        <v>4815</v>
      </c>
      <c r="G2324" t="s">
        <v>7883</v>
      </c>
      <c r="H2324" t="s">
        <v>10506</v>
      </c>
      <c r="I2324" t="s">
        <v>11404</v>
      </c>
      <c r="J2324">
        <v>11102</v>
      </c>
      <c r="K2324" t="s">
        <v>11447</v>
      </c>
      <c r="M2324" t="s">
        <v>11601</v>
      </c>
      <c r="O2324" t="s">
        <v>14786</v>
      </c>
      <c r="P2324" t="s">
        <v>14798</v>
      </c>
      <c r="Q2324" t="s">
        <v>11446</v>
      </c>
      <c r="S2324" t="s">
        <v>14827</v>
      </c>
      <c r="V2324">
        <v>934</v>
      </c>
      <c r="W2324" t="s">
        <v>14861</v>
      </c>
      <c r="Y2324" t="s">
        <v>14883</v>
      </c>
      <c r="Z2324" t="s">
        <v>16848</v>
      </c>
      <c r="AB2324" t="s">
        <v>21871</v>
      </c>
      <c r="AC2324">
        <v>7</v>
      </c>
      <c r="AF2324">
        <v>19</v>
      </c>
      <c r="AG2324">
        <v>1</v>
      </c>
      <c r="AH2324">
        <v>0</v>
      </c>
      <c r="AI2324">
        <v>257</v>
      </c>
      <c r="AL2324" t="s">
        <v>5011</v>
      </c>
      <c r="AM2324">
        <v>31200</v>
      </c>
      <c r="AS2324">
        <v>0.75</v>
      </c>
      <c r="AT2324" t="s">
        <v>393</v>
      </c>
      <c r="AU2324" t="s">
        <v>25236</v>
      </c>
      <c r="AW2324" t="s">
        <v>11447</v>
      </c>
    </row>
    <row r="2325" spans="1:49">
      <c r="A2325" s="1">
        <f>HYPERLINK("https://lsnyc.legalserver.org/matter/dynamic-profile/view/1845985","17-1845985")</f>
        <v>0</v>
      </c>
      <c r="B2325" t="s">
        <v>85</v>
      </c>
      <c r="C2325" t="s">
        <v>408</v>
      </c>
      <c r="D2325" t="s">
        <v>585</v>
      </c>
      <c r="E2325" t="s">
        <v>2270</v>
      </c>
      <c r="F2325" t="s">
        <v>4816</v>
      </c>
      <c r="G2325" t="s">
        <v>7884</v>
      </c>
      <c r="H2325" t="s">
        <v>10755</v>
      </c>
      <c r="I2325" t="s">
        <v>11388</v>
      </c>
      <c r="J2325">
        <v>11385</v>
      </c>
      <c r="K2325" t="s">
        <v>11447</v>
      </c>
      <c r="M2325" t="s">
        <v>14746</v>
      </c>
      <c r="N2325" t="s">
        <v>14778</v>
      </c>
      <c r="O2325" t="s">
        <v>14786</v>
      </c>
      <c r="P2325" t="s">
        <v>14798</v>
      </c>
      <c r="S2325" t="s">
        <v>14827</v>
      </c>
      <c r="V2325">
        <v>800</v>
      </c>
      <c r="W2325" t="s">
        <v>14861</v>
      </c>
      <c r="X2325" t="s">
        <v>14875</v>
      </c>
      <c r="Y2325" t="s">
        <v>14883</v>
      </c>
      <c r="Z2325" t="s">
        <v>16849</v>
      </c>
      <c r="AB2325" t="s">
        <v>21872</v>
      </c>
      <c r="AC2325">
        <v>3</v>
      </c>
      <c r="AF2325">
        <v>3</v>
      </c>
      <c r="AG2325">
        <v>2</v>
      </c>
      <c r="AH2325">
        <v>1</v>
      </c>
      <c r="AI2325">
        <v>293.83</v>
      </c>
      <c r="AL2325" t="s">
        <v>5011</v>
      </c>
      <c r="AM2325">
        <v>60000</v>
      </c>
      <c r="AS2325">
        <v>1.75</v>
      </c>
      <c r="AT2325" t="s">
        <v>827</v>
      </c>
      <c r="AU2325" t="s">
        <v>316</v>
      </c>
      <c r="AW2325" t="s">
        <v>11447</v>
      </c>
    </row>
    <row r="2326" spans="1:49">
      <c r="A2326" s="1">
        <f>HYPERLINK("https://lsnyc.legalserver.org/matter/dynamic-profile/view/1880244","18-1880244")</f>
        <v>0</v>
      </c>
      <c r="B2326" t="s">
        <v>85</v>
      </c>
      <c r="C2326" t="s">
        <v>726</v>
      </c>
      <c r="D2326" t="s">
        <v>585</v>
      </c>
      <c r="E2326" t="s">
        <v>1331</v>
      </c>
      <c r="F2326" t="s">
        <v>3623</v>
      </c>
      <c r="G2326" t="s">
        <v>7885</v>
      </c>
      <c r="H2326" t="s">
        <v>10570</v>
      </c>
      <c r="I2326" t="s">
        <v>11416</v>
      </c>
      <c r="J2326">
        <v>11361</v>
      </c>
      <c r="K2326" t="s">
        <v>11447</v>
      </c>
      <c r="O2326" t="s">
        <v>14786</v>
      </c>
      <c r="P2326" t="s">
        <v>14798</v>
      </c>
      <c r="S2326" t="s">
        <v>14827</v>
      </c>
      <c r="V2326">
        <v>1232</v>
      </c>
      <c r="W2326" t="s">
        <v>14861</v>
      </c>
      <c r="X2326" t="s">
        <v>14866</v>
      </c>
      <c r="Y2326" t="s">
        <v>14883</v>
      </c>
      <c r="Z2326" t="s">
        <v>16850</v>
      </c>
      <c r="AB2326" t="s">
        <v>21873</v>
      </c>
      <c r="AC2326">
        <v>16</v>
      </c>
      <c r="AD2326" t="s">
        <v>24599</v>
      </c>
      <c r="AF2326">
        <v>16</v>
      </c>
      <c r="AG2326">
        <v>1</v>
      </c>
      <c r="AH2326">
        <v>1</v>
      </c>
      <c r="AI2326">
        <v>298.91</v>
      </c>
      <c r="AL2326" t="s">
        <v>5011</v>
      </c>
      <c r="AM2326">
        <v>49200</v>
      </c>
      <c r="AS2326">
        <v>0.9</v>
      </c>
      <c r="AT2326" t="s">
        <v>726</v>
      </c>
      <c r="AU2326" t="s">
        <v>25227</v>
      </c>
      <c r="AW2326" t="s">
        <v>11447</v>
      </c>
    </row>
    <row r="2327" spans="1:49">
      <c r="A2327" s="1">
        <f>HYPERLINK("https://lsnyc.legalserver.org/matter/dynamic-profile/view/1905691","19-1905691")</f>
        <v>0</v>
      </c>
      <c r="B2327" t="s">
        <v>76</v>
      </c>
      <c r="C2327" t="s">
        <v>496</v>
      </c>
      <c r="D2327" t="s">
        <v>640</v>
      </c>
      <c r="E2327" t="s">
        <v>1656</v>
      </c>
      <c r="F2327" t="s">
        <v>4817</v>
      </c>
      <c r="G2327" t="s">
        <v>7886</v>
      </c>
      <c r="H2327" t="s">
        <v>10482</v>
      </c>
      <c r="I2327" t="s">
        <v>11385</v>
      </c>
      <c r="J2327">
        <v>11239</v>
      </c>
      <c r="K2327" t="s">
        <v>11447</v>
      </c>
      <c r="L2327" t="s">
        <v>12204</v>
      </c>
      <c r="N2327" t="s">
        <v>14778</v>
      </c>
      <c r="O2327" t="s">
        <v>14786</v>
      </c>
      <c r="P2327" t="s">
        <v>14798</v>
      </c>
      <c r="Q2327" t="s">
        <v>11446</v>
      </c>
      <c r="S2327" t="s">
        <v>14829</v>
      </c>
      <c r="V2327">
        <v>844</v>
      </c>
      <c r="W2327" t="s">
        <v>14859</v>
      </c>
      <c r="Y2327" t="s">
        <v>14883</v>
      </c>
      <c r="Z2327" t="s">
        <v>16851</v>
      </c>
      <c r="AB2327" t="s">
        <v>21874</v>
      </c>
      <c r="AC2327">
        <v>60</v>
      </c>
      <c r="AD2327" t="s">
        <v>24595</v>
      </c>
      <c r="AF2327">
        <v>4</v>
      </c>
      <c r="AG2327">
        <v>1</v>
      </c>
      <c r="AH2327">
        <v>0</v>
      </c>
      <c r="AI2327">
        <v>291.43</v>
      </c>
      <c r="AL2327" t="s">
        <v>5011</v>
      </c>
      <c r="AM2327">
        <v>36400</v>
      </c>
      <c r="AS2327">
        <v>2.5</v>
      </c>
      <c r="AT2327" t="s">
        <v>464</v>
      </c>
      <c r="AU2327" t="s">
        <v>25237</v>
      </c>
      <c r="AW2327" t="s">
        <v>11447</v>
      </c>
    </row>
    <row r="2328" spans="1:49">
      <c r="A2328" s="1">
        <f>HYPERLINK("https://lsnyc.legalserver.org/matter/dynamic-profile/view/1907510","19-1907510")</f>
        <v>0</v>
      </c>
      <c r="B2328" t="s">
        <v>81</v>
      </c>
      <c r="C2328" t="s">
        <v>465</v>
      </c>
      <c r="D2328" t="s">
        <v>640</v>
      </c>
      <c r="E2328" t="s">
        <v>2235</v>
      </c>
      <c r="F2328" t="s">
        <v>4818</v>
      </c>
      <c r="G2328" t="s">
        <v>7887</v>
      </c>
      <c r="H2328" t="s">
        <v>10542</v>
      </c>
      <c r="I2328" t="s">
        <v>11383</v>
      </c>
      <c r="J2328">
        <v>10453</v>
      </c>
      <c r="K2328" t="s">
        <v>11446</v>
      </c>
      <c r="L2328" t="s">
        <v>12205</v>
      </c>
      <c r="M2328" t="s">
        <v>14744</v>
      </c>
      <c r="N2328" t="s">
        <v>14778</v>
      </c>
      <c r="O2328" t="s">
        <v>14786</v>
      </c>
      <c r="P2328" t="s">
        <v>14798</v>
      </c>
      <c r="Q2328" t="s">
        <v>11448</v>
      </c>
      <c r="S2328" t="s">
        <v>14827</v>
      </c>
      <c r="T2328" t="s">
        <v>14834</v>
      </c>
      <c r="V2328">
        <v>885</v>
      </c>
      <c r="W2328" t="s">
        <v>14858</v>
      </c>
      <c r="X2328" t="s">
        <v>14863</v>
      </c>
      <c r="Y2328" t="s">
        <v>14883</v>
      </c>
      <c r="Z2328" t="s">
        <v>16852</v>
      </c>
      <c r="AB2328" t="s">
        <v>21875</v>
      </c>
      <c r="AC2328">
        <v>0</v>
      </c>
      <c r="AE2328" t="s">
        <v>11459</v>
      </c>
      <c r="AF2328">
        <v>7</v>
      </c>
      <c r="AG2328">
        <v>1</v>
      </c>
      <c r="AH2328">
        <v>0</v>
      </c>
      <c r="AI2328">
        <v>345.88</v>
      </c>
      <c r="AL2328" t="s">
        <v>24632</v>
      </c>
      <c r="AM2328">
        <v>43200</v>
      </c>
      <c r="AS2328">
        <v>1</v>
      </c>
      <c r="AT2328" t="s">
        <v>410</v>
      </c>
      <c r="AU2328" t="s">
        <v>25239</v>
      </c>
      <c r="AV2328" t="s">
        <v>25335</v>
      </c>
      <c r="AW2328" t="s">
        <v>11447</v>
      </c>
    </row>
    <row r="2329" spans="1:49">
      <c r="A2329" s="1">
        <f>HYPERLINK("https://lsnyc.legalserver.org/matter/dynamic-profile/view/1907968","19-1907968")</f>
        <v>0</v>
      </c>
      <c r="B2329" t="s">
        <v>81</v>
      </c>
      <c r="C2329" t="s">
        <v>458</v>
      </c>
      <c r="D2329" t="s">
        <v>640</v>
      </c>
      <c r="E2329" t="s">
        <v>1114</v>
      </c>
      <c r="F2329" t="s">
        <v>3655</v>
      </c>
      <c r="G2329" t="s">
        <v>7888</v>
      </c>
      <c r="H2329" t="s">
        <v>10452</v>
      </c>
      <c r="I2329" t="s">
        <v>11383</v>
      </c>
      <c r="J2329">
        <v>10458</v>
      </c>
      <c r="K2329" t="s">
        <v>11446</v>
      </c>
      <c r="L2329" t="s">
        <v>12206</v>
      </c>
      <c r="M2329" t="s">
        <v>14743</v>
      </c>
      <c r="N2329" t="s">
        <v>14778</v>
      </c>
      <c r="O2329" t="s">
        <v>14786</v>
      </c>
      <c r="P2329" t="s">
        <v>14798</v>
      </c>
      <c r="Q2329" t="s">
        <v>11448</v>
      </c>
      <c r="S2329" t="s">
        <v>14827</v>
      </c>
      <c r="T2329" t="s">
        <v>14832</v>
      </c>
      <c r="V2329">
        <v>1850</v>
      </c>
      <c r="W2329" t="s">
        <v>14858</v>
      </c>
      <c r="X2329" t="s">
        <v>14863</v>
      </c>
      <c r="Y2329" t="s">
        <v>14883</v>
      </c>
      <c r="Z2329" t="s">
        <v>16853</v>
      </c>
      <c r="AC2329">
        <v>117</v>
      </c>
      <c r="AD2329" t="s">
        <v>24598</v>
      </c>
      <c r="AF2329">
        <v>3</v>
      </c>
      <c r="AG2329">
        <v>2</v>
      </c>
      <c r="AH2329">
        <v>0</v>
      </c>
      <c r="AI2329">
        <v>484.92</v>
      </c>
      <c r="AL2329" t="s">
        <v>5011</v>
      </c>
      <c r="AM2329">
        <v>82000</v>
      </c>
      <c r="AS2329">
        <v>0.7</v>
      </c>
      <c r="AT2329" t="s">
        <v>640</v>
      </c>
      <c r="AU2329" t="s">
        <v>145</v>
      </c>
      <c r="AV2329" t="s">
        <v>25335</v>
      </c>
      <c r="AW2329" t="s">
        <v>11447</v>
      </c>
    </row>
    <row r="2330" spans="1:49">
      <c r="A2330" s="1">
        <f>HYPERLINK("https://lsnyc.legalserver.org/matter/dynamic-profile/view/1907986","19-1907986")</f>
        <v>0</v>
      </c>
      <c r="B2330" t="s">
        <v>81</v>
      </c>
      <c r="C2330" t="s">
        <v>458</v>
      </c>
      <c r="D2330" t="s">
        <v>641</v>
      </c>
      <c r="E2330" t="s">
        <v>2271</v>
      </c>
      <c r="F2330" t="s">
        <v>3758</v>
      </c>
      <c r="G2330" t="s">
        <v>7889</v>
      </c>
      <c r="H2330" t="s">
        <v>10464</v>
      </c>
      <c r="I2330" t="s">
        <v>11383</v>
      </c>
      <c r="J2330">
        <v>10458</v>
      </c>
      <c r="K2330" t="s">
        <v>11446</v>
      </c>
      <c r="L2330" t="s">
        <v>12207</v>
      </c>
      <c r="M2330" t="s">
        <v>14744</v>
      </c>
      <c r="N2330" t="s">
        <v>14778</v>
      </c>
      <c r="O2330" t="s">
        <v>14786</v>
      </c>
      <c r="P2330" t="s">
        <v>14798</v>
      </c>
      <c r="Q2330" t="s">
        <v>11448</v>
      </c>
      <c r="S2330" t="s">
        <v>14827</v>
      </c>
      <c r="V2330">
        <v>1755</v>
      </c>
      <c r="W2330" t="s">
        <v>14858</v>
      </c>
      <c r="X2330" t="s">
        <v>14863</v>
      </c>
      <c r="Y2330" t="s">
        <v>14883</v>
      </c>
      <c r="Z2330" t="s">
        <v>16854</v>
      </c>
      <c r="AB2330" t="s">
        <v>21876</v>
      </c>
      <c r="AC2330">
        <v>55</v>
      </c>
      <c r="AD2330" t="s">
        <v>24595</v>
      </c>
      <c r="AF2330">
        <v>3</v>
      </c>
      <c r="AG2330">
        <v>1</v>
      </c>
      <c r="AH2330">
        <v>1</v>
      </c>
      <c r="AI2330">
        <v>212.03</v>
      </c>
      <c r="AL2330" t="s">
        <v>5011</v>
      </c>
      <c r="AM2330">
        <v>35854</v>
      </c>
      <c r="AS2330">
        <v>0.6</v>
      </c>
      <c r="AT2330" t="s">
        <v>641</v>
      </c>
      <c r="AU2330" t="s">
        <v>145</v>
      </c>
      <c r="AV2330" t="s">
        <v>25335</v>
      </c>
      <c r="AW2330" t="s">
        <v>11447</v>
      </c>
    </row>
    <row r="2331" spans="1:49">
      <c r="A2331" s="1">
        <f>HYPERLINK("https://lsnyc.legalserver.org/matter/dynamic-profile/view/1909097","19-1909097")</f>
        <v>0</v>
      </c>
      <c r="B2331" t="s">
        <v>81</v>
      </c>
      <c r="C2331" t="s">
        <v>641</v>
      </c>
      <c r="D2331" t="s">
        <v>641</v>
      </c>
      <c r="E2331" t="s">
        <v>2272</v>
      </c>
      <c r="F2331" t="s">
        <v>4819</v>
      </c>
      <c r="G2331" t="s">
        <v>7890</v>
      </c>
      <c r="H2331" t="s">
        <v>10569</v>
      </c>
      <c r="I2331" t="s">
        <v>11383</v>
      </c>
      <c r="J2331">
        <v>10458</v>
      </c>
      <c r="K2331" t="s">
        <v>11446</v>
      </c>
      <c r="M2331" t="s">
        <v>11601</v>
      </c>
      <c r="N2331" t="s">
        <v>14778</v>
      </c>
      <c r="O2331" t="s">
        <v>14786</v>
      </c>
      <c r="P2331" t="s">
        <v>14798</v>
      </c>
      <c r="Q2331" t="s">
        <v>11448</v>
      </c>
      <c r="S2331" t="s">
        <v>14827</v>
      </c>
      <c r="V2331">
        <v>1300</v>
      </c>
      <c r="W2331" t="s">
        <v>14858</v>
      </c>
      <c r="X2331" t="s">
        <v>14870</v>
      </c>
      <c r="Y2331" t="s">
        <v>14883</v>
      </c>
      <c r="Z2331" t="s">
        <v>16855</v>
      </c>
      <c r="AB2331" t="s">
        <v>21877</v>
      </c>
      <c r="AC2331">
        <v>4</v>
      </c>
      <c r="AD2331" t="s">
        <v>24600</v>
      </c>
      <c r="AE2331" t="s">
        <v>11459</v>
      </c>
      <c r="AF2331">
        <v>3</v>
      </c>
      <c r="AG2331">
        <v>1</v>
      </c>
      <c r="AH2331">
        <v>1</v>
      </c>
      <c r="AI2331">
        <v>444.71</v>
      </c>
      <c r="AL2331" t="s">
        <v>5011</v>
      </c>
      <c r="AM2331">
        <v>75200</v>
      </c>
      <c r="AS2331">
        <v>1.5</v>
      </c>
      <c r="AT2331" t="s">
        <v>641</v>
      </c>
      <c r="AU2331" t="s">
        <v>81</v>
      </c>
      <c r="AV2331" t="s">
        <v>25335</v>
      </c>
      <c r="AW2331" t="s">
        <v>11447</v>
      </c>
    </row>
    <row r="2332" spans="1:49">
      <c r="A2332" s="1">
        <f>HYPERLINK("https://lsnyc.legalserver.org/matter/dynamic-profile/view/1909308","19-1909308")</f>
        <v>0</v>
      </c>
      <c r="B2332" t="s">
        <v>260</v>
      </c>
      <c r="C2332" t="s">
        <v>589</v>
      </c>
      <c r="D2332" t="s">
        <v>412</v>
      </c>
      <c r="E2332" t="s">
        <v>2273</v>
      </c>
      <c r="F2332" t="s">
        <v>4820</v>
      </c>
      <c r="G2332" t="s">
        <v>7891</v>
      </c>
      <c r="I2332" t="s">
        <v>11383</v>
      </c>
      <c r="J2332">
        <v>10463</v>
      </c>
      <c r="K2332" t="s">
        <v>11446</v>
      </c>
      <c r="N2332" t="s">
        <v>14778</v>
      </c>
      <c r="O2332" t="s">
        <v>14786</v>
      </c>
      <c r="P2332" t="s">
        <v>14798</v>
      </c>
      <c r="Q2332" t="s">
        <v>11448</v>
      </c>
      <c r="S2332" t="s">
        <v>14827</v>
      </c>
      <c r="V2332">
        <v>0</v>
      </c>
      <c r="W2332" t="s">
        <v>14858</v>
      </c>
      <c r="X2332" t="s">
        <v>14864</v>
      </c>
      <c r="Y2332" t="s">
        <v>14883</v>
      </c>
      <c r="Z2332" t="s">
        <v>16856</v>
      </c>
      <c r="AB2332" t="s">
        <v>21878</v>
      </c>
      <c r="AC2332">
        <v>57</v>
      </c>
      <c r="AD2332" t="s">
        <v>24595</v>
      </c>
      <c r="AE2332" t="s">
        <v>11459</v>
      </c>
      <c r="AF2332">
        <v>36</v>
      </c>
      <c r="AG2332">
        <v>2</v>
      </c>
      <c r="AH2332">
        <v>0</v>
      </c>
      <c r="AI2332">
        <v>223.54</v>
      </c>
      <c r="AL2332" t="s">
        <v>5011</v>
      </c>
      <c r="AM2332">
        <v>37800</v>
      </c>
      <c r="AS2332">
        <v>0.1</v>
      </c>
      <c r="AT2332" t="s">
        <v>412</v>
      </c>
      <c r="AU2332" t="s">
        <v>245</v>
      </c>
      <c r="AV2332" t="s">
        <v>25335</v>
      </c>
      <c r="AW2332" t="s">
        <v>11447</v>
      </c>
    </row>
    <row r="2333" spans="1:49">
      <c r="A2333" s="1">
        <f>HYPERLINK("https://lsnyc.legalserver.org/matter/dynamic-profile/view/1907854","19-1907854")</f>
        <v>0</v>
      </c>
      <c r="B2333" t="s">
        <v>81</v>
      </c>
      <c r="C2333" t="s">
        <v>524</v>
      </c>
      <c r="D2333" t="s">
        <v>412</v>
      </c>
      <c r="E2333" t="s">
        <v>1087</v>
      </c>
      <c r="F2333" t="s">
        <v>3561</v>
      </c>
      <c r="G2333" t="s">
        <v>7892</v>
      </c>
      <c r="H2333" t="s">
        <v>10541</v>
      </c>
      <c r="I2333" t="s">
        <v>11383</v>
      </c>
      <c r="J2333">
        <v>10456</v>
      </c>
      <c r="K2333" t="s">
        <v>11446</v>
      </c>
      <c r="L2333" t="s">
        <v>12208</v>
      </c>
      <c r="M2333" t="s">
        <v>14744</v>
      </c>
      <c r="N2333" t="s">
        <v>14778</v>
      </c>
      <c r="O2333" t="s">
        <v>14786</v>
      </c>
      <c r="P2333" t="s">
        <v>14798</v>
      </c>
      <c r="Q2333" t="s">
        <v>11448</v>
      </c>
      <c r="S2333" t="s">
        <v>14827</v>
      </c>
      <c r="V2333">
        <v>1850</v>
      </c>
      <c r="W2333" t="s">
        <v>14858</v>
      </c>
      <c r="X2333" t="s">
        <v>14863</v>
      </c>
      <c r="Y2333" t="s">
        <v>14883</v>
      </c>
      <c r="Z2333" t="s">
        <v>16857</v>
      </c>
      <c r="AC2333">
        <v>0</v>
      </c>
      <c r="AD2333" t="s">
        <v>24595</v>
      </c>
      <c r="AE2333" t="s">
        <v>11459</v>
      </c>
      <c r="AF2333">
        <v>-1</v>
      </c>
      <c r="AG2333">
        <v>1</v>
      </c>
      <c r="AH2333">
        <v>0</v>
      </c>
      <c r="AI2333">
        <v>480.38</v>
      </c>
      <c r="AL2333" t="s">
        <v>5011</v>
      </c>
      <c r="AM2333">
        <v>60000</v>
      </c>
      <c r="AN2333" t="s">
        <v>24816</v>
      </c>
      <c r="AS2333">
        <v>0.8</v>
      </c>
      <c r="AT2333" t="s">
        <v>412</v>
      </c>
      <c r="AU2333" t="s">
        <v>25239</v>
      </c>
      <c r="AV2333" t="s">
        <v>25335</v>
      </c>
      <c r="AW2333" t="s">
        <v>11447</v>
      </c>
    </row>
    <row r="2334" spans="1:49">
      <c r="A2334" s="1">
        <f>HYPERLINK("https://lsnyc.legalserver.org/matter/dynamic-profile/view/1855922","18-1855922")</f>
        <v>0</v>
      </c>
      <c r="B2334" t="s">
        <v>76</v>
      </c>
      <c r="C2334" t="s">
        <v>394</v>
      </c>
      <c r="D2334" t="s">
        <v>463</v>
      </c>
      <c r="E2334" t="s">
        <v>2274</v>
      </c>
      <c r="F2334" t="s">
        <v>4821</v>
      </c>
      <c r="G2334" t="s">
        <v>7893</v>
      </c>
      <c r="H2334">
        <v>2</v>
      </c>
      <c r="I2334" t="s">
        <v>11385</v>
      </c>
      <c r="J2334">
        <v>11211</v>
      </c>
      <c r="K2334" t="s">
        <v>11447</v>
      </c>
      <c r="M2334" t="s">
        <v>14746</v>
      </c>
      <c r="O2334" t="s">
        <v>14786</v>
      </c>
      <c r="P2334" t="s">
        <v>14798</v>
      </c>
      <c r="S2334" t="s">
        <v>14827</v>
      </c>
      <c r="V2334">
        <v>3400</v>
      </c>
      <c r="W2334" t="s">
        <v>14859</v>
      </c>
      <c r="X2334" t="s">
        <v>14755</v>
      </c>
      <c r="Y2334" t="s">
        <v>14890</v>
      </c>
      <c r="Z2334" t="s">
        <v>16858</v>
      </c>
      <c r="AC2334">
        <v>0</v>
      </c>
      <c r="AD2334" t="s">
        <v>11479</v>
      </c>
      <c r="AE2334" t="s">
        <v>11459</v>
      </c>
      <c r="AF2334">
        <v>6</v>
      </c>
      <c r="AG2334">
        <v>1</v>
      </c>
      <c r="AH2334">
        <v>0</v>
      </c>
      <c r="AI2334">
        <v>223.88</v>
      </c>
      <c r="AL2334" t="s">
        <v>5011</v>
      </c>
      <c r="AM2334">
        <v>27000</v>
      </c>
      <c r="AS2334">
        <v>0.7</v>
      </c>
      <c r="AT2334" t="s">
        <v>394</v>
      </c>
      <c r="AU2334" t="s">
        <v>25244</v>
      </c>
      <c r="AW2334" t="s">
        <v>11447</v>
      </c>
    </row>
    <row r="2335" spans="1:49">
      <c r="A2335" s="1">
        <f>HYPERLINK("https://lsnyc.legalserver.org/matter/dynamic-profile/view/1906229","19-1906229")</f>
        <v>0</v>
      </c>
      <c r="B2335" t="s">
        <v>156</v>
      </c>
      <c r="C2335" t="s">
        <v>553</v>
      </c>
      <c r="D2335" t="s">
        <v>519</v>
      </c>
      <c r="E2335" t="s">
        <v>1540</v>
      </c>
      <c r="F2335" t="s">
        <v>4822</v>
      </c>
      <c r="G2335" t="s">
        <v>7894</v>
      </c>
      <c r="H2335" t="s">
        <v>10962</v>
      </c>
      <c r="I2335" t="s">
        <v>11386</v>
      </c>
      <c r="J2335">
        <v>10009</v>
      </c>
      <c r="K2335" t="s">
        <v>11447</v>
      </c>
      <c r="O2335" t="s">
        <v>14786</v>
      </c>
      <c r="P2335" t="s">
        <v>14798</v>
      </c>
      <c r="S2335" t="s">
        <v>14828</v>
      </c>
      <c r="V2335">
        <v>400</v>
      </c>
      <c r="W2335" t="s">
        <v>14860</v>
      </c>
      <c r="X2335" t="s">
        <v>14867</v>
      </c>
      <c r="Y2335" t="s">
        <v>14883</v>
      </c>
      <c r="Z2335" t="s">
        <v>16859</v>
      </c>
      <c r="AB2335" t="s">
        <v>21879</v>
      </c>
      <c r="AC2335">
        <v>0</v>
      </c>
      <c r="AD2335" t="s">
        <v>24602</v>
      </c>
      <c r="AE2335" t="s">
        <v>11459</v>
      </c>
      <c r="AF2335">
        <v>45</v>
      </c>
      <c r="AG2335">
        <v>1</v>
      </c>
      <c r="AH2335">
        <v>0</v>
      </c>
      <c r="AI2335">
        <v>269.02</v>
      </c>
      <c r="AL2335" t="s">
        <v>5011</v>
      </c>
      <c r="AM2335">
        <v>33600</v>
      </c>
      <c r="AS2335">
        <v>1.3</v>
      </c>
      <c r="AT2335" t="s">
        <v>506</v>
      </c>
      <c r="AU2335" t="s">
        <v>25225</v>
      </c>
      <c r="AW2335" t="s">
        <v>11447</v>
      </c>
    </row>
    <row r="2336" spans="1:49">
      <c r="A2336" s="1">
        <f>HYPERLINK("https://lsnyc.legalserver.org/matter/dynamic-profile/view/1869410","18-1869410")</f>
        <v>0</v>
      </c>
      <c r="B2336" t="s">
        <v>76</v>
      </c>
      <c r="C2336" t="s">
        <v>422</v>
      </c>
      <c r="D2336" t="s">
        <v>504</v>
      </c>
      <c r="E2336" t="s">
        <v>1749</v>
      </c>
      <c r="F2336" t="s">
        <v>4823</v>
      </c>
      <c r="G2336" t="s">
        <v>7895</v>
      </c>
      <c r="H2336" t="s">
        <v>10781</v>
      </c>
      <c r="I2336" t="s">
        <v>11385</v>
      </c>
      <c r="J2336">
        <v>11221</v>
      </c>
      <c r="K2336" t="s">
        <v>11447</v>
      </c>
      <c r="O2336" t="s">
        <v>14786</v>
      </c>
      <c r="P2336" t="s">
        <v>14798</v>
      </c>
      <c r="S2336" t="s">
        <v>14827</v>
      </c>
      <c r="V2336">
        <v>0</v>
      </c>
      <c r="W2336" t="s">
        <v>14859</v>
      </c>
      <c r="Y2336" t="s">
        <v>14890</v>
      </c>
      <c r="Z2336" t="s">
        <v>16860</v>
      </c>
      <c r="AC2336">
        <v>0</v>
      </c>
      <c r="AF2336">
        <v>0</v>
      </c>
      <c r="AG2336">
        <v>2</v>
      </c>
      <c r="AH2336">
        <v>1</v>
      </c>
      <c r="AI2336">
        <v>202.12</v>
      </c>
      <c r="AL2336" t="s">
        <v>5011</v>
      </c>
      <c r="AM2336">
        <v>42000</v>
      </c>
      <c r="AS2336">
        <v>1</v>
      </c>
      <c r="AT2336" t="s">
        <v>422</v>
      </c>
      <c r="AU2336" t="s">
        <v>25227</v>
      </c>
      <c r="AW2336" t="s">
        <v>11447</v>
      </c>
    </row>
    <row r="2337" spans="1:49">
      <c r="A2337" s="1">
        <f>HYPERLINK("https://lsnyc.legalserver.org/matter/dynamic-profile/view/1907515","19-1907515")</f>
        <v>0</v>
      </c>
      <c r="B2337" t="s">
        <v>81</v>
      </c>
      <c r="C2337" t="s">
        <v>465</v>
      </c>
      <c r="D2337" t="s">
        <v>504</v>
      </c>
      <c r="E2337" t="s">
        <v>1356</v>
      </c>
      <c r="F2337" t="s">
        <v>3555</v>
      </c>
      <c r="G2337" t="s">
        <v>7896</v>
      </c>
      <c r="H2337" t="s">
        <v>10481</v>
      </c>
      <c r="I2337" t="s">
        <v>11383</v>
      </c>
      <c r="J2337">
        <v>10466</v>
      </c>
      <c r="K2337" t="s">
        <v>11446</v>
      </c>
      <c r="L2337" t="s">
        <v>12209</v>
      </c>
      <c r="M2337" t="s">
        <v>14744</v>
      </c>
      <c r="N2337" t="s">
        <v>14778</v>
      </c>
      <c r="O2337" t="s">
        <v>14786</v>
      </c>
      <c r="P2337" t="s">
        <v>14798</v>
      </c>
      <c r="Q2337" t="s">
        <v>11448</v>
      </c>
      <c r="S2337" t="s">
        <v>14828</v>
      </c>
      <c r="T2337" t="s">
        <v>14832</v>
      </c>
      <c r="V2337">
        <v>0</v>
      </c>
      <c r="W2337" t="s">
        <v>14858</v>
      </c>
      <c r="Y2337" t="s">
        <v>14883</v>
      </c>
      <c r="Z2337" t="s">
        <v>16861</v>
      </c>
      <c r="AC2337">
        <v>12</v>
      </c>
      <c r="AD2337" t="s">
        <v>24597</v>
      </c>
      <c r="AF2337">
        <v>16</v>
      </c>
      <c r="AG2337">
        <v>2</v>
      </c>
      <c r="AH2337">
        <v>1</v>
      </c>
      <c r="AI2337">
        <v>213.31</v>
      </c>
      <c r="AL2337" t="s">
        <v>5011</v>
      </c>
      <c r="AM2337">
        <v>45500</v>
      </c>
      <c r="AN2337" t="s">
        <v>24818</v>
      </c>
      <c r="AS2337">
        <v>0.6</v>
      </c>
      <c r="AT2337" t="s">
        <v>504</v>
      </c>
      <c r="AU2337" t="s">
        <v>145</v>
      </c>
      <c r="AV2337" t="s">
        <v>25335</v>
      </c>
      <c r="AW2337" t="s">
        <v>11447</v>
      </c>
    </row>
    <row r="2338" spans="1:49">
      <c r="A2338" s="1">
        <f>HYPERLINK("https://lsnyc.legalserver.org/matter/dynamic-profile/view/1855803","18-1855803")</f>
        <v>0</v>
      </c>
      <c r="B2338" t="s">
        <v>76</v>
      </c>
      <c r="C2338" t="s">
        <v>394</v>
      </c>
      <c r="D2338" t="s">
        <v>504</v>
      </c>
      <c r="E2338" t="s">
        <v>1412</v>
      </c>
      <c r="F2338" t="s">
        <v>4824</v>
      </c>
      <c r="G2338" t="s">
        <v>7897</v>
      </c>
      <c r="I2338" t="s">
        <v>11385</v>
      </c>
      <c r="J2338">
        <v>11226</v>
      </c>
      <c r="K2338" t="s">
        <v>11447</v>
      </c>
      <c r="O2338" t="s">
        <v>14786</v>
      </c>
      <c r="P2338" t="s">
        <v>14798</v>
      </c>
      <c r="S2338" t="s">
        <v>14830</v>
      </c>
      <c r="V2338">
        <v>0</v>
      </c>
      <c r="W2338" t="s">
        <v>14859</v>
      </c>
      <c r="Y2338" t="s">
        <v>14890</v>
      </c>
      <c r="Z2338" t="s">
        <v>16862</v>
      </c>
      <c r="AB2338" t="s">
        <v>21880</v>
      </c>
      <c r="AC2338">
        <v>0</v>
      </c>
      <c r="AF2338">
        <v>0</v>
      </c>
      <c r="AG2338">
        <v>1</v>
      </c>
      <c r="AH2338">
        <v>0</v>
      </c>
      <c r="AI2338">
        <v>215.59</v>
      </c>
      <c r="AL2338" t="s">
        <v>5011</v>
      </c>
      <c r="AM2338">
        <v>26000</v>
      </c>
      <c r="AS2338">
        <v>0.75</v>
      </c>
      <c r="AT2338" t="s">
        <v>394</v>
      </c>
      <c r="AU2338" t="s">
        <v>25236</v>
      </c>
      <c r="AW2338" t="s">
        <v>11447</v>
      </c>
    </row>
    <row r="2339" spans="1:49">
      <c r="A2339" s="1">
        <f>HYPERLINK("https://lsnyc.legalserver.org/matter/dynamic-profile/view/1871728","18-1871728")</f>
        <v>0</v>
      </c>
      <c r="B2339" t="s">
        <v>76</v>
      </c>
      <c r="C2339" t="s">
        <v>727</v>
      </c>
      <c r="D2339" t="s">
        <v>504</v>
      </c>
      <c r="E2339" t="s">
        <v>2275</v>
      </c>
      <c r="F2339" t="s">
        <v>4825</v>
      </c>
      <c r="G2339" t="s">
        <v>7898</v>
      </c>
      <c r="H2339" t="s">
        <v>10730</v>
      </c>
      <c r="I2339" t="s">
        <v>11385</v>
      </c>
      <c r="J2339">
        <v>11212</v>
      </c>
      <c r="K2339" t="s">
        <v>11447</v>
      </c>
      <c r="M2339" t="s">
        <v>11601</v>
      </c>
      <c r="O2339" t="s">
        <v>14786</v>
      </c>
      <c r="P2339" t="s">
        <v>14798</v>
      </c>
      <c r="S2339" t="s">
        <v>14827</v>
      </c>
      <c r="V2339">
        <v>1250</v>
      </c>
      <c r="W2339" t="s">
        <v>14859</v>
      </c>
      <c r="Y2339" t="s">
        <v>14890</v>
      </c>
      <c r="Z2339" t="s">
        <v>16863</v>
      </c>
      <c r="AB2339" t="s">
        <v>21881</v>
      </c>
      <c r="AC2339">
        <v>0</v>
      </c>
      <c r="AD2339" t="s">
        <v>24595</v>
      </c>
      <c r="AE2339" t="s">
        <v>11459</v>
      </c>
      <c r="AF2339">
        <v>4</v>
      </c>
      <c r="AG2339">
        <v>2</v>
      </c>
      <c r="AH2339">
        <v>0</v>
      </c>
      <c r="AI2339">
        <v>221.14</v>
      </c>
      <c r="AL2339" t="s">
        <v>5011</v>
      </c>
      <c r="AM2339">
        <v>36400</v>
      </c>
      <c r="AS2339">
        <v>3.6</v>
      </c>
      <c r="AT2339" t="s">
        <v>542</v>
      </c>
      <c r="AU2339" t="s">
        <v>25231</v>
      </c>
      <c r="AW2339" t="s">
        <v>11447</v>
      </c>
    </row>
    <row r="2340" spans="1:49">
      <c r="A2340" s="1">
        <f>HYPERLINK("https://lsnyc.legalserver.org/matter/dynamic-profile/view/1866102","18-1866102")</f>
        <v>0</v>
      </c>
      <c r="B2340" t="s">
        <v>76</v>
      </c>
      <c r="C2340" t="s">
        <v>728</v>
      </c>
      <c r="D2340" t="s">
        <v>504</v>
      </c>
      <c r="E2340" t="s">
        <v>2276</v>
      </c>
      <c r="F2340" t="s">
        <v>3797</v>
      </c>
      <c r="G2340" t="s">
        <v>7899</v>
      </c>
      <c r="H2340" t="s">
        <v>10510</v>
      </c>
      <c r="I2340" t="s">
        <v>11385</v>
      </c>
      <c r="J2340">
        <v>11210</v>
      </c>
      <c r="K2340" t="s">
        <v>11447</v>
      </c>
      <c r="O2340" t="s">
        <v>14786</v>
      </c>
      <c r="P2340" t="s">
        <v>14798</v>
      </c>
      <c r="S2340" t="s">
        <v>14827</v>
      </c>
      <c r="V2340">
        <v>1125</v>
      </c>
      <c r="W2340" t="s">
        <v>14859</v>
      </c>
      <c r="X2340" t="s">
        <v>14866</v>
      </c>
      <c r="Y2340" t="s">
        <v>14890</v>
      </c>
      <c r="Z2340" t="s">
        <v>16864</v>
      </c>
      <c r="AC2340">
        <v>50</v>
      </c>
      <c r="AF2340">
        <v>14</v>
      </c>
      <c r="AG2340">
        <v>1</v>
      </c>
      <c r="AH2340">
        <v>0</v>
      </c>
      <c r="AI2340">
        <v>280.07</v>
      </c>
      <c r="AL2340" t="s">
        <v>5011</v>
      </c>
      <c r="AM2340">
        <v>34000</v>
      </c>
      <c r="AS2340">
        <v>1</v>
      </c>
      <c r="AT2340" t="s">
        <v>728</v>
      </c>
      <c r="AU2340" t="s">
        <v>25227</v>
      </c>
      <c r="AW2340" t="s">
        <v>11447</v>
      </c>
    </row>
    <row r="2341" spans="1:49">
      <c r="A2341" s="1">
        <f>HYPERLINK("https://lsnyc.legalserver.org/matter/dynamic-profile/view/1898791","19-1898791")</f>
        <v>0</v>
      </c>
      <c r="B2341" t="s">
        <v>76</v>
      </c>
      <c r="C2341" t="s">
        <v>518</v>
      </c>
      <c r="D2341" t="s">
        <v>504</v>
      </c>
      <c r="E2341" t="s">
        <v>2277</v>
      </c>
      <c r="F2341" t="s">
        <v>4826</v>
      </c>
      <c r="G2341" t="s">
        <v>7900</v>
      </c>
      <c r="H2341" t="s">
        <v>10465</v>
      </c>
      <c r="I2341" t="s">
        <v>11385</v>
      </c>
      <c r="J2341">
        <v>11230</v>
      </c>
      <c r="K2341" t="s">
        <v>11447</v>
      </c>
      <c r="M2341" t="s">
        <v>11601</v>
      </c>
      <c r="O2341" t="s">
        <v>14786</v>
      </c>
      <c r="P2341" t="s">
        <v>14798</v>
      </c>
      <c r="S2341" t="s">
        <v>14827</v>
      </c>
      <c r="V2341">
        <v>1560</v>
      </c>
      <c r="W2341" t="s">
        <v>14859</v>
      </c>
      <c r="Y2341" t="s">
        <v>14890</v>
      </c>
      <c r="Z2341" t="s">
        <v>16865</v>
      </c>
      <c r="AB2341" t="s">
        <v>21882</v>
      </c>
      <c r="AC2341">
        <v>0</v>
      </c>
      <c r="AD2341" t="s">
        <v>11479</v>
      </c>
      <c r="AE2341" t="s">
        <v>11459</v>
      </c>
      <c r="AF2341">
        <v>3</v>
      </c>
      <c r="AG2341">
        <v>1</v>
      </c>
      <c r="AH2341">
        <v>0</v>
      </c>
      <c r="AI2341">
        <v>291.43</v>
      </c>
      <c r="AL2341" t="s">
        <v>24636</v>
      </c>
      <c r="AM2341">
        <v>36400</v>
      </c>
      <c r="AS2341">
        <v>1</v>
      </c>
      <c r="AT2341" t="s">
        <v>518</v>
      </c>
      <c r="AU2341" t="s">
        <v>25231</v>
      </c>
      <c r="AW2341" t="s">
        <v>11447</v>
      </c>
    </row>
    <row r="2342" spans="1:49">
      <c r="A2342" s="1">
        <f>HYPERLINK("https://lsnyc.legalserver.org/matter/dynamic-profile/view/1899364","19-1899364")</f>
        <v>0</v>
      </c>
      <c r="B2342" t="s">
        <v>261</v>
      </c>
      <c r="C2342" t="s">
        <v>729</v>
      </c>
      <c r="D2342" t="s">
        <v>468</v>
      </c>
      <c r="E2342" t="s">
        <v>2278</v>
      </c>
      <c r="F2342" t="s">
        <v>3758</v>
      </c>
      <c r="G2342" t="s">
        <v>7901</v>
      </c>
      <c r="H2342" t="s">
        <v>10527</v>
      </c>
      <c r="I2342" t="s">
        <v>11386</v>
      </c>
      <c r="J2342">
        <v>10009</v>
      </c>
      <c r="K2342" t="s">
        <v>11447</v>
      </c>
      <c r="M2342" t="s">
        <v>11601</v>
      </c>
      <c r="O2342" t="s">
        <v>14786</v>
      </c>
      <c r="P2342" t="s">
        <v>14798</v>
      </c>
      <c r="S2342" t="s">
        <v>14828</v>
      </c>
      <c r="V2342">
        <v>1456</v>
      </c>
      <c r="W2342" t="s">
        <v>14860</v>
      </c>
      <c r="Y2342" t="s">
        <v>14883</v>
      </c>
      <c r="Z2342" t="s">
        <v>16866</v>
      </c>
      <c r="AB2342" t="s">
        <v>21883</v>
      </c>
      <c r="AC2342">
        <v>0</v>
      </c>
      <c r="AF2342">
        <v>0</v>
      </c>
      <c r="AG2342">
        <v>1</v>
      </c>
      <c r="AH2342">
        <v>0</v>
      </c>
      <c r="AI2342">
        <v>200.16</v>
      </c>
      <c r="AL2342" t="s">
        <v>5011</v>
      </c>
      <c r="AM2342">
        <v>25000</v>
      </c>
      <c r="AS2342">
        <v>5</v>
      </c>
      <c r="AT2342" t="s">
        <v>469</v>
      </c>
      <c r="AU2342" t="s">
        <v>25278</v>
      </c>
      <c r="AW2342" t="s">
        <v>11447</v>
      </c>
    </row>
    <row r="2343" spans="1:49">
      <c r="A2343" s="1">
        <f>HYPERLINK("https://lsnyc.legalserver.org/matter/dynamic-profile/view/1907500","19-1907500")</f>
        <v>0</v>
      </c>
      <c r="B2343" t="s">
        <v>81</v>
      </c>
      <c r="C2343" t="s">
        <v>465</v>
      </c>
      <c r="D2343" t="s">
        <v>468</v>
      </c>
      <c r="E2343" t="s">
        <v>2279</v>
      </c>
      <c r="F2343" t="s">
        <v>4827</v>
      </c>
      <c r="G2343" t="s">
        <v>7902</v>
      </c>
      <c r="H2343" t="s">
        <v>10963</v>
      </c>
      <c r="I2343" t="s">
        <v>11383</v>
      </c>
      <c r="J2343">
        <v>10455</v>
      </c>
      <c r="K2343" t="s">
        <v>11446</v>
      </c>
      <c r="L2343" t="s">
        <v>12210</v>
      </c>
      <c r="M2343" t="s">
        <v>14744</v>
      </c>
      <c r="N2343" t="s">
        <v>14778</v>
      </c>
      <c r="O2343" t="s">
        <v>14786</v>
      </c>
      <c r="P2343" t="s">
        <v>14798</v>
      </c>
      <c r="Q2343" t="s">
        <v>11448</v>
      </c>
      <c r="S2343" t="s">
        <v>14827</v>
      </c>
      <c r="T2343" t="s">
        <v>14837</v>
      </c>
      <c r="V2343">
        <v>120</v>
      </c>
      <c r="W2343" t="s">
        <v>14858</v>
      </c>
      <c r="X2343" t="s">
        <v>14863</v>
      </c>
      <c r="Y2343" t="s">
        <v>14883</v>
      </c>
      <c r="Z2343" t="s">
        <v>16618</v>
      </c>
      <c r="AB2343" t="s">
        <v>21884</v>
      </c>
      <c r="AC2343">
        <v>15</v>
      </c>
      <c r="AD2343" t="s">
        <v>24599</v>
      </c>
      <c r="AF2343">
        <v>59</v>
      </c>
      <c r="AG2343">
        <v>1</v>
      </c>
      <c r="AH2343">
        <v>0</v>
      </c>
      <c r="AI2343">
        <v>249.8</v>
      </c>
      <c r="AM2343">
        <v>31200</v>
      </c>
      <c r="AS2343">
        <v>1</v>
      </c>
      <c r="AT2343" t="s">
        <v>468</v>
      </c>
      <c r="AU2343" t="s">
        <v>145</v>
      </c>
      <c r="AV2343" t="s">
        <v>25335</v>
      </c>
      <c r="AW2343" t="s">
        <v>11447</v>
      </c>
    </row>
    <row r="2344" spans="1:49">
      <c r="A2344" s="1">
        <f>HYPERLINK("https://lsnyc.legalserver.org/matter/dynamic-profile/view/1882952","18-1882952")</f>
        <v>0</v>
      </c>
      <c r="B2344" t="s">
        <v>76</v>
      </c>
      <c r="C2344" t="s">
        <v>730</v>
      </c>
      <c r="D2344" t="s">
        <v>468</v>
      </c>
      <c r="E2344" t="s">
        <v>2280</v>
      </c>
      <c r="F2344" t="s">
        <v>1034</v>
      </c>
      <c r="G2344" t="s">
        <v>7903</v>
      </c>
      <c r="H2344" t="s">
        <v>10963</v>
      </c>
      <c r="I2344" t="s">
        <v>11385</v>
      </c>
      <c r="J2344">
        <v>11233</v>
      </c>
      <c r="K2344" t="s">
        <v>11447</v>
      </c>
      <c r="O2344" t="s">
        <v>14786</v>
      </c>
      <c r="P2344" t="s">
        <v>14798</v>
      </c>
      <c r="S2344" t="s">
        <v>14827</v>
      </c>
      <c r="V2344">
        <v>0</v>
      </c>
      <c r="W2344" t="s">
        <v>14859</v>
      </c>
      <c r="Y2344" t="s">
        <v>14890</v>
      </c>
      <c r="Z2344" t="s">
        <v>16867</v>
      </c>
      <c r="AB2344" t="s">
        <v>21885</v>
      </c>
      <c r="AC2344">
        <v>0</v>
      </c>
      <c r="AF2344">
        <v>0</v>
      </c>
      <c r="AG2344">
        <v>1</v>
      </c>
      <c r="AH2344">
        <v>0</v>
      </c>
      <c r="AI2344">
        <v>296.54</v>
      </c>
      <c r="AL2344" t="s">
        <v>5011</v>
      </c>
      <c r="AM2344">
        <v>36000</v>
      </c>
      <c r="AS2344">
        <v>1</v>
      </c>
      <c r="AT2344" t="s">
        <v>730</v>
      </c>
      <c r="AU2344" t="s">
        <v>25245</v>
      </c>
      <c r="AW2344" t="s">
        <v>11447</v>
      </c>
    </row>
    <row r="2345" spans="1:49">
      <c r="A2345" s="1">
        <f>HYPERLINK("https://lsnyc.legalserver.org/matter/dynamic-profile/view/1878017","18-1878017")</f>
        <v>0</v>
      </c>
      <c r="B2345" t="s">
        <v>76</v>
      </c>
      <c r="C2345" t="s">
        <v>390</v>
      </c>
      <c r="D2345" t="s">
        <v>468</v>
      </c>
      <c r="E2345" t="s">
        <v>1181</v>
      </c>
      <c r="F2345" t="s">
        <v>4828</v>
      </c>
      <c r="G2345" t="s">
        <v>7904</v>
      </c>
      <c r="H2345" t="s">
        <v>10964</v>
      </c>
      <c r="I2345" t="s">
        <v>11385</v>
      </c>
      <c r="J2345">
        <v>11221</v>
      </c>
      <c r="K2345" t="s">
        <v>11447</v>
      </c>
      <c r="O2345" t="s">
        <v>14786</v>
      </c>
      <c r="P2345" t="s">
        <v>14798</v>
      </c>
      <c r="S2345" t="s">
        <v>14827</v>
      </c>
      <c r="V2345">
        <v>1128</v>
      </c>
      <c r="W2345" t="s">
        <v>14859</v>
      </c>
      <c r="Y2345" t="s">
        <v>14890</v>
      </c>
      <c r="Z2345" t="s">
        <v>16868</v>
      </c>
      <c r="AB2345" t="s">
        <v>21886</v>
      </c>
      <c r="AC2345">
        <v>54</v>
      </c>
      <c r="AF2345">
        <v>6</v>
      </c>
      <c r="AG2345">
        <v>1</v>
      </c>
      <c r="AH2345">
        <v>0</v>
      </c>
      <c r="AI2345">
        <v>494.23</v>
      </c>
      <c r="AL2345" t="s">
        <v>5011</v>
      </c>
      <c r="AM2345">
        <v>60000</v>
      </c>
      <c r="AS2345">
        <v>1</v>
      </c>
      <c r="AT2345" t="s">
        <v>715</v>
      </c>
      <c r="AU2345" t="s">
        <v>25238</v>
      </c>
      <c r="AW2345" t="s">
        <v>11447</v>
      </c>
    </row>
    <row r="2346" spans="1:49">
      <c r="A2346" s="1">
        <f>HYPERLINK("https://lsnyc.legalserver.org/matter/dynamic-profile/view/1908481","19-1908481")</f>
        <v>0</v>
      </c>
      <c r="B2346" t="s">
        <v>163</v>
      </c>
      <c r="C2346" t="s">
        <v>466</v>
      </c>
      <c r="D2346" t="s">
        <v>602</v>
      </c>
      <c r="E2346" t="s">
        <v>1056</v>
      </c>
      <c r="F2346" t="s">
        <v>4728</v>
      </c>
      <c r="G2346" t="s">
        <v>7905</v>
      </c>
      <c r="H2346" t="s">
        <v>10965</v>
      </c>
      <c r="I2346" t="s">
        <v>11395</v>
      </c>
      <c r="J2346">
        <v>11373</v>
      </c>
      <c r="K2346" t="s">
        <v>11448</v>
      </c>
      <c r="L2346" t="s">
        <v>11459</v>
      </c>
      <c r="M2346" t="s">
        <v>14754</v>
      </c>
      <c r="N2346" t="s">
        <v>14778</v>
      </c>
      <c r="O2346" t="s">
        <v>14786</v>
      </c>
      <c r="P2346" t="s">
        <v>14798</v>
      </c>
      <c r="Q2346" t="s">
        <v>11448</v>
      </c>
      <c r="S2346" t="s">
        <v>14827</v>
      </c>
      <c r="T2346" t="s">
        <v>14832</v>
      </c>
      <c r="U2346" t="s">
        <v>466</v>
      </c>
      <c r="V2346">
        <v>1700</v>
      </c>
      <c r="W2346" t="s">
        <v>14861</v>
      </c>
      <c r="Y2346" t="s">
        <v>14883</v>
      </c>
      <c r="Z2346" t="s">
        <v>16869</v>
      </c>
      <c r="AB2346" t="s">
        <v>21887</v>
      </c>
      <c r="AC2346">
        <v>60</v>
      </c>
      <c r="AF2346">
        <v>0</v>
      </c>
      <c r="AG2346">
        <v>1</v>
      </c>
      <c r="AH2346">
        <v>0</v>
      </c>
      <c r="AI2346">
        <v>288.23</v>
      </c>
      <c r="AL2346" t="s">
        <v>5011</v>
      </c>
      <c r="AM2346">
        <v>36000</v>
      </c>
      <c r="AN2346" t="s">
        <v>24819</v>
      </c>
      <c r="AS2346">
        <v>1</v>
      </c>
      <c r="AT2346" t="s">
        <v>540</v>
      </c>
      <c r="AU2346" t="s">
        <v>25238</v>
      </c>
      <c r="AV2346" t="s">
        <v>11459</v>
      </c>
      <c r="AW2346" t="s">
        <v>11447</v>
      </c>
    </row>
    <row r="2347" spans="1:49">
      <c r="A2347" s="1">
        <f>HYPERLINK("https://lsnyc.legalserver.org/matter/dynamic-profile/view/0806650","16-0806650")</f>
        <v>0</v>
      </c>
      <c r="B2347" t="s">
        <v>193</v>
      </c>
      <c r="C2347" t="s">
        <v>731</v>
      </c>
      <c r="D2347" t="s">
        <v>644</v>
      </c>
      <c r="E2347" t="s">
        <v>1135</v>
      </c>
      <c r="F2347" t="s">
        <v>3560</v>
      </c>
      <c r="G2347" t="s">
        <v>7906</v>
      </c>
      <c r="H2347" t="s">
        <v>10570</v>
      </c>
      <c r="I2347" t="s">
        <v>11385</v>
      </c>
      <c r="J2347">
        <v>11204</v>
      </c>
      <c r="K2347" t="s">
        <v>11447</v>
      </c>
      <c r="N2347" t="s">
        <v>14783</v>
      </c>
      <c r="O2347" t="s">
        <v>14788</v>
      </c>
      <c r="P2347" t="s">
        <v>14798</v>
      </c>
      <c r="R2347" t="s">
        <v>14798</v>
      </c>
      <c r="S2347" t="s">
        <v>14831</v>
      </c>
      <c r="V2347">
        <v>0</v>
      </c>
      <c r="W2347" t="s">
        <v>14859</v>
      </c>
      <c r="Y2347" t="s">
        <v>14898</v>
      </c>
      <c r="Z2347" t="s">
        <v>15234</v>
      </c>
      <c r="AB2347" t="s">
        <v>20390</v>
      </c>
      <c r="AC2347">
        <v>0</v>
      </c>
      <c r="AF2347">
        <v>0</v>
      </c>
      <c r="AG2347">
        <v>1</v>
      </c>
      <c r="AH2347">
        <v>0</v>
      </c>
      <c r="AI2347">
        <v>186.87</v>
      </c>
      <c r="AL2347" t="s">
        <v>24636</v>
      </c>
      <c r="AM2347">
        <v>22200</v>
      </c>
      <c r="AS2347">
        <v>47.1</v>
      </c>
      <c r="AT2347" t="s">
        <v>484</v>
      </c>
      <c r="AU2347" t="s">
        <v>193</v>
      </c>
      <c r="AW2347" t="s">
        <v>11447</v>
      </c>
    </row>
    <row r="2348" spans="1:49">
      <c r="A2348" s="1">
        <f>HYPERLINK("https://lsnyc.legalserver.org/matter/dynamic-profile/view/1907594","19-1907594")</f>
        <v>0</v>
      </c>
      <c r="B2348" t="s">
        <v>83</v>
      </c>
      <c r="C2348" t="s">
        <v>630</v>
      </c>
      <c r="D2348" t="s">
        <v>644</v>
      </c>
      <c r="E2348" t="s">
        <v>1934</v>
      </c>
      <c r="F2348" t="s">
        <v>4829</v>
      </c>
      <c r="G2348" t="s">
        <v>7907</v>
      </c>
      <c r="H2348" t="s">
        <v>10541</v>
      </c>
      <c r="I2348" t="s">
        <v>11387</v>
      </c>
      <c r="J2348">
        <v>11433</v>
      </c>
      <c r="K2348" t="s">
        <v>11446</v>
      </c>
      <c r="L2348" t="s">
        <v>12211</v>
      </c>
      <c r="M2348" t="s">
        <v>14744</v>
      </c>
      <c r="N2348" t="s">
        <v>14778</v>
      </c>
      <c r="O2348" t="s">
        <v>14786</v>
      </c>
      <c r="P2348" t="s">
        <v>14798</v>
      </c>
      <c r="Q2348" t="s">
        <v>11448</v>
      </c>
      <c r="S2348" t="s">
        <v>14828</v>
      </c>
      <c r="T2348" t="s">
        <v>14832</v>
      </c>
      <c r="V2348">
        <v>1472</v>
      </c>
      <c r="W2348" t="s">
        <v>14861</v>
      </c>
      <c r="X2348" t="s">
        <v>14863</v>
      </c>
      <c r="Y2348" t="s">
        <v>14883</v>
      </c>
      <c r="Z2348" t="s">
        <v>16870</v>
      </c>
      <c r="AB2348" t="s">
        <v>21888</v>
      </c>
      <c r="AC2348">
        <v>16</v>
      </c>
      <c r="AD2348" t="s">
        <v>24597</v>
      </c>
      <c r="AE2348" t="s">
        <v>14755</v>
      </c>
      <c r="AF2348">
        <v>37</v>
      </c>
      <c r="AG2348">
        <v>2</v>
      </c>
      <c r="AH2348">
        <v>0</v>
      </c>
      <c r="AI2348">
        <v>254.29</v>
      </c>
      <c r="AL2348" t="s">
        <v>5011</v>
      </c>
      <c r="AM2348">
        <v>43000</v>
      </c>
      <c r="AS2348">
        <v>1.3</v>
      </c>
      <c r="AT2348" t="s">
        <v>644</v>
      </c>
      <c r="AU2348" t="s">
        <v>292</v>
      </c>
      <c r="AV2348" t="s">
        <v>25335</v>
      </c>
      <c r="AW2348" t="s">
        <v>11447</v>
      </c>
    </row>
    <row r="2349" spans="1:49">
      <c r="A2349" s="1">
        <f>HYPERLINK("https://lsnyc.legalserver.org/matter/dynamic-profile/view/1851922","17-1851922")</f>
        <v>0</v>
      </c>
      <c r="B2349" t="s">
        <v>62</v>
      </c>
      <c r="C2349" t="s">
        <v>387</v>
      </c>
      <c r="D2349" t="s">
        <v>601</v>
      </c>
      <c r="E2349" t="s">
        <v>1274</v>
      </c>
      <c r="F2349" t="s">
        <v>4395</v>
      </c>
      <c r="G2349" t="s">
        <v>7908</v>
      </c>
      <c r="H2349" t="s">
        <v>10966</v>
      </c>
      <c r="I2349" t="s">
        <v>11424</v>
      </c>
      <c r="J2349">
        <v>11372</v>
      </c>
      <c r="K2349" t="s">
        <v>11447</v>
      </c>
      <c r="O2349" t="s">
        <v>14787</v>
      </c>
      <c r="P2349" t="s">
        <v>14798</v>
      </c>
      <c r="S2349" t="s">
        <v>14831</v>
      </c>
      <c r="V2349">
        <v>0</v>
      </c>
      <c r="W2349" t="s">
        <v>14861</v>
      </c>
      <c r="Y2349" t="s">
        <v>14884</v>
      </c>
      <c r="Z2349" t="s">
        <v>16871</v>
      </c>
      <c r="AB2349" t="s">
        <v>21889</v>
      </c>
      <c r="AC2349">
        <v>0</v>
      </c>
      <c r="AF2349">
        <v>0</v>
      </c>
      <c r="AG2349">
        <v>1</v>
      </c>
      <c r="AH2349">
        <v>0</v>
      </c>
      <c r="AI2349">
        <v>127.06</v>
      </c>
      <c r="AL2349" t="s">
        <v>5011</v>
      </c>
      <c r="AM2349">
        <v>15324</v>
      </c>
      <c r="AS2349">
        <v>5.4</v>
      </c>
      <c r="AT2349" t="s">
        <v>663</v>
      </c>
      <c r="AU2349" t="s">
        <v>62</v>
      </c>
      <c r="AW2349" t="s">
        <v>11447</v>
      </c>
    </row>
    <row r="2350" spans="1:49">
      <c r="A2350" s="1">
        <f>HYPERLINK("https://lsnyc.legalserver.org/matter/dynamic-profile/view/1908414","19-1908414")</f>
        <v>0</v>
      </c>
      <c r="B2350" t="s">
        <v>50</v>
      </c>
      <c r="C2350" t="s">
        <v>464</v>
      </c>
      <c r="D2350" t="s">
        <v>601</v>
      </c>
      <c r="E2350" t="s">
        <v>1453</v>
      </c>
      <c r="F2350" t="s">
        <v>4830</v>
      </c>
      <c r="G2350" t="s">
        <v>7909</v>
      </c>
      <c r="H2350" t="s">
        <v>10641</v>
      </c>
      <c r="I2350" t="s">
        <v>11385</v>
      </c>
      <c r="J2350">
        <v>11220</v>
      </c>
      <c r="K2350" t="s">
        <v>11447</v>
      </c>
      <c r="N2350" t="s">
        <v>14778</v>
      </c>
      <c r="O2350" t="s">
        <v>14786</v>
      </c>
      <c r="P2350" t="s">
        <v>14798</v>
      </c>
      <c r="S2350" t="s">
        <v>14827</v>
      </c>
      <c r="V2350">
        <v>2000</v>
      </c>
      <c r="W2350" t="s">
        <v>14859</v>
      </c>
      <c r="X2350" t="s">
        <v>14755</v>
      </c>
      <c r="Y2350" t="s">
        <v>14883</v>
      </c>
      <c r="Z2350" t="s">
        <v>16872</v>
      </c>
      <c r="AB2350" t="s">
        <v>21890</v>
      </c>
      <c r="AC2350">
        <v>6</v>
      </c>
      <c r="AF2350">
        <v>1</v>
      </c>
      <c r="AG2350">
        <v>1</v>
      </c>
      <c r="AH2350">
        <v>0</v>
      </c>
      <c r="AI2350">
        <v>285.54</v>
      </c>
      <c r="AL2350" t="s">
        <v>5011</v>
      </c>
      <c r="AM2350">
        <v>35664</v>
      </c>
      <c r="AS2350">
        <v>2.4</v>
      </c>
      <c r="AT2350" t="s">
        <v>644</v>
      </c>
      <c r="AU2350" t="s">
        <v>25238</v>
      </c>
      <c r="AW2350" t="s">
        <v>11447</v>
      </c>
    </row>
    <row r="2351" spans="1:49">
      <c r="A2351" s="1">
        <f>HYPERLINK("https://lsnyc.legalserver.org/matter/dynamic-profile/view/0800562","16-0800562")</f>
        <v>0</v>
      </c>
      <c r="B2351" t="s">
        <v>65</v>
      </c>
      <c r="C2351" t="s">
        <v>732</v>
      </c>
      <c r="D2351" t="s">
        <v>604</v>
      </c>
      <c r="E2351" t="s">
        <v>2281</v>
      </c>
      <c r="F2351" t="s">
        <v>3623</v>
      </c>
      <c r="G2351" t="s">
        <v>7910</v>
      </c>
      <c r="H2351" t="s">
        <v>10604</v>
      </c>
      <c r="I2351" t="s">
        <v>11385</v>
      </c>
      <c r="J2351">
        <v>11232</v>
      </c>
      <c r="K2351" t="s">
        <v>11448</v>
      </c>
      <c r="M2351" t="s">
        <v>14755</v>
      </c>
      <c r="N2351" t="s">
        <v>14778</v>
      </c>
      <c r="O2351" t="s">
        <v>14788</v>
      </c>
      <c r="P2351" t="s">
        <v>14798</v>
      </c>
      <c r="S2351" t="s">
        <v>14831</v>
      </c>
      <c r="V2351">
        <v>1700</v>
      </c>
      <c r="W2351" t="s">
        <v>14859</v>
      </c>
      <c r="Y2351" t="s">
        <v>14898</v>
      </c>
      <c r="Z2351" t="s">
        <v>16873</v>
      </c>
      <c r="AB2351" t="s">
        <v>21891</v>
      </c>
      <c r="AC2351">
        <v>0</v>
      </c>
      <c r="AF2351">
        <v>0</v>
      </c>
      <c r="AG2351">
        <v>2</v>
      </c>
      <c r="AH2351">
        <v>0</v>
      </c>
      <c r="AI2351">
        <v>149.81</v>
      </c>
      <c r="AL2351" t="s">
        <v>5011</v>
      </c>
      <c r="AM2351">
        <v>24000</v>
      </c>
      <c r="AS2351">
        <v>10.95</v>
      </c>
      <c r="AT2351" t="s">
        <v>604</v>
      </c>
      <c r="AU2351" t="s">
        <v>287</v>
      </c>
      <c r="AW2351" t="s">
        <v>11447</v>
      </c>
    </row>
    <row r="2352" spans="1:49">
      <c r="A2352" s="1">
        <f>HYPERLINK("https://lsnyc.legalserver.org/matter/dynamic-profile/view/0800570","16-0800570")</f>
        <v>0</v>
      </c>
      <c r="B2352" t="s">
        <v>65</v>
      </c>
      <c r="C2352" t="s">
        <v>732</v>
      </c>
      <c r="D2352" t="s">
        <v>604</v>
      </c>
      <c r="E2352" t="s">
        <v>2282</v>
      </c>
      <c r="F2352" t="s">
        <v>1706</v>
      </c>
      <c r="G2352" t="s">
        <v>7910</v>
      </c>
      <c r="H2352" t="s">
        <v>10513</v>
      </c>
      <c r="I2352" t="s">
        <v>11385</v>
      </c>
      <c r="J2352">
        <v>11232</v>
      </c>
      <c r="K2352" t="s">
        <v>11448</v>
      </c>
      <c r="M2352" t="s">
        <v>14755</v>
      </c>
      <c r="O2352" t="s">
        <v>14788</v>
      </c>
      <c r="P2352" t="s">
        <v>14798</v>
      </c>
      <c r="S2352" t="s">
        <v>14831</v>
      </c>
      <c r="V2352">
        <v>1700</v>
      </c>
      <c r="W2352" t="s">
        <v>14859</v>
      </c>
      <c r="Y2352" t="s">
        <v>14898</v>
      </c>
      <c r="Z2352" t="s">
        <v>16874</v>
      </c>
      <c r="AB2352" t="s">
        <v>21892</v>
      </c>
      <c r="AC2352">
        <v>0</v>
      </c>
      <c r="AF2352">
        <v>0</v>
      </c>
      <c r="AG2352">
        <v>2</v>
      </c>
      <c r="AH2352">
        <v>0</v>
      </c>
      <c r="AI2352">
        <v>337.71</v>
      </c>
      <c r="AL2352" t="s">
        <v>5011</v>
      </c>
      <c r="AM2352">
        <v>54100.8</v>
      </c>
      <c r="AS2352">
        <v>98.25</v>
      </c>
      <c r="AT2352" t="s">
        <v>604</v>
      </c>
      <c r="AU2352" t="s">
        <v>287</v>
      </c>
      <c r="AW2352" t="s">
        <v>11447</v>
      </c>
    </row>
    <row r="2353" spans="1:49">
      <c r="A2353" s="1">
        <f>HYPERLINK("https://lsnyc.legalserver.org/matter/dynamic-profile/view/1910196","19-1910196")</f>
        <v>0</v>
      </c>
      <c r="B2353" t="s">
        <v>81</v>
      </c>
      <c r="C2353" t="s">
        <v>528</v>
      </c>
      <c r="D2353" t="s">
        <v>604</v>
      </c>
      <c r="E2353" t="s">
        <v>2079</v>
      </c>
      <c r="F2353" t="s">
        <v>2559</v>
      </c>
      <c r="G2353" t="s">
        <v>7569</v>
      </c>
      <c r="I2353" t="s">
        <v>11383</v>
      </c>
      <c r="J2353">
        <v>10452</v>
      </c>
      <c r="K2353" t="s">
        <v>11446</v>
      </c>
      <c r="L2353" t="s">
        <v>12212</v>
      </c>
      <c r="M2353" t="s">
        <v>14743</v>
      </c>
      <c r="N2353" t="s">
        <v>14778</v>
      </c>
      <c r="O2353" t="s">
        <v>14786</v>
      </c>
      <c r="P2353" t="s">
        <v>14798</v>
      </c>
      <c r="Q2353" t="s">
        <v>11448</v>
      </c>
      <c r="S2353" t="s">
        <v>14827</v>
      </c>
      <c r="T2353" t="s">
        <v>14832</v>
      </c>
      <c r="V2353">
        <v>1036</v>
      </c>
      <c r="W2353" t="s">
        <v>14858</v>
      </c>
      <c r="X2353" t="s">
        <v>14863</v>
      </c>
      <c r="Y2353" t="s">
        <v>14883</v>
      </c>
      <c r="Z2353" t="s">
        <v>15762</v>
      </c>
      <c r="AB2353" t="s">
        <v>21893</v>
      </c>
      <c r="AC2353">
        <v>60</v>
      </c>
      <c r="AD2353" t="s">
        <v>24595</v>
      </c>
      <c r="AF2353">
        <v>6</v>
      </c>
      <c r="AG2353">
        <v>2</v>
      </c>
      <c r="AH2353">
        <v>0</v>
      </c>
      <c r="AI2353">
        <v>508.57</v>
      </c>
      <c r="AL2353" t="s">
        <v>5011</v>
      </c>
      <c r="AM2353">
        <v>86000</v>
      </c>
      <c r="AN2353" t="s">
        <v>24820</v>
      </c>
      <c r="AS2353">
        <v>1</v>
      </c>
      <c r="AT2353" t="s">
        <v>604</v>
      </c>
      <c r="AU2353" t="s">
        <v>145</v>
      </c>
      <c r="AV2353" t="s">
        <v>25335</v>
      </c>
      <c r="AW2353" t="s">
        <v>11447</v>
      </c>
    </row>
    <row r="2354" spans="1:49">
      <c r="A2354" s="1">
        <f>HYPERLINK("https://lsnyc.legalserver.org/matter/dynamic-profile/view/1904834","19-1904834")</f>
        <v>0</v>
      </c>
      <c r="B2354" t="s">
        <v>61</v>
      </c>
      <c r="C2354" t="s">
        <v>345</v>
      </c>
      <c r="D2354" t="s">
        <v>475</v>
      </c>
      <c r="E2354" t="s">
        <v>1453</v>
      </c>
      <c r="F2354" t="s">
        <v>1276</v>
      </c>
      <c r="G2354" t="s">
        <v>7911</v>
      </c>
      <c r="H2354" t="s">
        <v>10868</v>
      </c>
      <c r="I2354" t="s">
        <v>11385</v>
      </c>
      <c r="J2354">
        <v>11225</v>
      </c>
      <c r="K2354" t="s">
        <v>11446</v>
      </c>
      <c r="L2354" t="s">
        <v>12213</v>
      </c>
      <c r="M2354" t="s">
        <v>14744</v>
      </c>
      <c r="N2354" t="s">
        <v>14780</v>
      </c>
      <c r="O2354" t="s">
        <v>14789</v>
      </c>
      <c r="P2354" t="s">
        <v>14798</v>
      </c>
      <c r="Q2354" t="s">
        <v>11448</v>
      </c>
      <c r="S2354" t="s">
        <v>14829</v>
      </c>
      <c r="V2354">
        <v>1074.92</v>
      </c>
      <c r="W2354" t="s">
        <v>14859</v>
      </c>
      <c r="X2354" t="s">
        <v>14868</v>
      </c>
      <c r="Y2354" t="s">
        <v>14887</v>
      </c>
      <c r="Z2354" t="s">
        <v>16875</v>
      </c>
      <c r="AB2354" t="s">
        <v>21894</v>
      </c>
      <c r="AC2354">
        <v>0</v>
      </c>
      <c r="AE2354" t="s">
        <v>11459</v>
      </c>
      <c r="AF2354">
        <v>36</v>
      </c>
      <c r="AG2354">
        <v>2</v>
      </c>
      <c r="AH2354">
        <v>0</v>
      </c>
      <c r="AI2354">
        <v>346.54</v>
      </c>
      <c r="AL2354" t="s">
        <v>5011</v>
      </c>
      <c r="AM2354">
        <v>58600</v>
      </c>
      <c r="AS2354">
        <v>9.699999999999999</v>
      </c>
      <c r="AT2354" t="s">
        <v>475</v>
      </c>
      <c r="AU2354" t="s">
        <v>25235</v>
      </c>
      <c r="AW2354" t="s">
        <v>11447</v>
      </c>
    </row>
    <row r="2355" spans="1:49">
      <c r="A2355" s="1">
        <f>HYPERLINK("https://lsnyc.legalserver.org/matter/dynamic-profile/view/1893994","19-1893994")</f>
        <v>0</v>
      </c>
      <c r="B2355" t="s">
        <v>193</v>
      </c>
      <c r="C2355" t="s">
        <v>691</v>
      </c>
      <c r="D2355" t="s">
        <v>467</v>
      </c>
      <c r="E2355" t="s">
        <v>2283</v>
      </c>
      <c r="F2355" t="s">
        <v>4831</v>
      </c>
      <c r="G2355" t="s">
        <v>7912</v>
      </c>
      <c r="I2355" t="s">
        <v>11385</v>
      </c>
      <c r="J2355">
        <v>11214</v>
      </c>
      <c r="K2355" t="s">
        <v>11447</v>
      </c>
      <c r="O2355" t="s">
        <v>14786</v>
      </c>
      <c r="P2355" t="s">
        <v>14798</v>
      </c>
      <c r="S2355" t="s">
        <v>14827</v>
      </c>
      <c r="V2355">
        <v>900</v>
      </c>
      <c r="W2355" t="s">
        <v>14859</v>
      </c>
      <c r="Y2355" t="s">
        <v>14883</v>
      </c>
      <c r="Z2355" t="s">
        <v>16876</v>
      </c>
      <c r="AB2355" t="s">
        <v>21895</v>
      </c>
      <c r="AC2355">
        <v>2</v>
      </c>
      <c r="AF2355">
        <v>33</v>
      </c>
      <c r="AG2355">
        <v>1</v>
      </c>
      <c r="AH2355">
        <v>0</v>
      </c>
      <c r="AI2355">
        <v>365.09</v>
      </c>
      <c r="AL2355" t="s">
        <v>5011</v>
      </c>
      <c r="AM2355">
        <v>45600</v>
      </c>
      <c r="AS2355">
        <v>4.7</v>
      </c>
      <c r="AT2355" t="s">
        <v>467</v>
      </c>
      <c r="AU2355" t="s">
        <v>25238</v>
      </c>
      <c r="AW2355" t="s">
        <v>11447</v>
      </c>
    </row>
    <row r="2356" spans="1:49">
      <c r="A2356" s="1">
        <f>HYPERLINK("https://lsnyc.legalserver.org/matter/dynamic-profile/view/1908976","19-1908976")</f>
        <v>0</v>
      </c>
      <c r="B2356" t="s">
        <v>186</v>
      </c>
      <c r="C2356" t="s">
        <v>640</v>
      </c>
      <c r="D2356" t="s">
        <v>467</v>
      </c>
      <c r="E2356" t="s">
        <v>2284</v>
      </c>
      <c r="F2356" t="s">
        <v>4832</v>
      </c>
      <c r="G2356" t="s">
        <v>7913</v>
      </c>
      <c r="H2356" t="s">
        <v>10967</v>
      </c>
      <c r="I2356" t="s">
        <v>11383</v>
      </c>
      <c r="J2356">
        <v>10458</v>
      </c>
      <c r="K2356" t="s">
        <v>11446</v>
      </c>
      <c r="N2356" t="s">
        <v>14778</v>
      </c>
      <c r="O2356" t="s">
        <v>14786</v>
      </c>
      <c r="P2356" t="s">
        <v>14798</v>
      </c>
      <c r="Q2356" t="s">
        <v>11448</v>
      </c>
      <c r="S2356" t="s">
        <v>14827</v>
      </c>
      <c r="V2356">
        <v>1300</v>
      </c>
      <c r="W2356" t="s">
        <v>14858</v>
      </c>
      <c r="X2356" t="s">
        <v>14864</v>
      </c>
      <c r="Y2356" t="s">
        <v>14883</v>
      </c>
      <c r="Z2356" t="s">
        <v>16877</v>
      </c>
      <c r="AB2356" t="s">
        <v>21896</v>
      </c>
      <c r="AC2356">
        <v>4</v>
      </c>
      <c r="AD2356" t="s">
        <v>11479</v>
      </c>
      <c r="AE2356" t="s">
        <v>11459</v>
      </c>
      <c r="AF2356">
        <v>7</v>
      </c>
      <c r="AG2356">
        <v>1</v>
      </c>
      <c r="AH2356">
        <v>0</v>
      </c>
      <c r="AI2356">
        <v>435.8</v>
      </c>
      <c r="AL2356" t="s">
        <v>5011</v>
      </c>
      <c r="AM2356">
        <v>54432</v>
      </c>
      <c r="AS2356">
        <v>0.55</v>
      </c>
      <c r="AT2356" t="s">
        <v>467</v>
      </c>
      <c r="AU2356" t="s">
        <v>245</v>
      </c>
      <c r="AV2356" t="s">
        <v>25335</v>
      </c>
      <c r="AW2356" t="s">
        <v>11447</v>
      </c>
    </row>
    <row r="2357" spans="1:49">
      <c r="A2357" s="1">
        <f>HYPERLINK("https://lsnyc.legalserver.org/matter/dynamic-profile/view/1899069","19-1899069")</f>
        <v>0</v>
      </c>
      <c r="B2357" t="s">
        <v>116</v>
      </c>
      <c r="C2357" t="s">
        <v>363</v>
      </c>
      <c r="D2357" t="s">
        <v>505</v>
      </c>
      <c r="E2357" t="s">
        <v>2285</v>
      </c>
      <c r="F2357" t="s">
        <v>3799</v>
      </c>
      <c r="G2357" t="s">
        <v>7914</v>
      </c>
      <c r="H2357" t="s">
        <v>10589</v>
      </c>
      <c r="I2357" t="s">
        <v>11383</v>
      </c>
      <c r="J2357">
        <v>10460</v>
      </c>
      <c r="K2357" t="s">
        <v>11448</v>
      </c>
      <c r="M2357" t="s">
        <v>14743</v>
      </c>
      <c r="N2357" t="s">
        <v>14778</v>
      </c>
      <c r="O2357" t="s">
        <v>14786</v>
      </c>
      <c r="P2357" t="s">
        <v>14798</v>
      </c>
      <c r="Q2357" t="s">
        <v>11448</v>
      </c>
      <c r="S2357" t="s">
        <v>14827</v>
      </c>
      <c r="V2357">
        <v>1248</v>
      </c>
      <c r="W2357" t="s">
        <v>14858</v>
      </c>
      <c r="X2357" t="s">
        <v>14864</v>
      </c>
      <c r="Y2357" t="s">
        <v>14883</v>
      </c>
      <c r="Z2357" t="s">
        <v>16878</v>
      </c>
      <c r="AB2357" t="s">
        <v>21897</v>
      </c>
      <c r="AC2357">
        <v>16</v>
      </c>
      <c r="AD2357" t="s">
        <v>24600</v>
      </c>
      <c r="AE2357" t="s">
        <v>11459</v>
      </c>
      <c r="AF2357">
        <v>7</v>
      </c>
      <c r="AG2357">
        <v>1</v>
      </c>
      <c r="AH2357">
        <v>1</v>
      </c>
      <c r="AI2357">
        <v>215.26</v>
      </c>
      <c r="AL2357" t="s">
        <v>5011</v>
      </c>
      <c r="AM2357">
        <v>36400</v>
      </c>
      <c r="AN2357" t="s">
        <v>24821</v>
      </c>
      <c r="AS2357">
        <v>0.01</v>
      </c>
      <c r="AT2357" t="s">
        <v>505</v>
      </c>
      <c r="AU2357" t="s">
        <v>25242</v>
      </c>
      <c r="AV2357" t="s">
        <v>25335</v>
      </c>
      <c r="AW2357" t="s">
        <v>11447</v>
      </c>
    </row>
    <row r="2358" spans="1:49">
      <c r="A2358" s="1">
        <f>HYPERLINK("https://lsnyc.legalserver.org/matter/dynamic-profile/view/1910608","19-1910608")</f>
        <v>0</v>
      </c>
      <c r="B2358" t="s">
        <v>75</v>
      </c>
      <c r="C2358" t="s">
        <v>644</v>
      </c>
      <c r="D2358" t="s">
        <v>505</v>
      </c>
      <c r="E2358" t="s">
        <v>1524</v>
      </c>
      <c r="F2358" t="s">
        <v>4833</v>
      </c>
      <c r="G2358" t="s">
        <v>7915</v>
      </c>
      <c r="I2358" t="s">
        <v>11385</v>
      </c>
      <c r="J2358">
        <v>11226</v>
      </c>
      <c r="K2358" t="s">
        <v>11447</v>
      </c>
      <c r="O2358" t="s">
        <v>14787</v>
      </c>
      <c r="P2358" t="s">
        <v>14798</v>
      </c>
      <c r="S2358" t="s">
        <v>14827</v>
      </c>
      <c r="V2358">
        <v>0</v>
      </c>
      <c r="W2358" t="s">
        <v>14859</v>
      </c>
      <c r="Y2358" t="s">
        <v>14885</v>
      </c>
      <c r="Z2358" t="s">
        <v>16879</v>
      </c>
      <c r="AB2358" t="s">
        <v>19344</v>
      </c>
      <c r="AC2358">
        <v>0</v>
      </c>
      <c r="AF2358">
        <v>0</v>
      </c>
      <c r="AG2358">
        <v>1</v>
      </c>
      <c r="AH2358">
        <v>0</v>
      </c>
      <c r="AI2358">
        <v>296.24</v>
      </c>
      <c r="AL2358" t="s">
        <v>5011</v>
      </c>
      <c r="AM2358">
        <v>37000</v>
      </c>
      <c r="AS2358">
        <v>0.3</v>
      </c>
      <c r="AT2358" t="s">
        <v>644</v>
      </c>
      <c r="AU2358" t="s">
        <v>25229</v>
      </c>
      <c r="AW2358" t="s">
        <v>11447</v>
      </c>
    </row>
    <row r="2359" spans="1:49">
      <c r="A2359" s="1">
        <f>HYPERLINK("https://lsnyc.legalserver.org/matter/dynamic-profile/view/1910684","19-1910684")</f>
        <v>0</v>
      </c>
      <c r="B2359" t="s">
        <v>56</v>
      </c>
      <c r="C2359" t="s">
        <v>644</v>
      </c>
      <c r="D2359" t="s">
        <v>645</v>
      </c>
      <c r="E2359" t="s">
        <v>1030</v>
      </c>
      <c r="F2359" t="s">
        <v>4834</v>
      </c>
      <c r="G2359" t="s">
        <v>7916</v>
      </c>
      <c r="I2359" t="s">
        <v>11385</v>
      </c>
      <c r="J2359">
        <v>11213</v>
      </c>
      <c r="K2359" t="s">
        <v>11446</v>
      </c>
      <c r="O2359" t="s">
        <v>14786</v>
      </c>
      <c r="P2359" t="s">
        <v>14798</v>
      </c>
      <c r="S2359" t="s">
        <v>14827</v>
      </c>
      <c r="U2359" t="s">
        <v>508</v>
      </c>
      <c r="V2359">
        <v>0</v>
      </c>
      <c r="W2359" t="s">
        <v>14859</v>
      </c>
      <c r="Y2359" t="s">
        <v>14883</v>
      </c>
      <c r="Z2359" t="s">
        <v>16250</v>
      </c>
      <c r="AB2359" t="s">
        <v>21898</v>
      </c>
      <c r="AC2359">
        <v>0</v>
      </c>
      <c r="AF2359">
        <v>0</v>
      </c>
      <c r="AG2359">
        <v>3</v>
      </c>
      <c r="AH2359">
        <v>0</v>
      </c>
      <c r="AI2359">
        <v>90.01000000000001</v>
      </c>
      <c r="AL2359" t="s">
        <v>5011</v>
      </c>
      <c r="AM2359">
        <v>19200</v>
      </c>
      <c r="AS2359">
        <v>0.2</v>
      </c>
      <c r="AT2359" t="s">
        <v>645</v>
      </c>
      <c r="AU2359" t="s">
        <v>66</v>
      </c>
      <c r="AV2359" t="s">
        <v>25335</v>
      </c>
      <c r="AW2359" t="s">
        <v>11447</v>
      </c>
    </row>
    <row r="2360" spans="1:49">
      <c r="A2360" s="1">
        <f>HYPERLINK("https://lsnyc.legalserver.org/matter/dynamic-profile/view/1899311","19-1899311")</f>
        <v>0</v>
      </c>
      <c r="B2360" t="s">
        <v>72</v>
      </c>
      <c r="C2360" t="s">
        <v>361</v>
      </c>
      <c r="D2360" t="s">
        <v>645</v>
      </c>
      <c r="E2360" t="s">
        <v>1650</v>
      </c>
      <c r="F2360" t="s">
        <v>3685</v>
      </c>
      <c r="G2360" t="s">
        <v>7917</v>
      </c>
      <c r="H2360" t="s">
        <v>10619</v>
      </c>
      <c r="I2360" t="s">
        <v>11385</v>
      </c>
      <c r="J2360">
        <v>11207</v>
      </c>
      <c r="K2360" t="s">
        <v>11447</v>
      </c>
      <c r="N2360" t="s">
        <v>14782</v>
      </c>
      <c r="O2360" t="s">
        <v>14786</v>
      </c>
      <c r="P2360" t="s">
        <v>14798</v>
      </c>
      <c r="S2360" t="s">
        <v>14827</v>
      </c>
      <c r="V2360">
        <v>0</v>
      </c>
      <c r="W2360" t="s">
        <v>14859</v>
      </c>
      <c r="X2360" t="s">
        <v>14755</v>
      </c>
      <c r="Y2360" t="s">
        <v>14883</v>
      </c>
      <c r="Z2360" t="s">
        <v>16880</v>
      </c>
      <c r="AB2360" t="s">
        <v>21899</v>
      </c>
      <c r="AC2360">
        <v>6</v>
      </c>
      <c r="AF2360">
        <v>0</v>
      </c>
      <c r="AG2360">
        <v>2</v>
      </c>
      <c r="AH2360">
        <v>1</v>
      </c>
      <c r="AI2360">
        <v>222.41</v>
      </c>
      <c r="AL2360" t="s">
        <v>5011</v>
      </c>
      <c r="AM2360">
        <v>47440</v>
      </c>
      <c r="AS2360">
        <v>3.3</v>
      </c>
      <c r="AT2360" t="s">
        <v>505</v>
      </c>
      <c r="AU2360" t="s">
        <v>25238</v>
      </c>
      <c r="AW2360" t="s">
        <v>11447</v>
      </c>
    </row>
    <row r="2361" spans="1:49">
      <c r="A2361" s="1">
        <f>HYPERLINK("https://lsnyc.legalserver.org/matter/dynamic-profile/view/1907866","19-1907866")</f>
        <v>0</v>
      </c>
      <c r="B2361" t="s">
        <v>89</v>
      </c>
      <c r="C2361" t="s">
        <v>524</v>
      </c>
      <c r="D2361" t="s">
        <v>559</v>
      </c>
      <c r="E2361" t="s">
        <v>1653</v>
      </c>
      <c r="F2361" t="s">
        <v>3765</v>
      </c>
      <c r="G2361" t="s">
        <v>7918</v>
      </c>
      <c r="H2361">
        <v>1</v>
      </c>
      <c r="I2361" t="s">
        <v>11383</v>
      </c>
      <c r="J2361">
        <v>10458</v>
      </c>
      <c r="K2361" t="s">
        <v>11446</v>
      </c>
      <c r="L2361" t="s">
        <v>11465</v>
      </c>
      <c r="M2361" t="s">
        <v>14747</v>
      </c>
      <c r="N2361" t="s">
        <v>14778</v>
      </c>
      <c r="O2361" t="s">
        <v>14786</v>
      </c>
      <c r="P2361" t="s">
        <v>14798</v>
      </c>
      <c r="Q2361" t="s">
        <v>11448</v>
      </c>
      <c r="S2361" t="s">
        <v>14829</v>
      </c>
      <c r="T2361" t="s">
        <v>14832</v>
      </c>
      <c r="V2361">
        <v>1092</v>
      </c>
      <c r="W2361" t="s">
        <v>14858</v>
      </c>
      <c r="X2361" t="s">
        <v>14868</v>
      </c>
      <c r="Y2361" t="s">
        <v>14883</v>
      </c>
      <c r="Z2361" t="s">
        <v>16881</v>
      </c>
      <c r="AA2361" t="s">
        <v>19511</v>
      </c>
      <c r="AB2361" t="s">
        <v>21900</v>
      </c>
      <c r="AC2361">
        <v>23</v>
      </c>
      <c r="AD2361" t="s">
        <v>24595</v>
      </c>
      <c r="AE2361" t="s">
        <v>24615</v>
      </c>
      <c r="AF2361">
        <v>12</v>
      </c>
      <c r="AG2361">
        <v>2</v>
      </c>
      <c r="AH2361">
        <v>1</v>
      </c>
      <c r="AI2361">
        <v>49.92</v>
      </c>
      <c r="AL2361" t="s">
        <v>5011</v>
      </c>
      <c r="AM2361">
        <v>10648</v>
      </c>
      <c r="AS2361">
        <v>1.2</v>
      </c>
      <c r="AT2361" t="s">
        <v>559</v>
      </c>
      <c r="AU2361" t="s">
        <v>25239</v>
      </c>
      <c r="AV2361" t="s">
        <v>25334</v>
      </c>
      <c r="AW2361" t="s">
        <v>11447</v>
      </c>
    </row>
    <row r="2362" spans="1:49">
      <c r="A2362" s="1">
        <f>HYPERLINK("https://lsnyc.legalserver.org/matter/dynamic-profile/view/1912386","19-1912386")</f>
        <v>0</v>
      </c>
      <c r="B2362" t="s">
        <v>200</v>
      </c>
      <c r="C2362" t="s">
        <v>733</v>
      </c>
      <c r="D2362" t="s">
        <v>733</v>
      </c>
      <c r="E2362" t="s">
        <v>1092</v>
      </c>
      <c r="F2362" t="s">
        <v>4835</v>
      </c>
      <c r="G2362" t="s">
        <v>7919</v>
      </c>
      <c r="H2362">
        <v>3</v>
      </c>
      <c r="I2362" t="s">
        <v>11385</v>
      </c>
      <c r="J2362">
        <v>11218</v>
      </c>
      <c r="K2362" t="s">
        <v>11446</v>
      </c>
      <c r="L2362" t="s">
        <v>12214</v>
      </c>
      <c r="M2362" t="s">
        <v>14764</v>
      </c>
      <c r="N2362" t="s">
        <v>14781</v>
      </c>
      <c r="O2362" t="s">
        <v>14788</v>
      </c>
      <c r="P2362" t="s">
        <v>14798</v>
      </c>
      <c r="Q2362" t="s">
        <v>11448</v>
      </c>
      <c r="S2362" t="s">
        <v>14827</v>
      </c>
      <c r="T2362" t="s">
        <v>14832</v>
      </c>
      <c r="U2362" t="s">
        <v>545</v>
      </c>
      <c r="V2362">
        <v>900</v>
      </c>
      <c r="W2362" t="s">
        <v>14859</v>
      </c>
      <c r="X2362" t="s">
        <v>14868</v>
      </c>
      <c r="Y2362" t="s">
        <v>14889</v>
      </c>
      <c r="Z2362" t="s">
        <v>16524</v>
      </c>
      <c r="AB2362" t="s">
        <v>21901</v>
      </c>
      <c r="AC2362">
        <v>6</v>
      </c>
      <c r="AD2362" t="s">
        <v>24595</v>
      </c>
      <c r="AF2362">
        <v>11</v>
      </c>
      <c r="AG2362">
        <v>2</v>
      </c>
      <c r="AH2362">
        <v>0</v>
      </c>
      <c r="AI2362">
        <v>113.54</v>
      </c>
      <c r="AL2362" t="s">
        <v>24649</v>
      </c>
      <c r="AM2362">
        <v>19200</v>
      </c>
      <c r="AS2362">
        <v>0.5</v>
      </c>
      <c r="AT2362" t="s">
        <v>733</v>
      </c>
      <c r="AU2362" t="s">
        <v>200</v>
      </c>
      <c r="AV2362" t="s">
        <v>11459</v>
      </c>
      <c r="AW2362" t="s">
        <v>11447</v>
      </c>
    </row>
    <row r="2363" spans="1:49">
      <c r="A2363" s="1">
        <f>HYPERLINK("https://lsnyc.legalserver.org/matter/dynamic-profile/view/1910233","19-1910233")</f>
        <v>0</v>
      </c>
      <c r="B2363" t="s">
        <v>81</v>
      </c>
      <c r="C2363" t="s">
        <v>528</v>
      </c>
      <c r="D2363" t="s">
        <v>489</v>
      </c>
      <c r="E2363" t="s">
        <v>1056</v>
      </c>
      <c r="F2363" t="s">
        <v>4836</v>
      </c>
      <c r="G2363" t="s">
        <v>7920</v>
      </c>
      <c r="H2363" t="s">
        <v>10579</v>
      </c>
      <c r="I2363" t="s">
        <v>11383</v>
      </c>
      <c r="J2363">
        <v>10458</v>
      </c>
      <c r="K2363" t="s">
        <v>11446</v>
      </c>
      <c r="L2363" t="s">
        <v>12215</v>
      </c>
      <c r="M2363" t="s">
        <v>14744</v>
      </c>
      <c r="N2363" t="s">
        <v>14778</v>
      </c>
      <c r="O2363" t="s">
        <v>14786</v>
      </c>
      <c r="P2363" t="s">
        <v>14798</v>
      </c>
      <c r="Q2363" t="s">
        <v>11448</v>
      </c>
      <c r="S2363" t="s">
        <v>14827</v>
      </c>
      <c r="V2363">
        <v>1400</v>
      </c>
      <c r="W2363" t="s">
        <v>14858</v>
      </c>
      <c r="X2363" t="s">
        <v>14863</v>
      </c>
      <c r="Y2363" t="s">
        <v>14883</v>
      </c>
      <c r="Z2363" t="s">
        <v>16882</v>
      </c>
      <c r="AB2363" t="s">
        <v>21902</v>
      </c>
      <c r="AC2363">
        <v>55</v>
      </c>
      <c r="AD2363" t="s">
        <v>24595</v>
      </c>
      <c r="AF2363">
        <v>2</v>
      </c>
      <c r="AG2363">
        <v>1</v>
      </c>
      <c r="AH2363">
        <v>0</v>
      </c>
      <c r="AI2363">
        <v>200.16</v>
      </c>
      <c r="AL2363" t="s">
        <v>5011</v>
      </c>
      <c r="AM2363">
        <v>25000</v>
      </c>
      <c r="AS2363">
        <v>0.8</v>
      </c>
      <c r="AT2363" t="s">
        <v>489</v>
      </c>
      <c r="AU2363" t="s">
        <v>145</v>
      </c>
      <c r="AV2363" t="s">
        <v>25335</v>
      </c>
      <c r="AW2363" t="s">
        <v>11447</v>
      </c>
    </row>
    <row r="2364" spans="1:49">
      <c r="A2364" s="1">
        <f>HYPERLINK("https://lsnyc.legalserver.org/matter/dynamic-profile/view/1874129","18-1874129")</f>
        <v>0</v>
      </c>
      <c r="B2364" t="s">
        <v>262</v>
      </c>
      <c r="C2364" t="s">
        <v>383</v>
      </c>
      <c r="D2364" t="s">
        <v>470</v>
      </c>
      <c r="E2364" t="s">
        <v>1526</v>
      </c>
      <c r="F2364" t="s">
        <v>4089</v>
      </c>
      <c r="G2364" t="s">
        <v>7921</v>
      </c>
      <c r="H2364">
        <v>3</v>
      </c>
      <c r="I2364" t="s">
        <v>11385</v>
      </c>
      <c r="J2364">
        <v>11216</v>
      </c>
      <c r="K2364" t="s">
        <v>11447</v>
      </c>
      <c r="L2364" t="s">
        <v>12216</v>
      </c>
      <c r="M2364" t="s">
        <v>14746</v>
      </c>
      <c r="N2364" t="s">
        <v>14781</v>
      </c>
      <c r="O2364" t="s">
        <v>14793</v>
      </c>
      <c r="P2364" t="s">
        <v>14798</v>
      </c>
      <c r="S2364" t="s">
        <v>14827</v>
      </c>
      <c r="V2364">
        <v>0</v>
      </c>
      <c r="W2364" t="s">
        <v>14859</v>
      </c>
      <c r="Y2364" t="s">
        <v>14886</v>
      </c>
      <c r="Z2364" t="s">
        <v>16883</v>
      </c>
      <c r="AB2364" t="s">
        <v>21903</v>
      </c>
      <c r="AC2364">
        <v>0</v>
      </c>
      <c r="AD2364" t="s">
        <v>24595</v>
      </c>
      <c r="AF2364">
        <v>0</v>
      </c>
      <c r="AG2364">
        <v>1</v>
      </c>
      <c r="AH2364">
        <v>1</v>
      </c>
      <c r="AI2364">
        <v>261.24</v>
      </c>
      <c r="AJ2364" t="s">
        <v>440</v>
      </c>
      <c r="AL2364" t="s">
        <v>5011</v>
      </c>
      <c r="AM2364">
        <v>43000</v>
      </c>
      <c r="AS2364">
        <v>16.15</v>
      </c>
      <c r="AT2364" t="s">
        <v>553</v>
      </c>
      <c r="AU2364" t="s">
        <v>262</v>
      </c>
      <c r="AW2364" t="s">
        <v>11447</v>
      </c>
    </row>
    <row r="2365" spans="1:49">
      <c r="A2365" s="1">
        <f>HYPERLINK("https://lsnyc.legalserver.org/matter/dynamic-profile/view/1889878","19-1889878")</f>
        <v>0</v>
      </c>
      <c r="B2365" t="s">
        <v>193</v>
      </c>
      <c r="C2365" t="s">
        <v>734</v>
      </c>
      <c r="D2365" t="s">
        <v>470</v>
      </c>
      <c r="E2365" t="s">
        <v>1057</v>
      </c>
      <c r="F2365" t="s">
        <v>3706</v>
      </c>
      <c r="G2365" t="s">
        <v>7922</v>
      </c>
      <c r="H2365" t="s">
        <v>10968</v>
      </c>
      <c r="I2365" t="s">
        <v>11385</v>
      </c>
      <c r="J2365">
        <v>11226</v>
      </c>
      <c r="K2365" t="s">
        <v>11447</v>
      </c>
      <c r="M2365" t="s">
        <v>14744</v>
      </c>
      <c r="N2365" t="s">
        <v>14782</v>
      </c>
      <c r="O2365" t="s">
        <v>14788</v>
      </c>
      <c r="P2365" t="s">
        <v>14798</v>
      </c>
      <c r="Q2365" t="s">
        <v>11448</v>
      </c>
      <c r="S2365" t="s">
        <v>14830</v>
      </c>
      <c r="V2365">
        <v>1331.12</v>
      </c>
      <c r="W2365" t="s">
        <v>14859</v>
      </c>
      <c r="X2365" t="s">
        <v>14868</v>
      </c>
      <c r="Y2365" t="s">
        <v>14887</v>
      </c>
      <c r="Z2365" t="s">
        <v>16884</v>
      </c>
      <c r="AB2365" t="s">
        <v>21904</v>
      </c>
      <c r="AC2365">
        <v>800</v>
      </c>
      <c r="AD2365" t="s">
        <v>24595</v>
      </c>
      <c r="AF2365">
        <v>20</v>
      </c>
      <c r="AG2365">
        <v>1</v>
      </c>
      <c r="AH2365">
        <v>0</v>
      </c>
      <c r="AI2365">
        <v>520.42</v>
      </c>
      <c r="AL2365" t="s">
        <v>5011</v>
      </c>
      <c r="AM2365">
        <v>65000</v>
      </c>
      <c r="AO2365" t="s">
        <v>24930</v>
      </c>
      <c r="AP2365" t="s">
        <v>24943</v>
      </c>
      <c r="AQ2365" t="s">
        <v>24986</v>
      </c>
      <c r="AR2365" t="s">
        <v>25042</v>
      </c>
      <c r="AS2365">
        <v>13.1</v>
      </c>
      <c r="AT2365" t="s">
        <v>470</v>
      </c>
      <c r="AU2365" t="s">
        <v>25273</v>
      </c>
      <c r="AW2365" t="s">
        <v>11447</v>
      </c>
    </row>
    <row r="2366" spans="1:49">
      <c r="A2366" s="1">
        <f>HYPERLINK("https://lsnyc.legalserver.org/matter/dynamic-profile/view/1910074","19-1910074")</f>
        <v>0</v>
      </c>
      <c r="B2366" t="s">
        <v>98</v>
      </c>
      <c r="C2366" t="s">
        <v>471</v>
      </c>
      <c r="D2366" t="s">
        <v>574</v>
      </c>
      <c r="E2366" t="s">
        <v>1846</v>
      </c>
      <c r="F2366" t="s">
        <v>4837</v>
      </c>
      <c r="G2366" t="s">
        <v>7923</v>
      </c>
      <c r="I2366" t="s">
        <v>11385</v>
      </c>
      <c r="J2366">
        <v>11233</v>
      </c>
      <c r="K2366" t="s">
        <v>11446</v>
      </c>
      <c r="L2366" t="s">
        <v>11456</v>
      </c>
      <c r="M2366" t="s">
        <v>11601</v>
      </c>
      <c r="O2366" t="s">
        <v>14786</v>
      </c>
      <c r="P2366" t="s">
        <v>14798</v>
      </c>
      <c r="Q2366" t="s">
        <v>14816</v>
      </c>
      <c r="S2366" t="s">
        <v>14827</v>
      </c>
      <c r="T2366" t="s">
        <v>14832</v>
      </c>
      <c r="V2366">
        <v>1950</v>
      </c>
      <c r="W2366" t="s">
        <v>14859</v>
      </c>
      <c r="X2366" t="s">
        <v>14867</v>
      </c>
      <c r="Y2366" t="s">
        <v>14883</v>
      </c>
      <c r="Z2366" t="s">
        <v>16885</v>
      </c>
      <c r="AA2366" t="s">
        <v>19418</v>
      </c>
      <c r="AB2366" t="s">
        <v>21905</v>
      </c>
      <c r="AC2366">
        <v>6</v>
      </c>
      <c r="AD2366" t="s">
        <v>24595</v>
      </c>
      <c r="AE2366" t="s">
        <v>24619</v>
      </c>
      <c r="AF2366">
        <v>0</v>
      </c>
      <c r="AG2366">
        <v>2</v>
      </c>
      <c r="AH2366">
        <v>0</v>
      </c>
      <c r="AI2366">
        <v>353.64</v>
      </c>
      <c r="AL2366" t="s">
        <v>5011</v>
      </c>
      <c r="AM2366">
        <v>59800</v>
      </c>
      <c r="AN2366" t="s">
        <v>24822</v>
      </c>
      <c r="AS2366">
        <v>2.25</v>
      </c>
      <c r="AT2366" t="s">
        <v>574</v>
      </c>
      <c r="AU2366" t="s">
        <v>66</v>
      </c>
      <c r="AV2366" t="s">
        <v>25335</v>
      </c>
      <c r="AW2366" t="s">
        <v>11447</v>
      </c>
    </row>
    <row r="2367" spans="1:49">
      <c r="A2367" s="1">
        <f>HYPERLINK("https://lsnyc.legalserver.org/matter/dynamic-profile/view/1851637","17-1851637")</f>
        <v>0</v>
      </c>
      <c r="B2367" t="s">
        <v>263</v>
      </c>
      <c r="C2367" t="s">
        <v>735</v>
      </c>
      <c r="D2367" t="s">
        <v>603</v>
      </c>
      <c r="E2367" t="s">
        <v>1057</v>
      </c>
      <c r="F2367" t="s">
        <v>4838</v>
      </c>
      <c r="G2367" t="s">
        <v>7924</v>
      </c>
      <c r="H2367" t="s">
        <v>10575</v>
      </c>
      <c r="I2367" t="s">
        <v>11385</v>
      </c>
      <c r="J2367">
        <v>11226</v>
      </c>
      <c r="K2367" t="s">
        <v>11447</v>
      </c>
      <c r="L2367" t="s">
        <v>11601</v>
      </c>
      <c r="N2367" t="s">
        <v>14782</v>
      </c>
      <c r="O2367" t="s">
        <v>14786</v>
      </c>
      <c r="P2367" t="s">
        <v>14798</v>
      </c>
      <c r="S2367" t="s">
        <v>14827</v>
      </c>
      <c r="V2367">
        <v>854</v>
      </c>
      <c r="W2367" t="s">
        <v>14859</v>
      </c>
      <c r="Y2367" t="s">
        <v>14883</v>
      </c>
      <c r="Z2367" t="s">
        <v>16364</v>
      </c>
      <c r="AB2367" t="s">
        <v>21906</v>
      </c>
      <c r="AC2367">
        <v>24</v>
      </c>
      <c r="AD2367" t="s">
        <v>24595</v>
      </c>
      <c r="AF2367">
        <v>35</v>
      </c>
      <c r="AG2367">
        <v>1</v>
      </c>
      <c r="AH2367">
        <v>0</v>
      </c>
      <c r="AI2367">
        <v>248.76</v>
      </c>
      <c r="AL2367" t="s">
        <v>5011</v>
      </c>
      <c r="AM2367">
        <v>30000</v>
      </c>
      <c r="AS2367">
        <v>1.15</v>
      </c>
      <c r="AT2367" t="s">
        <v>603</v>
      </c>
      <c r="AU2367" t="s">
        <v>25236</v>
      </c>
      <c r="AW2367" t="s">
        <v>11447</v>
      </c>
    </row>
    <row r="2368" spans="1:49">
      <c r="A2368" s="1">
        <f>HYPERLINK("https://lsnyc.legalserver.org/matter/dynamic-profile/view/1911324","19-1911324")</f>
        <v>0</v>
      </c>
      <c r="B2368" t="s">
        <v>81</v>
      </c>
      <c r="C2368" t="s">
        <v>467</v>
      </c>
      <c r="D2368" t="s">
        <v>603</v>
      </c>
      <c r="E2368" t="s">
        <v>1181</v>
      </c>
      <c r="F2368" t="s">
        <v>3995</v>
      </c>
      <c r="G2368" t="s">
        <v>7925</v>
      </c>
      <c r="H2368">
        <v>305</v>
      </c>
      <c r="I2368" t="s">
        <v>11383</v>
      </c>
      <c r="J2368">
        <v>10452</v>
      </c>
      <c r="K2368" t="s">
        <v>11446</v>
      </c>
      <c r="L2368" t="s">
        <v>12217</v>
      </c>
      <c r="M2368" t="s">
        <v>14744</v>
      </c>
      <c r="N2368" t="s">
        <v>14778</v>
      </c>
      <c r="O2368" t="s">
        <v>14786</v>
      </c>
      <c r="P2368" t="s">
        <v>14798</v>
      </c>
      <c r="Q2368" t="s">
        <v>11448</v>
      </c>
      <c r="S2368" t="s">
        <v>14827</v>
      </c>
      <c r="T2368" t="s">
        <v>14832</v>
      </c>
      <c r="V2368">
        <v>1850</v>
      </c>
      <c r="W2368" t="s">
        <v>14858</v>
      </c>
      <c r="X2368" t="s">
        <v>14863</v>
      </c>
      <c r="Y2368" t="s">
        <v>14883</v>
      </c>
      <c r="Z2368" t="s">
        <v>16886</v>
      </c>
      <c r="AC2368">
        <v>165</v>
      </c>
      <c r="AD2368" t="s">
        <v>24595</v>
      </c>
      <c r="AF2368">
        <v>1</v>
      </c>
      <c r="AG2368">
        <v>3</v>
      </c>
      <c r="AH2368">
        <v>0</v>
      </c>
      <c r="AI2368">
        <v>365.68</v>
      </c>
      <c r="AL2368" t="s">
        <v>24632</v>
      </c>
      <c r="AM2368">
        <v>78000</v>
      </c>
      <c r="AS2368">
        <v>0.5</v>
      </c>
      <c r="AT2368" t="s">
        <v>603</v>
      </c>
      <c r="AU2368" t="s">
        <v>145</v>
      </c>
      <c r="AV2368" t="s">
        <v>25335</v>
      </c>
      <c r="AW2368" t="s">
        <v>11447</v>
      </c>
    </row>
    <row r="2369" spans="1:49">
      <c r="A2369" s="1">
        <f>HYPERLINK("https://lsnyc.legalserver.org/matter/dynamic-profile/view/1910655","19-1910655")</f>
        <v>0</v>
      </c>
      <c r="B2369" t="s">
        <v>76</v>
      </c>
      <c r="C2369" t="s">
        <v>644</v>
      </c>
      <c r="D2369" t="s">
        <v>484</v>
      </c>
      <c r="E2369" t="s">
        <v>1356</v>
      </c>
      <c r="F2369" t="s">
        <v>4839</v>
      </c>
      <c r="G2369" t="s">
        <v>7926</v>
      </c>
      <c r="H2369">
        <v>20</v>
      </c>
      <c r="I2369" t="s">
        <v>11385</v>
      </c>
      <c r="J2369">
        <v>11213</v>
      </c>
      <c r="K2369" t="s">
        <v>11446</v>
      </c>
      <c r="M2369" t="s">
        <v>11601</v>
      </c>
      <c r="N2369" t="s">
        <v>14779</v>
      </c>
      <c r="O2369" t="s">
        <v>14786</v>
      </c>
      <c r="P2369" t="s">
        <v>14798</v>
      </c>
      <c r="S2369" t="s">
        <v>14827</v>
      </c>
      <c r="U2369" t="s">
        <v>467</v>
      </c>
      <c r="V2369">
        <v>2475</v>
      </c>
      <c r="W2369" t="s">
        <v>14859</v>
      </c>
      <c r="Y2369" t="s">
        <v>14883</v>
      </c>
      <c r="Z2369" t="s">
        <v>15366</v>
      </c>
      <c r="AB2369" t="s">
        <v>21907</v>
      </c>
      <c r="AC2369">
        <v>0</v>
      </c>
      <c r="AE2369" t="s">
        <v>11459</v>
      </c>
      <c r="AF2369">
        <v>1</v>
      </c>
      <c r="AG2369">
        <v>1</v>
      </c>
      <c r="AH2369">
        <v>0</v>
      </c>
      <c r="AI2369">
        <v>0</v>
      </c>
      <c r="AL2369" t="s">
        <v>5011</v>
      </c>
      <c r="AM2369">
        <v>0</v>
      </c>
      <c r="AS2369">
        <v>2</v>
      </c>
      <c r="AT2369" t="s">
        <v>467</v>
      </c>
      <c r="AU2369" t="s">
        <v>25231</v>
      </c>
      <c r="AV2369" t="s">
        <v>25335</v>
      </c>
      <c r="AW2369" t="s">
        <v>11447</v>
      </c>
    </row>
    <row r="2370" spans="1:49">
      <c r="A2370" s="1">
        <f>HYPERLINK("https://lsnyc.legalserver.org/matter/dynamic-profile/view/1911248","19-1911248")</f>
        <v>0</v>
      </c>
      <c r="B2370" t="s">
        <v>81</v>
      </c>
      <c r="C2370" t="s">
        <v>511</v>
      </c>
      <c r="D2370" t="s">
        <v>484</v>
      </c>
      <c r="E2370" t="s">
        <v>2286</v>
      </c>
      <c r="F2370" t="s">
        <v>4840</v>
      </c>
      <c r="G2370" t="s">
        <v>7927</v>
      </c>
      <c r="H2370" t="s">
        <v>10598</v>
      </c>
      <c r="I2370" t="s">
        <v>11383</v>
      </c>
      <c r="J2370">
        <v>10473</v>
      </c>
      <c r="K2370" t="s">
        <v>11446</v>
      </c>
      <c r="L2370" t="s">
        <v>12218</v>
      </c>
      <c r="M2370" t="s">
        <v>14744</v>
      </c>
      <c r="N2370" t="s">
        <v>14778</v>
      </c>
      <c r="O2370" t="s">
        <v>14786</v>
      </c>
      <c r="P2370" t="s">
        <v>14798</v>
      </c>
      <c r="Q2370" t="s">
        <v>11448</v>
      </c>
      <c r="S2370" t="s">
        <v>14827</v>
      </c>
      <c r="T2370" t="s">
        <v>14832</v>
      </c>
      <c r="V2370">
        <v>2110.38</v>
      </c>
      <c r="W2370" t="s">
        <v>14858</v>
      </c>
      <c r="X2370" t="s">
        <v>14863</v>
      </c>
      <c r="Y2370" t="s">
        <v>14883</v>
      </c>
      <c r="Z2370" t="s">
        <v>16887</v>
      </c>
      <c r="AB2370" t="s">
        <v>21908</v>
      </c>
      <c r="AC2370">
        <v>209</v>
      </c>
      <c r="AD2370" t="s">
        <v>24595</v>
      </c>
      <c r="AF2370">
        <v>1</v>
      </c>
      <c r="AG2370">
        <v>2</v>
      </c>
      <c r="AH2370">
        <v>0</v>
      </c>
      <c r="AI2370">
        <v>215.26</v>
      </c>
      <c r="AL2370" t="s">
        <v>5011</v>
      </c>
      <c r="AM2370">
        <v>36400</v>
      </c>
      <c r="AS2370">
        <v>2.6</v>
      </c>
      <c r="AT2370" t="s">
        <v>580</v>
      </c>
      <c r="AU2370" t="s">
        <v>145</v>
      </c>
      <c r="AV2370" t="s">
        <v>25335</v>
      </c>
      <c r="AW2370" t="s">
        <v>11447</v>
      </c>
    </row>
    <row r="2371" spans="1:49">
      <c r="A2371" s="1">
        <f>HYPERLINK("https://lsnyc.legalserver.org/matter/dynamic-profile/view/1913844","19-1913844")</f>
        <v>0</v>
      </c>
      <c r="B2371" t="s">
        <v>81</v>
      </c>
      <c r="C2371" t="s">
        <v>533</v>
      </c>
      <c r="D2371" t="s">
        <v>539</v>
      </c>
      <c r="E2371" t="s">
        <v>2287</v>
      </c>
      <c r="F2371" t="s">
        <v>4112</v>
      </c>
      <c r="G2371" t="s">
        <v>7928</v>
      </c>
      <c r="H2371" t="s">
        <v>10467</v>
      </c>
      <c r="I2371" t="s">
        <v>11383</v>
      </c>
      <c r="J2371">
        <v>10472</v>
      </c>
      <c r="K2371" t="s">
        <v>11446</v>
      </c>
      <c r="L2371" t="s">
        <v>12219</v>
      </c>
      <c r="M2371" t="s">
        <v>14744</v>
      </c>
      <c r="N2371" t="s">
        <v>14778</v>
      </c>
      <c r="O2371" t="s">
        <v>14786</v>
      </c>
      <c r="P2371" t="s">
        <v>14798</v>
      </c>
      <c r="Q2371" t="s">
        <v>11448</v>
      </c>
      <c r="S2371" t="s">
        <v>14827</v>
      </c>
      <c r="V2371">
        <v>599</v>
      </c>
      <c r="W2371" t="s">
        <v>14858</v>
      </c>
      <c r="X2371" t="s">
        <v>14863</v>
      </c>
      <c r="Y2371" t="s">
        <v>14883</v>
      </c>
      <c r="Z2371" t="s">
        <v>16888</v>
      </c>
      <c r="AB2371" t="s">
        <v>21909</v>
      </c>
      <c r="AC2371">
        <v>105</v>
      </c>
      <c r="AD2371" t="s">
        <v>24604</v>
      </c>
      <c r="AF2371">
        <v>30</v>
      </c>
      <c r="AG2371">
        <v>1</v>
      </c>
      <c r="AH2371">
        <v>0</v>
      </c>
      <c r="AI2371">
        <v>293.03</v>
      </c>
      <c r="AM2371">
        <v>36600</v>
      </c>
      <c r="AS2371">
        <v>0.5</v>
      </c>
      <c r="AT2371" t="s">
        <v>539</v>
      </c>
      <c r="AU2371" t="s">
        <v>145</v>
      </c>
      <c r="AV2371" t="s">
        <v>25335</v>
      </c>
      <c r="AW2371" t="s">
        <v>11447</v>
      </c>
    </row>
    <row r="2372" spans="1:49">
      <c r="A2372" s="1">
        <f>HYPERLINK("https://lsnyc.legalserver.org/matter/dynamic-profile/view/1913432","19-1913432")</f>
        <v>0</v>
      </c>
      <c r="B2372" t="s">
        <v>81</v>
      </c>
      <c r="C2372" t="s">
        <v>484</v>
      </c>
      <c r="D2372" t="s">
        <v>539</v>
      </c>
      <c r="E2372" t="s">
        <v>1123</v>
      </c>
      <c r="F2372" t="s">
        <v>3891</v>
      </c>
      <c r="G2372" t="s">
        <v>7929</v>
      </c>
      <c r="H2372" t="s">
        <v>10665</v>
      </c>
      <c r="I2372" t="s">
        <v>11383</v>
      </c>
      <c r="J2372">
        <v>10460</v>
      </c>
      <c r="K2372" t="s">
        <v>11446</v>
      </c>
      <c r="L2372" t="s">
        <v>12220</v>
      </c>
      <c r="M2372" t="s">
        <v>14744</v>
      </c>
      <c r="N2372" t="s">
        <v>14778</v>
      </c>
      <c r="O2372" t="s">
        <v>14786</v>
      </c>
      <c r="P2372" t="s">
        <v>14798</v>
      </c>
      <c r="Q2372" t="s">
        <v>11448</v>
      </c>
      <c r="S2372" t="s">
        <v>14827</v>
      </c>
      <c r="T2372" t="s">
        <v>14832</v>
      </c>
      <c r="V2372">
        <v>1470</v>
      </c>
      <c r="W2372" t="s">
        <v>14858</v>
      </c>
      <c r="X2372" t="s">
        <v>14863</v>
      </c>
      <c r="Y2372" t="s">
        <v>14883</v>
      </c>
      <c r="Z2372" t="s">
        <v>16889</v>
      </c>
      <c r="AB2372" t="s">
        <v>21910</v>
      </c>
      <c r="AC2372">
        <v>84</v>
      </c>
      <c r="AD2372" t="s">
        <v>24606</v>
      </c>
      <c r="AF2372">
        <v>11</v>
      </c>
      <c r="AG2372">
        <v>1</v>
      </c>
      <c r="AH2372">
        <v>0</v>
      </c>
      <c r="AI2372">
        <v>393.43</v>
      </c>
      <c r="AL2372" t="s">
        <v>5011</v>
      </c>
      <c r="AM2372">
        <v>49140</v>
      </c>
      <c r="AS2372">
        <v>0.85</v>
      </c>
      <c r="AT2372" t="s">
        <v>539</v>
      </c>
      <c r="AU2372" t="s">
        <v>145</v>
      </c>
      <c r="AV2372" t="s">
        <v>25335</v>
      </c>
      <c r="AW2372" t="s">
        <v>11447</v>
      </c>
    </row>
    <row r="2373" spans="1:49">
      <c r="A2373" s="1">
        <f>HYPERLINK("https://lsnyc.legalserver.org/matter/dynamic-profile/view/1914038","19-1914038")</f>
        <v>0</v>
      </c>
      <c r="B2373" t="s">
        <v>81</v>
      </c>
      <c r="C2373" t="s">
        <v>580</v>
      </c>
      <c r="D2373" t="s">
        <v>491</v>
      </c>
      <c r="E2373" t="s">
        <v>2288</v>
      </c>
      <c r="F2373" t="s">
        <v>4841</v>
      </c>
      <c r="G2373" t="s">
        <v>7930</v>
      </c>
      <c r="H2373" t="s">
        <v>10620</v>
      </c>
      <c r="I2373" t="s">
        <v>11383</v>
      </c>
      <c r="J2373">
        <v>10453</v>
      </c>
      <c r="K2373" t="s">
        <v>11446</v>
      </c>
      <c r="L2373" t="s">
        <v>12221</v>
      </c>
      <c r="M2373" t="s">
        <v>14744</v>
      </c>
      <c r="N2373" t="s">
        <v>14778</v>
      </c>
      <c r="O2373" t="s">
        <v>14786</v>
      </c>
      <c r="P2373" t="s">
        <v>14798</v>
      </c>
      <c r="Q2373" t="s">
        <v>11448</v>
      </c>
      <c r="S2373" t="s">
        <v>14827</v>
      </c>
      <c r="T2373" t="s">
        <v>14834</v>
      </c>
      <c r="V2373">
        <v>1366.31</v>
      </c>
      <c r="W2373" t="s">
        <v>14858</v>
      </c>
      <c r="X2373" t="s">
        <v>14863</v>
      </c>
      <c r="Y2373" t="s">
        <v>14883</v>
      </c>
      <c r="Z2373" t="s">
        <v>16890</v>
      </c>
      <c r="AB2373" t="s">
        <v>21911</v>
      </c>
      <c r="AC2373">
        <v>59</v>
      </c>
      <c r="AD2373" t="s">
        <v>24595</v>
      </c>
      <c r="AF2373">
        <v>8</v>
      </c>
      <c r="AG2373">
        <v>2</v>
      </c>
      <c r="AH2373">
        <v>0</v>
      </c>
      <c r="AI2373">
        <v>295.68</v>
      </c>
      <c r="AL2373" t="s">
        <v>5011</v>
      </c>
      <c r="AM2373">
        <v>50000</v>
      </c>
      <c r="AS2373">
        <v>0.8</v>
      </c>
      <c r="AT2373" t="s">
        <v>491</v>
      </c>
      <c r="AU2373" t="s">
        <v>145</v>
      </c>
      <c r="AV2373" t="s">
        <v>25335</v>
      </c>
      <c r="AW2373" t="s">
        <v>11447</v>
      </c>
    </row>
    <row r="2374" spans="1:49">
      <c r="A2374" s="1">
        <f>HYPERLINK("https://lsnyc.legalserver.org/matter/dynamic-profile/view/1913107","19-1913107")</f>
        <v>0</v>
      </c>
      <c r="B2374" t="s">
        <v>120</v>
      </c>
      <c r="C2374" t="s">
        <v>571</v>
      </c>
      <c r="D2374" t="s">
        <v>537</v>
      </c>
      <c r="E2374" t="s">
        <v>2289</v>
      </c>
      <c r="F2374" t="s">
        <v>4059</v>
      </c>
      <c r="G2374" t="s">
        <v>7931</v>
      </c>
      <c r="H2374" t="s">
        <v>10711</v>
      </c>
      <c r="I2374" t="s">
        <v>11385</v>
      </c>
      <c r="J2374">
        <v>11233</v>
      </c>
      <c r="K2374" t="s">
        <v>11448</v>
      </c>
      <c r="L2374" t="s">
        <v>11456</v>
      </c>
      <c r="M2374" t="s">
        <v>11601</v>
      </c>
      <c r="N2374" t="s">
        <v>14778</v>
      </c>
      <c r="O2374" t="s">
        <v>14786</v>
      </c>
      <c r="P2374" t="s">
        <v>14798</v>
      </c>
      <c r="Q2374" t="s">
        <v>11448</v>
      </c>
      <c r="S2374" t="s">
        <v>14827</v>
      </c>
      <c r="V2374">
        <v>2700</v>
      </c>
      <c r="W2374" t="s">
        <v>14859</v>
      </c>
      <c r="X2374" t="s">
        <v>14873</v>
      </c>
      <c r="Y2374" t="s">
        <v>14883</v>
      </c>
      <c r="Z2374" t="s">
        <v>16891</v>
      </c>
      <c r="AB2374" t="s">
        <v>21912</v>
      </c>
      <c r="AC2374">
        <v>5</v>
      </c>
      <c r="AF2374">
        <v>5</v>
      </c>
      <c r="AG2374">
        <v>1</v>
      </c>
      <c r="AH2374">
        <v>0</v>
      </c>
      <c r="AI2374">
        <v>3.2</v>
      </c>
      <c r="AL2374" t="s">
        <v>5011</v>
      </c>
      <c r="AM2374">
        <v>400</v>
      </c>
      <c r="AN2374" t="s">
        <v>24715</v>
      </c>
      <c r="AS2374">
        <v>0.5</v>
      </c>
      <c r="AT2374" t="s">
        <v>571</v>
      </c>
      <c r="AU2374" t="s">
        <v>25238</v>
      </c>
      <c r="AV2374" t="s">
        <v>11459</v>
      </c>
      <c r="AW2374" t="s">
        <v>11447</v>
      </c>
    </row>
    <row r="2375" spans="1:49">
      <c r="A2375" s="1">
        <f>HYPERLINK("https://lsnyc.legalserver.org/matter/dynamic-profile/view/1913356","19-1913356")</f>
        <v>0</v>
      </c>
      <c r="B2375" t="s">
        <v>120</v>
      </c>
      <c r="C2375" t="s">
        <v>483</v>
      </c>
      <c r="D2375" t="s">
        <v>537</v>
      </c>
      <c r="E2375" t="s">
        <v>1115</v>
      </c>
      <c r="F2375" t="s">
        <v>4842</v>
      </c>
      <c r="G2375" t="s">
        <v>7932</v>
      </c>
      <c r="H2375" t="s">
        <v>10969</v>
      </c>
      <c r="I2375" t="s">
        <v>11385</v>
      </c>
      <c r="J2375">
        <v>11212</v>
      </c>
      <c r="K2375" t="s">
        <v>11448</v>
      </c>
      <c r="L2375" t="s">
        <v>11601</v>
      </c>
      <c r="M2375" t="s">
        <v>11601</v>
      </c>
      <c r="N2375" t="s">
        <v>14778</v>
      </c>
      <c r="O2375" t="s">
        <v>14786</v>
      </c>
      <c r="P2375" t="s">
        <v>14798</v>
      </c>
      <c r="Q2375" t="s">
        <v>11448</v>
      </c>
      <c r="S2375" t="s">
        <v>14827</v>
      </c>
      <c r="V2375">
        <v>1035</v>
      </c>
      <c r="W2375" t="s">
        <v>14859</v>
      </c>
      <c r="Y2375" t="s">
        <v>14883</v>
      </c>
      <c r="Z2375" t="s">
        <v>16892</v>
      </c>
      <c r="AB2375" t="s">
        <v>21913</v>
      </c>
      <c r="AC2375">
        <v>70</v>
      </c>
      <c r="AD2375" t="s">
        <v>24603</v>
      </c>
      <c r="AE2375" t="s">
        <v>14755</v>
      </c>
      <c r="AF2375">
        <v>5</v>
      </c>
      <c r="AG2375">
        <v>1</v>
      </c>
      <c r="AH2375">
        <v>0</v>
      </c>
      <c r="AI2375">
        <v>117.21</v>
      </c>
      <c r="AL2375" t="s">
        <v>5011</v>
      </c>
      <c r="AM2375">
        <v>14640</v>
      </c>
      <c r="AN2375" t="s">
        <v>24715</v>
      </c>
      <c r="AS2375">
        <v>0.4</v>
      </c>
      <c r="AT2375" t="s">
        <v>483</v>
      </c>
      <c r="AU2375" t="s">
        <v>25229</v>
      </c>
      <c r="AV2375" t="s">
        <v>11459</v>
      </c>
      <c r="AW2375" t="s">
        <v>11447</v>
      </c>
    </row>
    <row r="2376" spans="1:49">
      <c r="A2376" s="1">
        <f>HYPERLINK("https://lsnyc.legalserver.org/matter/dynamic-profile/view/0821819","16-0821819")</f>
        <v>0</v>
      </c>
      <c r="B2376" t="s">
        <v>264</v>
      </c>
      <c r="C2376" t="s">
        <v>516</v>
      </c>
      <c r="D2376" t="s">
        <v>516</v>
      </c>
      <c r="E2376" t="s">
        <v>2290</v>
      </c>
      <c r="F2376" t="s">
        <v>3577</v>
      </c>
      <c r="G2376" t="s">
        <v>7933</v>
      </c>
      <c r="H2376" t="s">
        <v>10485</v>
      </c>
      <c r="I2376" t="s">
        <v>11386</v>
      </c>
      <c r="J2376">
        <v>10023</v>
      </c>
      <c r="K2376" t="s">
        <v>11446</v>
      </c>
      <c r="N2376" t="s">
        <v>14778</v>
      </c>
      <c r="O2376" t="s">
        <v>14786</v>
      </c>
      <c r="P2376" t="s">
        <v>14798</v>
      </c>
      <c r="Q2376" t="s">
        <v>11448</v>
      </c>
      <c r="S2376" t="s">
        <v>14828</v>
      </c>
      <c r="V2376">
        <v>517</v>
      </c>
      <c r="W2376" t="s">
        <v>14860</v>
      </c>
      <c r="X2376" t="s">
        <v>14875</v>
      </c>
      <c r="Y2376" t="s">
        <v>14883</v>
      </c>
      <c r="Z2376" t="s">
        <v>16356</v>
      </c>
      <c r="AB2376" t="s">
        <v>21914</v>
      </c>
      <c r="AC2376">
        <v>0</v>
      </c>
      <c r="AE2376" t="s">
        <v>11459</v>
      </c>
      <c r="AF2376">
        <v>3</v>
      </c>
      <c r="AG2376">
        <v>1</v>
      </c>
      <c r="AH2376">
        <v>1</v>
      </c>
      <c r="AI2376">
        <v>0</v>
      </c>
      <c r="AL2376" t="s">
        <v>24632</v>
      </c>
      <c r="AM2376">
        <v>0</v>
      </c>
      <c r="AS2376">
        <v>0</v>
      </c>
      <c r="AU2376" t="s">
        <v>25298</v>
      </c>
      <c r="AW2376" t="s">
        <v>11447</v>
      </c>
    </row>
    <row r="2377" spans="1:49">
      <c r="A2377" s="1">
        <f>HYPERLINK("https://lsnyc.legalserver.org/matter/dynamic-profile/view/1914009","19-1914009")</f>
        <v>0</v>
      </c>
      <c r="B2377" t="s">
        <v>211</v>
      </c>
      <c r="C2377" t="s">
        <v>490</v>
      </c>
      <c r="D2377" t="s">
        <v>516</v>
      </c>
      <c r="E2377" t="s">
        <v>2291</v>
      </c>
      <c r="F2377" t="s">
        <v>4843</v>
      </c>
      <c r="G2377" t="s">
        <v>7934</v>
      </c>
      <c r="H2377" t="s">
        <v>10464</v>
      </c>
      <c r="I2377" t="s">
        <v>11385</v>
      </c>
      <c r="J2377">
        <v>11207</v>
      </c>
      <c r="K2377" t="s">
        <v>11448</v>
      </c>
      <c r="L2377" t="s">
        <v>12222</v>
      </c>
      <c r="M2377" t="s">
        <v>14743</v>
      </c>
      <c r="O2377" t="s">
        <v>14787</v>
      </c>
      <c r="P2377" t="s">
        <v>14798</v>
      </c>
      <c r="Q2377" t="s">
        <v>11448</v>
      </c>
      <c r="S2377" t="s">
        <v>14827</v>
      </c>
      <c r="T2377" t="s">
        <v>14832</v>
      </c>
      <c r="V2377">
        <v>1200</v>
      </c>
      <c r="W2377" t="s">
        <v>14859</v>
      </c>
      <c r="X2377" t="s">
        <v>14871</v>
      </c>
      <c r="Y2377" t="s">
        <v>14885</v>
      </c>
      <c r="Z2377" t="s">
        <v>16893</v>
      </c>
      <c r="AA2377" t="s">
        <v>19468</v>
      </c>
      <c r="AB2377" t="s">
        <v>21915</v>
      </c>
      <c r="AC2377">
        <v>4</v>
      </c>
      <c r="AD2377" t="s">
        <v>24600</v>
      </c>
      <c r="AE2377" t="s">
        <v>11459</v>
      </c>
      <c r="AF2377">
        <v>3</v>
      </c>
      <c r="AG2377">
        <v>2</v>
      </c>
      <c r="AH2377">
        <v>0</v>
      </c>
      <c r="AI2377">
        <v>266.11</v>
      </c>
      <c r="AL2377" t="s">
        <v>5011</v>
      </c>
      <c r="AM2377">
        <v>45000</v>
      </c>
      <c r="AN2377" t="s">
        <v>24823</v>
      </c>
      <c r="AS2377">
        <v>2</v>
      </c>
      <c r="AT2377" t="s">
        <v>521</v>
      </c>
      <c r="AU2377" t="s">
        <v>66</v>
      </c>
      <c r="AV2377" t="s">
        <v>11459</v>
      </c>
      <c r="AW2377" t="s">
        <v>11447</v>
      </c>
    </row>
    <row r="2378" spans="1:49">
      <c r="A2378" s="1">
        <f>HYPERLINK("https://lsnyc.legalserver.org/matter/dynamic-profile/view/1913163","19-1913163")</f>
        <v>0</v>
      </c>
      <c r="B2378" t="s">
        <v>192</v>
      </c>
      <c r="C2378" t="s">
        <v>571</v>
      </c>
      <c r="D2378" t="s">
        <v>509</v>
      </c>
      <c r="E2378" t="s">
        <v>2292</v>
      </c>
      <c r="F2378" t="s">
        <v>3885</v>
      </c>
      <c r="G2378" t="s">
        <v>7935</v>
      </c>
      <c r="H2378" t="s">
        <v>10559</v>
      </c>
      <c r="I2378" t="s">
        <v>11385</v>
      </c>
      <c r="J2378">
        <v>11221</v>
      </c>
      <c r="K2378" t="s">
        <v>11446</v>
      </c>
      <c r="L2378" t="s">
        <v>12223</v>
      </c>
      <c r="M2378" t="s">
        <v>14743</v>
      </c>
      <c r="N2378" t="s">
        <v>14781</v>
      </c>
      <c r="O2378" t="s">
        <v>14788</v>
      </c>
      <c r="P2378" t="s">
        <v>14798</v>
      </c>
      <c r="S2378" t="s">
        <v>14827</v>
      </c>
      <c r="U2378" t="s">
        <v>571</v>
      </c>
      <c r="V2378">
        <v>0</v>
      </c>
      <c r="W2378" t="s">
        <v>14859</v>
      </c>
      <c r="Y2378" t="s">
        <v>14891</v>
      </c>
      <c r="Z2378" t="s">
        <v>16894</v>
      </c>
      <c r="AB2378" t="s">
        <v>21916</v>
      </c>
      <c r="AC2378">
        <v>0</v>
      </c>
      <c r="AF2378">
        <v>0</v>
      </c>
      <c r="AG2378">
        <v>1</v>
      </c>
      <c r="AH2378">
        <v>0</v>
      </c>
      <c r="AI2378">
        <v>160.13</v>
      </c>
      <c r="AL2378" t="s">
        <v>5011</v>
      </c>
      <c r="AM2378">
        <v>20000</v>
      </c>
      <c r="AS2378">
        <v>2.75</v>
      </c>
      <c r="AT2378" t="s">
        <v>515</v>
      </c>
      <c r="AU2378" t="s">
        <v>192</v>
      </c>
      <c r="AW2378" t="s">
        <v>11447</v>
      </c>
    </row>
    <row r="2379" spans="1:49">
      <c r="A2379" s="1">
        <f>HYPERLINK("https://lsnyc.legalserver.org/matter/dynamic-profile/view/1914864","19-1914864")</f>
        <v>0</v>
      </c>
      <c r="B2379" t="s">
        <v>120</v>
      </c>
      <c r="C2379" t="s">
        <v>537</v>
      </c>
      <c r="D2379" t="s">
        <v>509</v>
      </c>
      <c r="E2379" t="s">
        <v>2293</v>
      </c>
      <c r="F2379" t="s">
        <v>4844</v>
      </c>
      <c r="G2379" t="s">
        <v>7936</v>
      </c>
      <c r="H2379" t="s">
        <v>10562</v>
      </c>
      <c r="I2379" t="s">
        <v>11385</v>
      </c>
      <c r="J2379">
        <v>11207</v>
      </c>
      <c r="K2379" t="s">
        <v>11447</v>
      </c>
      <c r="L2379" t="s">
        <v>11456</v>
      </c>
      <c r="M2379" t="s">
        <v>11601</v>
      </c>
      <c r="N2379" t="s">
        <v>14782</v>
      </c>
      <c r="O2379" t="s">
        <v>14786</v>
      </c>
      <c r="P2379" t="s">
        <v>14798</v>
      </c>
      <c r="Q2379" t="s">
        <v>11448</v>
      </c>
      <c r="S2379" t="s">
        <v>14827</v>
      </c>
      <c r="V2379">
        <v>1850</v>
      </c>
      <c r="W2379" t="s">
        <v>14859</v>
      </c>
      <c r="X2379" t="s">
        <v>14755</v>
      </c>
      <c r="Y2379" t="s">
        <v>14883</v>
      </c>
      <c r="Z2379" t="s">
        <v>16895</v>
      </c>
      <c r="AB2379" t="s">
        <v>21917</v>
      </c>
      <c r="AC2379">
        <v>6</v>
      </c>
      <c r="AD2379" t="s">
        <v>24595</v>
      </c>
      <c r="AF2379">
        <v>1</v>
      </c>
      <c r="AG2379">
        <v>1</v>
      </c>
      <c r="AH2379">
        <v>0</v>
      </c>
      <c r="AI2379">
        <v>145.72</v>
      </c>
      <c r="AL2379" t="s">
        <v>5011</v>
      </c>
      <c r="AM2379">
        <v>18200</v>
      </c>
      <c r="AN2379" t="s">
        <v>24715</v>
      </c>
      <c r="AS2379">
        <v>0.1</v>
      </c>
      <c r="AT2379" t="s">
        <v>509</v>
      </c>
      <c r="AU2379" t="s">
        <v>25227</v>
      </c>
      <c r="AW2379" t="s">
        <v>11447</v>
      </c>
    </row>
    <row r="2380" spans="1:49">
      <c r="A2380" s="1">
        <f>HYPERLINK("https://lsnyc.legalserver.org/matter/dynamic-profile/view/1913148","19-1913148")</f>
        <v>0</v>
      </c>
      <c r="B2380" t="s">
        <v>192</v>
      </c>
      <c r="C2380" t="s">
        <v>571</v>
      </c>
      <c r="D2380" t="s">
        <v>509</v>
      </c>
      <c r="E2380" t="s">
        <v>1964</v>
      </c>
      <c r="F2380" t="s">
        <v>4845</v>
      </c>
      <c r="G2380" t="s">
        <v>7935</v>
      </c>
      <c r="H2380" t="s">
        <v>10486</v>
      </c>
      <c r="I2380" t="s">
        <v>11385</v>
      </c>
      <c r="J2380">
        <v>11221</v>
      </c>
      <c r="K2380" t="s">
        <v>11447</v>
      </c>
      <c r="L2380" t="s">
        <v>12224</v>
      </c>
      <c r="M2380" t="s">
        <v>14743</v>
      </c>
      <c r="N2380" t="s">
        <v>14778</v>
      </c>
      <c r="O2380" t="s">
        <v>14788</v>
      </c>
      <c r="P2380" t="s">
        <v>14798</v>
      </c>
      <c r="S2380" t="s">
        <v>14827</v>
      </c>
      <c r="V2380">
        <v>500</v>
      </c>
      <c r="W2380" t="s">
        <v>14859</v>
      </c>
      <c r="X2380" t="s">
        <v>14872</v>
      </c>
      <c r="Y2380" t="s">
        <v>14891</v>
      </c>
      <c r="Z2380" t="s">
        <v>16896</v>
      </c>
      <c r="AB2380" t="s">
        <v>21918</v>
      </c>
      <c r="AC2380">
        <v>3</v>
      </c>
      <c r="AD2380" t="s">
        <v>24600</v>
      </c>
      <c r="AF2380">
        <v>10</v>
      </c>
      <c r="AG2380">
        <v>1</v>
      </c>
      <c r="AH2380">
        <v>0</v>
      </c>
      <c r="AI2380">
        <v>560.45</v>
      </c>
      <c r="AM2380">
        <v>70000</v>
      </c>
      <c r="AS2380">
        <v>4.35</v>
      </c>
      <c r="AT2380" t="s">
        <v>484</v>
      </c>
      <c r="AU2380" t="s">
        <v>25230</v>
      </c>
      <c r="AW2380" t="s">
        <v>11447</v>
      </c>
    </row>
    <row r="2381" spans="1:49">
      <c r="A2381" s="1">
        <f>HYPERLINK("https://lsnyc.legalserver.org/matter/dynamic-profile/view/1904735","19-1904735")</f>
        <v>0</v>
      </c>
      <c r="B2381" t="s">
        <v>233</v>
      </c>
      <c r="C2381" t="s">
        <v>365</v>
      </c>
      <c r="D2381" t="s">
        <v>495</v>
      </c>
      <c r="E2381" t="s">
        <v>2294</v>
      </c>
      <c r="F2381" t="s">
        <v>4846</v>
      </c>
      <c r="G2381" t="s">
        <v>7937</v>
      </c>
      <c r="H2381" t="s">
        <v>10970</v>
      </c>
      <c r="I2381" t="s">
        <v>11385</v>
      </c>
      <c r="J2381">
        <v>11226</v>
      </c>
      <c r="K2381" t="s">
        <v>11446</v>
      </c>
      <c r="L2381" t="s">
        <v>12225</v>
      </c>
      <c r="M2381" t="s">
        <v>14743</v>
      </c>
      <c r="N2381" t="s">
        <v>14782</v>
      </c>
      <c r="O2381" t="s">
        <v>14786</v>
      </c>
      <c r="P2381" t="s">
        <v>14798</v>
      </c>
      <c r="S2381" t="s">
        <v>14827</v>
      </c>
      <c r="V2381">
        <v>950</v>
      </c>
      <c r="W2381" t="s">
        <v>14859</v>
      </c>
      <c r="X2381" t="s">
        <v>14863</v>
      </c>
      <c r="Y2381" t="s">
        <v>14883</v>
      </c>
      <c r="Z2381" t="s">
        <v>16897</v>
      </c>
      <c r="AB2381" t="s">
        <v>21919</v>
      </c>
      <c r="AC2381">
        <v>0</v>
      </c>
      <c r="AF2381">
        <v>5</v>
      </c>
      <c r="AG2381">
        <v>2</v>
      </c>
      <c r="AH2381">
        <v>0</v>
      </c>
      <c r="AI2381">
        <v>352.17</v>
      </c>
      <c r="AJ2381" t="s">
        <v>455</v>
      </c>
      <c r="AK2381" t="s">
        <v>24629</v>
      </c>
      <c r="AM2381">
        <v>59552.04</v>
      </c>
      <c r="AS2381">
        <v>5.7</v>
      </c>
      <c r="AT2381" t="s">
        <v>633</v>
      </c>
      <c r="AU2381" t="s">
        <v>25235</v>
      </c>
      <c r="AV2381" t="s">
        <v>25335</v>
      </c>
      <c r="AW2381" t="s">
        <v>11447</v>
      </c>
    </row>
    <row r="2382" spans="1:49">
      <c r="A2382" s="1">
        <f>HYPERLINK("https://lsnyc.legalserver.org/matter/dynamic-profile/view/1893207","19-1893207")</f>
        <v>0</v>
      </c>
      <c r="B2382" t="s">
        <v>72</v>
      </c>
      <c r="C2382" t="s">
        <v>550</v>
      </c>
      <c r="D2382" t="s">
        <v>654</v>
      </c>
      <c r="E2382" t="s">
        <v>2295</v>
      </c>
      <c r="F2382" t="s">
        <v>3706</v>
      </c>
      <c r="G2382" t="s">
        <v>7938</v>
      </c>
      <c r="H2382">
        <v>718</v>
      </c>
      <c r="I2382" t="s">
        <v>11385</v>
      </c>
      <c r="J2382">
        <v>11217</v>
      </c>
      <c r="K2382" t="s">
        <v>11447</v>
      </c>
      <c r="N2382" t="s">
        <v>14781</v>
      </c>
      <c r="O2382" t="s">
        <v>14788</v>
      </c>
      <c r="P2382" t="s">
        <v>14798</v>
      </c>
      <c r="S2382" t="s">
        <v>14827</v>
      </c>
      <c r="V2382">
        <v>0</v>
      </c>
      <c r="W2382" t="s">
        <v>14859</v>
      </c>
      <c r="Y2382" t="s">
        <v>14887</v>
      </c>
      <c r="Z2382" t="s">
        <v>16898</v>
      </c>
      <c r="AB2382" t="s">
        <v>21920</v>
      </c>
      <c r="AC2382">
        <v>0</v>
      </c>
      <c r="AF2382">
        <v>0</v>
      </c>
      <c r="AG2382">
        <v>1</v>
      </c>
      <c r="AH2382">
        <v>0</v>
      </c>
      <c r="AI2382">
        <v>326.37</v>
      </c>
      <c r="AL2382" t="s">
        <v>5011</v>
      </c>
      <c r="AM2382">
        <v>40764</v>
      </c>
      <c r="AS2382">
        <v>28.5</v>
      </c>
      <c r="AT2382" t="s">
        <v>465</v>
      </c>
      <c r="AU2382" t="s">
        <v>25229</v>
      </c>
      <c r="AW2382" t="s">
        <v>11447</v>
      </c>
    </row>
    <row r="2383" spans="1:49">
      <c r="A2383" s="1">
        <f>HYPERLINK("https://lsnyc.legalserver.org/matter/dynamic-profile/view/1904024","19-1904024")</f>
        <v>0</v>
      </c>
      <c r="B2383" t="s">
        <v>265</v>
      </c>
      <c r="C2383" t="s">
        <v>474</v>
      </c>
      <c r="E2383" t="s">
        <v>1241</v>
      </c>
      <c r="F2383" t="s">
        <v>3561</v>
      </c>
      <c r="G2383" t="s">
        <v>7939</v>
      </c>
      <c r="H2383" t="s">
        <v>10910</v>
      </c>
      <c r="I2383" t="s">
        <v>11385</v>
      </c>
      <c r="J2383">
        <v>11207</v>
      </c>
      <c r="K2383" t="s">
        <v>11447</v>
      </c>
      <c r="L2383" t="s">
        <v>12226</v>
      </c>
      <c r="M2383" t="s">
        <v>14744</v>
      </c>
      <c r="N2383" t="s">
        <v>14781</v>
      </c>
      <c r="P2383" t="s">
        <v>14798</v>
      </c>
      <c r="S2383" t="s">
        <v>14827</v>
      </c>
      <c r="U2383" t="s">
        <v>474</v>
      </c>
      <c r="V2383">
        <v>275</v>
      </c>
      <c r="W2383" t="s">
        <v>14859</v>
      </c>
      <c r="Z2383" t="s">
        <v>16885</v>
      </c>
      <c r="AB2383" t="s">
        <v>21921</v>
      </c>
      <c r="AC2383">
        <v>0</v>
      </c>
      <c r="AF2383">
        <v>0</v>
      </c>
      <c r="AG2383">
        <v>1</v>
      </c>
      <c r="AH2383">
        <v>0</v>
      </c>
      <c r="AI2383">
        <v>268.78</v>
      </c>
      <c r="AL2383" t="s">
        <v>5011</v>
      </c>
      <c r="AM2383">
        <v>33570</v>
      </c>
      <c r="AS2383">
        <v>3.7</v>
      </c>
      <c r="AT2383" t="s">
        <v>1018</v>
      </c>
      <c r="AU2383" t="s">
        <v>265</v>
      </c>
      <c r="AW2383" t="s">
        <v>11447</v>
      </c>
    </row>
    <row r="2384" spans="1:49">
      <c r="A2384" s="1">
        <f>HYPERLINK("https://lsnyc.legalserver.org/matter/dynamic-profile/view/1874319","18-1874319")</f>
        <v>0</v>
      </c>
      <c r="B2384" t="s">
        <v>103</v>
      </c>
      <c r="C2384" t="s">
        <v>736</v>
      </c>
      <c r="E2384" t="s">
        <v>2296</v>
      </c>
      <c r="F2384" t="s">
        <v>3655</v>
      </c>
      <c r="G2384" t="s">
        <v>7940</v>
      </c>
      <c r="H2384" t="s">
        <v>10649</v>
      </c>
      <c r="I2384" t="s">
        <v>11385</v>
      </c>
      <c r="J2384">
        <v>11212</v>
      </c>
      <c r="K2384" t="s">
        <v>11448</v>
      </c>
      <c r="L2384" t="s">
        <v>12227</v>
      </c>
      <c r="M2384" t="s">
        <v>14744</v>
      </c>
      <c r="N2384" t="s">
        <v>14781</v>
      </c>
      <c r="P2384" t="s">
        <v>14798</v>
      </c>
      <c r="Q2384" t="s">
        <v>11448</v>
      </c>
      <c r="S2384" t="s">
        <v>14827</v>
      </c>
      <c r="U2384" t="s">
        <v>620</v>
      </c>
      <c r="V2384">
        <v>1484</v>
      </c>
      <c r="W2384" t="s">
        <v>14859</v>
      </c>
      <c r="X2384" t="s">
        <v>14874</v>
      </c>
      <c r="Z2384" t="s">
        <v>16899</v>
      </c>
      <c r="AB2384" t="s">
        <v>21922</v>
      </c>
      <c r="AC2384">
        <v>100</v>
      </c>
      <c r="AD2384" t="s">
        <v>24599</v>
      </c>
      <c r="AE2384" t="s">
        <v>11459</v>
      </c>
      <c r="AF2384">
        <v>4</v>
      </c>
      <c r="AG2384">
        <v>1</v>
      </c>
      <c r="AH2384">
        <v>2</v>
      </c>
      <c r="AI2384">
        <v>337.82</v>
      </c>
      <c r="AL2384" t="s">
        <v>5011</v>
      </c>
      <c r="AM2384">
        <v>70200</v>
      </c>
      <c r="AS2384">
        <v>10.85</v>
      </c>
      <c r="AT2384" t="s">
        <v>555</v>
      </c>
      <c r="AU2384" t="s">
        <v>25244</v>
      </c>
      <c r="AW2384" t="s">
        <v>11447</v>
      </c>
    </row>
    <row r="2385" spans="1:49">
      <c r="A2385" s="1">
        <f>HYPERLINK("https://lsnyc.legalserver.org/matter/dynamic-profile/view/1911768","19-1911768")</f>
        <v>0</v>
      </c>
      <c r="B2385" t="s">
        <v>107</v>
      </c>
      <c r="C2385" t="s">
        <v>505</v>
      </c>
      <c r="E2385" t="s">
        <v>1057</v>
      </c>
      <c r="F2385" t="s">
        <v>1272</v>
      </c>
      <c r="G2385" t="s">
        <v>7152</v>
      </c>
      <c r="H2385" t="s">
        <v>10971</v>
      </c>
      <c r="I2385" t="s">
        <v>11385</v>
      </c>
      <c r="J2385">
        <v>11233</v>
      </c>
      <c r="K2385" t="s">
        <v>11446</v>
      </c>
      <c r="L2385" t="s">
        <v>11456</v>
      </c>
      <c r="M2385" t="s">
        <v>11601</v>
      </c>
      <c r="P2385" t="s">
        <v>14798</v>
      </c>
      <c r="Q2385" t="s">
        <v>11446</v>
      </c>
      <c r="S2385" t="s">
        <v>14827</v>
      </c>
      <c r="T2385" t="s">
        <v>14832</v>
      </c>
      <c r="U2385" t="s">
        <v>379</v>
      </c>
      <c r="V2385">
        <v>1341</v>
      </c>
      <c r="W2385" t="s">
        <v>14859</v>
      </c>
      <c r="Z2385" t="s">
        <v>15729</v>
      </c>
      <c r="AA2385" t="s">
        <v>11465</v>
      </c>
      <c r="AB2385" t="s">
        <v>21923</v>
      </c>
      <c r="AC2385">
        <v>0</v>
      </c>
      <c r="AD2385" t="s">
        <v>24595</v>
      </c>
      <c r="AE2385" t="s">
        <v>11459</v>
      </c>
      <c r="AF2385">
        <v>0</v>
      </c>
      <c r="AG2385">
        <v>1</v>
      </c>
      <c r="AH2385">
        <v>0</v>
      </c>
      <c r="AI2385">
        <v>640.51</v>
      </c>
      <c r="AL2385" t="s">
        <v>5011</v>
      </c>
      <c r="AM2385">
        <v>80000</v>
      </c>
      <c r="AS2385">
        <v>4</v>
      </c>
      <c r="AT2385" t="s">
        <v>571</v>
      </c>
      <c r="AU2385" t="s">
        <v>66</v>
      </c>
      <c r="AV2385" t="s">
        <v>25335</v>
      </c>
      <c r="AW2385" t="s">
        <v>11447</v>
      </c>
    </row>
    <row r="2386" spans="1:49">
      <c r="A2386" s="1">
        <f>HYPERLINK("https://lsnyc.legalserver.org/matter/dynamic-profile/view/1880651","18-1880651")</f>
        <v>0</v>
      </c>
      <c r="B2386" t="s">
        <v>93</v>
      </c>
      <c r="C2386" t="s">
        <v>386</v>
      </c>
      <c r="E2386" t="s">
        <v>2297</v>
      </c>
      <c r="F2386" t="s">
        <v>4847</v>
      </c>
      <c r="G2386" t="s">
        <v>7941</v>
      </c>
      <c r="H2386" t="s">
        <v>10595</v>
      </c>
      <c r="I2386" t="s">
        <v>11385</v>
      </c>
      <c r="J2386">
        <v>11225</v>
      </c>
      <c r="K2386" t="s">
        <v>11446</v>
      </c>
      <c r="L2386" t="s">
        <v>12228</v>
      </c>
      <c r="M2386" t="s">
        <v>14744</v>
      </c>
      <c r="N2386" t="s">
        <v>14781</v>
      </c>
      <c r="P2386" t="s">
        <v>14798</v>
      </c>
      <c r="Q2386" t="s">
        <v>11448</v>
      </c>
      <c r="S2386" t="s">
        <v>14827</v>
      </c>
      <c r="T2386" t="s">
        <v>14832</v>
      </c>
      <c r="U2386" t="s">
        <v>14839</v>
      </c>
      <c r="V2386">
        <v>1470.64</v>
      </c>
      <c r="W2386" t="s">
        <v>14859</v>
      </c>
      <c r="X2386" t="s">
        <v>14868</v>
      </c>
      <c r="Z2386" t="s">
        <v>16900</v>
      </c>
      <c r="AB2386" t="s">
        <v>21924</v>
      </c>
      <c r="AC2386">
        <v>0</v>
      </c>
      <c r="AD2386" t="s">
        <v>24595</v>
      </c>
      <c r="AE2386" t="s">
        <v>24610</v>
      </c>
      <c r="AF2386">
        <v>22</v>
      </c>
      <c r="AG2386">
        <v>2</v>
      </c>
      <c r="AH2386">
        <v>0</v>
      </c>
      <c r="AI2386">
        <v>225.27</v>
      </c>
      <c r="AL2386" t="s">
        <v>5011</v>
      </c>
      <c r="AM2386">
        <v>37080</v>
      </c>
      <c r="AQ2386" t="s">
        <v>24986</v>
      </c>
      <c r="AR2386" t="s">
        <v>24994</v>
      </c>
      <c r="AS2386">
        <v>40</v>
      </c>
      <c r="AT2386" t="s">
        <v>515</v>
      </c>
      <c r="AU2386" t="s">
        <v>25235</v>
      </c>
      <c r="AV2386" t="s">
        <v>25335</v>
      </c>
      <c r="AW2386" t="s">
        <v>11446</v>
      </c>
    </row>
    <row r="2387" spans="1:49">
      <c r="A2387" s="1">
        <f>HYPERLINK("https://lsnyc.legalserver.org/matter/dynamic-profile/view/1913082","19-1913082")</f>
        <v>0</v>
      </c>
      <c r="B2387" t="s">
        <v>174</v>
      </c>
      <c r="C2387" t="s">
        <v>603</v>
      </c>
      <c r="E2387" t="s">
        <v>2298</v>
      </c>
      <c r="F2387" t="s">
        <v>3557</v>
      </c>
      <c r="G2387" t="s">
        <v>7492</v>
      </c>
      <c r="H2387" t="s">
        <v>10589</v>
      </c>
      <c r="I2387" t="s">
        <v>11385</v>
      </c>
      <c r="J2387">
        <v>11206</v>
      </c>
      <c r="K2387" t="s">
        <v>11446</v>
      </c>
      <c r="L2387" t="s">
        <v>11474</v>
      </c>
      <c r="M2387" t="s">
        <v>14745</v>
      </c>
      <c r="N2387" t="s">
        <v>14779</v>
      </c>
      <c r="P2387" t="s">
        <v>14798</v>
      </c>
      <c r="Q2387" t="s">
        <v>11446</v>
      </c>
      <c r="S2387" t="s">
        <v>14827</v>
      </c>
      <c r="T2387" t="s">
        <v>14832</v>
      </c>
      <c r="U2387" t="s">
        <v>484</v>
      </c>
      <c r="V2387">
        <v>1600</v>
      </c>
      <c r="W2387" t="s">
        <v>14859</v>
      </c>
      <c r="X2387" t="s">
        <v>14864</v>
      </c>
      <c r="Z2387" t="s">
        <v>16901</v>
      </c>
      <c r="AA2387" t="s">
        <v>11465</v>
      </c>
      <c r="AB2387" t="s">
        <v>21925</v>
      </c>
      <c r="AC2387">
        <v>16</v>
      </c>
      <c r="AD2387" t="s">
        <v>24595</v>
      </c>
      <c r="AE2387" t="s">
        <v>11459</v>
      </c>
      <c r="AF2387">
        <v>5</v>
      </c>
      <c r="AG2387">
        <v>1</v>
      </c>
      <c r="AH2387">
        <v>0</v>
      </c>
      <c r="AI2387">
        <v>333.07</v>
      </c>
      <c r="AL2387" t="s">
        <v>5011</v>
      </c>
      <c r="AM2387">
        <v>41600</v>
      </c>
      <c r="AN2387" t="s">
        <v>24824</v>
      </c>
      <c r="AS2387">
        <v>0</v>
      </c>
      <c r="AU2387" t="s">
        <v>66</v>
      </c>
      <c r="AV2387" t="s">
        <v>25335</v>
      </c>
      <c r="AW2387" t="s">
        <v>11447</v>
      </c>
    </row>
    <row r="2388" spans="1:49">
      <c r="A2388" s="1">
        <f>HYPERLINK("https://lsnyc.legalserver.org/matter/dynamic-profile/view/1913090","19-1913090")</f>
        <v>0</v>
      </c>
      <c r="B2388" t="s">
        <v>174</v>
      </c>
      <c r="C2388" t="s">
        <v>603</v>
      </c>
      <c r="E2388" t="s">
        <v>1248</v>
      </c>
      <c r="F2388" t="s">
        <v>3000</v>
      </c>
      <c r="G2388" t="s">
        <v>7492</v>
      </c>
      <c r="H2388" t="s">
        <v>10541</v>
      </c>
      <c r="I2388" t="s">
        <v>11385</v>
      </c>
      <c r="J2388">
        <v>11206</v>
      </c>
      <c r="K2388" t="s">
        <v>11446</v>
      </c>
      <c r="L2388" t="s">
        <v>11465</v>
      </c>
      <c r="M2388" t="s">
        <v>14745</v>
      </c>
      <c r="N2388" t="s">
        <v>14779</v>
      </c>
      <c r="P2388" t="s">
        <v>14798</v>
      </c>
      <c r="Q2388" t="s">
        <v>11446</v>
      </c>
      <c r="S2388" t="s">
        <v>14827</v>
      </c>
      <c r="T2388" t="s">
        <v>14832</v>
      </c>
      <c r="U2388" t="s">
        <v>484</v>
      </c>
      <c r="V2388">
        <v>1800</v>
      </c>
      <c r="W2388" t="s">
        <v>14859</v>
      </c>
      <c r="X2388" t="s">
        <v>14864</v>
      </c>
      <c r="Z2388" t="s">
        <v>16902</v>
      </c>
      <c r="AA2388" t="s">
        <v>11465</v>
      </c>
      <c r="AB2388" t="s">
        <v>21926</v>
      </c>
      <c r="AC2388">
        <v>16</v>
      </c>
      <c r="AD2388" t="s">
        <v>24595</v>
      </c>
      <c r="AE2388" t="s">
        <v>11459</v>
      </c>
      <c r="AF2388">
        <v>0</v>
      </c>
      <c r="AG2388">
        <v>2</v>
      </c>
      <c r="AH2388">
        <v>0</v>
      </c>
      <c r="AI2388">
        <v>367.83</v>
      </c>
      <c r="AL2388" t="s">
        <v>5011</v>
      </c>
      <c r="AM2388">
        <v>62200</v>
      </c>
      <c r="AN2388" t="s">
        <v>24824</v>
      </c>
      <c r="AS2388">
        <v>0</v>
      </c>
      <c r="AU2388" t="s">
        <v>66</v>
      </c>
      <c r="AV2388" t="s">
        <v>25335</v>
      </c>
      <c r="AW2388" t="s">
        <v>11447</v>
      </c>
    </row>
    <row r="2389" spans="1:49">
      <c r="A2389" s="1">
        <f>HYPERLINK("https://lsnyc.legalserver.org/matter/dynamic-profile/view/1913085","19-1913085")</f>
        <v>0</v>
      </c>
      <c r="B2389" t="s">
        <v>174</v>
      </c>
      <c r="C2389" t="s">
        <v>603</v>
      </c>
      <c r="E2389" t="s">
        <v>1886</v>
      </c>
      <c r="F2389" t="s">
        <v>4848</v>
      </c>
      <c r="G2389" t="s">
        <v>7492</v>
      </c>
      <c r="H2389" t="s">
        <v>10524</v>
      </c>
      <c r="I2389" t="s">
        <v>11385</v>
      </c>
      <c r="J2389">
        <v>11206</v>
      </c>
      <c r="K2389" t="s">
        <v>11446</v>
      </c>
      <c r="L2389" t="s">
        <v>11474</v>
      </c>
      <c r="M2389" t="s">
        <v>14745</v>
      </c>
      <c r="N2389" t="s">
        <v>14779</v>
      </c>
      <c r="P2389" t="s">
        <v>14798</v>
      </c>
      <c r="Q2389" t="s">
        <v>11446</v>
      </c>
      <c r="S2389" t="s">
        <v>14827</v>
      </c>
      <c r="T2389" t="s">
        <v>14832</v>
      </c>
      <c r="U2389" t="s">
        <v>484</v>
      </c>
      <c r="V2389">
        <v>1895</v>
      </c>
      <c r="W2389" t="s">
        <v>14859</v>
      </c>
      <c r="X2389" t="s">
        <v>14864</v>
      </c>
      <c r="Z2389" t="s">
        <v>16903</v>
      </c>
      <c r="AA2389" t="s">
        <v>11465</v>
      </c>
      <c r="AB2389" t="s">
        <v>21927</v>
      </c>
      <c r="AC2389">
        <v>16</v>
      </c>
      <c r="AD2389" t="s">
        <v>24595</v>
      </c>
      <c r="AE2389" t="s">
        <v>11459</v>
      </c>
      <c r="AF2389">
        <v>1</v>
      </c>
      <c r="AG2389">
        <v>1</v>
      </c>
      <c r="AH2389">
        <v>0</v>
      </c>
      <c r="AI2389">
        <v>624.5</v>
      </c>
      <c r="AL2389" t="s">
        <v>5011</v>
      </c>
      <c r="AM2389">
        <v>78000</v>
      </c>
      <c r="AN2389" t="s">
        <v>24825</v>
      </c>
      <c r="AS2389">
        <v>0</v>
      </c>
      <c r="AU2389" t="s">
        <v>66</v>
      </c>
      <c r="AV2389" t="s">
        <v>25335</v>
      </c>
      <c r="AW2389" t="s">
        <v>11447</v>
      </c>
    </row>
    <row r="2390" spans="1:49">
      <c r="A2390" s="1">
        <f>HYPERLINK("https://lsnyc.legalserver.org/matter/dynamic-profile/view/1913063","19-1913063")</f>
        <v>0</v>
      </c>
      <c r="B2390" t="s">
        <v>174</v>
      </c>
      <c r="C2390" t="s">
        <v>603</v>
      </c>
      <c r="E2390" t="s">
        <v>1285</v>
      </c>
      <c r="F2390" t="s">
        <v>4849</v>
      </c>
      <c r="G2390" t="s">
        <v>7492</v>
      </c>
      <c r="H2390" t="s">
        <v>10522</v>
      </c>
      <c r="I2390" t="s">
        <v>11385</v>
      </c>
      <c r="J2390">
        <v>11206</v>
      </c>
      <c r="K2390" t="s">
        <v>11446</v>
      </c>
      <c r="L2390" t="s">
        <v>11465</v>
      </c>
      <c r="M2390" t="s">
        <v>14745</v>
      </c>
      <c r="N2390" t="s">
        <v>14779</v>
      </c>
      <c r="P2390" t="s">
        <v>14798</v>
      </c>
      <c r="Q2390" t="s">
        <v>11446</v>
      </c>
      <c r="S2390" t="s">
        <v>14827</v>
      </c>
      <c r="T2390" t="s">
        <v>14832</v>
      </c>
      <c r="U2390" t="s">
        <v>484</v>
      </c>
      <c r="V2390">
        <v>1850</v>
      </c>
      <c r="W2390" t="s">
        <v>14859</v>
      </c>
      <c r="X2390" t="s">
        <v>14864</v>
      </c>
      <c r="Z2390" t="s">
        <v>16904</v>
      </c>
      <c r="AA2390" t="s">
        <v>11465</v>
      </c>
      <c r="AB2390" t="s">
        <v>21928</v>
      </c>
      <c r="AC2390">
        <v>16</v>
      </c>
      <c r="AD2390" t="s">
        <v>24595</v>
      </c>
      <c r="AE2390" t="s">
        <v>11459</v>
      </c>
      <c r="AF2390">
        <v>0</v>
      </c>
      <c r="AG2390">
        <v>1</v>
      </c>
      <c r="AH2390">
        <v>0</v>
      </c>
      <c r="AI2390">
        <v>776.62</v>
      </c>
      <c r="AL2390" t="s">
        <v>5011</v>
      </c>
      <c r="AM2390">
        <v>97000</v>
      </c>
      <c r="AN2390" t="s">
        <v>24826</v>
      </c>
      <c r="AS2390">
        <v>0</v>
      </c>
      <c r="AU2390" t="s">
        <v>66</v>
      </c>
      <c r="AV2390" t="s">
        <v>25335</v>
      </c>
      <c r="AW2390" t="s">
        <v>11447</v>
      </c>
    </row>
    <row r="2391" spans="1:49">
      <c r="A2391" s="1">
        <f>HYPERLINK("https://lsnyc.legalserver.org/matter/dynamic-profile/view/1913057","19-1913057")</f>
        <v>0</v>
      </c>
      <c r="B2391" t="s">
        <v>174</v>
      </c>
      <c r="C2391" t="s">
        <v>603</v>
      </c>
      <c r="E2391" t="s">
        <v>1999</v>
      </c>
      <c r="F2391" t="s">
        <v>3547</v>
      </c>
      <c r="G2391" t="s">
        <v>7492</v>
      </c>
      <c r="H2391" t="s">
        <v>10481</v>
      </c>
      <c r="I2391" t="s">
        <v>11385</v>
      </c>
      <c r="J2391">
        <v>11206</v>
      </c>
      <c r="K2391" t="s">
        <v>11446</v>
      </c>
      <c r="L2391" t="s">
        <v>11601</v>
      </c>
      <c r="M2391" t="s">
        <v>14745</v>
      </c>
      <c r="N2391" t="s">
        <v>14779</v>
      </c>
      <c r="P2391" t="s">
        <v>14798</v>
      </c>
      <c r="Q2391" t="s">
        <v>11446</v>
      </c>
      <c r="S2391" t="s">
        <v>14827</v>
      </c>
      <c r="T2391" t="s">
        <v>14832</v>
      </c>
      <c r="U2391" t="s">
        <v>484</v>
      </c>
      <c r="V2391">
        <v>1675</v>
      </c>
      <c r="W2391" t="s">
        <v>14859</v>
      </c>
      <c r="X2391" t="s">
        <v>14864</v>
      </c>
      <c r="Z2391" t="s">
        <v>16905</v>
      </c>
      <c r="AA2391" t="s">
        <v>11465</v>
      </c>
      <c r="AB2391" t="s">
        <v>21929</v>
      </c>
      <c r="AC2391">
        <v>16</v>
      </c>
      <c r="AD2391" t="s">
        <v>24595</v>
      </c>
      <c r="AE2391" t="s">
        <v>11459</v>
      </c>
      <c r="AF2391">
        <v>2</v>
      </c>
      <c r="AG2391">
        <v>1</v>
      </c>
      <c r="AH2391">
        <v>0</v>
      </c>
      <c r="AI2391">
        <v>880.7</v>
      </c>
      <c r="AL2391" t="s">
        <v>5011</v>
      </c>
      <c r="AM2391">
        <v>110000</v>
      </c>
      <c r="AN2391" t="s">
        <v>24827</v>
      </c>
      <c r="AS2391">
        <v>1.5</v>
      </c>
      <c r="AT2391" t="s">
        <v>603</v>
      </c>
      <c r="AU2391" t="s">
        <v>66</v>
      </c>
      <c r="AV2391" t="s">
        <v>25335</v>
      </c>
      <c r="AW2391" t="s">
        <v>11447</v>
      </c>
    </row>
    <row r="2392" spans="1:49">
      <c r="A2392" s="1">
        <f>HYPERLINK("https://lsnyc.legalserver.org/matter/dynamic-profile/view/1915059","19-1915059")</f>
        <v>0</v>
      </c>
      <c r="B2392" t="s">
        <v>266</v>
      </c>
      <c r="C2392" t="s">
        <v>521</v>
      </c>
      <c r="E2392" t="s">
        <v>1447</v>
      </c>
      <c r="F2392" t="s">
        <v>4546</v>
      </c>
      <c r="G2392" t="s">
        <v>7942</v>
      </c>
      <c r="H2392" t="s">
        <v>10972</v>
      </c>
      <c r="I2392" t="s">
        <v>11385</v>
      </c>
      <c r="J2392">
        <v>11213</v>
      </c>
      <c r="K2392" t="s">
        <v>11447</v>
      </c>
      <c r="L2392" t="s">
        <v>12229</v>
      </c>
      <c r="M2392" t="s">
        <v>14744</v>
      </c>
      <c r="N2392" t="s">
        <v>14778</v>
      </c>
      <c r="P2392" t="s">
        <v>14798</v>
      </c>
      <c r="S2392" t="s">
        <v>14827</v>
      </c>
      <c r="T2392" t="s">
        <v>14837</v>
      </c>
      <c r="U2392" t="s">
        <v>521</v>
      </c>
      <c r="V2392">
        <v>1032.49</v>
      </c>
      <c r="W2392" t="s">
        <v>14859</v>
      </c>
      <c r="X2392" t="s">
        <v>14868</v>
      </c>
      <c r="Z2392" t="s">
        <v>16906</v>
      </c>
      <c r="AB2392" t="s">
        <v>21930</v>
      </c>
      <c r="AC2392">
        <v>6</v>
      </c>
      <c r="AF2392">
        <v>27</v>
      </c>
      <c r="AG2392">
        <v>1</v>
      </c>
      <c r="AH2392">
        <v>0</v>
      </c>
      <c r="AI2392">
        <v>25.62</v>
      </c>
      <c r="AL2392" t="s">
        <v>5011</v>
      </c>
      <c r="AM2392">
        <v>3200</v>
      </c>
      <c r="AS2392">
        <v>1.5</v>
      </c>
      <c r="AT2392" t="s">
        <v>509</v>
      </c>
      <c r="AU2392" t="s">
        <v>25230</v>
      </c>
      <c r="AW2392" t="s">
        <v>11447</v>
      </c>
    </row>
    <row r="2393" spans="1:49">
      <c r="A2393" s="1">
        <f>HYPERLINK("https://lsnyc.legalserver.org/matter/dynamic-profile/view/1888976","19-1888976")</f>
        <v>0</v>
      </c>
      <c r="B2393" t="s">
        <v>248</v>
      </c>
      <c r="C2393" t="s">
        <v>334</v>
      </c>
      <c r="E2393" t="s">
        <v>1035</v>
      </c>
      <c r="F2393" t="s">
        <v>1983</v>
      </c>
      <c r="G2393" t="s">
        <v>7943</v>
      </c>
      <c r="H2393" t="s">
        <v>10689</v>
      </c>
      <c r="I2393" t="s">
        <v>11387</v>
      </c>
      <c r="J2393">
        <v>11434</v>
      </c>
      <c r="K2393" t="s">
        <v>11446</v>
      </c>
      <c r="L2393" t="s">
        <v>12230</v>
      </c>
      <c r="M2393" t="s">
        <v>14744</v>
      </c>
      <c r="N2393" t="s">
        <v>14778</v>
      </c>
      <c r="P2393" t="s">
        <v>14798</v>
      </c>
      <c r="Q2393" t="s">
        <v>11448</v>
      </c>
      <c r="S2393" t="s">
        <v>14827</v>
      </c>
      <c r="T2393" t="s">
        <v>14832</v>
      </c>
      <c r="V2393">
        <v>927</v>
      </c>
      <c r="W2393" t="s">
        <v>14861</v>
      </c>
      <c r="X2393" t="s">
        <v>14865</v>
      </c>
      <c r="Z2393" t="s">
        <v>16521</v>
      </c>
      <c r="AB2393" t="s">
        <v>21931</v>
      </c>
      <c r="AC2393">
        <v>293</v>
      </c>
      <c r="AD2393" t="s">
        <v>24598</v>
      </c>
      <c r="AE2393" t="s">
        <v>11459</v>
      </c>
      <c r="AF2393">
        <v>13</v>
      </c>
      <c r="AG2393">
        <v>1</v>
      </c>
      <c r="AH2393">
        <v>0</v>
      </c>
      <c r="AI2393">
        <v>0</v>
      </c>
      <c r="AL2393" t="s">
        <v>5011</v>
      </c>
      <c r="AM2393">
        <v>0</v>
      </c>
      <c r="AS2393">
        <v>1.7</v>
      </c>
      <c r="AT2393" t="s">
        <v>751</v>
      </c>
      <c r="AU2393" t="s">
        <v>25299</v>
      </c>
      <c r="AW2393" t="s">
        <v>11446</v>
      </c>
    </row>
    <row r="2394" spans="1:49">
      <c r="A2394" s="1">
        <f>HYPERLINK("https://lsnyc.legalserver.org/matter/dynamic-profile/view/1891964","19-1891964")</f>
        <v>0</v>
      </c>
      <c r="B2394" t="s">
        <v>89</v>
      </c>
      <c r="C2394" t="s">
        <v>708</v>
      </c>
      <c r="E2394" t="s">
        <v>1144</v>
      </c>
      <c r="F2394" t="s">
        <v>4850</v>
      </c>
      <c r="G2394" t="s">
        <v>7944</v>
      </c>
      <c r="H2394" t="s">
        <v>10579</v>
      </c>
      <c r="I2394" t="s">
        <v>11383</v>
      </c>
      <c r="J2394">
        <v>10453</v>
      </c>
      <c r="K2394" t="s">
        <v>11446</v>
      </c>
      <c r="L2394" t="s">
        <v>11465</v>
      </c>
      <c r="M2394" t="s">
        <v>14746</v>
      </c>
      <c r="N2394" t="s">
        <v>14781</v>
      </c>
      <c r="P2394" t="s">
        <v>14798</v>
      </c>
      <c r="Q2394" t="s">
        <v>11448</v>
      </c>
      <c r="R2394" t="s">
        <v>14795</v>
      </c>
      <c r="S2394" t="s">
        <v>14827</v>
      </c>
      <c r="T2394" t="s">
        <v>14832</v>
      </c>
      <c r="V2394">
        <v>1297</v>
      </c>
      <c r="W2394" t="s">
        <v>14858</v>
      </c>
      <c r="X2394" t="s">
        <v>14871</v>
      </c>
      <c r="Z2394" t="s">
        <v>16907</v>
      </c>
      <c r="AC2394">
        <v>0</v>
      </c>
      <c r="AD2394" t="s">
        <v>24595</v>
      </c>
      <c r="AE2394" t="s">
        <v>24610</v>
      </c>
      <c r="AF2394">
        <v>20</v>
      </c>
      <c r="AG2394">
        <v>1</v>
      </c>
      <c r="AH2394">
        <v>0</v>
      </c>
      <c r="AI2394">
        <v>0</v>
      </c>
      <c r="AL2394" t="s">
        <v>5011</v>
      </c>
      <c r="AM2394">
        <v>0</v>
      </c>
      <c r="AS2394">
        <v>6.05</v>
      </c>
      <c r="AT2394" t="s">
        <v>509</v>
      </c>
      <c r="AU2394" t="s">
        <v>89</v>
      </c>
      <c r="AW2394" t="s">
        <v>11446</v>
      </c>
    </row>
    <row r="2395" spans="1:49">
      <c r="A2395" s="1">
        <f>HYPERLINK("https://lsnyc.legalserver.org/matter/dynamic-profile/view/0806136","16-0806136")</f>
        <v>0</v>
      </c>
      <c r="B2395" t="s">
        <v>95</v>
      </c>
      <c r="C2395" t="s">
        <v>672</v>
      </c>
      <c r="E2395" t="s">
        <v>2299</v>
      </c>
      <c r="F2395" t="s">
        <v>4851</v>
      </c>
      <c r="G2395" t="s">
        <v>7569</v>
      </c>
      <c r="H2395" t="s">
        <v>10973</v>
      </c>
      <c r="I2395" t="s">
        <v>11383</v>
      </c>
      <c r="J2395">
        <v>10452</v>
      </c>
      <c r="K2395" t="s">
        <v>11448</v>
      </c>
      <c r="L2395" t="s">
        <v>12030</v>
      </c>
      <c r="M2395" t="s">
        <v>14763</v>
      </c>
      <c r="N2395" t="s">
        <v>14781</v>
      </c>
      <c r="P2395" t="s">
        <v>14798</v>
      </c>
      <c r="Q2395" t="s">
        <v>11446</v>
      </c>
      <c r="S2395" t="s">
        <v>14827</v>
      </c>
      <c r="V2395">
        <v>759</v>
      </c>
      <c r="W2395" t="s">
        <v>14858</v>
      </c>
      <c r="Z2395" t="s">
        <v>16908</v>
      </c>
      <c r="AC2395">
        <v>0</v>
      </c>
      <c r="AF2395">
        <v>0</v>
      </c>
      <c r="AG2395">
        <v>1</v>
      </c>
      <c r="AH2395">
        <v>3</v>
      </c>
      <c r="AI2395">
        <v>0</v>
      </c>
      <c r="AM2395">
        <v>0</v>
      </c>
      <c r="AN2395" t="s">
        <v>24828</v>
      </c>
      <c r="AS2395">
        <v>0.2</v>
      </c>
      <c r="AT2395" t="s">
        <v>356</v>
      </c>
      <c r="AU2395" t="s">
        <v>186</v>
      </c>
      <c r="AW2395" t="s">
        <v>11447</v>
      </c>
    </row>
    <row r="2396" spans="1:49">
      <c r="A2396" s="1">
        <f>HYPERLINK("https://lsnyc.legalserver.org/matter/dynamic-profile/view/0806190","16-0806190")</f>
        <v>0</v>
      </c>
      <c r="B2396" t="s">
        <v>100</v>
      </c>
      <c r="C2396" t="s">
        <v>672</v>
      </c>
      <c r="E2396" t="s">
        <v>2300</v>
      </c>
      <c r="F2396" t="s">
        <v>4852</v>
      </c>
      <c r="G2396" t="s">
        <v>7569</v>
      </c>
      <c r="H2396" t="s">
        <v>10568</v>
      </c>
      <c r="I2396" t="s">
        <v>11383</v>
      </c>
      <c r="J2396">
        <v>10452</v>
      </c>
      <c r="K2396" t="s">
        <v>11448</v>
      </c>
      <c r="L2396" t="s">
        <v>12030</v>
      </c>
      <c r="M2396" t="s">
        <v>14763</v>
      </c>
      <c r="N2396" t="s">
        <v>14781</v>
      </c>
      <c r="P2396" t="s">
        <v>14798</v>
      </c>
      <c r="Q2396" t="s">
        <v>11446</v>
      </c>
      <c r="R2396" t="s">
        <v>14798</v>
      </c>
      <c r="S2396" t="s">
        <v>14827</v>
      </c>
      <c r="V2396">
        <v>0</v>
      </c>
      <c r="W2396" t="s">
        <v>14858</v>
      </c>
      <c r="X2396" t="s">
        <v>14864</v>
      </c>
      <c r="Z2396" t="s">
        <v>16909</v>
      </c>
      <c r="AB2396" t="s">
        <v>21932</v>
      </c>
      <c r="AC2396">
        <v>0</v>
      </c>
      <c r="AF2396">
        <v>0</v>
      </c>
      <c r="AG2396">
        <v>2</v>
      </c>
      <c r="AH2396">
        <v>0</v>
      </c>
      <c r="AI2396">
        <v>0</v>
      </c>
      <c r="AL2396" t="s">
        <v>5011</v>
      </c>
      <c r="AM2396">
        <v>0</v>
      </c>
      <c r="AN2396" t="s">
        <v>24828</v>
      </c>
      <c r="AS2396">
        <v>0.1</v>
      </c>
      <c r="AT2396" t="s">
        <v>25143</v>
      </c>
      <c r="AU2396" t="s">
        <v>186</v>
      </c>
      <c r="AW2396" t="s">
        <v>11447</v>
      </c>
    </row>
    <row r="2397" spans="1:49">
      <c r="A2397" s="1">
        <f>HYPERLINK("https://lsnyc.legalserver.org/matter/dynamic-profile/view/0806192","16-0806192")</f>
        <v>0</v>
      </c>
      <c r="B2397" t="s">
        <v>100</v>
      </c>
      <c r="C2397" t="s">
        <v>672</v>
      </c>
      <c r="E2397" t="s">
        <v>1618</v>
      </c>
      <c r="F2397" t="s">
        <v>4403</v>
      </c>
      <c r="G2397" t="s">
        <v>7569</v>
      </c>
      <c r="H2397" t="s">
        <v>10819</v>
      </c>
      <c r="I2397" t="s">
        <v>11383</v>
      </c>
      <c r="J2397">
        <v>10452</v>
      </c>
      <c r="K2397" t="s">
        <v>11448</v>
      </c>
      <c r="L2397" t="s">
        <v>12030</v>
      </c>
      <c r="M2397" t="s">
        <v>14763</v>
      </c>
      <c r="N2397" t="s">
        <v>14781</v>
      </c>
      <c r="P2397" t="s">
        <v>14798</v>
      </c>
      <c r="Q2397" t="s">
        <v>11446</v>
      </c>
      <c r="S2397" t="s">
        <v>14827</v>
      </c>
      <c r="V2397">
        <v>798</v>
      </c>
      <c r="W2397" t="s">
        <v>14858</v>
      </c>
      <c r="Z2397" t="s">
        <v>16910</v>
      </c>
      <c r="AC2397">
        <v>0</v>
      </c>
      <c r="AF2397">
        <v>0</v>
      </c>
      <c r="AG2397">
        <v>1</v>
      </c>
      <c r="AH2397">
        <v>0</v>
      </c>
      <c r="AI2397">
        <v>0</v>
      </c>
      <c r="AL2397" t="s">
        <v>24632</v>
      </c>
      <c r="AM2397">
        <v>0</v>
      </c>
      <c r="AN2397" t="s">
        <v>24828</v>
      </c>
      <c r="AS2397">
        <v>0.1</v>
      </c>
      <c r="AT2397" t="s">
        <v>25144</v>
      </c>
      <c r="AU2397" t="s">
        <v>186</v>
      </c>
      <c r="AW2397" t="s">
        <v>11447</v>
      </c>
    </row>
    <row r="2398" spans="1:49">
      <c r="A2398" s="1">
        <f>HYPERLINK("https://lsnyc.legalserver.org/matter/dynamic-profile/view/0806249","16-0806249")</f>
        <v>0</v>
      </c>
      <c r="B2398" t="s">
        <v>95</v>
      </c>
      <c r="C2398" t="s">
        <v>672</v>
      </c>
      <c r="E2398" t="s">
        <v>2035</v>
      </c>
      <c r="F2398" t="s">
        <v>4573</v>
      </c>
      <c r="G2398" t="s">
        <v>7569</v>
      </c>
      <c r="H2398" t="s">
        <v>10859</v>
      </c>
      <c r="I2398" t="s">
        <v>11383</v>
      </c>
      <c r="J2398">
        <v>10452</v>
      </c>
      <c r="K2398" t="s">
        <v>11446</v>
      </c>
      <c r="L2398" t="s">
        <v>12030</v>
      </c>
      <c r="M2398" t="s">
        <v>14763</v>
      </c>
      <c r="N2398" t="s">
        <v>14781</v>
      </c>
      <c r="P2398" t="s">
        <v>14798</v>
      </c>
      <c r="Q2398" t="s">
        <v>11446</v>
      </c>
      <c r="S2398" t="s">
        <v>14827</v>
      </c>
      <c r="V2398">
        <v>849</v>
      </c>
      <c r="W2398" t="s">
        <v>14858</v>
      </c>
      <c r="X2398" t="s">
        <v>14864</v>
      </c>
      <c r="Z2398" t="s">
        <v>16421</v>
      </c>
      <c r="AB2398" t="s">
        <v>21469</v>
      </c>
      <c r="AC2398">
        <v>0</v>
      </c>
      <c r="AF2398">
        <v>0</v>
      </c>
      <c r="AG2398">
        <v>1</v>
      </c>
      <c r="AH2398">
        <v>0</v>
      </c>
      <c r="AI2398">
        <v>0</v>
      </c>
      <c r="AL2398" t="s">
        <v>5011</v>
      </c>
      <c r="AM2398">
        <v>0</v>
      </c>
      <c r="AN2398" t="s">
        <v>24828</v>
      </c>
      <c r="AS2398">
        <v>0.1</v>
      </c>
      <c r="AT2398" t="s">
        <v>25143</v>
      </c>
      <c r="AU2398" t="s">
        <v>186</v>
      </c>
      <c r="AW2398" t="s">
        <v>11447</v>
      </c>
    </row>
    <row r="2399" spans="1:49">
      <c r="A2399" s="1">
        <f>HYPERLINK("https://lsnyc.legalserver.org/matter/dynamic-profile/view/1870285","18-1870285")</f>
        <v>0</v>
      </c>
      <c r="B2399" t="s">
        <v>267</v>
      </c>
      <c r="C2399" t="s">
        <v>737</v>
      </c>
      <c r="E2399" t="s">
        <v>2301</v>
      </c>
      <c r="F2399" t="s">
        <v>4853</v>
      </c>
      <c r="G2399" t="s">
        <v>7945</v>
      </c>
      <c r="H2399" t="s">
        <v>10789</v>
      </c>
      <c r="I2399" t="s">
        <v>11385</v>
      </c>
      <c r="J2399">
        <v>11203</v>
      </c>
      <c r="K2399" t="s">
        <v>11447</v>
      </c>
      <c r="M2399" t="s">
        <v>14743</v>
      </c>
      <c r="N2399" t="s">
        <v>14782</v>
      </c>
      <c r="P2399" t="s">
        <v>14798</v>
      </c>
      <c r="Q2399" t="s">
        <v>11448</v>
      </c>
      <c r="S2399" t="s">
        <v>14827</v>
      </c>
      <c r="V2399">
        <v>920.09</v>
      </c>
      <c r="W2399" t="s">
        <v>14859</v>
      </c>
      <c r="X2399" t="s">
        <v>14868</v>
      </c>
      <c r="Z2399" t="s">
        <v>16759</v>
      </c>
      <c r="AB2399" t="s">
        <v>21933</v>
      </c>
      <c r="AC2399">
        <v>60</v>
      </c>
      <c r="AD2399" t="s">
        <v>24595</v>
      </c>
      <c r="AE2399" t="s">
        <v>24612</v>
      </c>
      <c r="AF2399">
        <v>7</v>
      </c>
      <c r="AG2399">
        <v>1</v>
      </c>
      <c r="AH2399">
        <v>2</v>
      </c>
      <c r="AI2399">
        <v>8.26</v>
      </c>
      <c r="AL2399" t="s">
        <v>5011</v>
      </c>
      <c r="AM2399">
        <v>1716</v>
      </c>
      <c r="AS2399">
        <v>5.7</v>
      </c>
      <c r="AT2399" t="s">
        <v>25145</v>
      </c>
      <c r="AU2399" t="s">
        <v>267</v>
      </c>
      <c r="AW2399" t="s">
        <v>11447</v>
      </c>
    </row>
    <row r="2400" spans="1:49">
      <c r="A2400" s="1">
        <f>HYPERLINK("https://lsnyc.legalserver.org/matter/dynamic-profile/view/1903950","19-1903950")</f>
        <v>0</v>
      </c>
      <c r="B2400" t="s">
        <v>193</v>
      </c>
      <c r="C2400" t="s">
        <v>659</v>
      </c>
      <c r="E2400" t="s">
        <v>1548</v>
      </c>
      <c r="F2400" t="s">
        <v>3975</v>
      </c>
      <c r="G2400" t="s">
        <v>7946</v>
      </c>
      <c r="I2400" t="s">
        <v>11385</v>
      </c>
      <c r="J2400">
        <v>11210</v>
      </c>
      <c r="K2400" t="s">
        <v>11447</v>
      </c>
      <c r="M2400" t="s">
        <v>11601</v>
      </c>
      <c r="N2400" t="s">
        <v>14781</v>
      </c>
      <c r="P2400" t="s">
        <v>14798</v>
      </c>
      <c r="Q2400" t="s">
        <v>11448</v>
      </c>
      <c r="S2400" t="s">
        <v>14827</v>
      </c>
      <c r="V2400">
        <v>1514</v>
      </c>
      <c r="W2400" t="s">
        <v>14859</v>
      </c>
      <c r="X2400" t="s">
        <v>14864</v>
      </c>
      <c r="Z2400" t="s">
        <v>16911</v>
      </c>
      <c r="AB2400" t="s">
        <v>21934</v>
      </c>
      <c r="AC2400">
        <v>42</v>
      </c>
      <c r="AF2400">
        <v>1</v>
      </c>
      <c r="AG2400">
        <v>1</v>
      </c>
      <c r="AH2400">
        <v>0</v>
      </c>
      <c r="AI2400">
        <v>29.3</v>
      </c>
      <c r="AM2400">
        <v>3659.5</v>
      </c>
      <c r="AS2400">
        <v>14.35</v>
      </c>
      <c r="AT2400" t="s">
        <v>483</v>
      </c>
      <c r="AU2400" t="s">
        <v>25273</v>
      </c>
      <c r="AW2400" t="s">
        <v>11447</v>
      </c>
    </row>
    <row r="2401" spans="1:49">
      <c r="A2401" s="1">
        <f>HYPERLINK("https://lsnyc.legalserver.org/matter/dynamic-profile/view/1870306","18-1870306")</f>
        <v>0</v>
      </c>
      <c r="B2401" t="s">
        <v>267</v>
      </c>
      <c r="C2401" t="s">
        <v>425</v>
      </c>
      <c r="E2401" t="s">
        <v>1181</v>
      </c>
      <c r="F2401" t="s">
        <v>1816</v>
      </c>
      <c r="G2401" t="s">
        <v>7947</v>
      </c>
      <c r="H2401" t="s">
        <v>10448</v>
      </c>
      <c r="I2401" t="s">
        <v>11385</v>
      </c>
      <c r="J2401">
        <v>11226</v>
      </c>
      <c r="K2401" t="s">
        <v>11447</v>
      </c>
      <c r="M2401" t="s">
        <v>14743</v>
      </c>
      <c r="N2401" t="s">
        <v>14782</v>
      </c>
      <c r="P2401" t="s">
        <v>14798</v>
      </c>
      <c r="Q2401" t="s">
        <v>11448</v>
      </c>
      <c r="S2401" t="s">
        <v>14827</v>
      </c>
      <c r="V2401">
        <v>1378.1</v>
      </c>
      <c r="W2401" t="s">
        <v>14859</v>
      </c>
      <c r="X2401" t="s">
        <v>14868</v>
      </c>
      <c r="Z2401" t="s">
        <v>16912</v>
      </c>
      <c r="AB2401" t="s">
        <v>21935</v>
      </c>
      <c r="AC2401">
        <v>0</v>
      </c>
      <c r="AD2401" t="s">
        <v>24595</v>
      </c>
      <c r="AE2401" t="s">
        <v>24610</v>
      </c>
      <c r="AF2401">
        <v>34</v>
      </c>
      <c r="AG2401">
        <v>3</v>
      </c>
      <c r="AH2401">
        <v>2</v>
      </c>
      <c r="AI2401">
        <v>45.22</v>
      </c>
      <c r="AL2401" t="s">
        <v>5011</v>
      </c>
      <c r="AM2401">
        <v>13302.64</v>
      </c>
      <c r="AS2401">
        <v>6.4</v>
      </c>
      <c r="AT2401" t="s">
        <v>503</v>
      </c>
      <c r="AU2401" t="s">
        <v>267</v>
      </c>
      <c r="AW2401" t="s">
        <v>11447</v>
      </c>
    </row>
    <row r="2402" spans="1:49">
      <c r="A2402" s="1">
        <f>HYPERLINK("https://lsnyc.legalserver.org/matter/dynamic-profile/view/1910772","19-1910772")</f>
        <v>0</v>
      </c>
      <c r="B2402" t="s">
        <v>193</v>
      </c>
      <c r="C2402" t="s">
        <v>644</v>
      </c>
      <c r="E2402" t="s">
        <v>2302</v>
      </c>
      <c r="F2402" t="s">
        <v>4854</v>
      </c>
      <c r="G2402" t="s">
        <v>7948</v>
      </c>
      <c r="H2402" t="s">
        <v>10719</v>
      </c>
      <c r="I2402" t="s">
        <v>11385</v>
      </c>
      <c r="J2402">
        <v>11226</v>
      </c>
      <c r="K2402" t="s">
        <v>11447</v>
      </c>
      <c r="L2402" t="s">
        <v>12231</v>
      </c>
      <c r="M2402" t="s">
        <v>14743</v>
      </c>
      <c r="N2402" t="s">
        <v>14781</v>
      </c>
      <c r="P2402" t="s">
        <v>14798</v>
      </c>
      <c r="S2402" t="s">
        <v>14827</v>
      </c>
      <c r="V2402">
        <v>1632</v>
      </c>
      <c r="W2402" t="s">
        <v>14859</v>
      </c>
      <c r="X2402" t="s">
        <v>14863</v>
      </c>
      <c r="Z2402" t="s">
        <v>16913</v>
      </c>
      <c r="AB2402" t="s">
        <v>21936</v>
      </c>
      <c r="AC2402">
        <v>0</v>
      </c>
      <c r="AF2402">
        <v>10</v>
      </c>
      <c r="AG2402">
        <v>2</v>
      </c>
      <c r="AH2402">
        <v>0</v>
      </c>
      <c r="AI2402">
        <v>54.71</v>
      </c>
      <c r="AL2402" t="s">
        <v>5011</v>
      </c>
      <c r="AM2402">
        <v>9252</v>
      </c>
      <c r="AS2402">
        <v>4.85</v>
      </c>
      <c r="AT2402" t="s">
        <v>574</v>
      </c>
      <c r="AU2402" t="s">
        <v>25273</v>
      </c>
      <c r="AW2402" t="s">
        <v>11447</v>
      </c>
    </row>
    <row r="2403" spans="1:49">
      <c r="A2403" s="1">
        <f>HYPERLINK("https://lsnyc.legalserver.org/matter/dynamic-profile/view/0819852","16-0819852")</f>
        <v>0</v>
      </c>
      <c r="B2403" t="s">
        <v>116</v>
      </c>
      <c r="C2403" t="s">
        <v>738</v>
      </c>
      <c r="E2403" t="s">
        <v>1145</v>
      </c>
      <c r="F2403" t="s">
        <v>4855</v>
      </c>
      <c r="G2403" t="s">
        <v>7949</v>
      </c>
      <c r="H2403" t="s">
        <v>10575</v>
      </c>
      <c r="I2403" t="s">
        <v>11383</v>
      </c>
      <c r="J2403">
        <v>10453</v>
      </c>
      <c r="K2403" t="s">
        <v>11446</v>
      </c>
      <c r="M2403" t="s">
        <v>14745</v>
      </c>
      <c r="N2403" t="s">
        <v>14778</v>
      </c>
      <c r="P2403" t="s">
        <v>14798</v>
      </c>
      <c r="Q2403" t="s">
        <v>11446</v>
      </c>
      <c r="S2403" t="s">
        <v>14827</v>
      </c>
      <c r="V2403">
        <v>1437.99</v>
      </c>
      <c r="W2403" t="s">
        <v>14858</v>
      </c>
      <c r="X2403" t="s">
        <v>14872</v>
      </c>
      <c r="Z2403" t="s">
        <v>16914</v>
      </c>
      <c r="AA2403" t="s">
        <v>19512</v>
      </c>
      <c r="AC2403">
        <v>101</v>
      </c>
      <c r="AD2403" t="s">
        <v>24595</v>
      </c>
      <c r="AE2403" t="s">
        <v>24610</v>
      </c>
      <c r="AF2403">
        <v>13</v>
      </c>
      <c r="AG2403">
        <v>1</v>
      </c>
      <c r="AH2403">
        <v>3</v>
      </c>
      <c r="AI2403">
        <v>68.69</v>
      </c>
      <c r="AL2403" t="s">
        <v>5011</v>
      </c>
      <c r="AM2403">
        <v>16692</v>
      </c>
      <c r="AN2403" t="s">
        <v>24829</v>
      </c>
      <c r="AS2403">
        <v>22.45</v>
      </c>
      <c r="AT2403" t="s">
        <v>25146</v>
      </c>
      <c r="AU2403" t="s">
        <v>116</v>
      </c>
      <c r="AW2403" t="s">
        <v>11447</v>
      </c>
    </row>
    <row r="2404" spans="1:49">
      <c r="A2404" s="1">
        <f>HYPERLINK("https://lsnyc.legalserver.org/matter/dynamic-profile/view/1910106","19-1910106")</f>
        <v>0</v>
      </c>
      <c r="B2404" t="s">
        <v>193</v>
      </c>
      <c r="C2404" t="s">
        <v>602</v>
      </c>
      <c r="E2404" t="s">
        <v>1048</v>
      </c>
      <c r="F2404" t="s">
        <v>3584</v>
      </c>
      <c r="G2404" t="s">
        <v>7950</v>
      </c>
      <c r="H2404" t="s">
        <v>10974</v>
      </c>
      <c r="I2404" t="s">
        <v>11385</v>
      </c>
      <c r="J2404">
        <v>11203</v>
      </c>
      <c r="K2404" t="s">
        <v>11447</v>
      </c>
      <c r="L2404" t="s">
        <v>12232</v>
      </c>
      <c r="M2404" t="s">
        <v>14744</v>
      </c>
      <c r="P2404" t="s">
        <v>14798</v>
      </c>
      <c r="Q2404" t="s">
        <v>11448</v>
      </c>
      <c r="S2404" t="s">
        <v>14827</v>
      </c>
      <c r="V2404">
        <v>1103.75</v>
      </c>
      <c r="W2404" t="s">
        <v>14859</v>
      </c>
      <c r="X2404" t="s">
        <v>14865</v>
      </c>
      <c r="Z2404" t="s">
        <v>16915</v>
      </c>
      <c r="AB2404" t="s">
        <v>21937</v>
      </c>
      <c r="AC2404">
        <v>49</v>
      </c>
      <c r="AD2404" t="s">
        <v>24595</v>
      </c>
      <c r="AF2404">
        <v>10</v>
      </c>
      <c r="AG2404">
        <v>1</v>
      </c>
      <c r="AH2404">
        <v>0</v>
      </c>
      <c r="AI2404">
        <v>76.86</v>
      </c>
      <c r="AM2404">
        <v>9600</v>
      </c>
      <c r="AS2404">
        <v>2.8</v>
      </c>
      <c r="AT2404" t="s">
        <v>571</v>
      </c>
      <c r="AU2404" t="s">
        <v>91</v>
      </c>
      <c r="AW2404" t="s">
        <v>11447</v>
      </c>
    </row>
    <row r="2405" spans="1:49">
      <c r="A2405" s="1">
        <f>HYPERLINK("https://lsnyc.legalserver.org/matter/dynamic-profile/view/0793248","15-0793248")</f>
        <v>0</v>
      </c>
      <c r="B2405" t="s">
        <v>95</v>
      </c>
      <c r="C2405" t="s">
        <v>739</v>
      </c>
      <c r="E2405" t="s">
        <v>2303</v>
      </c>
      <c r="F2405" t="s">
        <v>4856</v>
      </c>
      <c r="G2405" t="s">
        <v>7569</v>
      </c>
      <c r="H2405" t="s">
        <v>10975</v>
      </c>
      <c r="I2405" t="s">
        <v>11383</v>
      </c>
      <c r="J2405">
        <v>10452</v>
      </c>
      <c r="K2405" t="s">
        <v>11448</v>
      </c>
      <c r="L2405" t="s">
        <v>12030</v>
      </c>
      <c r="M2405" t="s">
        <v>14763</v>
      </c>
      <c r="N2405" t="s">
        <v>14781</v>
      </c>
      <c r="P2405" t="s">
        <v>14798</v>
      </c>
      <c r="Q2405" t="s">
        <v>11446</v>
      </c>
      <c r="S2405" t="s">
        <v>14827</v>
      </c>
      <c r="V2405">
        <v>888.96</v>
      </c>
      <c r="W2405" t="s">
        <v>14858</v>
      </c>
      <c r="X2405" t="s">
        <v>14871</v>
      </c>
      <c r="Z2405" t="s">
        <v>16916</v>
      </c>
      <c r="AB2405" t="s">
        <v>21938</v>
      </c>
      <c r="AC2405">
        <v>0</v>
      </c>
      <c r="AD2405" t="s">
        <v>24595</v>
      </c>
      <c r="AF2405">
        <v>5</v>
      </c>
      <c r="AG2405">
        <v>2</v>
      </c>
      <c r="AH2405">
        <v>3</v>
      </c>
      <c r="AI2405">
        <v>88</v>
      </c>
      <c r="AL2405" t="s">
        <v>5011</v>
      </c>
      <c r="AM2405">
        <v>25000</v>
      </c>
      <c r="AN2405" t="s">
        <v>24828</v>
      </c>
      <c r="AS2405">
        <v>0.2</v>
      </c>
      <c r="AT2405" t="s">
        <v>356</v>
      </c>
      <c r="AU2405" t="s">
        <v>186</v>
      </c>
      <c r="AW2405" t="s">
        <v>11447</v>
      </c>
    </row>
    <row r="2406" spans="1:49">
      <c r="A2406" s="1">
        <f>HYPERLINK("https://lsnyc.legalserver.org/matter/dynamic-profile/view/1907730","19-1907730")</f>
        <v>0</v>
      </c>
      <c r="B2406" t="s">
        <v>116</v>
      </c>
      <c r="C2406" t="s">
        <v>377</v>
      </c>
      <c r="E2406" t="s">
        <v>1319</v>
      </c>
      <c r="F2406" t="s">
        <v>3821</v>
      </c>
      <c r="G2406" t="s">
        <v>6621</v>
      </c>
      <c r="H2406">
        <v>1</v>
      </c>
      <c r="I2406" t="s">
        <v>11383</v>
      </c>
      <c r="J2406">
        <v>10456</v>
      </c>
      <c r="K2406" t="s">
        <v>11446</v>
      </c>
      <c r="M2406" t="s">
        <v>11601</v>
      </c>
      <c r="N2406" t="s">
        <v>14780</v>
      </c>
      <c r="P2406" t="s">
        <v>14798</v>
      </c>
      <c r="Q2406" t="s">
        <v>11448</v>
      </c>
      <c r="S2406" t="s">
        <v>14830</v>
      </c>
      <c r="V2406">
        <v>0</v>
      </c>
      <c r="W2406" t="s">
        <v>14858</v>
      </c>
      <c r="X2406" t="s">
        <v>14864</v>
      </c>
      <c r="Z2406" t="s">
        <v>15245</v>
      </c>
      <c r="AB2406" t="s">
        <v>20400</v>
      </c>
      <c r="AC2406">
        <v>2</v>
      </c>
      <c r="AD2406" t="s">
        <v>11479</v>
      </c>
      <c r="AE2406" t="s">
        <v>24610</v>
      </c>
      <c r="AF2406">
        <v>20</v>
      </c>
      <c r="AG2406">
        <v>3</v>
      </c>
      <c r="AH2406">
        <v>1</v>
      </c>
      <c r="AI2406">
        <v>96.51000000000001</v>
      </c>
      <c r="AL2406" t="s">
        <v>5011</v>
      </c>
      <c r="AM2406">
        <v>24852</v>
      </c>
      <c r="AS2406">
        <v>15.55</v>
      </c>
      <c r="AT2406" t="s">
        <v>521</v>
      </c>
      <c r="AU2406" t="s">
        <v>116</v>
      </c>
      <c r="AV2406" t="s">
        <v>25335</v>
      </c>
      <c r="AW2406" t="s">
        <v>11447</v>
      </c>
    </row>
    <row r="2407" spans="1:49">
      <c r="A2407" s="1">
        <f>HYPERLINK("https://lsnyc.legalserver.org/matter/dynamic-profile/view/1913544","19-1913544")</f>
        <v>0</v>
      </c>
      <c r="B2407" t="s">
        <v>268</v>
      </c>
      <c r="C2407" t="s">
        <v>477</v>
      </c>
      <c r="E2407" t="s">
        <v>1686</v>
      </c>
      <c r="F2407" t="s">
        <v>4857</v>
      </c>
      <c r="G2407" t="s">
        <v>7951</v>
      </c>
      <c r="I2407" t="s">
        <v>11383</v>
      </c>
      <c r="J2407">
        <v>10455</v>
      </c>
      <c r="K2407" t="s">
        <v>11447</v>
      </c>
      <c r="L2407" t="s">
        <v>12233</v>
      </c>
      <c r="M2407" t="s">
        <v>14760</v>
      </c>
      <c r="N2407" t="s">
        <v>14781</v>
      </c>
      <c r="P2407" t="s">
        <v>14798</v>
      </c>
      <c r="Q2407" t="s">
        <v>11448</v>
      </c>
      <c r="S2407" t="s">
        <v>14829</v>
      </c>
      <c r="T2407" t="s">
        <v>14832</v>
      </c>
      <c r="V2407">
        <v>439</v>
      </c>
      <c r="W2407" t="s">
        <v>14858</v>
      </c>
      <c r="X2407" t="s">
        <v>14868</v>
      </c>
      <c r="Z2407" t="s">
        <v>16917</v>
      </c>
      <c r="AB2407" t="s">
        <v>21939</v>
      </c>
      <c r="AC2407">
        <v>0</v>
      </c>
      <c r="AD2407" t="s">
        <v>24595</v>
      </c>
      <c r="AF2407">
        <v>0</v>
      </c>
      <c r="AG2407">
        <v>2</v>
      </c>
      <c r="AH2407">
        <v>0</v>
      </c>
      <c r="AI2407">
        <v>107.72</v>
      </c>
      <c r="AL2407" t="s">
        <v>24632</v>
      </c>
      <c r="AM2407">
        <v>18216</v>
      </c>
      <c r="AS2407">
        <v>3.95</v>
      </c>
      <c r="AT2407" t="s">
        <v>580</v>
      </c>
      <c r="AU2407" t="s">
        <v>301</v>
      </c>
      <c r="AW2407" t="s">
        <v>11447</v>
      </c>
    </row>
    <row r="2408" spans="1:49">
      <c r="A2408" s="1">
        <f>HYPERLINK("https://lsnyc.legalserver.org/matter/dynamic-profile/view/0806214","16-0806214")</f>
        <v>0</v>
      </c>
      <c r="B2408" t="s">
        <v>95</v>
      </c>
      <c r="C2408" t="s">
        <v>672</v>
      </c>
      <c r="E2408" t="s">
        <v>1230</v>
      </c>
      <c r="F2408" t="s">
        <v>4858</v>
      </c>
      <c r="G2408" t="s">
        <v>7569</v>
      </c>
      <c r="H2408" t="s">
        <v>10638</v>
      </c>
      <c r="I2408" t="s">
        <v>11383</v>
      </c>
      <c r="J2408">
        <v>10452</v>
      </c>
      <c r="K2408" t="s">
        <v>11448</v>
      </c>
      <c r="L2408" t="s">
        <v>12030</v>
      </c>
      <c r="M2408" t="s">
        <v>14763</v>
      </c>
      <c r="N2408" t="s">
        <v>14781</v>
      </c>
      <c r="P2408" t="s">
        <v>14798</v>
      </c>
      <c r="Q2408" t="s">
        <v>11446</v>
      </c>
      <c r="S2408" t="s">
        <v>14827</v>
      </c>
      <c r="V2408">
        <v>0</v>
      </c>
      <c r="W2408" t="s">
        <v>14858</v>
      </c>
      <c r="Z2408" t="s">
        <v>16918</v>
      </c>
      <c r="AC2408">
        <v>0</v>
      </c>
      <c r="AF2408">
        <v>0</v>
      </c>
      <c r="AG2408">
        <v>3</v>
      </c>
      <c r="AH2408">
        <v>1</v>
      </c>
      <c r="AI2408">
        <v>111.11</v>
      </c>
      <c r="AL2408" t="s">
        <v>5011</v>
      </c>
      <c r="AM2408">
        <v>27000</v>
      </c>
      <c r="AN2408" t="s">
        <v>24828</v>
      </c>
      <c r="AS2408">
        <v>0.2</v>
      </c>
      <c r="AT2408" t="s">
        <v>356</v>
      </c>
      <c r="AU2408" t="s">
        <v>186</v>
      </c>
      <c r="AW2408" t="s">
        <v>11447</v>
      </c>
    </row>
    <row r="2409" spans="1:49">
      <c r="A2409" s="1">
        <f>HYPERLINK("https://lsnyc.legalserver.org/matter/dynamic-profile/view/1892742","19-1892742")</f>
        <v>0</v>
      </c>
      <c r="B2409" t="s">
        <v>198</v>
      </c>
      <c r="C2409" t="s">
        <v>702</v>
      </c>
      <c r="E2409" t="s">
        <v>1144</v>
      </c>
      <c r="F2409" t="s">
        <v>4859</v>
      </c>
      <c r="G2409" t="s">
        <v>7952</v>
      </c>
      <c r="H2409" t="s">
        <v>10730</v>
      </c>
      <c r="I2409" t="s">
        <v>11385</v>
      </c>
      <c r="J2409">
        <v>11213</v>
      </c>
      <c r="K2409" t="s">
        <v>11446</v>
      </c>
      <c r="L2409" t="s">
        <v>12234</v>
      </c>
      <c r="M2409" t="s">
        <v>14744</v>
      </c>
      <c r="N2409" t="s">
        <v>14781</v>
      </c>
      <c r="P2409" t="s">
        <v>14798</v>
      </c>
      <c r="Q2409" t="s">
        <v>11448</v>
      </c>
      <c r="S2409" t="s">
        <v>14827</v>
      </c>
      <c r="T2409" t="s">
        <v>14837</v>
      </c>
      <c r="V2409">
        <v>1213</v>
      </c>
      <c r="W2409" t="s">
        <v>14859</v>
      </c>
      <c r="X2409" t="s">
        <v>14868</v>
      </c>
      <c r="Z2409" t="s">
        <v>16919</v>
      </c>
      <c r="AA2409" t="s">
        <v>19513</v>
      </c>
      <c r="AB2409" t="s">
        <v>21940</v>
      </c>
      <c r="AC2409">
        <v>0</v>
      </c>
      <c r="AE2409" t="s">
        <v>24612</v>
      </c>
      <c r="AF2409">
        <v>4</v>
      </c>
      <c r="AG2409">
        <v>1</v>
      </c>
      <c r="AH2409">
        <v>0</v>
      </c>
      <c r="AI2409">
        <v>126.53</v>
      </c>
      <c r="AL2409" t="s">
        <v>5011</v>
      </c>
      <c r="AM2409">
        <v>15804</v>
      </c>
      <c r="AS2409">
        <v>19.6</v>
      </c>
      <c r="AT2409" t="s">
        <v>380</v>
      </c>
      <c r="AU2409" t="s">
        <v>189</v>
      </c>
      <c r="AW2409" t="s">
        <v>11446</v>
      </c>
    </row>
    <row r="2410" spans="1:49">
      <c r="A2410" s="1">
        <f>HYPERLINK("https://lsnyc.legalserver.org/matter/dynamic-profile/view/0780327","15-0780327")</f>
        <v>0</v>
      </c>
      <c r="B2410" t="s">
        <v>100</v>
      </c>
      <c r="C2410" t="s">
        <v>740</v>
      </c>
      <c r="E2410" t="s">
        <v>2304</v>
      </c>
      <c r="F2410" t="s">
        <v>4860</v>
      </c>
      <c r="G2410" t="s">
        <v>7569</v>
      </c>
      <c r="H2410" t="s">
        <v>10976</v>
      </c>
      <c r="I2410" t="s">
        <v>11383</v>
      </c>
      <c r="J2410">
        <v>10452</v>
      </c>
      <c r="K2410" t="s">
        <v>11446</v>
      </c>
      <c r="L2410" t="s">
        <v>12030</v>
      </c>
      <c r="M2410" t="s">
        <v>14773</v>
      </c>
      <c r="N2410" t="s">
        <v>14781</v>
      </c>
      <c r="P2410" t="s">
        <v>14798</v>
      </c>
      <c r="Q2410" t="s">
        <v>11446</v>
      </c>
      <c r="S2410" t="s">
        <v>14827</v>
      </c>
      <c r="V2410">
        <v>1300.95</v>
      </c>
      <c r="W2410" t="s">
        <v>14858</v>
      </c>
      <c r="Z2410" t="s">
        <v>16920</v>
      </c>
      <c r="AB2410" t="s">
        <v>21941</v>
      </c>
      <c r="AC2410">
        <v>0</v>
      </c>
      <c r="AD2410" t="s">
        <v>24595</v>
      </c>
      <c r="AF2410">
        <v>9</v>
      </c>
      <c r="AG2410">
        <v>2</v>
      </c>
      <c r="AH2410">
        <v>3</v>
      </c>
      <c r="AI2410">
        <v>132.7</v>
      </c>
      <c r="AL2410" t="s">
        <v>5011</v>
      </c>
      <c r="AM2410">
        <v>37700</v>
      </c>
      <c r="AN2410" t="s">
        <v>24828</v>
      </c>
      <c r="AS2410">
        <v>1.35</v>
      </c>
      <c r="AT2410" t="s">
        <v>356</v>
      </c>
      <c r="AU2410" t="s">
        <v>186</v>
      </c>
      <c r="AW2410" t="s">
        <v>11447</v>
      </c>
    </row>
    <row r="2411" spans="1:49">
      <c r="A2411" s="1">
        <f>HYPERLINK("https://lsnyc.legalserver.org/matter/dynamic-profile/view/1864407","18-1864407")</f>
        <v>0</v>
      </c>
      <c r="B2411" t="s">
        <v>269</v>
      </c>
      <c r="C2411" t="s">
        <v>570</v>
      </c>
      <c r="E2411" t="s">
        <v>1056</v>
      </c>
      <c r="F2411" t="s">
        <v>4861</v>
      </c>
      <c r="G2411" t="s">
        <v>7953</v>
      </c>
      <c r="H2411" t="s">
        <v>10977</v>
      </c>
      <c r="I2411" t="s">
        <v>11386</v>
      </c>
      <c r="J2411">
        <v>10019</v>
      </c>
      <c r="K2411" t="s">
        <v>11447</v>
      </c>
      <c r="P2411" t="s">
        <v>14798</v>
      </c>
      <c r="S2411" t="s">
        <v>14829</v>
      </c>
      <c r="V2411">
        <v>0</v>
      </c>
      <c r="W2411" t="s">
        <v>14860</v>
      </c>
      <c r="Z2411" t="s">
        <v>16921</v>
      </c>
      <c r="AB2411" t="s">
        <v>21942</v>
      </c>
      <c r="AC2411">
        <v>0</v>
      </c>
      <c r="AF2411">
        <v>0</v>
      </c>
      <c r="AG2411">
        <v>1</v>
      </c>
      <c r="AH2411">
        <v>0</v>
      </c>
      <c r="AI2411">
        <v>137.59</v>
      </c>
      <c r="AL2411" t="s">
        <v>5011</v>
      </c>
      <c r="AM2411">
        <v>16704</v>
      </c>
      <c r="AS2411">
        <v>21.5</v>
      </c>
      <c r="AT2411" t="s">
        <v>495</v>
      </c>
      <c r="AU2411" t="s">
        <v>269</v>
      </c>
      <c r="AW2411" t="s">
        <v>11447</v>
      </c>
    </row>
    <row r="2412" spans="1:49">
      <c r="A2412" s="1">
        <f>HYPERLINK("https://lsnyc.legalserver.org/matter/dynamic-profile/view/0780285","15-0780285")</f>
        <v>0</v>
      </c>
      <c r="B2412" t="s">
        <v>100</v>
      </c>
      <c r="C2412" t="s">
        <v>740</v>
      </c>
      <c r="E2412" t="s">
        <v>1528</v>
      </c>
      <c r="F2412" t="s">
        <v>4862</v>
      </c>
      <c r="G2412" t="s">
        <v>7569</v>
      </c>
      <c r="H2412" t="s">
        <v>10596</v>
      </c>
      <c r="I2412" t="s">
        <v>11383</v>
      </c>
      <c r="J2412">
        <v>10452</v>
      </c>
      <c r="K2412" t="s">
        <v>11446</v>
      </c>
      <c r="L2412" t="s">
        <v>12235</v>
      </c>
      <c r="M2412" t="s">
        <v>14773</v>
      </c>
      <c r="N2412" t="s">
        <v>14781</v>
      </c>
      <c r="P2412" t="s">
        <v>14798</v>
      </c>
      <c r="Q2412" t="s">
        <v>11446</v>
      </c>
      <c r="S2412" t="s">
        <v>14827</v>
      </c>
      <c r="V2412">
        <v>1050</v>
      </c>
      <c r="W2412" t="s">
        <v>14858</v>
      </c>
      <c r="X2412" t="s">
        <v>14864</v>
      </c>
      <c r="Z2412" t="s">
        <v>16922</v>
      </c>
      <c r="AB2412" t="s">
        <v>21943</v>
      </c>
      <c r="AC2412">
        <v>0</v>
      </c>
      <c r="AD2412" t="s">
        <v>24595</v>
      </c>
      <c r="AF2412">
        <v>25</v>
      </c>
      <c r="AG2412">
        <v>2</v>
      </c>
      <c r="AH2412">
        <v>0</v>
      </c>
      <c r="AI2412">
        <v>143.13</v>
      </c>
      <c r="AL2412" t="s">
        <v>5011</v>
      </c>
      <c r="AM2412">
        <v>22800</v>
      </c>
      <c r="AN2412" t="s">
        <v>24828</v>
      </c>
      <c r="AS2412">
        <v>0.35</v>
      </c>
      <c r="AT2412" t="s">
        <v>25147</v>
      </c>
      <c r="AU2412" t="s">
        <v>186</v>
      </c>
      <c r="AW2412" t="s">
        <v>11447</v>
      </c>
    </row>
    <row r="2413" spans="1:49">
      <c r="A2413" s="1">
        <f>HYPERLINK("https://lsnyc.legalserver.org/matter/dynamic-profile/view/1850876","17-1850876")</f>
        <v>0</v>
      </c>
      <c r="B2413" t="s">
        <v>109</v>
      </c>
      <c r="C2413" t="s">
        <v>741</v>
      </c>
      <c r="E2413" t="s">
        <v>2217</v>
      </c>
      <c r="F2413" t="s">
        <v>4762</v>
      </c>
      <c r="G2413" t="s">
        <v>7823</v>
      </c>
      <c r="H2413" t="s">
        <v>10939</v>
      </c>
      <c r="I2413" t="s">
        <v>11385</v>
      </c>
      <c r="J2413">
        <v>11205</v>
      </c>
      <c r="K2413" t="s">
        <v>11447</v>
      </c>
      <c r="M2413" t="s">
        <v>14746</v>
      </c>
      <c r="N2413" t="s">
        <v>14781</v>
      </c>
      <c r="P2413" t="s">
        <v>14798</v>
      </c>
      <c r="Q2413" t="s">
        <v>11448</v>
      </c>
      <c r="S2413" t="s">
        <v>14827</v>
      </c>
      <c r="V2413">
        <v>0</v>
      </c>
      <c r="W2413" t="s">
        <v>14859</v>
      </c>
      <c r="X2413" t="s">
        <v>14868</v>
      </c>
      <c r="Z2413" t="s">
        <v>16749</v>
      </c>
      <c r="AB2413" t="s">
        <v>21777</v>
      </c>
      <c r="AC2413">
        <v>0</v>
      </c>
      <c r="AD2413" t="s">
        <v>24599</v>
      </c>
      <c r="AE2413" t="s">
        <v>11459</v>
      </c>
      <c r="AF2413">
        <v>0</v>
      </c>
      <c r="AG2413">
        <v>1</v>
      </c>
      <c r="AH2413">
        <v>1</v>
      </c>
      <c r="AI2413">
        <v>147.78</v>
      </c>
      <c r="AL2413" t="s">
        <v>5011</v>
      </c>
      <c r="AM2413">
        <v>32472</v>
      </c>
      <c r="AS2413">
        <v>42.27</v>
      </c>
      <c r="AT2413" t="s">
        <v>580</v>
      </c>
      <c r="AU2413" t="s">
        <v>189</v>
      </c>
      <c r="AW2413" t="s">
        <v>11447</v>
      </c>
    </row>
    <row r="2414" spans="1:49">
      <c r="A2414" s="1">
        <f>HYPERLINK("https://lsnyc.legalserver.org/matter/dynamic-profile/view/0826079","17-0826079")</f>
        <v>0</v>
      </c>
      <c r="B2414" t="s">
        <v>102</v>
      </c>
      <c r="C2414" t="s">
        <v>742</v>
      </c>
      <c r="E2414" t="s">
        <v>1165</v>
      </c>
      <c r="F2414" t="s">
        <v>4863</v>
      </c>
      <c r="G2414" t="s">
        <v>7704</v>
      </c>
      <c r="I2414" t="s">
        <v>11383</v>
      </c>
      <c r="J2414">
        <v>10453</v>
      </c>
      <c r="K2414" t="s">
        <v>11448</v>
      </c>
      <c r="M2414" t="s">
        <v>14746</v>
      </c>
      <c r="N2414" t="s">
        <v>14782</v>
      </c>
      <c r="P2414" t="s">
        <v>14798</v>
      </c>
      <c r="Q2414" t="s">
        <v>11446</v>
      </c>
      <c r="S2414" t="s">
        <v>14827</v>
      </c>
      <c r="V2414">
        <v>0</v>
      </c>
      <c r="W2414" t="s">
        <v>14858</v>
      </c>
      <c r="Z2414" t="s">
        <v>16923</v>
      </c>
      <c r="AB2414" t="s">
        <v>21944</v>
      </c>
      <c r="AC2414">
        <v>0</v>
      </c>
      <c r="AF2414">
        <v>0</v>
      </c>
      <c r="AG2414">
        <v>2</v>
      </c>
      <c r="AH2414">
        <v>0</v>
      </c>
      <c r="AI2414">
        <v>148.4</v>
      </c>
      <c r="AL2414" t="s">
        <v>5011</v>
      </c>
      <c r="AM2414">
        <v>24200</v>
      </c>
      <c r="AN2414" t="s">
        <v>24830</v>
      </c>
      <c r="AS2414">
        <v>2.7</v>
      </c>
      <c r="AT2414" t="s">
        <v>446</v>
      </c>
      <c r="AU2414" t="s">
        <v>114</v>
      </c>
      <c r="AW2414" t="s">
        <v>11447</v>
      </c>
    </row>
    <row r="2415" spans="1:49">
      <c r="A2415" s="1">
        <f>HYPERLINK("https://lsnyc.legalserver.org/matter/dynamic-profile/view/1902988","19-1902988")</f>
        <v>0</v>
      </c>
      <c r="B2415" t="s">
        <v>115</v>
      </c>
      <c r="C2415" t="s">
        <v>659</v>
      </c>
      <c r="E2415" t="s">
        <v>1378</v>
      </c>
      <c r="F2415" t="s">
        <v>3547</v>
      </c>
      <c r="G2415" t="s">
        <v>7954</v>
      </c>
      <c r="H2415" t="s">
        <v>10665</v>
      </c>
      <c r="I2415" t="s">
        <v>11383</v>
      </c>
      <c r="J2415">
        <v>10460</v>
      </c>
      <c r="K2415" t="s">
        <v>11446</v>
      </c>
      <c r="L2415" t="s">
        <v>12236</v>
      </c>
      <c r="M2415" t="s">
        <v>14744</v>
      </c>
      <c r="N2415" t="s">
        <v>14778</v>
      </c>
      <c r="P2415" t="s">
        <v>14798</v>
      </c>
      <c r="Q2415" t="s">
        <v>11448</v>
      </c>
      <c r="S2415" t="s">
        <v>14827</v>
      </c>
      <c r="V2415">
        <v>1060</v>
      </c>
      <c r="W2415" t="s">
        <v>14858</v>
      </c>
      <c r="Z2415" t="s">
        <v>16924</v>
      </c>
      <c r="AB2415" t="s">
        <v>21945</v>
      </c>
      <c r="AC2415">
        <v>80</v>
      </c>
      <c r="AF2415">
        <v>0</v>
      </c>
      <c r="AG2415">
        <v>2</v>
      </c>
      <c r="AH2415">
        <v>2</v>
      </c>
      <c r="AI2415">
        <v>155.34</v>
      </c>
      <c r="AL2415" t="s">
        <v>5011</v>
      </c>
      <c r="AM2415">
        <v>40000</v>
      </c>
      <c r="AN2415" t="s">
        <v>24831</v>
      </c>
      <c r="AS2415">
        <v>0</v>
      </c>
      <c r="AU2415" t="s">
        <v>145</v>
      </c>
      <c r="AV2415" t="s">
        <v>25335</v>
      </c>
      <c r="AW2415" t="s">
        <v>11447</v>
      </c>
    </row>
    <row r="2416" spans="1:49">
      <c r="A2416" s="1">
        <f>HYPERLINK("https://lsnyc.legalserver.org/matter/dynamic-profile/view/1837226","17-1837226")</f>
        <v>0</v>
      </c>
      <c r="B2416" t="s">
        <v>270</v>
      </c>
      <c r="C2416" t="s">
        <v>743</v>
      </c>
      <c r="E2416" t="s">
        <v>1056</v>
      </c>
      <c r="F2416" t="s">
        <v>3547</v>
      </c>
      <c r="G2416" t="s">
        <v>7955</v>
      </c>
      <c r="H2416" t="s">
        <v>10978</v>
      </c>
      <c r="I2416" t="s">
        <v>11386</v>
      </c>
      <c r="J2416">
        <v>10013</v>
      </c>
      <c r="K2416" t="s">
        <v>11447</v>
      </c>
      <c r="N2416" t="s">
        <v>14784</v>
      </c>
      <c r="P2416" t="s">
        <v>14798</v>
      </c>
      <c r="S2416" t="s">
        <v>14828</v>
      </c>
      <c r="V2416">
        <v>0</v>
      </c>
      <c r="W2416" t="s">
        <v>14859</v>
      </c>
      <c r="Z2416" t="s">
        <v>14915</v>
      </c>
      <c r="AC2416">
        <v>0</v>
      </c>
      <c r="AE2416" t="s">
        <v>24610</v>
      </c>
      <c r="AF2416">
        <v>41</v>
      </c>
      <c r="AG2416">
        <v>1</v>
      </c>
      <c r="AH2416">
        <v>0</v>
      </c>
      <c r="AI2416">
        <v>159.2</v>
      </c>
      <c r="AM2416">
        <v>19200</v>
      </c>
      <c r="AS2416">
        <v>111.35</v>
      </c>
      <c r="AT2416" t="s">
        <v>465</v>
      </c>
      <c r="AU2416" t="s">
        <v>270</v>
      </c>
      <c r="AW2416" t="s">
        <v>11447</v>
      </c>
    </row>
    <row r="2417" spans="1:49">
      <c r="A2417" s="1">
        <f>HYPERLINK("https://lsnyc.legalserver.org/matter/dynamic-profile/view/0798539","16-0798539")</f>
        <v>0</v>
      </c>
      <c r="B2417" t="s">
        <v>99</v>
      </c>
      <c r="C2417" t="s">
        <v>744</v>
      </c>
      <c r="E2417" t="s">
        <v>2305</v>
      </c>
      <c r="F2417" t="s">
        <v>4864</v>
      </c>
      <c r="G2417" t="s">
        <v>7956</v>
      </c>
      <c r="H2417">
        <v>2</v>
      </c>
      <c r="I2417" t="s">
        <v>11388</v>
      </c>
      <c r="J2417">
        <v>11385</v>
      </c>
      <c r="K2417" t="s">
        <v>11447</v>
      </c>
      <c r="N2417" t="s">
        <v>14778</v>
      </c>
      <c r="P2417" t="s">
        <v>14798</v>
      </c>
      <c r="S2417" t="s">
        <v>14827</v>
      </c>
      <c r="V2417">
        <v>0</v>
      </c>
      <c r="W2417" t="s">
        <v>14861</v>
      </c>
      <c r="Z2417" t="s">
        <v>16925</v>
      </c>
      <c r="AB2417" t="s">
        <v>21946</v>
      </c>
      <c r="AC2417">
        <v>0</v>
      </c>
      <c r="AF2417">
        <v>0</v>
      </c>
      <c r="AG2417">
        <v>4</v>
      </c>
      <c r="AH2417">
        <v>0</v>
      </c>
      <c r="AI2417">
        <v>160.49</v>
      </c>
      <c r="AL2417" t="s">
        <v>5011</v>
      </c>
      <c r="AM2417">
        <v>39000</v>
      </c>
      <c r="AS2417">
        <v>1</v>
      </c>
      <c r="AT2417" t="s">
        <v>744</v>
      </c>
      <c r="AU2417" t="s">
        <v>99</v>
      </c>
      <c r="AW2417" t="s">
        <v>11447</v>
      </c>
    </row>
    <row r="2418" spans="1:49">
      <c r="A2418" s="1">
        <f>HYPERLINK("https://lsnyc.legalserver.org/matter/dynamic-profile/view/1914920","19-1914920")</f>
        <v>0</v>
      </c>
      <c r="B2418" t="s">
        <v>73</v>
      </c>
      <c r="C2418" t="s">
        <v>537</v>
      </c>
      <c r="E2418" t="s">
        <v>2306</v>
      </c>
      <c r="F2418" t="s">
        <v>4865</v>
      </c>
      <c r="G2418" t="s">
        <v>7957</v>
      </c>
      <c r="H2418" t="s">
        <v>10516</v>
      </c>
      <c r="I2418" t="s">
        <v>11383</v>
      </c>
      <c r="J2418">
        <v>10453</v>
      </c>
      <c r="K2418" t="s">
        <v>11447</v>
      </c>
      <c r="N2418" t="s">
        <v>14778</v>
      </c>
      <c r="P2418" t="s">
        <v>14798</v>
      </c>
      <c r="S2418" t="s">
        <v>14827</v>
      </c>
      <c r="V2418">
        <v>1665</v>
      </c>
      <c r="W2418" t="s">
        <v>14858</v>
      </c>
      <c r="Z2418" t="s">
        <v>16926</v>
      </c>
      <c r="AC2418">
        <v>90</v>
      </c>
      <c r="AE2418" t="s">
        <v>24610</v>
      </c>
      <c r="AF2418">
        <v>1</v>
      </c>
      <c r="AG2418">
        <v>1</v>
      </c>
      <c r="AH2418">
        <v>0</v>
      </c>
      <c r="AI2418">
        <v>161.99</v>
      </c>
      <c r="AL2418" t="s">
        <v>5011</v>
      </c>
      <c r="AM2418">
        <v>20232</v>
      </c>
      <c r="AS2418">
        <v>1.45</v>
      </c>
      <c r="AT2418" t="s">
        <v>654</v>
      </c>
      <c r="AU2418" t="s">
        <v>25227</v>
      </c>
      <c r="AW2418" t="s">
        <v>11447</v>
      </c>
    </row>
    <row r="2419" spans="1:49">
      <c r="A2419" s="1">
        <f>HYPERLINK("https://lsnyc.legalserver.org/matter/dynamic-profile/view/0806613","16-0806613")</f>
        <v>0</v>
      </c>
      <c r="B2419" t="s">
        <v>100</v>
      </c>
      <c r="C2419" t="s">
        <v>731</v>
      </c>
      <c r="E2419" t="s">
        <v>2307</v>
      </c>
      <c r="F2419" t="s">
        <v>4866</v>
      </c>
      <c r="G2419" t="s">
        <v>7569</v>
      </c>
      <c r="H2419" t="s">
        <v>10595</v>
      </c>
      <c r="I2419" t="s">
        <v>11383</v>
      </c>
      <c r="J2419">
        <v>10452</v>
      </c>
      <c r="K2419" t="s">
        <v>11448</v>
      </c>
      <c r="L2419" t="s">
        <v>12030</v>
      </c>
      <c r="M2419" t="s">
        <v>14763</v>
      </c>
      <c r="N2419" t="s">
        <v>14781</v>
      </c>
      <c r="P2419" t="s">
        <v>14798</v>
      </c>
      <c r="Q2419" t="s">
        <v>11446</v>
      </c>
      <c r="S2419" t="s">
        <v>14827</v>
      </c>
      <c r="V2419">
        <v>1365.52</v>
      </c>
      <c r="W2419" t="s">
        <v>14858</v>
      </c>
      <c r="X2419" t="s">
        <v>14864</v>
      </c>
      <c r="Z2419" t="s">
        <v>16927</v>
      </c>
      <c r="AB2419" t="s">
        <v>21947</v>
      </c>
      <c r="AC2419">
        <v>0</v>
      </c>
      <c r="AD2419" t="s">
        <v>24595</v>
      </c>
      <c r="AF2419">
        <v>0</v>
      </c>
      <c r="AG2419">
        <v>2</v>
      </c>
      <c r="AH2419">
        <v>1</v>
      </c>
      <c r="AI2419">
        <v>173.61</v>
      </c>
      <c r="AL2419" t="s">
        <v>5011</v>
      </c>
      <c r="AM2419">
        <v>35000</v>
      </c>
      <c r="AN2419" t="s">
        <v>24828</v>
      </c>
      <c r="AS2419">
        <v>8.9</v>
      </c>
      <c r="AT2419" t="s">
        <v>624</v>
      </c>
      <c r="AU2419" t="s">
        <v>186</v>
      </c>
      <c r="AW2419" t="s">
        <v>11447</v>
      </c>
    </row>
    <row r="2420" spans="1:49">
      <c r="A2420" s="1">
        <f>HYPERLINK("https://lsnyc.legalserver.org/matter/dynamic-profile/view/1886298","18-1886298")</f>
        <v>0</v>
      </c>
      <c r="B2420" t="s">
        <v>214</v>
      </c>
      <c r="C2420" t="s">
        <v>341</v>
      </c>
      <c r="E2420" t="s">
        <v>2308</v>
      </c>
      <c r="F2420" t="s">
        <v>1706</v>
      </c>
      <c r="G2420" t="s">
        <v>7958</v>
      </c>
      <c r="I2420" t="s">
        <v>11385</v>
      </c>
      <c r="J2420">
        <v>11236</v>
      </c>
      <c r="K2420" t="s">
        <v>11448</v>
      </c>
      <c r="L2420" t="s">
        <v>11474</v>
      </c>
      <c r="M2420" t="s">
        <v>11601</v>
      </c>
      <c r="P2420" t="s">
        <v>14798</v>
      </c>
      <c r="Q2420" t="s">
        <v>11448</v>
      </c>
      <c r="S2420" t="s">
        <v>14827</v>
      </c>
      <c r="T2420" t="s">
        <v>14832</v>
      </c>
      <c r="V2420">
        <v>2000</v>
      </c>
      <c r="W2420" t="s">
        <v>14859</v>
      </c>
      <c r="X2420" t="s">
        <v>14868</v>
      </c>
      <c r="Z2420" t="s">
        <v>16928</v>
      </c>
      <c r="AA2420" t="s">
        <v>11459</v>
      </c>
      <c r="AB2420" t="s">
        <v>21948</v>
      </c>
      <c r="AC2420">
        <v>3</v>
      </c>
      <c r="AD2420" t="s">
        <v>24600</v>
      </c>
      <c r="AE2420" t="s">
        <v>11459</v>
      </c>
      <c r="AF2420">
        <v>1</v>
      </c>
      <c r="AG2420">
        <v>2</v>
      </c>
      <c r="AH2420">
        <v>2</v>
      </c>
      <c r="AI2420">
        <v>176.1</v>
      </c>
      <c r="AL2420" t="s">
        <v>5011</v>
      </c>
      <c r="AM2420">
        <v>44200</v>
      </c>
      <c r="AS2420">
        <v>5</v>
      </c>
      <c r="AT2420" t="s">
        <v>415</v>
      </c>
      <c r="AU2420" t="s">
        <v>66</v>
      </c>
      <c r="AW2420" t="s">
        <v>11448</v>
      </c>
    </row>
    <row r="2421" spans="1:49">
      <c r="A2421" s="1">
        <f>HYPERLINK("https://lsnyc.legalserver.org/matter/dynamic-profile/view/1886974","18-1886974")</f>
        <v>0</v>
      </c>
      <c r="B2421" t="s">
        <v>188</v>
      </c>
      <c r="C2421" t="s">
        <v>482</v>
      </c>
      <c r="E2421" t="s">
        <v>2309</v>
      </c>
      <c r="F2421" t="s">
        <v>4867</v>
      </c>
      <c r="G2421" t="s">
        <v>7959</v>
      </c>
      <c r="H2421" t="s">
        <v>10979</v>
      </c>
      <c r="I2421" t="s">
        <v>11386</v>
      </c>
      <c r="J2421">
        <v>10009</v>
      </c>
      <c r="K2421" t="s">
        <v>11446</v>
      </c>
      <c r="M2421" t="s">
        <v>11601</v>
      </c>
      <c r="N2421" t="s">
        <v>14778</v>
      </c>
      <c r="P2421" t="s">
        <v>14798</v>
      </c>
      <c r="Q2421" t="s">
        <v>11448</v>
      </c>
      <c r="S2421" t="s">
        <v>14828</v>
      </c>
      <c r="V2421">
        <v>1436</v>
      </c>
      <c r="W2421" t="s">
        <v>14860</v>
      </c>
      <c r="X2421" t="s">
        <v>14868</v>
      </c>
      <c r="Z2421" t="s">
        <v>16929</v>
      </c>
      <c r="AB2421" t="s">
        <v>21949</v>
      </c>
      <c r="AC2421">
        <v>0</v>
      </c>
      <c r="AD2421" t="s">
        <v>24597</v>
      </c>
      <c r="AE2421" t="s">
        <v>11459</v>
      </c>
      <c r="AF2421">
        <v>22</v>
      </c>
      <c r="AG2421">
        <v>3</v>
      </c>
      <c r="AH2421">
        <v>2</v>
      </c>
      <c r="AI2421">
        <v>182.97</v>
      </c>
      <c r="AL2421" t="s">
        <v>5011</v>
      </c>
      <c r="AM2421">
        <v>53828.43</v>
      </c>
      <c r="AS2421">
        <v>4.3</v>
      </c>
      <c r="AT2421" t="s">
        <v>534</v>
      </c>
      <c r="AU2421" t="s">
        <v>25276</v>
      </c>
      <c r="AW2421" t="s">
        <v>11446</v>
      </c>
    </row>
    <row r="2422" spans="1:49">
      <c r="A2422" s="1">
        <f>HYPERLINK("https://lsnyc.legalserver.org/matter/dynamic-profile/view/1896477","19-1896477")</f>
        <v>0</v>
      </c>
      <c r="B2422" t="s">
        <v>150</v>
      </c>
      <c r="C2422" t="s">
        <v>677</v>
      </c>
      <c r="E2422" t="s">
        <v>1334</v>
      </c>
      <c r="F2422" t="s">
        <v>3738</v>
      </c>
      <c r="G2422" t="s">
        <v>7960</v>
      </c>
      <c r="H2422" t="s">
        <v>10467</v>
      </c>
      <c r="I2422" t="s">
        <v>11385</v>
      </c>
      <c r="J2422">
        <v>11233</v>
      </c>
      <c r="K2422" t="s">
        <v>11446</v>
      </c>
      <c r="L2422" t="s">
        <v>12237</v>
      </c>
      <c r="M2422" t="s">
        <v>14744</v>
      </c>
      <c r="N2422" t="s">
        <v>14781</v>
      </c>
      <c r="P2422" t="s">
        <v>14798</v>
      </c>
      <c r="Q2422" t="s">
        <v>11448</v>
      </c>
      <c r="S2422" t="s">
        <v>14827</v>
      </c>
      <c r="T2422" t="s">
        <v>14832</v>
      </c>
      <c r="V2422">
        <v>1166</v>
      </c>
      <c r="W2422" t="s">
        <v>14859</v>
      </c>
      <c r="X2422" t="s">
        <v>14868</v>
      </c>
      <c r="Y2422" t="s">
        <v>14887</v>
      </c>
      <c r="Z2422" t="s">
        <v>16930</v>
      </c>
      <c r="AB2422" t="s">
        <v>21950</v>
      </c>
      <c r="AC2422">
        <v>0</v>
      </c>
      <c r="AD2422" t="s">
        <v>24595</v>
      </c>
      <c r="AF2422">
        <v>5</v>
      </c>
      <c r="AG2422">
        <v>1</v>
      </c>
      <c r="AH2422">
        <v>0</v>
      </c>
      <c r="AI2422">
        <v>200.16</v>
      </c>
      <c r="AL2422" t="s">
        <v>5011</v>
      </c>
      <c r="AM2422">
        <v>25000</v>
      </c>
      <c r="AO2422" t="s">
        <v>24930</v>
      </c>
      <c r="AP2422" t="s">
        <v>24959</v>
      </c>
      <c r="AQ2422" t="s">
        <v>24986</v>
      </c>
      <c r="AR2422" t="s">
        <v>25021</v>
      </c>
      <c r="AS2422">
        <v>18</v>
      </c>
      <c r="AT2422" t="s">
        <v>478</v>
      </c>
      <c r="AU2422" t="s">
        <v>25235</v>
      </c>
      <c r="AW2422" t="s">
        <v>11446</v>
      </c>
    </row>
    <row r="2423" spans="1:49">
      <c r="A2423" s="1">
        <f>HYPERLINK("https://lsnyc.legalserver.org/matter/dynamic-profile/view/1914149","19-1914149")</f>
        <v>0</v>
      </c>
      <c r="B2423" t="s">
        <v>131</v>
      </c>
      <c r="C2423" t="s">
        <v>580</v>
      </c>
      <c r="E2423" t="s">
        <v>2310</v>
      </c>
      <c r="F2423" t="s">
        <v>4012</v>
      </c>
      <c r="G2423" t="s">
        <v>7961</v>
      </c>
      <c r="H2423" t="s">
        <v>10980</v>
      </c>
      <c r="I2423" t="s">
        <v>11385</v>
      </c>
      <c r="J2423">
        <v>11225</v>
      </c>
      <c r="K2423" t="s">
        <v>11447</v>
      </c>
      <c r="P2423" t="s">
        <v>14798</v>
      </c>
      <c r="S2423" t="s">
        <v>14827</v>
      </c>
      <c r="V2423">
        <v>1090</v>
      </c>
      <c r="W2423" t="s">
        <v>14859</v>
      </c>
      <c r="Z2423" t="s">
        <v>16931</v>
      </c>
      <c r="AB2423" t="s">
        <v>21951</v>
      </c>
      <c r="AC2423">
        <v>132</v>
      </c>
      <c r="AD2423" t="s">
        <v>24595</v>
      </c>
      <c r="AE2423" t="s">
        <v>24613</v>
      </c>
      <c r="AF2423">
        <v>55</v>
      </c>
      <c r="AG2423">
        <v>1</v>
      </c>
      <c r="AH2423">
        <v>0</v>
      </c>
      <c r="AI2423">
        <v>201.76</v>
      </c>
      <c r="AL2423" t="s">
        <v>5011</v>
      </c>
      <c r="AM2423">
        <v>25200</v>
      </c>
      <c r="AS2423">
        <v>1</v>
      </c>
      <c r="AT2423" t="s">
        <v>580</v>
      </c>
      <c r="AU2423" t="s">
        <v>25237</v>
      </c>
      <c r="AW2423" t="s">
        <v>11447</v>
      </c>
    </row>
    <row r="2424" spans="1:49">
      <c r="A2424" s="1">
        <f>HYPERLINK("https://lsnyc.legalserver.org/matter/dynamic-profile/view/1861193","18-1861193")</f>
        <v>0</v>
      </c>
      <c r="B2424" t="s">
        <v>107</v>
      </c>
      <c r="C2424" t="s">
        <v>696</v>
      </c>
      <c r="E2424" t="s">
        <v>2311</v>
      </c>
      <c r="F2424" t="s">
        <v>3984</v>
      </c>
      <c r="G2424" t="s">
        <v>6316</v>
      </c>
      <c r="H2424" t="s">
        <v>10981</v>
      </c>
      <c r="I2424" t="s">
        <v>11385</v>
      </c>
      <c r="J2424">
        <v>11206</v>
      </c>
      <c r="K2424" t="s">
        <v>11446</v>
      </c>
      <c r="L2424" t="s">
        <v>11601</v>
      </c>
      <c r="M2424" t="s">
        <v>14755</v>
      </c>
      <c r="P2424" t="s">
        <v>14798</v>
      </c>
      <c r="Q2424" t="s">
        <v>11448</v>
      </c>
      <c r="S2424" t="s">
        <v>14827</v>
      </c>
      <c r="V2424">
        <v>1441</v>
      </c>
      <c r="W2424" t="s">
        <v>14859</v>
      </c>
      <c r="X2424" t="s">
        <v>14872</v>
      </c>
      <c r="Z2424" t="s">
        <v>16932</v>
      </c>
      <c r="AA2424" t="s">
        <v>19514</v>
      </c>
      <c r="AB2424" t="s">
        <v>21952</v>
      </c>
      <c r="AC2424">
        <v>200</v>
      </c>
      <c r="AD2424" t="s">
        <v>24596</v>
      </c>
      <c r="AE2424" t="s">
        <v>24614</v>
      </c>
      <c r="AF2424">
        <v>10</v>
      </c>
      <c r="AG2424">
        <v>1</v>
      </c>
      <c r="AH2424">
        <v>1</v>
      </c>
      <c r="AI2424">
        <v>204.52</v>
      </c>
      <c r="AL2424" t="s">
        <v>5011</v>
      </c>
      <c r="AM2424">
        <v>33664</v>
      </c>
      <c r="AS2424">
        <v>0.6</v>
      </c>
      <c r="AT2424" t="s">
        <v>696</v>
      </c>
      <c r="AU2424" t="s">
        <v>25244</v>
      </c>
      <c r="AW2424" t="s">
        <v>11447</v>
      </c>
    </row>
    <row r="2425" spans="1:49">
      <c r="A2425" s="1">
        <f>HYPERLINK("https://lsnyc.legalserver.org/matter/dynamic-profile/view/1888938","19-1888938")</f>
        <v>0</v>
      </c>
      <c r="B2425" t="s">
        <v>256</v>
      </c>
      <c r="C2425" t="s">
        <v>334</v>
      </c>
      <c r="E2425" t="s">
        <v>2312</v>
      </c>
      <c r="F2425" t="s">
        <v>3685</v>
      </c>
      <c r="G2425" t="s">
        <v>7962</v>
      </c>
      <c r="H2425" t="s">
        <v>10959</v>
      </c>
      <c r="I2425" t="s">
        <v>11383</v>
      </c>
      <c r="J2425">
        <v>10467</v>
      </c>
      <c r="K2425" t="s">
        <v>11447</v>
      </c>
      <c r="L2425" t="s">
        <v>12238</v>
      </c>
      <c r="M2425" t="s">
        <v>14750</v>
      </c>
      <c r="N2425" t="s">
        <v>14783</v>
      </c>
      <c r="P2425" t="s">
        <v>14798</v>
      </c>
      <c r="Q2425" t="s">
        <v>11448</v>
      </c>
      <c r="S2425" t="s">
        <v>14828</v>
      </c>
      <c r="T2425" t="s">
        <v>14832</v>
      </c>
      <c r="V2425">
        <v>833</v>
      </c>
      <c r="W2425" t="s">
        <v>14858</v>
      </c>
      <c r="X2425" t="s">
        <v>14867</v>
      </c>
      <c r="Z2425" t="s">
        <v>16933</v>
      </c>
      <c r="AB2425" t="s">
        <v>21953</v>
      </c>
      <c r="AC2425">
        <v>130</v>
      </c>
      <c r="AD2425" t="s">
        <v>24596</v>
      </c>
      <c r="AE2425" t="s">
        <v>11459</v>
      </c>
      <c r="AF2425">
        <v>2</v>
      </c>
      <c r="AG2425">
        <v>1</v>
      </c>
      <c r="AH2425">
        <v>1</v>
      </c>
      <c r="AI2425">
        <v>206.98</v>
      </c>
      <c r="AL2425" t="s">
        <v>5011</v>
      </c>
      <c r="AM2425">
        <v>35000</v>
      </c>
      <c r="AS2425">
        <v>5.2</v>
      </c>
      <c r="AT2425" t="s">
        <v>620</v>
      </c>
      <c r="AU2425" t="s">
        <v>25226</v>
      </c>
      <c r="AW2425" t="s">
        <v>11447</v>
      </c>
    </row>
    <row r="2426" spans="1:49">
      <c r="A2426" s="1">
        <f>HYPERLINK("https://lsnyc.legalserver.org/matter/dynamic-profile/view/1910080","19-1910080")</f>
        <v>0</v>
      </c>
      <c r="B2426" t="s">
        <v>63</v>
      </c>
      <c r="C2426" t="s">
        <v>471</v>
      </c>
      <c r="E2426" t="s">
        <v>1030</v>
      </c>
      <c r="F2426" t="s">
        <v>4868</v>
      </c>
      <c r="G2426" t="s">
        <v>7963</v>
      </c>
      <c r="I2426" t="s">
        <v>11419</v>
      </c>
      <c r="J2426">
        <v>11420</v>
      </c>
      <c r="K2426" t="s">
        <v>11447</v>
      </c>
      <c r="P2426" t="s">
        <v>14798</v>
      </c>
      <c r="S2426" t="s">
        <v>14827</v>
      </c>
      <c r="V2426">
        <v>1700</v>
      </c>
      <c r="W2426" t="s">
        <v>14861</v>
      </c>
      <c r="Z2426" t="s">
        <v>16934</v>
      </c>
      <c r="AB2426" t="s">
        <v>21954</v>
      </c>
      <c r="AC2426">
        <v>8</v>
      </c>
      <c r="AF2426">
        <v>1</v>
      </c>
      <c r="AG2426">
        <v>1</v>
      </c>
      <c r="AH2426">
        <v>0</v>
      </c>
      <c r="AI2426">
        <v>208.17</v>
      </c>
      <c r="AL2426" t="s">
        <v>5011</v>
      </c>
      <c r="AM2426">
        <v>26000</v>
      </c>
      <c r="AS2426">
        <v>1</v>
      </c>
      <c r="AT2426" t="s">
        <v>471</v>
      </c>
      <c r="AU2426" t="s">
        <v>25227</v>
      </c>
      <c r="AW2426" t="s">
        <v>11447</v>
      </c>
    </row>
    <row r="2427" spans="1:49">
      <c r="A2427" s="1">
        <f>HYPERLINK("https://lsnyc.legalserver.org/matter/dynamic-profile/view/1914569","19-1914569")</f>
        <v>0</v>
      </c>
      <c r="B2427" t="s">
        <v>65</v>
      </c>
      <c r="C2427" t="s">
        <v>478</v>
      </c>
      <c r="E2427" t="s">
        <v>2313</v>
      </c>
      <c r="F2427" t="s">
        <v>4869</v>
      </c>
      <c r="G2427" t="s">
        <v>7964</v>
      </c>
      <c r="H2427" t="s">
        <v>10982</v>
      </c>
      <c r="I2427" t="s">
        <v>11385</v>
      </c>
      <c r="J2427">
        <v>11237</v>
      </c>
      <c r="K2427" t="s">
        <v>11447</v>
      </c>
      <c r="P2427" t="s">
        <v>14798</v>
      </c>
      <c r="S2427" t="s">
        <v>14827</v>
      </c>
      <c r="V2427">
        <v>725</v>
      </c>
      <c r="W2427" t="s">
        <v>14859</v>
      </c>
      <c r="X2427" t="s">
        <v>14863</v>
      </c>
      <c r="Z2427" t="s">
        <v>16935</v>
      </c>
      <c r="AB2427" t="s">
        <v>21955</v>
      </c>
      <c r="AC2427">
        <v>5</v>
      </c>
      <c r="AF2427">
        <v>10</v>
      </c>
      <c r="AG2427">
        <v>1</v>
      </c>
      <c r="AH2427">
        <v>0</v>
      </c>
      <c r="AI2427">
        <v>208.17</v>
      </c>
      <c r="AL2427" t="s">
        <v>5011</v>
      </c>
      <c r="AM2427">
        <v>26000</v>
      </c>
      <c r="AS2427">
        <v>0.5</v>
      </c>
      <c r="AT2427" t="s">
        <v>478</v>
      </c>
      <c r="AU2427" t="s">
        <v>25253</v>
      </c>
      <c r="AW2427" t="s">
        <v>11447</v>
      </c>
    </row>
    <row r="2428" spans="1:49">
      <c r="A2428" s="1">
        <f>HYPERLINK("https://lsnyc.legalserver.org/matter/dynamic-profile/view/1915187","19-1915187")</f>
        <v>0</v>
      </c>
      <c r="B2428" t="s">
        <v>240</v>
      </c>
      <c r="C2428" t="s">
        <v>516</v>
      </c>
      <c r="E2428" t="s">
        <v>1637</v>
      </c>
      <c r="F2428" t="s">
        <v>3369</v>
      </c>
      <c r="G2428" t="s">
        <v>7965</v>
      </c>
      <c r="H2428" t="s">
        <v>10662</v>
      </c>
      <c r="I2428" t="s">
        <v>11385</v>
      </c>
      <c r="J2428">
        <v>11226</v>
      </c>
      <c r="K2428" t="s">
        <v>11446</v>
      </c>
      <c r="L2428" t="s">
        <v>12239</v>
      </c>
      <c r="M2428" t="s">
        <v>14744</v>
      </c>
      <c r="N2428" t="s">
        <v>14782</v>
      </c>
      <c r="P2428" t="s">
        <v>14798</v>
      </c>
      <c r="S2428" t="s">
        <v>14827</v>
      </c>
      <c r="V2428">
        <v>1142</v>
      </c>
      <c r="W2428" t="s">
        <v>14859</v>
      </c>
      <c r="X2428" t="s">
        <v>14865</v>
      </c>
      <c r="Z2428" t="s">
        <v>16936</v>
      </c>
      <c r="AB2428" t="s">
        <v>21956</v>
      </c>
      <c r="AC2428">
        <v>0</v>
      </c>
      <c r="AF2428">
        <v>31</v>
      </c>
      <c r="AG2428">
        <v>1</v>
      </c>
      <c r="AH2428">
        <v>0</v>
      </c>
      <c r="AI2428">
        <v>208.17</v>
      </c>
      <c r="AL2428" t="s">
        <v>5011</v>
      </c>
      <c r="AM2428">
        <v>26000</v>
      </c>
      <c r="AS2428">
        <v>0.25</v>
      </c>
      <c r="AT2428" t="s">
        <v>509</v>
      </c>
      <c r="AU2428" t="s">
        <v>25235</v>
      </c>
      <c r="AV2428" t="s">
        <v>25335</v>
      </c>
      <c r="AW2428" t="s">
        <v>11447</v>
      </c>
    </row>
    <row r="2429" spans="1:49">
      <c r="A2429" s="1">
        <f>HYPERLINK("https://lsnyc.legalserver.org/matter/dynamic-profile/view/1905906","19-1905906")</f>
        <v>0</v>
      </c>
      <c r="B2429" t="s">
        <v>115</v>
      </c>
      <c r="C2429" t="s">
        <v>500</v>
      </c>
      <c r="E2429" t="s">
        <v>1181</v>
      </c>
      <c r="F2429" t="s">
        <v>4870</v>
      </c>
      <c r="G2429" t="s">
        <v>7966</v>
      </c>
      <c r="H2429">
        <v>1</v>
      </c>
      <c r="I2429" t="s">
        <v>11383</v>
      </c>
      <c r="J2429">
        <v>10457</v>
      </c>
      <c r="K2429" t="s">
        <v>11446</v>
      </c>
      <c r="L2429" t="s">
        <v>12240</v>
      </c>
      <c r="M2429" t="s">
        <v>14743</v>
      </c>
      <c r="P2429" t="s">
        <v>14798</v>
      </c>
      <c r="Q2429" t="s">
        <v>11448</v>
      </c>
      <c r="S2429" t="s">
        <v>14827</v>
      </c>
      <c r="V2429">
        <v>0</v>
      </c>
      <c r="W2429" t="s">
        <v>14858</v>
      </c>
      <c r="Z2429" t="s">
        <v>16937</v>
      </c>
      <c r="AB2429" t="s">
        <v>21957</v>
      </c>
      <c r="AC2429">
        <v>3</v>
      </c>
      <c r="AF2429">
        <v>6</v>
      </c>
      <c r="AG2429">
        <v>1</v>
      </c>
      <c r="AH2429">
        <v>0</v>
      </c>
      <c r="AI2429">
        <v>208.17</v>
      </c>
      <c r="AL2429" t="s">
        <v>5011</v>
      </c>
      <c r="AM2429">
        <v>26000</v>
      </c>
      <c r="AN2429" t="s">
        <v>24832</v>
      </c>
      <c r="AS2429">
        <v>0</v>
      </c>
      <c r="AU2429" t="s">
        <v>145</v>
      </c>
      <c r="AV2429" t="s">
        <v>25335</v>
      </c>
      <c r="AW2429" t="s">
        <v>11447</v>
      </c>
    </row>
    <row r="2430" spans="1:49">
      <c r="A2430" s="1">
        <f>HYPERLINK("https://lsnyc.legalserver.org/matter/dynamic-profile/view/1912357","19-1912357")</f>
        <v>0</v>
      </c>
      <c r="B2430" t="s">
        <v>131</v>
      </c>
      <c r="C2430" t="s">
        <v>473</v>
      </c>
      <c r="E2430" t="s">
        <v>1309</v>
      </c>
      <c r="F2430" t="s">
        <v>4871</v>
      </c>
      <c r="G2430" t="s">
        <v>7967</v>
      </c>
      <c r="H2430">
        <v>407</v>
      </c>
      <c r="I2430" t="s">
        <v>11385</v>
      </c>
      <c r="J2430">
        <v>11209</v>
      </c>
      <c r="K2430" t="s">
        <v>11447</v>
      </c>
      <c r="M2430" t="s">
        <v>11601</v>
      </c>
      <c r="P2430" t="s">
        <v>14798</v>
      </c>
      <c r="S2430" t="s">
        <v>14827</v>
      </c>
      <c r="V2430">
        <v>956.98</v>
      </c>
      <c r="W2430" t="s">
        <v>14859</v>
      </c>
      <c r="X2430" t="s">
        <v>14868</v>
      </c>
      <c r="Z2430" t="s">
        <v>16938</v>
      </c>
      <c r="AB2430" t="s">
        <v>21958</v>
      </c>
      <c r="AC2430">
        <v>67</v>
      </c>
      <c r="AD2430" t="s">
        <v>24595</v>
      </c>
      <c r="AE2430" t="s">
        <v>24613</v>
      </c>
      <c r="AF2430">
        <v>30</v>
      </c>
      <c r="AG2430">
        <v>1</v>
      </c>
      <c r="AH2430">
        <v>0</v>
      </c>
      <c r="AI2430">
        <v>210.89</v>
      </c>
      <c r="AL2430" t="s">
        <v>5011</v>
      </c>
      <c r="AM2430">
        <v>26340</v>
      </c>
      <c r="AS2430">
        <v>0.5</v>
      </c>
      <c r="AT2430" t="s">
        <v>473</v>
      </c>
      <c r="AU2430" t="s">
        <v>25244</v>
      </c>
      <c r="AW2430" t="s">
        <v>11447</v>
      </c>
    </row>
    <row r="2431" spans="1:49">
      <c r="A2431" s="1">
        <f>HYPERLINK("https://lsnyc.legalserver.org/matter/dynamic-profile/view/0789086","15-0789086")</f>
        <v>0</v>
      </c>
      <c r="B2431" t="s">
        <v>95</v>
      </c>
      <c r="C2431" t="s">
        <v>739</v>
      </c>
      <c r="E2431" t="s">
        <v>1953</v>
      </c>
      <c r="F2431" t="s">
        <v>4211</v>
      </c>
      <c r="G2431" t="s">
        <v>7569</v>
      </c>
      <c r="H2431" t="s">
        <v>10788</v>
      </c>
      <c r="I2431" t="s">
        <v>11383</v>
      </c>
      <c r="J2431">
        <v>10452</v>
      </c>
      <c r="K2431" t="s">
        <v>11448</v>
      </c>
      <c r="L2431" t="s">
        <v>12030</v>
      </c>
      <c r="M2431" t="s">
        <v>14763</v>
      </c>
      <c r="N2431" t="s">
        <v>14781</v>
      </c>
      <c r="P2431" t="s">
        <v>14798</v>
      </c>
      <c r="Q2431" t="s">
        <v>11446</v>
      </c>
      <c r="S2431" t="s">
        <v>14827</v>
      </c>
      <c r="V2431">
        <v>1400</v>
      </c>
      <c r="W2431" t="s">
        <v>14858</v>
      </c>
      <c r="X2431" t="s">
        <v>14871</v>
      </c>
      <c r="Z2431" t="s">
        <v>16939</v>
      </c>
      <c r="AB2431" t="s">
        <v>21959</v>
      </c>
      <c r="AC2431">
        <v>0</v>
      </c>
      <c r="AF2431">
        <v>0</v>
      </c>
      <c r="AG2431">
        <v>2</v>
      </c>
      <c r="AH2431">
        <v>1</v>
      </c>
      <c r="AI2431">
        <v>213.54</v>
      </c>
      <c r="AL2431" t="s">
        <v>5011</v>
      </c>
      <c r="AM2431">
        <v>42900</v>
      </c>
      <c r="AN2431" t="s">
        <v>24828</v>
      </c>
      <c r="AS2431">
        <v>0.1</v>
      </c>
      <c r="AT2431" t="s">
        <v>25141</v>
      </c>
      <c r="AU2431" t="s">
        <v>186</v>
      </c>
      <c r="AW2431" t="s">
        <v>11447</v>
      </c>
    </row>
    <row r="2432" spans="1:49">
      <c r="A2432" s="1">
        <f>HYPERLINK("https://lsnyc.legalserver.org/matter/dynamic-profile/view/1914593","19-1914593")</f>
        <v>0</v>
      </c>
      <c r="B2432" t="s">
        <v>133</v>
      </c>
      <c r="C2432" t="s">
        <v>491</v>
      </c>
      <c r="E2432" t="s">
        <v>2314</v>
      </c>
      <c r="F2432" t="s">
        <v>4872</v>
      </c>
      <c r="G2432" t="s">
        <v>7968</v>
      </c>
      <c r="H2432" t="s">
        <v>10506</v>
      </c>
      <c r="I2432" t="s">
        <v>11385</v>
      </c>
      <c r="J2432">
        <v>11216</v>
      </c>
      <c r="K2432" t="s">
        <v>11446</v>
      </c>
      <c r="L2432" t="s">
        <v>12241</v>
      </c>
      <c r="M2432" t="s">
        <v>14744</v>
      </c>
      <c r="N2432" t="s">
        <v>14781</v>
      </c>
      <c r="P2432" t="s">
        <v>14798</v>
      </c>
      <c r="Q2432" t="s">
        <v>11448</v>
      </c>
      <c r="S2432" t="s">
        <v>14827</v>
      </c>
      <c r="T2432" t="s">
        <v>14832</v>
      </c>
      <c r="V2432">
        <v>945</v>
      </c>
      <c r="W2432" t="s">
        <v>14859</v>
      </c>
      <c r="X2432" t="s">
        <v>14881</v>
      </c>
      <c r="Z2432" t="s">
        <v>16940</v>
      </c>
      <c r="AB2432" t="s">
        <v>21960</v>
      </c>
      <c r="AC2432">
        <v>6</v>
      </c>
      <c r="AF2432">
        <v>51</v>
      </c>
      <c r="AG2432">
        <v>1</v>
      </c>
      <c r="AH2432">
        <v>1</v>
      </c>
      <c r="AI2432">
        <v>215.26</v>
      </c>
      <c r="AL2432" t="s">
        <v>5011</v>
      </c>
      <c r="AM2432">
        <v>36400</v>
      </c>
      <c r="AS2432">
        <v>1</v>
      </c>
      <c r="AT2432" t="s">
        <v>506</v>
      </c>
      <c r="AU2432" t="s">
        <v>25235</v>
      </c>
      <c r="AV2432" t="s">
        <v>25335</v>
      </c>
      <c r="AW2432" t="s">
        <v>11447</v>
      </c>
    </row>
    <row r="2433" spans="1:49">
      <c r="A2433" s="1">
        <f>HYPERLINK("https://lsnyc.legalserver.org/matter/dynamic-profile/view/1913316","19-1913316")</f>
        <v>0</v>
      </c>
      <c r="B2433" t="s">
        <v>103</v>
      </c>
      <c r="C2433" t="s">
        <v>483</v>
      </c>
      <c r="E2433" t="s">
        <v>1334</v>
      </c>
      <c r="F2433" t="s">
        <v>4828</v>
      </c>
      <c r="G2433" t="s">
        <v>7969</v>
      </c>
      <c r="I2433" t="s">
        <v>11385</v>
      </c>
      <c r="J2433">
        <v>11233</v>
      </c>
      <c r="K2433" t="s">
        <v>11448</v>
      </c>
      <c r="L2433" t="s">
        <v>12242</v>
      </c>
      <c r="M2433" t="s">
        <v>14743</v>
      </c>
      <c r="P2433" t="s">
        <v>14798</v>
      </c>
      <c r="Q2433" t="s">
        <v>11448</v>
      </c>
      <c r="S2433" t="s">
        <v>14827</v>
      </c>
      <c r="T2433" t="s">
        <v>14833</v>
      </c>
      <c r="V2433">
        <v>0</v>
      </c>
      <c r="W2433" t="s">
        <v>14859</v>
      </c>
      <c r="X2433" t="s">
        <v>14863</v>
      </c>
      <c r="Z2433" t="s">
        <v>15306</v>
      </c>
      <c r="AA2433" t="s">
        <v>11465</v>
      </c>
      <c r="AB2433" t="s">
        <v>21961</v>
      </c>
      <c r="AC2433">
        <v>3</v>
      </c>
      <c r="AD2433" t="s">
        <v>24600</v>
      </c>
      <c r="AE2433" t="s">
        <v>11459</v>
      </c>
      <c r="AF2433">
        <v>25</v>
      </c>
      <c r="AG2433">
        <v>2</v>
      </c>
      <c r="AH2433">
        <v>0</v>
      </c>
      <c r="AI2433">
        <v>221.41</v>
      </c>
      <c r="AL2433" t="s">
        <v>5011</v>
      </c>
      <c r="AM2433">
        <v>37440</v>
      </c>
      <c r="AN2433" t="s">
        <v>24833</v>
      </c>
      <c r="AS2433">
        <v>4</v>
      </c>
      <c r="AT2433" t="s">
        <v>477</v>
      </c>
      <c r="AU2433" t="s">
        <v>25238</v>
      </c>
      <c r="AV2433" t="s">
        <v>11459</v>
      </c>
      <c r="AW2433" t="s">
        <v>11447</v>
      </c>
    </row>
    <row r="2434" spans="1:49">
      <c r="A2434" s="1">
        <f>HYPERLINK("https://lsnyc.legalserver.org/matter/dynamic-profile/view/1886014","18-1886014")</f>
        <v>0</v>
      </c>
      <c r="B2434" t="s">
        <v>133</v>
      </c>
      <c r="C2434" t="s">
        <v>745</v>
      </c>
      <c r="E2434" t="s">
        <v>1170</v>
      </c>
      <c r="F2434" t="s">
        <v>4873</v>
      </c>
      <c r="G2434" t="s">
        <v>7970</v>
      </c>
      <c r="H2434" t="s">
        <v>10637</v>
      </c>
      <c r="I2434" t="s">
        <v>11385</v>
      </c>
      <c r="J2434">
        <v>11216</v>
      </c>
      <c r="K2434" t="s">
        <v>11446</v>
      </c>
      <c r="L2434" t="s">
        <v>12243</v>
      </c>
      <c r="M2434" t="s">
        <v>14743</v>
      </c>
      <c r="N2434" t="s">
        <v>14781</v>
      </c>
      <c r="P2434" t="s">
        <v>14798</v>
      </c>
      <c r="Q2434" t="s">
        <v>11446</v>
      </c>
      <c r="S2434" t="s">
        <v>14827</v>
      </c>
      <c r="T2434" t="s">
        <v>14832</v>
      </c>
      <c r="V2434">
        <v>900</v>
      </c>
      <c r="W2434" t="s">
        <v>14859</v>
      </c>
      <c r="Z2434" t="s">
        <v>16941</v>
      </c>
      <c r="AB2434" t="s">
        <v>21962</v>
      </c>
      <c r="AC2434">
        <v>2</v>
      </c>
      <c r="AF2434">
        <v>15</v>
      </c>
      <c r="AG2434">
        <v>2</v>
      </c>
      <c r="AH2434">
        <v>0</v>
      </c>
      <c r="AI2434">
        <v>222.84</v>
      </c>
      <c r="AL2434" t="s">
        <v>5011</v>
      </c>
      <c r="AM2434">
        <v>36679</v>
      </c>
      <c r="AS2434">
        <v>14</v>
      </c>
      <c r="AT2434" t="s">
        <v>571</v>
      </c>
      <c r="AU2434" t="s">
        <v>25235</v>
      </c>
      <c r="AW2434" t="s">
        <v>11447</v>
      </c>
    </row>
    <row r="2435" spans="1:49">
      <c r="A2435" s="1">
        <f>HYPERLINK("https://lsnyc.legalserver.org/matter/dynamic-profile/view/0783524","15-0783524")</f>
        <v>0</v>
      </c>
      <c r="B2435" t="s">
        <v>95</v>
      </c>
      <c r="C2435" t="s">
        <v>746</v>
      </c>
      <c r="E2435" t="s">
        <v>2315</v>
      </c>
      <c r="F2435" t="s">
        <v>3896</v>
      </c>
      <c r="G2435" t="s">
        <v>7569</v>
      </c>
      <c r="H2435" t="s">
        <v>10972</v>
      </c>
      <c r="I2435" t="s">
        <v>11383</v>
      </c>
      <c r="J2435">
        <v>10452</v>
      </c>
      <c r="K2435" t="s">
        <v>11447</v>
      </c>
      <c r="L2435" t="s">
        <v>12030</v>
      </c>
      <c r="M2435" t="s">
        <v>14773</v>
      </c>
      <c r="N2435" t="s">
        <v>14781</v>
      </c>
      <c r="P2435" t="s">
        <v>14798</v>
      </c>
      <c r="Q2435" t="s">
        <v>11446</v>
      </c>
      <c r="S2435" t="s">
        <v>14827</v>
      </c>
      <c r="V2435">
        <v>900.74</v>
      </c>
      <c r="W2435" t="s">
        <v>14858</v>
      </c>
      <c r="Z2435" t="s">
        <v>16942</v>
      </c>
      <c r="AB2435" t="s">
        <v>21963</v>
      </c>
      <c r="AC2435">
        <v>0</v>
      </c>
      <c r="AF2435">
        <v>20</v>
      </c>
      <c r="AG2435">
        <v>2</v>
      </c>
      <c r="AH2435">
        <v>2</v>
      </c>
      <c r="AI2435">
        <v>223.51</v>
      </c>
      <c r="AL2435" t="s">
        <v>5011</v>
      </c>
      <c r="AM2435">
        <v>54200</v>
      </c>
      <c r="AN2435" t="s">
        <v>24828</v>
      </c>
      <c r="AS2435">
        <v>1.45</v>
      </c>
      <c r="AT2435" t="s">
        <v>25148</v>
      </c>
      <c r="AU2435" t="s">
        <v>186</v>
      </c>
      <c r="AW2435" t="s">
        <v>11447</v>
      </c>
    </row>
    <row r="2436" spans="1:49">
      <c r="A2436" s="1">
        <f>HYPERLINK("https://lsnyc.legalserver.org/matter/dynamic-profile/view/1841450","17-1841450")</f>
        <v>0</v>
      </c>
      <c r="B2436" t="s">
        <v>103</v>
      </c>
      <c r="C2436" t="s">
        <v>747</v>
      </c>
      <c r="E2436" t="s">
        <v>2316</v>
      </c>
      <c r="F2436" t="s">
        <v>4874</v>
      </c>
      <c r="G2436" t="s">
        <v>7971</v>
      </c>
      <c r="H2436" t="s">
        <v>10983</v>
      </c>
      <c r="I2436" t="s">
        <v>11385</v>
      </c>
      <c r="J2436">
        <v>11225</v>
      </c>
      <c r="K2436" t="s">
        <v>11446</v>
      </c>
      <c r="L2436" t="s">
        <v>12244</v>
      </c>
      <c r="M2436" t="s">
        <v>14743</v>
      </c>
      <c r="N2436" t="s">
        <v>14778</v>
      </c>
      <c r="P2436" t="s">
        <v>14798</v>
      </c>
      <c r="Q2436" t="s">
        <v>11448</v>
      </c>
      <c r="S2436" t="s">
        <v>14827</v>
      </c>
      <c r="V2436">
        <v>840.5700000000001</v>
      </c>
      <c r="W2436" t="s">
        <v>14859</v>
      </c>
      <c r="X2436" t="s">
        <v>14874</v>
      </c>
      <c r="Z2436" t="s">
        <v>16943</v>
      </c>
      <c r="AA2436" t="s">
        <v>11459</v>
      </c>
      <c r="AB2436" t="s">
        <v>21964</v>
      </c>
      <c r="AC2436">
        <v>6</v>
      </c>
      <c r="AD2436" t="s">
        <v>24595</v>
      </c>
      <c r="AE2436" t="s">
        <v>11459</v>
      </c>
      <c r="AF2436">
        <v>32</v>
      </c>
      <c r="AG2436">
        <v>2</v>
      </c>
      <c r="AH2436">
        <v>0</v>
      </c>
      <c r="AI2436">
        <v>223.57</v>
      </c>
      <c r="AK2436" t="s">
        <v>24626</v>
      </c>
      <c r="AL2436" t="s">
        <v>24641</v>
      </c>
      <c r="AM2436">
        <v>36308</v>
      </c>
      <c r="AS2436">
        <v>173.35</v>
      </c>
      <c r="AT2436" t="s">
        <v>490</v>
      </c>
      <c r="AU2436" t="s">
        <v>66</v>
      </c>
      <c r="AW2436" t="s">
        <v>11447</v>
      </c>
    </row>
    <row r="2437" spans="1:49">
      <c r="A2437" s="1">
        <f>HYPERLINK("https://lsnyc.legalserver.org/matter/dynamic-profile/view/1912242","19-1912242")</f>
        <v>0</v>
      </c>
      <c r="B2437" t="s">
        <v>75</v>
      </c>
      <c r="C2437" t="s">
        <v>559</v>
      </c>
      <c r="E2437" t="s">
        <v>1423</v>
      </c>
      <c r="F2437" t="s">
        <v>4875</v>
      </c>
      <c r="G2437" t="s">
        <v>7972</v>
      </c>
      <c r="H2437" t="s">
        <v>10984</v>
      </c>
      <c r="I2437" t="s">
        <v>11385</v>
      </c>
      <c r="J2437">
        <v>11226</v>
      </c>
      <c r="K2437" t="s">
        <v>11447</v>
      </c>
      <c r="L2437" t="s">
        <v>12245</v>
      </c>
      <c r="M2437" t="s">
        <v>14743</v>
      </c>
      <c r="P2437" t="s">
        <v>14798</v>
      </c>
      <c r="Q2437" t="s">
        <v>11446</v>
      </c>
      <c r="S2437" t="s">
        <v>14827</v>
      </c>
      <c r="V2437">
        <v>0</v>
      </c>
      <c r="W2437" t="s">
        <v>14859</v>
      </c>
      <c r="Z2437" t="s">
        <v>16944</v>
      </c>
      <c r="AB2437" t="s">
        <v>21965</v>
      </c>
      <c r="AC2437">
        <v>6</v>
      </c>
      <c r="AD2437" t="s">
        <v>11479</v>
      </c>
      <c r="AE2437" t="s">
        <v>11459</v>
      </c>
      <c r="AF2437">
        <v>25</v>
      </c>
      <c r="AG2437">
        <v>2</v>
      </c>
      <c r="AH2437">
        <v>1</v>
      </c>
      <c r="AI2437">
        <v>225.04</v>
      </c>
      <c r="AL2437" t="s">
        <v>5011</v>
      </c>
      <c r="AM2437">
        <v>48000</v>
      </c>
      <c r="AS2437">
        <v>0.5</v>
      </c>
      <c r="AT2437" t="s">
        <v>559</v>
      </c>
      <c r="AU2437" t="s">
        <v>25236</v>
      </c>
      <c r="AW2437" t="s">
        <v>11447</v>
      </c>
    </row>
    <row r="2438" spans="1:49">
      <c r="A2438" s="1">
        <f>HYPERLINK("https://lsnyc.legalserver.org/matter/dynamic-profile/view/1843932","16-1843932")</f>
        <v>0</v>
      </c>
      <c r="B2438" t="s">
        <v>189</v>
      </c>
      <c r="C2438" t="s">
        <v>718</v>
      </c>
      <c r="E2438" t="s">
        <v>2317</v>
      </c>
      <c r="F2438" t="s">
        <v>4876</v>
      </c>
      <c r="G2438" t="s">
        <v>7851</v>
      </c>
      <c r="I2438" t="s">
        <v>11385</v>
      </c>
      <c r="J2438">
        <v>11217</v>
      </c>
      <c r="K2438" t="s">
        <v>11447</v>
      </c>
      <c r="L2438" t="s">
        <v>12246</v>
      </c>
      <c r="M2438" t="s">
        <v>14743</v>
      </c>
      <c r="N2438" t="s">
        <v>14781</v>
      </c>
      <c r="P2438" t="s">
        <v>14798</v>
      </c>
      <c r="Q2438" t="s">
        <v>11446</v>
      </c>
      <c r="S2438" t="s">
        <v>14827</v>
      </c>
      <c r="V2438">
        <v>300</v>
      </c>
      <c r="W2438" t="s">
        <v>14859</v>
      </c>
      <c r="Z2438" t="s">
        <v>16945</v>
      </c>
      <c r="AC2438">
        <v>6</v>
      </c>
      <c r="AD2438" t="s">
        <v>24595</v>
      </c>
      <c r="AF2438">
        <v>7</v>
      </c>
      <c r="AG2438">
        <v>1</v>
      </c>
      <c r="AH2438">
        <v>0</v>
      </c>
      <c r="AI2438">
        <v>227.27</v>
      </c>
      <c r="AL2438" t="s">
        <v>5011</v>
      </c>
      <c r="AM2438">
        <v>27000</v>
      </c>
      <c r="AS2438">
        <v>0</v>
      </c>
      <c r="AU2438" t="s">
        <v>189</v>
      </c>
      <c r="AW2438" t="s">
        <v>11447</v>
      </c>
    </row>
    <row r="2439" spans="1:49">
      <c r="A2439" s="1">
        <f>HYPERLINK("https://lsnyc.legalserver.org/matter/dynamic-profile/view/1857226","18-1857226")</f>
        <v>0</v>
      </c>
      <c r="B2439" t="s">
        <v>116</v>
      </c>
      <c r="C2439" t="s">
        <v>395</v>
      </c>
      <c r="E2439" t="s">
        <v>1248</v>
      </c>
      <c r="F2439" t="s">
        <v>3901</v>
      </c>
      <c r="G2439" t="s">
        <v>7973</v>
      </c>
      <c r="H2439" t="s">
        <v>10907</v>
      </c>
      <c r="I2439" t="s">
        <v>11383</v>
      </c>
      <c r="J2439">
        <v>10451</v>
      </c>
      <c r="K2439" t="s">
        <v>11448</v>
      </c>
      <c r="M2439" t="s">
        <v>14774</v>
      </c>
      <c r="N2439" t="s">
        <v>14780</v>
      </c>
      <c r="P2439" t="s">
        <v>14798</v>
      </c>
      <c r="Q2439" t="s">
        <v>11448</v>
      </c>
      <c r="S2439" t="s">
        <v>14827</v>
      </c>
      <c r="V2439">
        <v>0</v>
      </c>
      <c r="W2439" t="s">
        <v>14858</v>
      </c>
      <c r="X2439" t="s">
        <v>14876</v>
      </c>
      <c r="Z2439" t="s">
        <v>16946</v>
      </c>
      <c r="AB2439" t="s">
        <v>21966</v>
      </c>
      <c r="AC2439">
        <v>936</v>
      </c>
      <c r="AD2439" t="s">
        <v>24601</v>
      </c>
      <c r="AF2439">
        <v>0</v>
      </c>
      <c r="AG2439">
        <v>1</v>
      </c>
      <c r="AH2439">
        <v>0</v>
      </c>
      <c r="AI2439">
        <v>227.89</v>
      </c>
      <c r="AL2439" t="s">
        <v>5011</v>
      </c>
      <c r="AM2439">
        <v>27484</v>
      </c>
      <c r="AN2439" t="s">
        <v>24834</v>
      </c>
      <c r="AS2439">
        <v>2.25</v>
      </c>
      <c r="AT2439" t="s">
        <v>25149</v>
      </c>
      <c r="AU2439" t="s">
        <v>25242</v>
      </c>
      <c r="AW2439" t="s">
        <v>11448</v>
      </c>
    </row>
    <row r="2440" spans="1:49">
      <c r="A2440" s="1">
        <f>HYPERLINK("https://lsnyc.legalserver.org/matter/dynamic-profile/view/1906976","19-1906976")</f>
        <v>0</v>
      </c>
      <c r="B2440" t="s">
        <v>271</v>
      </c>
      <c r="C2440" t="s">
        <v>354</v>
      </c>
      <c r="E2440" t="s">
        <v>1536</v>
      </c>
      <c r="F2440" t="s">
        <v>4877</v>
      </c>
      <c r="G2440" t="s">
        <v>7974</v>
      </c>
      <c r="H2440" t="s">
        <v>10465</v>
      </c>
      <c r="I2440" t="s">
        <v>11400</v>
      </c>
      <c r="J2440">
        <v>11385</v>
      </c>
      <c r="K2440" t="s">
        <v>11446</v>
      </c>
      <c r="L2440" t="s">
        <v>12247</v>
      </c>
      <c r="M2440" t="s">
        <v>14743</v>
      </c>
      <c r="N2440" t="s">
        <v>14782</v>
      </c>
      <c r="P2440" t="s">
        <v>14798</v>
      </c>
      <c r="Q2440" t="s">
        <v>11446</v>
      </c>
      <c r="S2440" t="s">
        <v>14827</v>
      </c>
      <c r="V2440">
        <v>1200</v>
      </c>
      <c r="W2440" t="s">
        <v>14861</v>
      </c>
      <c r="X2440" t="s">
        <v>14863</v>
      </c>
      <c r="Z2440" t="s">
        <v>16947</v>
      </c>
      <c r="AB2440" t="s">
        <v>21967</v>
      </c>
      <c r="AC2440">
        <v>4</v>
      </c>
      <c r="AE2440" t="s">
        <v>11459</v>
      </c>
      <c r="AF2440">
        <v>7</v>
      </c>
      <c r="AG2440">
        <v>1</v>
      </c>
      <c r="AH2440">
        <v>0</v>
      </c>
      <c r="AI2440">
        <v>228.66</v>
      </c>
      <c r="AL2440" t="s">
        <v>5011</v>
      </c>
      <c r="AM2440">
        <v>28560</v>
      </c>
      <c r="AS2440">
        <v>1.03</v>
      </c>
      <c r="AT2440" t="s">
        <v>524</v>
      </c>
      <c r="AU2440" t="s">
        <v>25233</v>
      </c>
      <c r="AV2440" t="s">
        <v>25335</v>
      </c>
      <c r="AW2440" t="s">
        <v>11447</v>
      </c>
    </row>
    <row r="2441" spans="1:49">
      <c r="A2441" s="1">
        <f>HYPERLINK("https://lsnyc.legalserver.org/matter/dynamic-profile/view/1902644","19-1902644")</f>
        <v>0</v>
      </c>
      <c r="B2441" t="s">
        <v>136</v>
      </c>
      <c r="C2441" t="s">
        <v>371</v>
      </c>
      <c r="E2441" t="s">
        <v>2318</v>
      </c>
      <c r="F2441" t="s">
        <v>4409</v>
      </c>
      <c r="G2441" t="s">
        <v>7975</v>
      </c>
      <c r="H2441">
        <v>3</v>
      </c>
      <c r="I2441" t="s">
        <v>11385</v>
      </c>
      <c r="J2441">
        <v>11217</v>
      </c>
      <c r="K2441" t="s">
        <v>11446</v>
      </c>
      <c r="M2441" t="s">
        <v>14762</v>
      </c>
      <c r="N2441" t="s">
        <v>14779</v>
      </c>
      <c r="P2441" t="s">
        <v>14798</v>
      </c>
      <c r="S2441" t="s">
        <v>14827</v>
      </c>
      <c r="V2441">
        <v>800</v>
      </c>
      <c r="W2441" t="s">
        <v>14859</v>
      </c>
      <c r="X2441" t="s">
        <v>14755</v>
      </c>
      <c r="Z2441" t="s">
        <v>16948</v>
      </c>
      <c r="AB2441" t="s">
        <v>21968</v>
      </c>
      <c r="AC2441">
        <v>4</v>
      </c>
      <c r="AD2441" t="s">
        <v>24599</v>
      </c>
      <c r="AF2441">
        <v>52</v>
      </c>
      <c r="AG2441">
        <v>1</v>
      </c>
      <c r="AH2441">
        <v>0</v>
      </c>
      <c r="AI2441">
        <v>230.58</v>
      </c>
      <c r="AL2441" t="s">
        <v>5011</v>
      </c>
      <c r="AM2441">
        <v>28800</v>
      </c>
      <c r="AS2441">
        <v>12.4</v>
      </c>
      <c r="AT2441" t="s">
        <v>506</v>
      </c>
      <c r="AU2441" t="s">
        <v>176</v>
      </c>
      <c r="AW2441" t="s">
        <v>11447</v>
      </c>
    </row>
    <row r="2442" spans="1:49">
      <c r="A2442" s="1">
        <f>HYPERLINK("https://lsnyc.legalserver.org/matter/dynamic-profile/view/1911271","19-1911271")</f>
        <v>0</v>
      </c>
      <c r="B2442" t="s">
        <v>63</v>
      </c>
      <c r="C2442" t="s">
        <v>511</v>
      </c>
      <c r="E2442" t="s">
        <v>2319</v>
      </c>
      <c r="F2442" t="s">
        <v>4878</v>
      </c>
      <c r="G2442" t="s">
        <v>7976</v>
      </c>
      <c r="I2442" t="s">
        <v>11389</v>
      </c>
      <c r="J2442">
        <v>11354</v>
      </c>
      <c r="K2442" t="s">
        <v>11447</v>
      </c>
      <c r="P2442" t="s">
        <v>14798</v>
      </c>
      <c r="S2442" t="s">
        <v>14827</v>
      </c>
      <c r="V2442">
        <v>1640</v>
      </c>
      <c r="W2442" t="s">
        <v>14861</v>
      </c>
      <c r="Z2442" t="s">
        <v>16949</v>
      </c>
      <c r="AB2442" t="s">
        <v>21969</v>
      </c>
      <c r="AC2442">
        <v>50</v>
      </c>
      <c r="AF2442">
        <v>1</v>
      </c>
      <c r="AG2442">
        <v>1</v>
      </c>
      <c r="AH2442">
        <v>1</v>
      </c>
      <c r="AI2442">
        <v>230.63</v>
      </c>
      <c r="AL2442" t="s">
        <v>5011</v>
      </c>
      <c r="AM2442">
        <v>39000</v>
      </c>
      <c r="AS2442">
        <v>0.9</v>
      </c>
      <c r="AT2442" t="s">
        <v>511</v>
      </c>
      <c r="AU2442" t="s">
        <v>25227</v>
      </c>
      <c r="AW2442" t="s">
        <v>11447</v>
      </c>
    </row>
    <row r="2443" spans="1:49">
      <c r="A2443" s="1">
        <f>HYPERLINK("https://lsnyc.legalserver.org/matter/dynamic-profile/view/1909608","19-1909608")</f>
        <v>0</v>
      </c>
      <c r="B2443" t="s">
        <v>63</v>
      </c>
      <c r="C2443" t="s">
        <v>463</v>
      </c>
      <c r="E2443" t="s">
        <v>2320</v>
      </c>
      <c r="F2443" t="s">
        <v>4879</v>
      </c>
      <c r="G2443" t="s">
        <v>7977</v>
      </c>
      <c r="I2443" t="s">
        <v>6196</v>
      </c>
      <c r="J2443">
        <v>11423</v>
      </c>
      <c r="K2443" t="s">
        <v>11447</v>
      </c>
      <c r="L2443" t="s">
        <v>12248</v>
      </c>
      <c r="P2443" t="s">
        <v>14798</v>
      </c>
      <c r="S2443" t="s">
        <v>14827</v>
      </c>
      <c r="V2443">
        <v>703.33</v>
      </c>
      <c r="W2443" t="s">
        <v>14861</v>
      </c>
      <c r="X2443" t="s">
        <v>14868</v>
      </c>
      <c r="Z2443" t="s">
        <v>16950</v>
      </c>
      <c r="AB2443" t="s">
        <v>21970</v>
      </c>
      <c r="AC2443">
        <v>4</v>
      </c>
      <c r="AD2443" t="s">
        <v>24595</v>
      </c>
      <c r="AF2443">
        <v>25</v>
      </c>
      <c r="AG2443">
        <v>1</v>
      </c>
      <c r="AH2443">
        <v>1</v>
      </c>
      <c r="AI2443">
        <v>236.55</v>
      </c>
      <c r="AL2443" t="s">
        <v>5011</v>
      </c>
      <c r="AM2443">
        <v>40000</v>
      </c>
      <c r="AS2443">
        <v>1</v>
      </c>
      <c r="AT2443" t="s">
        <v>463</v>
      </c>
      <c r="AU2443" t="s">
        <v>25226</v>
      </c>
      <c r="AW2443" t="s">
        <v>11447</v>
      </c>
    </row>
    <row r="2444" spans="1:49">
      <c r="A2444" s="1">
        <f>HYPERLINK("https://lsnyc.legalserver.org/matter/dynamic-profile/view/1890533","19-1890533")</f>
        <v>0</v>
      </c>
      <c r="B2444" t="s">
        <v>272</v>
      </c>
      <c r="C2444" t="s">
        <v>748</v>
      </c>
      <c r="E2444" t="s">
        <v>2321</v>
      </c>
      <c r="F2444" t="s">
        <v>3623</v>
      </c>
      <c r="G2444" t="s">
        <v>7978</v>
      </c>
      <c r="H2444" t="s">
        <v>10485</v>
      </c>
      <c r="I2444" t="s">
        <v>11383</v>
      </c>
      <c r="J2444">
        <v>10474</v>
      </c>
      <c r="K2444" t="s">
        <v>11447</v>
      </c>
      <c r="L2444" t="s">
        <v>12249</v>
      </c>
      <c r="M2444" t="s">
        <v>14743</v>
      </c>
      <c r="P2444" t="s">
        <v>14798</v>
      </c>
      <c r="Q2444" t="s">
        <v>11448</v>
      </c>
      <c r="S2444" t="s">
        <v>14830</v>
      </c>
      <c r="V2444">
        <v>800</v>
      </c>
      <c r="W2444" t="s">
        <v>14858</v>
      </c>
      <c r="X2444" t="s">
        <v>14755</v>
      </c>
      <c r="Z2444" t="s">
        <v>16951</v>
      </c>
      <c r="AB2444" t="s">
        <v>21971</v>
      </c>
      <c r="AC2444">
        <v>0</v>
      </c>
      <c r="AD2444" t="s">
        <v>24606</v>
      </c>
      <c r="AE2444" t="s">
        <v>24610</v>
      </c>
      <c r="AF2444">
        <v>28</v>
      </c>
      <c r="AG2444">
        <v>2</v>
      </c>
      <c r="AH2444">
        <v>0</v>
      </c>
      <c r="AI2444">
        <v>236.55</v>
      </c>
      <c r="AL2444" t="s">
        <v>5011</v>
      </c>
      <c r="AM2444">
        <v>40000</v>
      </c>
      <c r="AS2444">
        <v>86.95</v>
      </c>
      <c r="AT2444" t="s">
        <v>477</v>
      </c>
      <c r="AU2444" t="s">
        <v>25225</v>
      </c>
      <c r="AW2444" t="s">
        <v>11447</v>
      </c>
    </row>
    <row r="2445" spans="1:49">
      <c r="A2445" s="1">
        <f>HYPERLINK("https://lsnyc.legalserver.org/matter/dynamic-profile/view/1884306","18-1884306")</f>
        <v>0</v>
      </c>
      <c r="B2445" t="s">
        <v>240</v>
      </c>
      <c r="C2445" t="s">
        <v>749</v>
      </c>
      <c r="E2445" t="s">
        <v>2192</v>
      </c>
      <c r="F2445" t="s">
        <v>4880</v>
      </c>
      <c r="G2445" t="s">
        <v>7979</v>
      </c>
      <c r="H2445">
        <v>1</v>
      </c>
      <c r="I2445" t="s">
        <v>11385</v>
      </c>
      <c r="J2445">
        <v>11234</v>
      </c>
      <c r="K2445" t="s">
        <v>11446</v>
      </c>
      <c r="L2445" t="s">
        <v>12250</v>
      </c>
      <c r="M2445" t="s">
        <v>14744</v>
      </c>
      <c r="N2445" t="s">
        <v>14781</v>
      </c>
      <c r="P2445" t="s">
        <v>14798</v>
      </c>
      <c r="S2445" t="s">
        <v>14827</v>
      </c>
      <c r="V2445">
        <v>800</v>
      </c>
      <c r="W2445" t="s">
        <v>14859</v>
      </c>
      <c r="X2445" t="s">
        <v>14867</v>
      </c>
      <c r="Z2445" t="s">
        <v>16952</v>
      </c>
      <c r="AB2445" t="s">
        <v>21972</v>
      </c>
      <c r="AC2445">
        <v>6</v>
      </c>
      <c r="AD2445" t="s">
        <v>24600</v>
      </c>
      <c r="AF2445">
        <v>3</v>
      </c>
      <c r="AG2445">
        <v>1</v>
      </c>
      <c r="AH2445">
        <v>0</v>
      </c>
      <c r="AI2445">
        <v>237.23</v>
      </c>
      <c r="AL2445" t="s">
        <v>5011</v>
      </c>
      <c r="AM2445">
        <v>28800</v>
      </c>
      <c r="AS2445">
        <v>58.75</v>
      </c>
      <c r="AT2445" t="s">
        <v>478</v>
      </c>
      <c r="AU2445" t="s">
        <v>25230</v>
      </c>
      <c r="AW2445" t="s">
        <v>11447</v>
      </c>
    </row>
    <row r="2446" spans="1:49">
      <c r="A2446" s="1">
        <f>HYPERLINK("https://lsnyc.legalserver.org/matter/dynamic-profile/view/1907591","19-1907591")</f>
        <v>0</v>
      </c>
      <c r="B2446" t="s">
        <v>106</v>
      </c>
      <c r="C2446" t="s">
        <v>465</v>
      </c>
      <c r="E2446" t="s">
        <v>2322</v>
      </c>
      <c r="F2446" t="s">
        <v>4881</v>
      </c>
      <c r="G2446" t="s">
        <v>7980</v>
      </c>
      <c r="H2446" t="s">
        <v>10637</v>
      </c>
      <c r="I2446" t="s">
        <v>11385</v>
      </c>
      <c r="J2446">
        <v>11226</v>
      </c>
      <c r="K2446" t="s">
        <v>11446</v>
      </c>
      <c r="L2446" t="s">
        <v>12251</v>
      </c>
      <c r="M2446" t="s">
        <v>14743</v>
      </c>
      <c r="N2446" t="s">
        <v>14782</v>
      </c>
      <c r="P2446" t="s">
        <v>14798</v>
      </c>
      <c r="S2446" t="s">
        <v>14827</v>
      </c>
      <c r="V2446">
        <v>0</v>
      </c>
      <c r="W2446" t="s">
        <v>14859</v>
      </c>
      <c r="X2446" t="s">
        <v>14865</v>
      </c>
      <c r="Z2446" t="s">
        <v>16953</v>
      </c>
      <c r="AB2446" t="s">
        <v>21973</v>
      </c>
      <c r="AC2446">
        <v>3</v>
      </c>
      <c r="AF2446">
        <v>0</v>
      </c>
      <c r="AG2446">
        <v>1</v>
      </c>
      <c r="AH2446">
        <v>0</v>
      </c>
      <c r="AI2446">
        <v>240.19</v>
      </c>
      <c r="AL2446" t="s">
        <v>5011</v>
      </c>
      <c r="AM2446">
        <v>30000</v>
      </c>
      <c r="AS2446">
        <v>1.4</v>
      </c>
      <c r="AT2446" t="s">
        <v>455</v>
      </c>
      <c r="AU2446" t="s">
        <v>25235</v>
      </c>
      <c r="AV2446" t="s">
        <v>25335</v>
      </c>
      <c r="AW2446" t="s">
        <v>11447</v>
      </c>
    </row>
    <row r="2447" spans="1:49">
      <c r="A2447" s="1">
        <f>HYPERLINK("https://lsnyc.legalserver.org/matter/dynamic-profile/view/1913988","19-1913988")</f>
        <v>0</v>
      </c>
      <c r="B2447" t="s">
        <v>75</v>
      </c>
      <c r="C2447" t="s">
        <v>490</v>
      </c>
      <c r="E2447" t="s">
        <v>2323</v>
      </c>
      <c r="F2447" t="s">
        <v>4070</v>
      </c>
      <c r="G2447" t="s">
        <v>7981</v>
      </c>
      <c r="H2447" t="s">
        <v>10460</v>
      </c>
      <c r="I2447" t="s">
        <v>11385</v>
      </c>
      <c r="J2447">
        <v>11226</v>
      </c>
      <c r="K2447" t="s">
        <v>11447</v>
      </c>
      <c r="L2447" t="s">
        <v>12252</v>
      </c>
      <c r="P2447" t="s">
        <v>14798</v>
      </c>
      <c r="S2447" t="s">
        <v>14827</v>
      </c>
      <c r="V2447">
        <v>1400</v>
      </c>
      <c r="W2447" t="s">
        <v>14859</v>
      </c>
      <c r="X2447" t="s">
        <v>14863</v>
      </c>
      <c r="Z2447" t="s">
        <v>16954</v>
      </c>
      <c r="AB2447" t="s">
        <v>21974</v>
      </c>
      <c r="AC2447">
        <v>54</v>
      </c>
      <c r="AE2447" t="s">
        <v>11459</v>
      </c>
      <c r="AF2447">
        <v>1</v>
      </c>
      <c r="AG2447">
        <v>1</v>
      </c>
      <c r="AH2447">
        <v>1</v>
      </c>
      <c r="AI2447">
        <v>246.01</v>
      </c>
      <c r="AL2447" t="s">
        <v>5011</v>
      </c>
      <c r="AM2447">
        <v>41600</v>
      </c>
      <c r="AS2447">
        <v>1.2</v>
      </c>
      <c r="AT2447" t="s">
        <v>580</v>
      </c>
      <c r="AU2447" t="s">
        <v>25226</v>
      </c>
      <c r="AW2447" t="s">
        <v>11447</v>
      </c>
    </row>
    <row r="2448" spans="1:49">
      <c r="A2448" s="1">
        <f>HYPERLINK("https://lsnyc.legalserver.org/matter/dynamic-profile/view/1889195","19-1889195")</f>
        <v>0</v>
      </c>
      <c r="B2448" t="s">
        <v>80</v>
      </c>
      <c r="C2448" t="s">
        <v>588</v>
      </c>
      <c r="E2448" t="s">
        <v>1212</v>
      </c>
      <c r="F2448" t="s">
        <v>3715</v>
      </c>
      <c r="G2448" t="s">
        <v>6486</v>
      </c>
      <c r="H2448">
        <v>414</v>
      </c>
      <c r="I2448" t="s">
        <v>11383</v>
      </c>
      <c r="J2448">
        <v>10453</v>
      </c>
      <c r="K2448" t="s">
        <v>11446</v>
      </c>
      <c r="L2448" t="s">
        <v>12253</v>
      </c>
      <c r="M2448" t="s">
        <v>14743</v>
      </c>
      <c r="N2448" t="s">
        <v>14778</v>
      </c>
      <c r="P2448" t="s">
        <v>14798</v>
      </c>
      <c r="S2448" t="s">
        <v>14827</v>
      </c>
      <c r="T2448" t="s">
        <v>14833</v>
      </c>
      <c r="V2448">
        <v>860</v>
      </c>
      <c r="W2448" t="s">
        <v>14858</v>
      </c>
      <c r="X2448" t="s">
        <v>14868</v>
      </c>
      <c r="Z2448" t="s">
        <v>15109</v>
      </c>
      <c r="AB2448" t="s">
        <v>20276</v>
      </c>
      <c r="AC2448">
        <v>135</v>
      </c>
      <c r="AD2448" t="s">
        <v>24595</v>
      </c>
      <c r="AE2448" t="s">
        <v>11459</v>
      </c>
      <c r="AF2448">
        <v>25</v>
      </c>
      <c r="AG2448">
        <v>2</v>
      </c>
      <c r="AH2448">
        <v>0</v>
      </c>
      <c r="AI2448">
        <v>246.01</v>
      </c>
      <c r="AL2448" t="s">
        <v>5011</v>
      </c>
      <c r="AM2448">
        <v>41600</v>
      </c>
      <c r="AN2448" t="s">
        <v>24835</v>
      </c>
      <c r="AS2448">
        <v>25</v>
      </c>
      <c r="AT2448" t="s">
        <v>551</v>
      </c>
      <c r="AU2448" t="s">
        <v>25251</v>
      </c>
      <c r="AW2448" t="s">
        <v>11446</v>
      </c>
    </row>
    <row r="2449" spans="1:49">
      <c r="A2449" s="1">
        <f>HYPERLINK("https://lsnyc.legalserver.org/matter/dynamic-profile/view/1903511","19-1903511")</f>
        <v>0</v>
      </c>
      <c r="B2449" t="s">
        <v>75</v>
      </c>
      <c r="C2449" t="s">
        <v>631</v>
      </c>
      <c r="E2449" t="s">
        <v>2324</v>
      </c>
      <c r="F2449" t="s">
        <v>4882</v>
      </c>
      <c r="G2449" t="s">
        <v>7982</v>
      </c>
      <c r="H2449" t="s">
        <v>10524</v>
      </c>
      <c r="I2449" t="s">
        <v>11385</v>
      </c>
      <c r="J2449">
        <v>11230</v>
      </c>
      <c r="K2449" t="s">
        <v>11447</v>
      </c>
      <c r="M2449" t="s">
        <v>14766</v>
      </c>
      <c r="P2449" t="s">
        <v>14798</v>
      </c>
      <c r="Q2449" t="s">
        <v>11448</v>
      </c>
      <c r="S2449" t="s">
        <v>14829</v>
      </c>
      <c r="V2449">
        <v>1350</v>
      </c>
      <c r="W2449" t="s">
        <v>14859</v>
      </c>
      <c r="Z2449" t="s">
        <v>16955</v>
      </c>
      <c r="AB2449" t="s">
        <v>21975</v>
      </c>
      <c r="AC2449">
        <v>41</v>
      </c>
      <c r="AF2449">
        <v>9</v>
      </c>
      <c r="AG2449">
        <v>2</v>
      </c>
      <c r="AH2449">
        <v>1</v>
      </c>
      <c r="AI2449">
        <v>248.48</v>
      </c>
      <c r="AL2449" t="s">
        <v>5011</v>
      </c>
      <c r="AM2449">
        <v>53000</v>
      </c>
      <c r="AS2449">
        <v>1</v>
      </c>
      <c r="AT2449" t="s">
        <v>631</v>
      </c>
      <c r="AU2449" t="s">
        <v>25237</v>
      </c>
      <c r="AW2449" t="s">
        <v>11447</v>
      </c>
    </row>
    <row r="2450" spans="1:49">
      <c r="A2450" s="1">
        <f>HYPERLINK("https://lsnyc.legalserver.org/matter/dynamic-profile/view/1889965","19-1889965")</f>
        <v>0</v>
      </c>
      <c r="B2450" t="s">
        <v>183</v>
      </c>
      <c r="C2450" t="s">
        <v>499</v>
      </c>
      <c r="E2450" t="s">
        <v>1692</v>
      </c>
      <c r="F2450" t="s">
        <v>4103</v>
      </c>
      <c r="G2450" t="s">
        <v>7983</v>
      </c>
      <c r="H2450">
        <v>615</v>
      </c>
      <c r="I2450" t="s">
        <v>11385</v>
      </c>
      <c r="J2450">
        <v>11239</v>
      </c>
      <c r="K2450" t="s">
        <v>11448</v>
      </c>
      <c r="L2450" t="s">
        <v>11479</v>
      </c>
      <c r="M2450" t="s">
        <v>14744</v>
      </c>
      <c r="P2450" t="s">
        <v>14798</v>
      </c>
      <c r="Q2450" t="s">
        <v>11448</v>
      </c>
      <c r="S2450" t="s">
        <v>14827</v>
      </c>
      <c r="T2450" t="s">
        <v>14833</v>
      </c>
      <c r="V2450">
        <v>1205</v>
      </c>
      <c r="W2450" t="s">
        <v>14859</v>
      </c>
      <c r="X2450" t="s">
        <v>14867</v>
      </c>
      <c r="Z2450" t="s">
        <v>16956</v>
      </c>
      <c r="AA2450">
        <v>32263748</v>
      </c>
      <c r="AB2450" t="s">
        <v>21976</v>
      </c>
      <c r="AC2450">
        <v>137</v>
      </c>
      <c r="AD2450" t="s">
        <v>24595</v>
      </c>
      <c r="AE2450" t="s">
        <v>24610</v>
      </c>
      <c r="AF2450">
        <v>1</v>
      </c>
      <c r="AG2450">
        <v>2</v>
      </c>
      <c r="AH2450">
        <v>1</v>
      </c>
      <c r="AI2450">
        <v>248.91</v>
      </c>
      <c r="AL2450" t="s">
        <v>5011</v>
      </c>
      <c r="AM2450">
        <v>53092</v>
      </c>
      <c r="AN2450" t="s">
        <v>24836</v>
      </c>
      <c r="AS2450">
        <v>34</v>
      </c>
      <c r="AT2450" t="s">
        <v>490</v>
      </c>
      <c r="AU2450" t="s">
        <v>66</v>
      </c>
      <c r="AW2450" t="s">
        <v>11448</v>
      </c>
    </row>
    <row r="2451" spans="1:49">
      <c r="A2451" s="1">
        <f>HYPERLINK("https://lsnyc.legalserver.org/matter/dynamic-profile/view/1915157","19-1915157")</f>
        <v>0</v>
      </c>
      <c r="B2451" t="s">
        <v>65</v>
      </c>
      <c r="C2451" t="s">
        <v>516</v>
      </c>
      <c r="E2451" t="s">
        <v>1738</v>
      </c>
      <c r="F2451" t="s">
        <v>4883</v>
      </c>
      <c r="G2451" t="s">
        <v>7984</v>
      </c>
      <c r="H2451" t="s">
        <v>10638</v>
      </c>
      <c r="I2451" t="s">
        <v>11385</v>
      </c>
      <c r="J2451">
        <v>11215</v>
      </c>
      <c r="K2451" t="s">
        <v>11447</v>
      </c>
      <c r="P2451" t="s">
        <v>14798</v>
      </c>
      <c r="S2451" t="s">
        <v>14827</v>
      </c>
      <c r="V2451">
        <v>1546</v>
      </c>
      <c r="W2451" t="s">
        <v>14859</v>
      </c>
      <c r="Z2451" t="s">
        <v>16957</v>
      </c>
      <c r="AB2451" t="s">
        <v>21977</v>
      </c>
      <c r="AC2451">
        <v>6</v>
      </c>
      <c r="AD2451" t="s">
        <v>24595</v>
      </c>
      <c r="AF2451">
        <v>15</v>
      </c>
      <c r="AG2451">
        <v>1</v>
      </c>
      <c r="AH2451">
        <v>0</v>
      </c>
      <c r="AI2451">
        <v>249.8</v>
      </c>
      <c r="AL2451" t="s">
        <v>5011</v>
      </c>
      <c r="AM2451">
        <v>31200</v>
      </c>
      <c r="AS2451">
        <v>1</v>
      </c>
      <c r="AT2451" t="s">
        <v>516</v>
      </c>
      <c r="AU2451" t="s">
        <v>25237</v>
      </c>
      <c r="AW2451" t="s">
        <v>11447</v>
      </c>
    </row>
    <row r="2452" spans="1:49">
      <c r="A2452" s="1">
        <f>HYPERLINK("https://lsnyc.legalserver.org/matter/dynamic-profile/view/1884023","18-1884023")</f>
        <v>0</v>
      </c>
      <c r="B2452" t="s">
        <v>85</v>
      </c>
      <c r="C2452" t="s">
        <v>636</v>
      </c>
      <c r="E2452" t="s">
        <v>2325</v>
      </c>
      <c r="F2452" t="s">
        <v>4284</v>
      </c>
      <c r="G2452" t="s">
        <v>7985</v>
      </c>
      <c r="I2452" t="s">
        <v>11387</v>
      </c>
      <c r="J2452">
        <v>11434</v>
      </c>
      <c r="K2452" t="s">
        <v>11447</v>
      </c>
      <c r="M2452" t="s">
        <v>11601</v>
      </c>
      <c r="N2452" t="s">
        <v>14778</v>
      </c>
      <c r="P2452" t="s">
        <v>14798</v>
      </c>
      <c r="Q2452" t="s">
        <v>11448</v>
      </c>
      <c r="S2452" t="s">
        <v>14827</v>
      </c>
      <c r="V2452">
        <v>800</v>
      </c>
      <c r="W2452" t="s">
        <v>14861</v>
      </c>
      <c r="Z2452" t="s">
        <v>16958</v>
      </c>
      <c r="AC2452">
        <v>3</v>
      </c>
      <c r="AD2452" t="s">
        <v>24609</v>
      </c>
      <c r="AE2452" t="s">
        <v>11459</v>
      </c>
      <c r="AF2452">
        <v>3</v>
      </c>
      <c r="AG2452">
        <v>2</v>
      </c>
      <c r="AH2452">
        <v>1</v>
      </c>
      <c r="AI2452">
        <v>250.24</v>
      </c>
      <c r="AL2452" t="s">
        <v>5011</v>
      </c>
      <c r="AM2452">
        <v>52000</v>
      </c>
      <c r="AS2452">
        <v>0.6</v>
      </c>
      <c r="AT2452" t="s">
        <v>683</v>
      </c>
      <c r="AU2452" t="s">
        <v>25236</v>
      </c>
      <c r="AW2452" t="s">
        <v>11447</v>
      </c>
    </row>
    <row r="2453" spans="1:49">
      <c r="A2453" s="1">
        <f>HYPERLINK("https://lsnyc.legalserver.org/matter/dynamic-profile/view/1885415","18-1885415")</f>
        <v>0</v>
      </c>
      <c r="B2453" t="s">
        <v>198</v>
      </c>
      <c r="C2453" t="s">
        <v>405</v>
      </c>
      <c r="E2453" t="s">
        <v>1944</v>
      </c>
      <c r="F2453" t="s">
        <v>2660</v>
      </c>
      <c r="G2453" t="s">
        <v>7853</v>
      </c>
      <c r="H2453" t="s">
        <v>10594</v>
      </c>
      <c r="I2453" t="s">
        <v>11385</v>
      </c>
      <c r="J2453">
        <v>11238</v>
      </c>
      <c r="K2453" t="s">
        <v>11448</v>
      </c>
      <c r="L2453" t="s">
        <v>12254</v>
      </c>
      <c r="M2453" t="s">
        <v>14746</v>
      </c>
      <c r="N2453" t="s">
        <v>14781</v>
      </c>
      <c r="P2453" t="s">
        <v>14798</v>
      </c>
      <c r="Q2453" t="s">
        <v>11446</v>
      </c>
      <c r="S2453" t="s">
        <v>14827</v>
      </c>
      <c r="T2453" t="s">
        <v>14832</v>
      </c>
      <c r="V2453">
        <v>883</v>
      </c>
      <c r="W2453" t="s">
        <v>14859</v>
      </c>
      <c r="X2453" t="s">
        <v>14868</v>
      </c>
      <c r="Z2453" t="s">
        <v>16524</v>
      </c>
      <c r="AB2453" t="s">
        <v>21978</v>
      </c>
      <c r="AC2453">
        <v>24</v>
      </c>
      <c r="AD2453" t="s">
        <v>24595</v>
      </c>
      <c r="AF2453">
        <v>19</v>
      </c>
      <c r="AG2453">
        <v>2</v>
      </c>
      <c r="AH2453">
        <v>0</v>
      </c>
      <c r="AI2453">
        <v>252.73</v>
      </c>
      <c r="AL2453" t="s">
        <v>5011</v>
      </c>
      <c r="AM2453">
        <v>41600</v>
      </c>
      <c r="AS2453">
        <v>6</v>
      </c>
      <c r="AT2453" t="s">
        <v>443</v>
      </c>
      <c r="AU2453" t="s">
        <v>198</v>
      </c>
      <c r="AW2453" t="s">
        <v>11448</v>
      </c>
    </row>
    <row r="2454" spans="1:49">
      <c r="A2454" s="1">
        <f>HYPERLINK("https://lsnyc.legalserver.org/matter/dynamic-profile/view/1879433","18-1879433")</f>
        <v>0</v>
      </c>
      <c r="B2454" t="s">
        <v>106</v>
      </c>
      <c r="C2454" t="s">
        <v>420</v>
      </c>
      <c r="E2454" t="s">
        <v>1054</v>
      </c>
      <c r="F2454" t="s">
        <v>4884</v>
      </c>
      <c r="G2454" t="s">
        <v>7986</v>
      </c>
      <c r="H2454" t="s">
        <v>10524</v>
      </c>
      <c r="I2454" t="s">
        <v>11385</v>
      </c>
      <c r="J2454">
        <v>11226</v>
      </c>
      <c r="K2454" t="s">
        <v>11446</v>
      </c>
      <c r="L2454" t="s">
        <v>12255</v>
      </c>
      <c r="M2454" t="s">
        <v>14743</v>
      </c>
      <c r="N2454" t="s">
        <v>14781</v>
      </c>
      <c r="P2454" t="s">
        <v>14798</v>
      </c>
      <c r="S2454" t="s">
        <v>14827</v>
      </c>
      <c r="V2454">
        <v>923</v>
      </c>
      <c r="W2454" t="s">
        <v>14859</v>
      </c>
      <c r="X2454" t="s">
        <v>14864</v>
      </c>
      <c r="Z2454" t="s">
        <v>16959</v>
      </c>
      <c r="AB2454" t="s">
        <v>21979</v>
      </c>
      <c r="AC2454">
        <v>20</v>
      </c>
      <c r="AE2454" t="s">
        <v>11459</v>
      </c>
      <c r="AF2454">
        <v>20</v>
      </c>
      <c r="AG2454">
        <v>2</v>
      </c>
      <c r="AH2454">
        <v>1</v>
      </c>
      <c r="AI2454">
        <v>255.05</v>
      </c>
      <c r="AL2454" t="s">
        <v>24652</v>
      </c>
      <c r="AM2454">
        <v>53000</v>
      </c>
      <c r="AS2454">
        <v>43.7</v>
      </c>
      <c r="AT2454" t="s">
        <v>596</v>
      </c>
      <c r="AU2454" t="s">
        <v>25275</v>
      </c>
      <c r="AW2454" t="s">
        <v>11447</v>
      </c>
    </row>
    <row r="2455" spans="1:49">
      <c r="A2455" s="1">
        <f>HYPERLINK("https://lsnyc.legalserver.org/matter/dynamic-profile/view/1862541","18-1862541")</f>
        <v>0</v>
      </c>
      <c r="B2455" t="s">
        <v>85</v>
      </c>
      <c r="C2455" t="s">
        <v>750</v>
      </c>
      <c r="E2455" t="s">
        <v>1461</v>
      </c>
      <c r="F2455" t="s">
        <v>4252</v>
      </c>
      <c r="G2455" t="s">
        <v>7987</v>
      </c>
      <c r="H2455" t="s">
        <v>10568</v>
      </c>
      <c r="I2455" t="s">
        <v>11390</v>
      </c>
      <c r="J2455">
        <v>11368</v>
      </c>
      <c r="K2455" t="s">
        <v>11447</v>
      </c>
      <c r="M2455" t="s">
        <v>14746</v>
      </c>
      <c r="N2455" t="s">
        <v>14778</v>
      </c>
      <c r="P2455" t="s">
        <v>14798</v>
      </c>
      <c r="Q2455" t="s">
        <v>11448</v>
      </c>
      <c r="S2455" t="s">
        <v>14827</v>
      </c>
      <c r="V2455">
        <v>1500</v>
      </c>
      <c r="W2455" t="s">
        <v>14861</v>
      </c>
      <c r="X2455" t="s">
        <v>14866</v>
      </c>
      <c r="Z2455" t="s">
        <v>16960</v>
      </c>
      <c r="AB2455" t="s">
        <v>21980</v>
      </c>
      <c r="AC2455">
        <v>5</v>
      </c>
      <c r="AE2455" t="s">
        <v>11459</v>
      </c>
      <c r="AF2455">
        <v>5</v>
      </c>
      <c r="AG2455">
        <v>2</v>
      </c>
      <c r="AH2455">
        <v>2</v>
      </c>
      <c r="AI2455">
        <v>258.96</v>
      </c>
      <c r="AL2455" t="s">
        <v>5011</v>
      </c>
      <c r="AM2455">
        <v>65000</v>
      </c>
      <c r="AS2455">
        <v>1</v>
      </c>
      <c r="AT2455" t="s">
        <v>750</v>
      </c>
      <c r="AU2455" t="s">
        <v>25226</v>
      </c>
      <c r="AW2455" t="s">
        <v>11447</v>
      </c>
    </row>
    <row r="2456" spans="1:49">
      <c r="A2456" s="1">
        <f>HYPERLINK("https://lsnyc.legalserver.org/matter/dynamic-profile/view/1912778","19-1912778")</f>
        <v>0</v>
      </c>
      <c r="B2456" t="s">
        <v>55</v>
      </c>
      <c r="C2456" t="s">
        <v>470</v>
      </c>
      <c r="E2456" t="s">
        <v>2326</v>
      </c>
      <c r="F2456" t="s">
        <v>4885</v>
      </c>
      <c r="G2456" t="s">
        <v>7988</v>
      </c>
      <c r="H2456" t="s">
        <v>10448</v>
      </c>
      <c r="I2456" t="s">
        <v>11386</v>
      </c>
      <c r="J2456">
        <v>10028</v>
      </c>
      <c r="K2456" t="s">
        <v>11447</v>
      </c>
      <c r="N2456" t="s">
        <v>14778</v>
      </c>
      <c r="P2456" t="s">
        <v>14798</v>
      </c>
      <c r="Q2456" t="s">
        <v>11446</v>
      </c>
      <c r="S2456" t="s">
        <v>14827</v>
      </c>
      <c r="V2456">
        <v>745</v>
      </c>
      <c r="W2456" t="s">
        <v>14860</v>
      </c>
      <c r="X2456" t="s">
        <v>14864</v>
      </c>
      <c r="Z2456" t="s">
        <v>16961</v>
      </c>
      <c r="AB2456" t="s">
        <v>21981</v>
      </c>
      <c r="AC2456">
        <v>14</v>
      </c>
      <c r="AD2456" t="s">
        <v>24595</v>
      </c>
      <c r="AF2456">
        <v>40</v>
      </c>
      <c r="AG2456">
        <v>1</v>
      </c>
      <c r="AH2456">
        <v>0</v>
      </c>
      <c r="AI2456">
        <v>259.41</v>
      </c>
      <c r="AL2456" t="s">
        <v>5011</v>
      </c>
      <c r="AM2456">
        <v>32400</v>
      </c>
      <c r="AS2456">
        <v>1.1</v>
      </c>
      <c r="AT2456" t="s">
        <v>580</v>
      </c>
      <c r="AU2456" t="s">
        <v>25257</v>
      </c>
      <c r="AW2456" t="s">
        <v>11447</v>
      </c>
    </row>
    <row r="2457" spans="1:49">
      <c r="A2457" s="1">
        <f>HYPERLINK("https://lsnyc.legalserver.org/matter/dynamic-profile/view/1908065","19-1908065")</f>
        <v>0</v>
      </c>
      <c r="B2457" t="s">
        <v>150</v>
      </c>
      <c r="C2457" t="s">
        <v>455</v>
      </c>
      <c r="E2457" t="s">
        <v>2327</v>
      </c>
      <c r="F2457" t="s">
        <v>3969</v>
      </c>
      <c r="G2457" t="s">
        <v>7989</v>
      </c>
      <c r="H2457">
        <v>214</v>
      </c>
      <c r="I2457" t="s">
        <v>11385</v>
      </c>
      <c r="J2457">
        <v>11226</v>
      </c>
      <c r="K2457" t="s">
        <v>11446</v>
      </c>
      <c r="L2457" t="s">
        <v>12256</v>
      </c>
      <c r="M2457" t="s">
        <v>14744</v>
      </c>
      <c r="N2457" t="s">
        <v>14781</v>
      </c>
      <c r="P2457" t="s">
        <v>14798</v>
      </c>
      <c r="S2457" t="s">
        <v>14827</v>
      </c>
      <c r="V2457">
        <v>0</v>
      </c>
      <c r="W2457" t="s">
        <v>14859</v>
      </c>
      <c r="X2457" t="s">
        <v>14865</v>
      </c>
      <c r="Z2457" t="s">
        <v>16962</v>
      </c>
      <c r="AB2457" t="s">
        <v>21982</v>
      </c>
      <c r="AC2457">
        <v>0</v>
      </c>
      <c r="AF2457">
        <v>0</v>
      </c>
      <c r="AG2457">
        <v>2</v>
      </c>
      <c r="AH2457">
        <v>4</v>
      </c>
      <c r="AI2457">
        <v>260.19</v>
      </c>
      <c r="AL2457" t="s">
        <v>5011</v>
      </c>
      <c r="AM2457">
        <v>90000</v>
      </c>
      <c r="AS2457">
        <v>9.1</v>
      </c>
      <c r="AT2457" t="s">
        <v>654</v>
      </c>
      <c r="AU2457" t="s">
        <v>25235</v>
      </c>
      <c r="AV2457" t="s">
        <v>25335</v>
      </c>
      <c r="AW2457" t="s">
        <v>11447</v>
      </c>
    </row>
    <row r="2458" spans="1:49">
      <c r="A2458" s="1">
        <f>HYPERLINK("https://lsnyc.legalserver.org/matter/dynamic-profile/view/1915250","19-1915250")</f>
        <v>0</v>
      </c>
      <c r="B2458" t="s">
        <v>81</v>
      </c>
      <c r="C2458" t="s">
        <v>509</v>
      </c>
      <c r="E2458" t="s">
        <v>2328</v>
      </c>
      <c r="F2458" t="s">
        <v>2002</v>
      </c>
      <c r="G2458" t="s">
        <v>7990</v>
      </c>
      <c r="H2458" t="s">
        <v>10476</v>
      </c>
      <c r="I2458" t="s">
        <v>11383</v>
      </c>
      <c r="J2458">
        <v>10453</v>
      </c>
      <c r="K2458" t="s">
        <v>11446</v>
      </c>
      <c r="L2458" t="s">
        <v>12257</v>
      </c>
      <c r="M2458" t="s">
        <v>14743</v>
      </c>
      <c r="N2458" t="s">
        <v>14778</v>
      </c>
      <c r="P2458" t="s">
        <v>14798</v>
      </c>
      <c r="Q2458" t="s">
        <v>11448</v>
      </c>
      <c r="S2458" t="s">
        <v>14827</v>
      </c>
      <c r="T2458" t="s">
        <v>14832</v>
      </c>
      <c r="V2458">
        <v>1500</v>
      </c>
      <c r="W2458" t="s">
        <v>14858</v>
      </c>
      <c r="X2458" t="s">
        <v>14863</v>
      </c>
      <c r="Z2458" t="s">
        <v>16963</v>
      </c>
      <c r="AB2458" t="s">
        <v>21983</v>
      </c>
      <c r="AC2458">
        <v>59</v>
      </c>
      <c r="AD2458" t="s">
        <v>24595</v>
      </c>
      <c r="AF2458">
        <v>14</v>
      </c>
      <c r="AG2458">
        <v>2</v>
      </c>
      <c r="AH2458">
        <v>2</v>
      </c>
      <c r="AI2458">
        <v>263.3</v>
      </c>
      <c r="AL2458" t="s">
        <v>5011</v>
      </c>
      <c r="AM2458">
        <v>67800</v>
      </c>
      <c r="AS2458">
        <v>0</v>
      </c>
      <c r="AU2458" t="s">
        <v>145</v>
      </c>
      <c r="AV2458" t="s">
        <v>25335</v>
      </c>
      <c r="AW2458" t="s">
        <v>11447</v>
      </c>
    </row>
    <row r="2459" spans="1:49">
      <c r="A2459" s="1">
        <f>HYPERLINK("https://lsnyc.legalserver.org/matter/dynamic-profile/view/1909327","19-1909327")</f>
        <v>0</v>
      </c>
      <c r="B2459" t="s">
        <v>75</v>
      </c>
      <c r="C2459" t="s">
        <v>589</v>
      </c>
      <c r="E2459" t="s">
        <v>1045</v>
      </c>
      <c r="F2459" t="s">
        <v>1528</v>
      </c>
      <c r="G2459" t="s">
        <v>7991</v>
      </c>
      <c r="H2459">
        <v>32</v>
      </c>
      <c r="I2459" t="s">
        <v>11385</v>
      </c>
      <c r="J2459">
        <v>11225</v>
      </c>
      <c r="K2459" t="s">
        <v>11447</v>
      </c>
      <c r="L2459" t="s">
        <v>12258</v>
      </c>
      <c r="M2459" t="s">
        <v>14743</v>
      </c>
      <c r="P2459" t="s">
        <v>14798</v>
      </c>
      <c r="S2459" t="s">
        <v>14827</v>
      </c>
      <c r="V2459">
        <v>1000</v>
      </c>
      <c r="W2459" t="s">
        <v>14859</v>
      </c>
      <c r="Z2459" t="s">
        <v>16964</v>
      </c>
      <c r="AB2459" t="s">
        <v>21984</v>
      </c>
      <c r="AC2459">
        <v>0</v>
      </c>
      <c r="AD2459" t="s">
        <v>24595</v>
      </c>
      <c r="AE2459" t="s">
        <v>11459</v>
      </c>
      <c r="AF2459">
        <v>18</v>
      </c>
      <c r="AG2459">
        <v>1</v>
      </c>
      <c r="AH2459">
        <v>0</v>
      </c>
      <c r="AI2459">
        <v>270.62</v>
      </c>
      <c r="AL2459" t="s">
        <v>5011</v>
      </c>
      <c r="AM2459">
        <v>33800</v>
      </c>
      <c r="AS2459">
        <v>1</v>
      </c>
      <c r="AT2459" t="s">
        <v>589</v>
      </c>
      <c r="AU2459" t="s">
        <v>25231</v>
      </c>
      <c r="AW2459" t="s">
        <v>11447</v>
      </c>
    </row>
    <row r="2460" spans="1:49">
      <c r="A2460" s="1">
        <f>HYPERLINK("https://lsnyc.legalserver.org/matter/dynamic-profile/view/1906081","19-1906081")</f>
        <v>0</v>
      </c>
      <c r="B2460" t="s">
        <v>67</v>
      </c>
      <c r="C2460" t="s">
        <v>618</v>
      </c>
      <c r="E2460" t="s">
        <v>2240</v>
      </c>
      <c r="F2460" t="s">
        <v>1035</v>
      </c>
      <c r="G2460" t="s">
        <v>6479</v>
      </c>
      <c r="H2460" t="s">
        <v>10575</v>
      </c>
      <c r="I2460" t="s">
        <v>11383</v>
      </c>
      <c r="J2460">
        <v>10474</v>
      </c>
      <c r="K2460" t="s">
        <v>11446</v>
      </c>
      <c r="L2460" t="s">
        <v>11496</v>
      </c>
      <c r="M2460" t="s">
        <v>14746</v>
      </c>
      <c r="N2460" t="s">
        <v>14781</v>
      </c>
      <c r="P2460" t="s">
        <v>14798</v>
      </c>
      <c r="Q2460" t="s">
        <v>11446</v>
      </c>
      <c r="S2460" t="s">
        <v>14827</v>
      </c>
      <c r="V2460">
        <v>1650</v>
      </c>
      <c r="W2460" t="s">
        <v>14858</v>
      </c>
      <c r="X2460" t="s">
        <v>14864</v>
      </c>
      <c r="Z2460" t="s">
        <v>16787</v>
      </c>
      <c r="AB2460" t="s">
        <v>21812</v>
      </c>
      <c r="AC2460">
        <v>47</v>
      </c>
      <c r="AD2460" t="s">
        <v>24595</v>
      </c>
      <c r="AE2460" t="s">
        <v>11459</v>
      </c>
      <c r="AF2460">
        <v>47</v>
      </c>
      <c r="AG2460">
        <v>2</v>
      </c>
      <c r="AH2460">
        <v>1</v>
      </c>
      <c r="AI2460">
        <v>271.92</v>
      </c>
      <c r="AL2460" t="s">
        <v>5011</v>
      </c>
      <c r="AM2460">
        <v>58000</v>
      </c>
      <c r="AS2460">
        <v>0</v>
      </c>
      <c r="AU2460" t="s">
        <v>245</v>
      </c>
      <c r="AW2460" t="s">
        <v>11447</v>
      </c>
    </row>
    <row r="2461" spans="1:49">
      <c r="A2461" s="1">
        <f>HYPERLINK("https://lsnyc.legalserver.org/matter/dynamic-profile/view/1882580","18-1882580")</f>
        <v>0</v>
      </c>
      <c r="B2461" t="s">
        <v>240</v>
      </c>
      <c r="C2461" t="s">
        <v>441</v>
      </c>
      <c r="E2461" t="s">
        <v>2329</v>
      </c>
      <c r="F2461" t="s">
        <v>3856</v>
      </c>
      <c r="G2461" t="s">
        <v>7992</v>
      </c>
      <c r="H2461" t="s">
        <v>10569</v>
      </c>
      <c r="I2461" t="s">
        <v>11385</v>
      </c>
      <c r="J2461">
        <v>11205</v>
      </c>
      <c r="K2461" t="s">
        <v>11446</v>
      </c>
      <c r="L2461" t="s">
        <v>12259</v>
      </c>
      <c r="M2461" t="s">
        <v>14744</v>
      </c>
      <c r="N2461" t="s">
        <v>14781</v>
      </c>
      <c r="P2461" t="s">
        <v>14798</v>
      </c>
      <c r="S2461" t="s">
        <v>14827</v>
      </c>
      <c r="V2461">
        <v>208</v>
      </c>
      <c r="W2461" t="s">
        <v>14859</v>
      </c>
      <c r="X2461" t="s">
        <v>14864</v>
      </c>
      <c r="Z2461" t="s">
        <v>15198</v>
      </c>
      <c r="AB2461" t="s">
        <v>21985</v>
      </c>
      <c r="AC2461">
        <v>10</v>
      </c>
      <c r="AD2461" t="s">
        <v>24595</v>
      </c>
      <c r="AF2461">
        <v>50</v>
      </c>
      <c r="AG2461">
        <v>2</v>
      </c>
      <c r="AH2461">
        <v>0</v>
      </c>
      <c r="AI2461">
        <v>273.39</v>
      </c>
      <c r="AL2461" t="s">
        <v>5011</v>
      </c>
      <c r="AM2461">
        <v>45000</v>
      </c>
      <c r="AS2461">
        <v>66.75</v>
      </c>
      <c r="AT2461" t="s">
        <v>516</v>
      </c>
      <c r="AU2461" t="s">
        <v>25230</v>
      </c>
      <c r="AW2461" t="s">
        <v>11447</v>
      </c>
    </row>
    <row r="2462" spans="1:49">
      <c r="A2462" s="1">
        <f>HYPERLINK("https://lsnyc.legalserver.org/matter/dynamic-profile/view/0789190","15-0789190")</f>
        <v>0</v>
      </c>
      <c r="B2462" t="s">
        <v>95</v>
      </c>
      <c r="C2462" t="s">
        <v>739</v>
      </c>
      <c r="E2462" t="s">
        <v>2330</v>
      </c>
      <c r="F2462" t="s">
        <v>4886</v>
      </c>
      <c r="G2462" t="s">
        <v>7569</v>
      </c>
      <c r="H2462" t="s">
        <v>10985</v>
      </c>
      <c r="I2462" t="s">
        <v>11383</v>
      </c>
      <c r="J2462">
        <v>10452</v>
      </c>
      <c r="K2462" t="s">
        <v>11446</v>
      </c>
      <c r="L2462" t="s">
        <v>12030</v>
      </c>
      <c r="M2462" t="s">
        <v>14773</v>
      </c>
      <c r="N2462" t="s">
        <v>14781</v>
      </c>
      <c r="P2462" t="s">
        <v>14798</v>
      </c>
      <c r="Q2462" t="s">
        <v>11446</v>
      </c>
      <c r="S2462" t="s">
        <v>14827</v>
      </c>
      <c r="V2462">
        <v>883</v>
      </c>
      <c r="W2462" t="s">
        <v>14858</v>
      </c>
      <c r="X2462" t="s">
        <v>14864</v>
      </c>
      <c r="Z2462" t="s">
        <v>16712</v>
      </c>
      <c r="AB2462" t="s">
        <v>21986</v>
      </c>
      <c r="AC2462">
        <v>0</v>
      </c>
      <c r="AF2462">
        <v>20</v>
      </c>
      <c r="AG2462">
        <v>3</v>
      </c>
      <c r="AH2462">
        <v>1</v>
      </c>
      <c r="AI2462">
        <v>276.29</v>
      </c>
      <c r="AL2462" t="s">
        <v>24632</v>
      </c>
      <c r="AM2462">
        <v>67000</v>
      </c>
      <c r="AN2462" t="s">
        <v>24828</v>
      </c>
      <c r="AS2462">
        <v>0.1</v>
      </c>
      <c r="AT2462" t="s">
        <v>25141</v>
      </c>
      <c r="AU2462" t="s">
        <v>186</v>
      </c>
      <c r="AW2462" t="s">
        <v>11447</v>
      </c>
    </row>
    <row r="2463" spans="1:49">
      <c r="A2463" s="1">
        <f>HYPERLINK("https://lsnyc.legalserver.org/matter/dynamic-profile/view/1893037","19-1893037")</f>
        <v>0</v>
      </c>
      <c r="B2463" t="s">
        <v>55</v>
      </c>
      <c r="C2463" t="s">
        <v>751</v>
      </c>
      <c r="E2463" t="s">
        <v>1279</v>
      </c>
      <c r="F2463" t="s">
        <v>4670</v>
      </c>
      <c r="G2463" t="s">
        <v>7993</v>
      </c>
      <c r="H2463" t="s">
        <v>10986</v>
      </c>
      <c r="I2463" t="s">
        <v>11386</v>
      </c>
      <c r="J2463">
        <v>10030</v>
      </c>
      <c r="K2463" t="s">
        <v>11447</v>
      </c>
      <c r="P2463" t="s">
        <v>14798</v>
      </c>
      <c r="S2463" t="s">
        <v>14828</v>
      </c>
      <c r="V2463">
        <v>253</v>
      </c>
      <c r="W2463" t="s">
        <v>14860</v>
      </c>
      <c r="Z2463" t="s">
        <v>16965</v>
      </c>
      <c r="AB2463" t="s">
        <v>20486</v>
      </c>
      <c r="AC2463">
        <v>15</v>
      </c>
      <c r="AF2463">
        <v>27</v>
      </c>
      <c r="AG2463">
        <v>1</v>
      </c>
      <c r="AH2463">
        <v>0</v>
      </c>
      <c r="AI2463">
        <v>278.62</v>
      </c>
      <c r="AL2463" t="s">
        <v>5011</v>
      </c>
      <c r="AM2463">
        <v>34800</v>
      </c>
      <c r="AS2463">
        <v>0.8</v>
      </c>
      <c r="AT2463" t="s">
        <v>666</v>
      </c>
      <c r="AU2463" t="s">
        <v>25238</v>
      </c>
      <c r="AW2463" t="s">
        <v>11447</v>
      </c>
    </row>
    <row r="2464" spans="1:49">
      <c r="A2464" s="1">
        <f>HYPERLINK("https://lsnyc.legalserver.org/matter/dynamic-profile/view/1907636","19-1907636")</f>
        <v>0</v>
      </c>
      <c r="B2464" t="s">
        <v>75</v>
      </c>
      <c r="C2464" t="s">
        <v>633</v>
      </c>
      <c r="E2464" t="s">
        <v>2331</v>
      </c>
      <c r="F2464" t="s">
        <v>4887</v>
      </c>
      <c r="G2464" t="s">
        <v>7994</v>
      </c>
      <c r="H2464">
        <v>303</v>
      </c>
      <c r="I2464" t="s">
        <v>11385</v>
      </c>
      <c r="J2464">
        <v>11215</v>
      </c>
      <c r="K2464" t="s">
        <v>11447</v>
      </c>
      <c r="M2464" t="s">
        <v>14744</v>
      </c>
      <c r="P2464" t="s">
        <v>14798</v>
      </c>
      <c r="S2464" t="s">
        <v>14827</v>
      </c>
      <c r="V2464">
        <v>3360</v>
      </c>
      <c r="W2464" t="s">
        <v>14859</v>
      </c>
      <c r="X2464" t="s">
        <v>14863</v>
      </c>
      <c r="Z2464" t="s">
        <v>16966</v>
      </c>
      <c r="AB2464" t="s">
        <v>21987</v>
      </c>
      <c r="AC2464">
        <v>16</v>
      </c>
      <c r="AD2464" t="s">
        <v>24600</v>
      </c>
      <c r="AE2464" t="s">
        <v>11459</v>
      </c>
      <c r="AF2464">
        <v>4</v>
      </c>
      <c r="AG2464">
        <v>1</v>
      </c>
      <c r="AH2464">
        <v>0</v>
      </c>
      <c r="AI2464">
        <v>280.22</v>
      </c>
      <c r="AL2464" t="s">
        <v>5011</v>
      </c>
      <c r="AM2464">
        <v>35000</v>
      </c>
      <c r="AS2464">
        <v>0.75</v>
      </c>
      <c r="AT2464" t="s">
        <v>455</v>
      </c>
      <c r="AU2464" t="s">
        <v>25225</v>
      </c>
      <c r="AW2464" t="s">
        <v>11447</v>
      </c>
    </row>
    <row r="2465" spans="1:49">
      <c r="A2465" s="1">
        <f>HYPERLINK("https://lsnyc.legalserver.org/matter/dynamic-profile/view/1908219","19-1908219")</f>
        <v>0</v>
      </c>
      <c r="B2465" t="s">
        <v>75</v>
      </c>
      <c r="C2465" t="s">
        <v>372</v>
      </c>
      <c r="E2465" t="s">
        <v>2332</v>
      </c>
      <c r="F2465" t="s">
        <v>4888</v>
      </c>
      <c r="G2465" t="s">
        <v>7995</v>
      </c>
      <c r="H2465">
        <v>4</v>
      </c>
      <c r="I2465" t="s">
        <v>11385</v>
      </c>
      <c r="J2465">
        <v>11215</v>
      </c>
      <c r="K2465" t="s">
        <v>11447</v>
      </c>
      <c r="P2465" t="s">
        <v>14798</v>
      </c>
      <c r="S2465" t="s">
        <v>14827</v>
      </c>
      <c r="V2465">
        <v>2000</v>
      </c>
      <c r="W2465" t="s">
        <v>14859</v>
      </c>
      <c r="Z2465" t="s">
        <v>16967</v>
      </c>
      <c r="AC2465">
        <v>9</v>
      </c>
      <c r="AE2465" t="s">
        <v>11459</v>
      </c>
      <c r="AF2465">
        <v>0</v>
      </c>
      <c r="AG2465">
        <v>1</v>
      </c>
      <c r="AH2465">
        <v>0</v>
      </c>
      <c r="AI2465">
        <v>283.11</v>
      </c>
      <c r="AL2465" t="s">
        <v>5011</v>
      </c>
      <c r="AM2465">
        <v>35360.04</v>
      </c>
      <c r="AS2465">
        <v>0.6</v>
      </c>
      <c r="AT2465" t="s">
        <v>372</v>
      </c>
      <c r="AU2465" t="s">
        <v>25225</v>
      </c>
      <c r="AW2465" t="s">
        <v>11447</v>
      </c>
    </row>
    <row r="2466" spans="1:49">
      <c r="A2466" s="1">
        <f>HYPERLINK("https://lsnyc.legalserver.org/matter/dynamic-profile/view/0795086","15-0795086")</f>
        <v>0</v>
      </c>
      <c r="B2466" t="s">
        <v>138</v>
      </c>
      <c r="C2466" t="s">
        <v>752</v>
      </c>
      <c r="E2466" t="s">
        <v>2333</v>
      </c>
      <c r="F2466" t="s">
        <v>3547</v>
      </c>
      <c r="G2466" t="s">
        <v>7996</v>
      </c>
      <c r="H2466">
        <v>702</v>
      </c>
      <c r="I2466" t="s">
        <v>11390</v>
      </c>
      <c r="J2466">
        <v>11368</v>
      </c>
      <c r="K2466" t="s">
        <v>11448</v>
      </c>
      <c r="P2466" t="s">
        <v>14798</v>
      </c>
      <c r="S2466" t="s">
        <v>14827</v>
      </c>
      <c r="V2466">
        <v>1907</v>
      </c>
      <c r="W2466" t="s">
        <v>14861</v>
      </c>
      <c r="X2466" t="s">
        <v>14874</v>
      </c>
      <c r="Z2466" t="s">
        <v>16968</v>
      </c>
      <c r="AB2466" t="s">
        <v>21988</v>
      </c>
      <c r="AC2466">
        <v>0</v>
      </c>
      <c r="AD2466" t="s">
        <v>24595</v>
      </c>
      <c r="AF2466">
        <v>3</v>
      </c>
      <c r="AG2466">
        <v>1</v>
      </c>
      <c r="AH2466">
        <v>3</v>
      </c>
      <c r="AI2466">
        <v>284.54</v>
      </c>
      <c r="AL2466" t="s">
        <v>5011</v>
      </c>
      <c r="AM2466">
        <v>69000</v>
      </c>
      <c r="AS2466">
        <v>52.24</v>
      </c>
      <c r="AT2466" t="s">
        <v>25150</v>
      </c>
      <c r="AU2466" t="s">
        <v>138</v>
      </c>
      <c r="AW2466" t="s">
        <v>11447</v>
      </c>
    </row>
    <row r="2467" spans="1:49">
      <c r="A2467" s="1">
        <f>HYPERLINK("https://lsnyc.legalserver.org/matter/dynamic-profile/view/1904364","19-1904364")</f>
        <v>0</v>
      </c>
      <c r="B2467" t="s">
        <v>273</v>
      </c>
      <c r="C2467" t="s">
        <v>607</v>
      </c>
      <c r="E2467" t="s">
        <v>2334</v>
      </c>
      <c r="F2467" t="s">
        <v>4889</v>
      </c>
      <c r="G2467" t="s">
        <v>7997</v>
      </c>
      <c r="H2467" t="s">
        <v>10557</v>
      </c>
      <c r="I2467" t="s">
        <v>11383</v>
      </c>
      <c r="J2467">
        <v>10473</v>
      </c>
      <c r="K2467" t="s">
        <v>11446</v>
      </c>
      <c r="L2467" t="s">
        <v>12260</v>
      </c>
      <c r="M2467" t="s">
        <v>14744</v>
      </c>
      <c r="N2467" t="s">
        <v>14778</v>
      </c>
      <c r="P2467" t="s">
        <v>14798</v>
      </c>
      <c r="S2467" t="s">
        <v>14827</v>
      </c>
      <c r="V2467">
        <v>1075</v>
      </c>
      <c r="W2467" t="s">
        <v>14858</v>
      </c>
      <c r="Z2467" t="s">
        <v>16969</v>
      </c>
      <c r="AB2467" t="s">
        <v>21989</v>
      </c>
      <c r="AC2467">
        <v>49</v>
      </c>
      <c r="AD2467" t="s">
        <v>24597</v>
      </c>
      <c r="AF2467">
        <v>8</v>
      </c>
      <c r="AG2467">
        <v>1</v>
      </c>
      <c r="AH2467">
        <v>1</v>
      </c>
      <c r="AI2467">
        <v>286.64</v>
      </c>
      <c r="AL2467" t="s">
        <v>24632</v>
      </c>
      <c r="AM2467">
        <v>48470.24</v>
      </c>
      <c r="AS2467">
        <v>1.5</v>
      </c>
      <c r="AT2467" t="s">
        <v>607</v>
      </c>
      <c r="AU2467" t="s">
        <v>25232</v>
      </c>
      <c r="AV2467" t="s">
        <v>25335</v>
      </c>
      <c r="AW2467" t="s">
        <v>11447</v>
      </c>
    </row>
    <row r="2468" spans="1:49">
      <c r="A2468" s="1">
        <f>HYPERLINK("https://lsnyc.legalserver.org/matter/dynamic-profile/view/1908434","19-1908434")</f>
        <v>0</v>
      </c>
      <c r="B2468" t="s">
        <v>138</v>
      </c>
      <c r="C2468" t="s">
        <v>464</v>
      </c>
      <c r="E2468" t="s">
        <v>2335</v>
      </c>
      <c r="F2468" t="s">
        <v>4890</v>
      </c>
      <c r="G2468" t="s">
        <v>7998</v>
      </c>
      <c r="I2468" t="s">
        <v>11387</v>
      </c>
      <c r="J2468">
        <v>11433</v>
      </c>
      <c r="K2468" t="s">
        <v>11446</v>
      </c>
      <c r="M2468" t="s">
        <v>14743</v>
      </c>
      <c r="N2468" t="s">
        <v>14782</v>
      </c>
      <c r="P2468" t="s">
        <v>14798</v>
      </c>
      <c r="Q2468" t="s">
        <v>11448</v>
      </c>
      <c r="S2468" t="s">
        <v>14827</v>
      </c>
      <c r="V2468">
        <v>500</v>
      </c>
      <c r="W2468" t="s">
        <v>14861</v>
      </c>
      <c r="X2468" t="s">
        <v>14863</v>
      </c>
      <c r="Z2468" t="s">
        <v>16970</v>
      </c>
      <c r="AB2468" t="s">
        <v>21990</v>
      </c>
      <c r="AC2468">
        <v>1</v>
      </c>
      <c r="AF2468">
        <v>3</v>
      </c>
      <c r="AG2468">
        <v>2</v>
      </c>
      <c r="AH2468">
        <v>0</v>
      </c>
      <c r="AI2468">
        <v>287.83</v>
      </c>
      <c r="AL2468" t="s">
        <v>5011</v>
      </c>
      <c r="AM2468">
        <v>48672</v>
      </c>
      <c r="AS2468">
        <v>4.6</v>
      </c>
      <c r="AT2468" t="s">
        <v>578</v>
      </c>
      <c r="AU2468" t="s">
        <v>25233</v>
      </c>
      <c r="AV2468" t="s">
        <v>25335</v>
      </c>
      <c r="AW2468" t="s">
        <v>11447</v>
      </c>
    </row>
    <row r="2469" spans="1:49">
      <c r="A2469" s="1">
        <f>HYPERLINK("https://lsnyc.legalserver.org/matter/dynamic-profile/view/0806239","16-0806239")</f>
        <v>0</v>
      </c>
      <c r="B2469" t="s">
        <v>100</v>
      </c>
      <c r="C2469" t="s">
        <v>672</v>
      </c>
      <c r="E2469" t="s">
        <v>2336</v>
      </c>
      <c r="F2469" t="s">
        <v>1982</v>
      </c>
      <c r="G2469" t="s">
        <v>7569</v>
      </c>
      <c r="H2469" t="s">
        <v>10661</v>
      </c>
      <c r="I2469" t="s">
        <v>11383</v>
      </c>
      <c r="J2469">
        <v>10452</v>
      </c>
      <c r="K2469" t="s">
        <v>11448</v>
      </c>
      <c r="L2469" t="s">
        <v>12030</v>
      </c>
      <c r="M2469" t="s">
        <v>14763</v>
      </c>
      <c r="N2469" t="s">
        <v>14781</v>
      </c>
      <c r="P2469" t="s">
        <v>14798</v>
      </c>
      <c r="Q2469" t="s">
        <v>11446</v>
      </c>
      <c r="S2469" t="s">
        <v>14827</v>
      </c>
      <c r="V2469">
        <v>854</v>
      </c>
      <c r="W2469" t="s">
        <v>14858</v>
      </c>
      <c r="X2469" t="s">
        <v>14864</v>
      </c>
      <c r="Z2469" t="s">
        <v>16971</v>
      </c>
      <c r="AB2469" t="s">
        <v>21991</v>
      </c>
      <c r="AC2469">
        <v>0</v>
      </c>
      <c r="AF2469">
        <v>0</v>
      </c>
      <c r="AG2469">
        <v>2</v>
      </c>
      <c r="AH2469">
        <v>2</v>
      </c>
      <c r="AI2469">
        <v>288.07</v>
      </c>
      <c r="AL2469" t="s">
        <v>5011</v>
      </c>
      <c r="AM2469">
        <v>70000</v>
      </c>
      <c r="AN2469" t="s">
        <v>24828</v>
      </c>
      <c r="AS2469">
        <v>0.1</v>
      </c>
      <c r="AT2469" t="s">
        <v>25141</v>
      </c>
      <c r="AU2469" t="s">
        <v>186</v>
      </c>
      <c r="AW2469" t="s">
        <v>11447</v>
      </c>
    </row>
    <row r="2470" spans="1:49">
      <c r="A2470" s="1">
        <f>HYPERLINK("https://lsnyc.legalserver.org/matter/dynamic-profile/view/1903506","19-1903506")</f>
        <v>0</v>
      </c>
      <c r="B2470" t="s">
        <v>75</v>
      </c>
      <c r="C2470" t="s">
        <v>631</v>
      </c>
      <c r="E2470" t="s">
        <v>1639</v>
      </c>
      <c r="F2470" t="s">
        <v>4891</v>
      </c>
      <c r="G2470" t="s">
        <v>7999</v>
      </c>
      <c r="H2470" t="s">
        <v>10987</v>
      </c>
      <c r="I2470" t="s">
        <v>11385</v>
      </c>
      <c r="J2470">
        <v>11225</v>
      </c>
      <c r="K2470" t="s">
        <v>11447</v>
      </c>
      <c r="L2470" t="s">
        <v>12261</v>
      </c>
      <c r="M2470" t="s">
        <v>14743</v>
      </c>
      <c r="P2470" t="s">
        <v>14798</v>
      </c>
      <c r="S2470" t="s">
        <v>14827</v>
      </c>
      <c r="V2470">
        <v>1495</v>
      </c>
      <c r="W2470" t="s">
        <v>14859</v>
      </c>
      <c r="Z2470" t="s">
        <v>15821</v>
      </c>
      <c r="AB2470" t="s">
        <v>21992</v>
      </c>
      <c r="AC2470">
        <v>65</v>
      </c>
      <c r="AF2470">
        <v>7</v>
      </c>
      <c r="AG2470">
        <v>1</v>
      </c>
      <c r="AH2470">
        <v>0</v>
      </c>
      <c r="AI2470">
        <v>288.23</v>
      </c>
      <c r="AL2470" t="s">
        <v>5011</v>
      </c>
      <c r="AM2470">
        <v>36000</v>
      </c>
      <c r="AS2470">
        <v>0.5</v>
      </c>
      <c r="AT2470" t="s">
        <v>631</v>
      </c>
      <c r="AU2470" t="s">
        <v>25238</v>
      </c>
      <c r="AW2470" t="s">
        <v>11447</v>
      </c>
    </row>
    <row r="2471" spans="1:49">
      <c r="A2471" s="1">
        <f>HYPERLINK("https://lsnyc.legalserver.org/matter/dynamic-profile/view/1913486","19-1913486")</f>
        <v>0</v>
      </c>
      <c r="B2471" t="s">
        <v>76</v>
      </c>
      <c r="C2471" t="s">
        <v>484</v>
      </c>
      <c r="E2471" t="s">
        <v>2337</v>
      </c>
      <c r="F2471" t="s">
        <v>4892</v>
      </c>
      <c r="G2471" t="s">
        <v>8000</v>
      </c>
      <c r="H2471" t="s">
        <v>10638</v>
      </c>
      <c r="I2471" t="s">
        <v>11385</v>
      </c>
      <c r="J2471">
        <v>11221</v>
      </c>
      <c r="K2471" t="s">
        <v>11447</v>
      </c>
      <c r="P2471" t="s">
        <v>14798</v>
      </c>
      <c r="S2471" t="s">
        <v>14827</v>
      </c>
      <c r="V2471">
        <v>2800</v>
      </c>
      <c r="W2471" t="s">
        <v>14859</v>
      </c>
      <c r="Z2471" t="s">
        <v>16972</v>
      </c>
      <c r="AB2471" t="s">
        <v>21993</v>
      </c>
      <c r="AC2471">
        <v>0</v>
      </c>
      <c r="AD2471" t="s">
        <v>24595</v>
      </c>
      <c r="AE2471" t="s">
        <v>11459</v>
      </c>
      <c r="AF2471">
        <v>0</v>
      </c>
      <c r="AG2471">
        <v>1</v>
      </c>
      <c r="AH2471">
        <v>0</v>
      </c>
      <c r="AI2471">
        <v>288.23</v>
      </c>
      <c r="AL2471" t="s">
        <v>5011</v>
      </c>
      <c r="AM2471">
        <v>36000</v>
      </c>
      <c r="AS2471">
        <v>1.2</v>
      </c>
      <c r="AT2471" t="s">
        <v>477</v>
      </c>
      <c r="AU2471" t="s">
        <v>25231</v>
      </c>
      <c r="AW2471" t="s">
        <v>11447</v>
      </c>
    </row>
    <row r="2472" spans="1:49">
      <c r="A2472" s="1">
        <f>HYPERLINK("https://lsnyc.legalserver.org/matter/dynamic-profile/view/1912874","19-1912874")</f>
        <v>0</v>
      </c>
      <c r="B2472" t="s">
        <v>55</v>
      </c>
      <c r="C2472" t="s">
        <v>470</v>
      </c>
      <c r="E2472" t="s">
        <v>1590</v>
      </c>
      <c r="F2472" t="s">
        <v>4893</v>
      </c>
      <c r="G2472" t="s">
        <v>8001</v>
      </c>
      <c r="H2472" t="s">
        <v>10642</v>
      </c>
      <c r="I2472" t="s">
        <v>11386</v>
      </c>
      <c r="J2472">
        <v>10022</v>
      </c>
      <c r="K2472" t="s">
        <v>11447</v>
      </c>
      <c r="P2472" t="s">
        <v>14798</v>
      </c>
      <c r="S2472" t="s">
        <v>14827</v>
      </c>
      <c r="V2472">
        <v>0</v>
      </c>
      <c r="W2472" t="s">
        <v>14860</v>
      </c>
      <c r="Z2472" t="s">
        <v>16973</v>
      </c>
      <c r="AB2472" t="s">
        <v>21994</v>
      </c>
      <c r="AC2472">
        <v>0</v>
      </c>
      <c r="AF2472">
        <v>0</v>
      </c>
      <c r="AG2472">
        <v>1</v>
      </c>
      <c r="AH2472">
        <v>0</v>
      </c>
      <c r="AI2472">
        <v>288.23</v>
      </c>
      <c r="AL2472" t="s">
        <v>5011</v>
      </c>
      <c r="AM2472">
        <v>36000</v>
      </c>
      <c r="AS2472">
        <v>0.6</v>
      </c>
      <c r="AT2472" t="s">
        <v>470</v>
      </c>
      <c r="AU2472" t="s">
        <v>25229</v>
      </c>
      <c r="AW2472" t="s">
        <v>11447</v>
      </c>
    </row>
    <row r="2473" spans="1:49">
      <c r="A2473" s="1">
        <f>HYPERLINK("https://lsnyc.legalserver.org/matter/dynamic-profile/view/1874955","18-1874955")</f>
        <v>0</v>
      </c>
      <c r="B2473" t="s">
        <v>274</v>
      </c>
      <c r="C2473" t="s">
        <v>335</v>
      </c>
      <c r="E2473" t="s">
        <v>1068</v>
      </c>
      <c r="F2473" t="s">
        <v>4894</v>
      </c>
      <c r="G2473" t="s">
        <v>8002</v>
      </c>
      <c r="I2473" t="s">
        <v>11383</v>
      </c>
      <c r="J2473">
        <v>10461</v>
      </c>
      <c r="K2473" t="s">
        <v>11446</v>
      </c>
      <c r="M2473" t="s">
        <v>11601</v>
      </c>
      <c r="N2473" t="s">
        <v>14782</v>
      </c>
      <c r="P2473" t="s">
        <v>14798</v>
      </c>
      <c r="Q2473" t="s">
        <v>11448</v>
      </c>
      <c r="S2473" t="s">
        <v>14827</v>
      </c>
      <c r="V2473">
        <v>0</v>
      </c>
      <c r="W2473" t="s">
        <v>14860</v>
      </c>
      <c r="X2473" t="s">
        <v>14872</v>
      </c>
      <c r="Z2473" t="s">
        <v>16974</v>
      </c>
      <c r="AC2473">
        <v>0</v>
      </c>
      <c r="AE2473" t="s">
        <v>11459</v>
      </c>
      <c r="AF2473">
        <v>0</v>
      </c>
      <c r="AG2473">
        <v>1</v>
      </c>
      <c r="AH2473">
        <v>2</v>
      </c>
      <c r="AI2473">
        <v>288.74</v>
      </c>
      <c r="AL2473" t="s">
        <v>5011</v>
      </c>
      <c r="AM2473">
        <v>60000</v>
      </c>
      <c r="AS2473">
        <v>21.25</v>
      </c>
      <c r="AT2473" t="s">
        <v>483</v>
      </c>
      <c r="AU2473" t="s">
        <v>153</v>
      </c>
      <c r="AW2473" t="s">
        <v>11446</v>
      </c>
    </row>
    <row r="2474" spans="1:49">
      <c r="A2474" s="1">
        <f>HYPERLINK("https://lsnyc.legalserver.org/matter/dynamic-profile/view/1910594","19-1910594")</f>
        <v>0</v>
      </c>
      <c r="B2474" t="s">
        <v>55</v>
      </c>
      <c r="C2474" t="s">
        <v>644</v>
      </c>
      <c r="E2474" t="s">
        <v>2338</v>
      </c>
      <c r="F2474" t="s">
        <v>4895</v>
      </c>
      <c r="G2474" t="s">
        <v>8003</v>
      </c>
      <c r="I2474" t="s">
        <v>11383</v>
      </c>
      <c r="J2474">
        <v>10467</v>
      </c>
      <c r="K2474" t="s">
        <v>11447</v>
      </c>
      <c r="M2474" t="s">
        <v>14746</v>
      </c>
      <c r="P2474" t="s">
        <v>14798</v>
      </c>
      <c r="S2474" t="s">
        <v>14827</v>
      </c>
      <c r="V2474">
        <v>808.66</v>
      </c>
      <c r="W2474" t="s">
        <v>14860</v>
      </c>
      <c r="X2474" t="s">
        <v>14755</v>
      </c>
      <c r="Z2474" t="s">
        <v>16975</v>
      </c>
      <c r="AB2474" t="s">
        <v>21995</v>
      </c>
      <c r="AC2474">
        <v>20</v>
      </c>
      <c r="AD2474" t="s">
        <v>24595</v>
      </c>
      <c r="AE2474" t="s">
        <v>11459</v>
      </c>
      <c r="AF2474">
        <v>33</v>
      </c>
      <c r="AG2474">
        <v>1</v>
      </c>
      <c r="AH2474">
        <v>0</v>
      </c>
      <c r="AI2474">
        <v>289.04</v>
      </c>
      <c r="AL2474" t="s">
        <v>5011</v>
      </c>
      <c r="AM2474">
        <v>36101.28</v>
      </c>
      <c r="AS2474">
        <v>0.5</v>
      </c>
      <c r="AT2474" t="s">
        <v>644</v>
      </c>
      <c r="AU2474" t="s">
        <v>25244</v>
      </c>
      <c r="AW2474" t="s">
        <v>11447</v>
      </c>
    </row>
    <row r="2475" spans="1:49">
      <c r="A2475" s="1">
        <f>HYPERLINK("https://lsnyc.legalserver.org/matter/dynamic-profile/view/1912893","19-1912893")</f>
        <v>0</v>
      </c>
      <c r="B2475" t="s">
        <v>104</v>
      </c>
      <c r="C2475" t="s">
        <v>574</v>
      </c>
      <c r="E2475" t="s">
        <v>1392</v>
      </c>
      <c r="F2475" t="s">
        <v>3797</v>
      </c>
      <c r="G2475" t="s">
        <v>6710</v>
      </c>
      <c r="H2475" t="s">
        <v>10778</v>
      </c>
      <c r="I2475" t="s">
        <v>11386</v>
      </c>
      <c r="J2475">
        <v>10037</v>
      </c>
      <c r="K2475" t="s">
        <v>11447</v>
      </c>
      <c r="L2475" t="s">
        <v>12262</v>
      </c>
      <c r="M2475" t="s">
        <v>14743</v>
      </c>
      <c r="P2475" t="s">
        <v>14798</v>
      </c>
      <c r="S2475" t="s">
        <v>14827</v>
      </c>
      <c r="V2475">
        <v>770.2</v>
      </c>
      <c r="W2475" t="s">
        <v>14860</v>
      </c>
      <c r="X2475" t="s">
        <v>14872</v>
      </c>
      <c r="Z2475" t="s">
        <v>16976</v>
      </c>
      <c r="AB2475" t="s">
        <v>21996</v>
      </c>
      <c r="AC2475">
        <v>200</v>
      </c>
      <c r="AD2475" t="s">
        <v>24599</v>
      </c>
      <c r="AE2475" t="s">
        <v>11459</v>
      </c>
      <c r="AF2475">
        <v>42</v>
      </c>
      <c r="AG2475">
        <v>1</v>
      </c>
      <c r="AH2475">
        <v>0</v>
      </c>
      <c r="AI2475">
        <v>291.43</v>
      </c>
      <c r="AL2475" t="s">
        <v>5011</v>
      </c>
      <c r="AM2475">
        <v>36400</v>
      </c>
      <c r="AS2475">
        <v>1.1</v>
      </c>
      <c r="AT2475" t="s">
        <v>495</v>
      </c>
      <c r="AU2475" t="s">
        <v>25244</v>
      </c>
      <c r="AW2475" t="s">
        <v>11447</v>
      </c>
    </row>
    <row r="2476" spans="1:49">
      <c r="A2476" s="1">
        <f>HYPERLINK("https://lsnyc.legalserver.org/matter/dynamic-profile/view/1910801","19-1910801")</f>
        <v>0</v>
      </c>
      <c r="B2476" t="s">
        <v>63</v>
      </c>
      <c r="C2476" t="s">
        <v>601</v>
      </c>
      <c r="E2476" t="s">
        <v>2339</v>
      </c>
      <c r="F2476" t="s">
        <v>4896</v>
      </c>
      <c r="G2476" t="s">
        <v>8004</v>
      </c>
      <c r="I2476" t="s">
        <v>11425</v>
      </c>
      <c r="J2476">
        <v>11411</v>
      </c>
      <c r="K2476" t="s">
        <v>11447</v>
      </c>
      <c r="M2476" t="s">
        <v>14746</v>
      </c>
      <c r="P2476" t="s">
        <v>14798</v>
      </c>
      <c r="Q2476" t="s">
        <v>11448</v>
      </c>
      <c r="S2476" t="s">
        <v>14827</v>
      </c>
      <c r="V2476">
        <v>1950</v>
      </c>
      <c r="W2476" t="s">
        <v>14861</v>
      </c>
      <c r="X2476" t="s">
        <v>14866</v>
      </c>
      <c r="Z2476" t="s">
        <v>16977</v>
      </c>
      <c r="AB2476" t="s">
        <v>21997</v>
      </c>
      <c r="AC2476">
        <v>1</v>
      </c>
      <c r="AD2476" t="s">
        <v>11479</v>
      </c>
      <c r="AE2476" t="s">
        <v>11459</v>
      </c>
      <c r="AF2476">
        <v>6</v>
      </c>
      <c r="AG2476">
        <v>2</v>
      </c>
      <c r="AH2476">
        <v>1</v>
      </c>
      <c r="AI2476">
        <v>292.55</v>
      </c>
      <c r="AL2476" t="s">
        <v>5011</v>
      </c>
      <c r="AM2476">
        <v>62400</v>
      </c>
      <c r="AS2476">
        <v>1</v>
      </c>
      <c r="AT2476" t="s">
        <v>601</v>
      </c>
      <c r="AU2476" t="s">
        <v>25244</v>
      </c>
      <c r="AW2476" t="s">
        <v>11447</v>
      </c>
    </row>
    <row r="2477" spans="1:49">
      <c r="A2477" s="1">
        <f>HYPERLINK("https://lsnyc.legalserver.org/matter/dynamic-profile/view/1894535","19-1894535")</f>
        <v>0</v>
      </c>
      <c r="B2477" t="s">
        <v>257</v>
      </c>
      <c r="C2477" t="s">
        <v>660</v>
      </c>
      <c r="E2477" t="s">
        <v>2340</v>
      </c>
      <c r="F2477" t="s">
        <v>4897</v>
      </c>
      <c r="G2477" t="s">
        <v>8005</v>
      </c>
      <c r="H2477" t="s">
        <v>10988</v>
      </c>
      <c r="I2477" t="s">
        <v>11383</v>
      </c>
      <c r="J2477">
        <v>10454</v>
      </c>
      <c r="K2477" t="s">
        <v>11446</v>
      </c>
      <c r="L2477" t="s">
        <v>12263</v>
      </c>
      <c r="M2477" t="s">
        <v>14744</v>
      </c>
      <c r="N2477" t="s">
        <v>14778</v>
      </c>
      <c r="P2477" t="s">
        <v>14798</v>
      </c>
      <c r="Q2477" t="s">
        <v>11448</v>
      </c>
      <c r="S2477" t="s">
        <v>14827</v>
      </c>
      <c r="V2477">
        <v>2350</v>
      </c>
      <c r="W2477" t="s">
        <v>14858</v>
      </c>
      <c r="X2477" t="s">
        <v>14863</v>
      </c>
      <c r="Z2477" t="s">
        <v>16978</v>
      </c>
      <c r="AB2477" t="s">
        <v>21998</v>
      </c>
      <c r="AC2477">
        <v>10</v>
      </c>
      <c r="AD2477" t="s">
        <v>11479</v>
      </c>
      <c r="AE2477" t="s">
        <v>11459</v>
      </c>
      <c r="AF2477">
        <v>1</v>
      </c>
      <c r="AG2477">
        <v>3</v>
      </c>
      <c r="AH2477">
        <v>0</v>
      </c>
      <c r="AI2477">
        <v>292.55</v>
      </c>
      <c r="AL2477" t="s">
        <v>5011</v>
      </c>
      <c r="AM2477">
        <v>62400</v>
      </c>
      <c r="AN2477" t="s">
        <v>24837</v>
      </c>
      <c r="AS2477">
        <v>0.3</v>
      </c>
      <c r="AT2477" t="s">
        <v>498</v>
      </c>
      <c r="AU2477" t="s">
        <v>25252</v>
      </c>
      <c r="AV2477" t="s">
        <v>25335</v>
      </c>
      <c r="AW2477" t="s">
        <v>11446</v>
      </c>
    </row>
    <row r="2478" spans="1:49">
      <c r="A2478" s="1">
        <f>HYPERLINK("https://lsnyc.legalserver.org/matter/dynamic-profile/view/0806240","16-0806240")</f>
        <v>0</v>
      </c>
      <c r="B2478" t="s">
        <v>100</v>
      </c>
      <c r="C2478" t="s">
        <v>672</v>
      </c>
      <c r="E2478" t="s">
        <v>2341</v>
      </c>
      <c r="F2478" t="s">
        <v>4898</v>
      </c>
      <c r="G2478" t="s">
        <v>7569</v>
      </c>
      <c r="H2478" t="s">
        <v>10555</v>
      </c>
      <c r="I2478" t="s">
        <v>11383</v>
      </c>
      <c r="J2478">
        <v>10452</v>
      </c>
      <c r="K2478" t="s">
        <v>11446</v>
      </c>
      <c r="L2478" t="s">
        <v>12030</v>
      </c>
      <c r="M2478" t="s">
        <v>14763</v>
      </c>
      <c r="N2478" t="s">
        <v>14781</v>
      </c>
      <c r="P2478" t="s">
        <v>14798</v>
      </c>
      <c r="Q2478" t="s">
        <v>11446</v>
      </c>
      <c r="S2478" t="s">
        <v>14827</v>
      </c>
      <c r="V2478">
        <v>904.45</v>
      </c>
      <c r="W2478" t="s">
        <v>14858</v>
      </c>
      <c r="X2478" t="s">
        <v>14864</v>
      </c>
      <c r="Z2478" t="s">
        <v>16979</v>
      </c>
      <c r="AB2478" t="s">
        <v>21999</v>
      </c>
      <c r="AC2478">
        <v>0</v>
      </c>
      <c r="AD2478" t="s">
        <v>24595</v>
      </c>
      <c r="AF2478">
        <v>0</v>
      </c>
      <c r="AG2478">
        <v>1</v>
      </c>
      <c r="AH2478">
        <v>0</v>
      </c>
      <c r="AI2478">
        <v>294.61</v>
      </c>
      <c r="AL2478" t="s">
        <v>5011</v>
      </c>
      <c r="AM2478">
        <v>35000</v>
      </c>
      <c r="AN2478" t="s">
        <v>24828</v>
      </c>
      <c r="AS2478">
        <v>0.2</v>
      </c>
      <c r="AT2478" t="s">
        <v>356</v>
      </c>
      <c r="AU2478" t="s">
        <v>186</v>
      </c>
      <c r="AW2478" t="s">
        <v>11447</v>
      </c>
    </row>
    <row r="2479" spans="1:49">
      <c r="A2479" s="1">
        <f>HYPERLINK("https://lsnyc.legalserver.org/matter/dynamic-profile/view/1894492","19-1894492")</f>
        <v>0</v>
      </c>
      <c r="B2479" t="s">
        <v>103</v>
      </c>
      <c r="C2479" t="s">
        <v>613</v>
      </c>
      <c r="E2479" t="s">
        <v>1696</v>
      </c>
      <c r="F2479" t="s">
        <v>3909</v>
      </c>
      <c r="G2479" t="s">
        <v>7152</v>
      </c>
      <c r="H2479" t="s">
        <v>10751</v>
      </c>
      <c r="I2479" t="s">
        <v>11385</v>
      </c>
      <c r="J2479">
        <v>11233</v>
      </c>
      <c r="K2479" t="s">
        <v>11448</v>
      </c>
      <c r="L2479" t="s">
        <v>12264</v>
      </c>
      <c r="M2479" t="s">
        <v>14744</v>
      </c>
      <c r="N2479" t="s">
        <v>14781</v>
      </c>
      <c r="P2479" t="s">
        <v>14798</v>
      </c>
      <c r="S2479" t="s">
        <v>14827</v>
      </c>
      <c r="V2479">
        <v>1056</v>
      </c>
      <c r="W2479" t="s">
        <v>14859</v>
      </c>
      <c r="Z2479" t="s">
        <v>15797</v>
      </c>
      <c r="AC2479">
        <v>359</v>
      </c>
      <c r="AD2479" t="s">
        <v>24595</v>
      </c>
      <c r="AE2479" t="s">
        <v>11459</v>
      </c>
      <c r="AF2479">
        <v>9</v>
      </c>
      <c r="AG2479">
        <v>2</v>
      </c>
      <c r="AH2479">
        <v>0</v>
      </c>
      <c r="AI2479">
        <v>295.68</v>
      </c>
      <c r="AL2479" t="s">
        <v>5011</v>
      </c>
      <c r="AM2479">
        <v>50000</v>
      </c>
      <c r="AN2479" t="s">
        <v>24838</v>
      </c>
      <c r="AS2479">
        <v>39.1</v>
      </c>
      <c r="AT2479" t="s">
        <v>477</v>
      </c>
      <c r="AU2479" t="s">
        <v>120</v>
      </c>
      <c r="AW2479" t="s">
        <v>11448</v>
      </c>
    </row>
    <row r="2480" spans="1:49">
      <c r="A2480" s="1">
        <f>HYPERLINK("https://lsnyc.legalserver.org/matter/dynamic-profile/view/1908525","19-1908525")</f>
        <v>0</v>
      </c>
      <c r="B2480" t="s">
        <v>130</v>
      </c>
      <c r="C2480" t="s">
        <v>466</v>
      </c>
      <c r="E2480" t="s">
        <v>1113</v>
      </c>
      <c r="F2480" t="s">
        <v>4899</v>
      </c>
      <c r="G2480" t="s">
        <v>8006</v>
      </c>
      <c r="H2480" t="s">
        <v>10562</v>
      </c>
      <c r="I2480" t="s">
        <v>11383</v>
      </c>
      <c r="J2480">
        <v>10468</v>
      </c>
      <c r="K2480" t="s">
        <v>11447</v>
      </c>
      <c r="L2480" t="s">
        <v>12265</v>
      </c>
      <c r="M2480" t="s">
        <v>14744</v>
      </c>
      <c r="N2480" t="s">
        <v>14781</v>
      </c>
      <c r="P2480" t="s">
        <v>14798</v>
      </c>
      <c r="Q2480" t="s">
        <v>11448</v>
      </c>
      <c r="S2480" t="s">
        <v>14827</v>
      </c>
      <c r="V2480">
        <v>885.46</v>
      </c>
      <c r="W2480" t="s">
        <v>14858</v>
      </c>
      <c r="X2480" t="s">
        <v>14863</v>
      </c>
      <c r="Z2480" t="s">
        <v>16980</v>
      </c>
      <c r="AB2480" t="s">
        <v>22000</v>
      </c>
      <c r="AC2480">
        <v>111</v>
      </c>
      <c r="AD2480" t="s">
        <v>24599</v>
      </c>
      <c r="AF2480">
        <v>25</v>
      </c>
      <c r="AG2480">
        <v>2</v>
      </c>
      <c r="AH2480">
        <v>0</v>
      </c>
      <c r="AI2480">
        <v>295.68</v>
      </c>
      <c r="AL2480" t="s">
        <v>5011</v>
      </c>
      <c r="AM2480">
        <v>50000</v>
      </c>
      <c r="AS2480">
        <v>9.15</v>
      </c>
      <c r="AT2480" t="s">
        <v>490</v>
      </c>
      <c r="AU2480" t="s">
        <v>245</v>
      </c>
      <c r="AW2480" t="s">
        <v>11447</v>
      </c>
    </row>
    <row r="2481" spans="1:49">
      <c r="A2481" s="1">
        <f>HYPERLINK("https://lsnyc.legalserver.org/matter/dynamic-profile/view/1863045","18-1863045")</f>
        <v>0</v>
      </c>
      <c r="B2481" t="s">
        <v>214</v>
      </c>
      <c r="C2481" t="s">
        <v>753</v>
      </c>
      <c r="E2481" t="s">
        <v>2342</v>
      </c>
      <c r="F2481" t="s">
        <v>4900</v>
      </c>
      <c r="G2481" t="s">
        <v>8007</v>
      </c>
      <c r="H2481" t="s">
        <v>10481</v>
      </c>
      <c r="I2481" t="s">
        <v>11385</v>
      </c>
      <c r="J2481">
        <v>11233</v>
      </c>
      <c r="K2481" t="s">
        <v>11446</v>
      </c>
      <c r="L2481" t="s">
        <v>12266</v>
      </c>
      <c r="M2481" t="s">
        <v>14743</v>
      </c>
      <c r="N2481" t="s">
        <v>14778</v>
      </c>
      <c r="P2481" t="s">
        <v>14798</v>
      </c>
      <c r="S2481" t="s">
        <v>14827</v>
      </c>
      <c r="V2481">
        <v>1800</v>
      </c>
      <c r="W2481" t="s">
        <v>14859</v>
      </c>
      <c r="X2481" t="s">
        <v>14874</v>
      </c>
      <c r="Z2481" t="s">
        <v>16981</v>
      </c>
      <c r="AC2481">
        <v>0</v>
      </c>
      <c r="AE2481" t="s">
        <v>11459</v>
      </c>
      <c r="AF2481">
        <v>1</v>
      </c>
      <c r="AG2481">
        <v>1</v>
      </c>
      <c r="AH2481">
        <v>0</v>
      </c>
      <c r="AI2481">
        <v>299.84</v>
      </c>
      <c r="AM2481">
        <v>36400</v>
      </c>
      <c r="AS2481">
        <v>0</v>
      </c>
      <c r="AU2481" t="s">
        <v>66</v>
      </c>
      <c r="AW2481" t="s">
        <v>11447</v>
      </c>
    </row>
    <row r="2482" spans="1:49">
      <c r="A2482" s="1">
        <f>HYPERLINK("https://lsnyc.legalserver.org/matter/dynamic-profile/view/1896981","19-1896981")</f>
        <v>0</v>
      </c>
      <c r="B2482" t="s">
        <v>275</v>
      </c>
      <c r="C2482" t="s">
        <v>617</v>
      </c>
      <c r="E2482" t="s">
        <v>1145</v>
      </c>
      <c r="F2482" t="s">
        <v>4901</v>
      </c>
      <c r="G2482" t="s">
        <v>8008</v>
      </c>
      <c r="H2482" t="s">
        <v>10451</v>
      </c>
      <c r="I2482" t="s">
        <v>11385</v>
      </c>
      <c r="J2482">
        <v>11220</v>
      </c>
      <c r="K2482" t="s">
        <v>11446</v>
      </c>
      <c r="L2482" t="s">
        <v>12267</v>
      </c>
      <c r="M2482" t="s">
        <v>14744</v>
      </c>
      <c r="N2482" t="s">
        <v>14782</v>
      </c>
      <c r="P2482" t="s">
        <v>14798</v>
      </c>
      <c r="S2482" t="s">
        <v>14827</v>
      </c>
      <c r="V2482">
        <v>0</v>
      </c>
      <c r="W2482" t="s">
        <v>14859</v>
      </c>
      <c r="X2482" t="s">
        <v>14865</v>
      </c>
      <c r="Z2482" t="s">
        <v>16982</v>
      </c>
      <c r="AB2482" t="s">
        <v>22001</v>
      </c>
      <c r="AC2482">
        <v>33</v>
      </c>
      <c r="AF2482">
        <v>0</v>
      </c>
      <c r="AG2482">
        <v>3</v>
      </c>
      <c r="AH2482">
        <v>0</v>
      </c>
      <c r="AI2482">
        <v>302.54</v>
      </c>
      <c r="AL2482" t="s">
        <v>5011</v>
      </c>
      <c r="AM2482">
        <v>64532</v>
      </c>
      <c r="AS2482">
        <v>1.1</v>
      </c>
      <c r="AT2482" t="s">
        <v>363</v>
      </c>
      <c r="AU2482" t="s">
        <v>25235</v>
      </c>
      <c r="AW2482" t="s">
        <v>11446</v>
      </c>
    </row>
    <row r="2483" spans="1:49">
      <c r="A2483" s="1">
        <f>HYPERLINK("https://lsnyc.legalserver.org/matter/dynamic-profile/view/1897901","19-1897901")</f>
        <v>0</v>
      </c>
      <c r="B2483" t="s">
        <v>133</v>
      </c>
      <c r="C2483" t="s">
        <v>610</v>
      </c>
      <c r="E2483" t="s">
        <v>2262</v>
      </c>
      <c r="F2483" t="s">
        <v>3975</v>
      </c>
      <c r="G2483" t="s">
        <v>7858</v>
      </c>
      <c r="H2483">
        <v>3</v>
      </c>
      <c r="I2483" t="s">
        <v>11385</v>
      </c>
      <c r="J2483">
        <v>11236</v>
      </c>
      <c r="K2483" t="s">
        <v>11447</v>
      </c>
      <c r="L2483" t="s">
        <v>12268</v>
      </c>
      <c r="M2483" t="s">
        <v>14744</v>
      </c>
      <c r="N2483" t="s">
        <v>14781</v>
      </c>
      <c r="P2483" t="s">
        <v>14798</v>
      </c>
      <c r="Q2483" t="s">
        <v>11448</v>
      </c>
      <c r="S2483" t="s">
        <v>14827</v>
      </c>
      <c r="T2483" t="s">
        <v>14832</v>
      </c>
      <c r="V2483">
        <v>1576.58</v>
      </c>
      <c r="W2483" t="s">
        <v>14859</v>
      </c>
      <c r="Z2483" t="s">
        <v>16821</v>
      </c>
      <c r="AB2483" t="s">
        <v>21848</v>
      </c>
      <c r="AC2483">
        <v>0</v>
      </c>
      <c r="AD2483" t="s">
        <v>24595</v>
      </c>
      <c r="AF2483">
        <v>8</v>
      </c>
      <c r="AG2483">
        <v>2</v>
      </c>
      <c r="AH2483">
        <v>1</v>
      </c>
      <c r="AI2483">
        <v>304.74</v>
      </c>
      <c r="AJ2483" t="s">
        <v>342</v>
      </c>
      <c r="AK2483" t="s">
        <v>24629</v>
      </c>
      <c r="AL2483" t="s">
        <v>5011</v>
      </c>
      <c r="AM2483">
        <v>65000</v>
      </c>
      <c r="AS2483">
        <v>64.3</v>
      </c>
      <c r="AT2483" t="s">
        <v>491</v>
      </c>
      <c r="AU2483" t="s">
        <v>25235</v>
      </c>
      <c r="AW2483" t="s">
        <v>11447</v>
      </c>
    </row>
    <row r="2484" spans="1:49">
      <c r="A2484" s="1">
        <f>HYPERLINK("https://lsnyc.legalserver.org/matter/dynamic-profile/view/1915266","19-1915266")</f>
        <v>0</v>
      </c>
      <c r="B2484" t="s">
        <v>75</v>
      </c>
      <c r="C2484" t="s">
        <v>509</v>
      </c>
      <c r="E2484" t="s">
        <v>2343</v>
      </c>
      <c r="F2484" t="s">
        <v>4902</v>
      </c>
      <c r="G2484" t="s">
        <v>8009</v>
      </c>
      <c r="H2484" t="s">
        <v>10989</v>
      </c>
      <c r="I2484" t="s">
        <v>11385</v>
      </c>
      <c r="J2484">
        <v>11203</v>
      </c>
      <c r="K2484" t="s">
        <v>11447</v>
      </c>
      <c r="P2484" t="s">
        <v>14798</v>
      </c>
      <c r="S2484" t="s">
        <v>14827</v>
      </c>
      <c r="V2484">
        <v>996</v>
      </c>
      <c r="W2484" t="s">
        <v>14859</v>
      </c>
      <c r="Z2484" t="s">
        <v>16983</v>
      </c>
      <c r="AB2484" t="s">
        <v>22002</v>
      </c>
      <c r="AC2484">
        <v>53</v>
      </c>
      <c r="AF2484">
        <v>9</v>
      </c>
      <c r="AG2484">
        <v>1</v>
      </c>
      <c r="AH2484">
        <v>0</v>
      </c>
      <c r="AI2484">
        <v>307.45</v>
      </c>
      <c r="AL2484" t="s">
        <v>5011</v>
      </c>
      <c r="AM2484">
        <v>38400</v>
      </c>
      <c r="AS2484">
        <v>0.5</v>
      </c>
      <c r="AT2484" t="s">
        <v>509</v>
      </c>
      <c r="AU2484" t="s">
        <v>25238</v>
      </c>
      <c r="AW2484" t="s">
        <v>11447</v>
      </c>
    </row>
    <row r="2485" spans="1:49">
      <c r="A2485" s="1">
        <f>HYPERLINK("https://lsnyc.legalserver.org/matter/dynamic-profile/view/1893800","19-1893800")</f>
        <v>0</v>
      </c>
      <c r="B2485" t="s">
        <v>82</v>
      </c>
      <c r="C2485" t="s">
        <v>754</v>
      </c>
      <c r="E2485" t="s">
        <v>1354</v>
      </c>
      <c r="F2485" t="s">
        <v>4903</v>
      </c>
      <c r="G2485" t="s">
        <v>8010</v>
      </c>
      <c r="H2485" t="s">
        <v>10592</v>
      </c>
      <c r="I2485" t="s">
        <v>11383</v>
      </c>
      <c r="J2485">
        <v>10474</v>
      </c>
      <c r="K2485" t="s">
        <v>11447</v>
      </c>
      <c r="M2485" t="s">
        <v>14744</v>
      </c>
      <c r="N2485" t="s">
        <v>14778</v>
      </c>
      <c r="P2485" t="s">
        <v>14798</v>
      </c>
      <c r="S2485" t="s">
        <v>14827</v>
      </c>
      <c r="V2485">
        <v>1750</v>
      </c>
      <c r="W2485" t="s">
        <v>14858</v>
      </c>
      <c r="Z2485" t="s">
        <v>16984</v>
      </c>
      <c r="AB2485" t="s">
        <v>22003</v>
      </c>
      <c r="AC2485">
        <v>60</v>
      </c>
      <c r="AF2485">
        <v>3</v>
      </c>
      <c r="AG2485">
        <v>1</v>
      </c>
      <c r="AH2485">
        <v>0</v>
      </c>
      <c r="AI2485">
        <v>307.45</v>
      </c>
      <c r="AL2485" t="s">
        <v>5011</v>
      </c>
      <c r="AM2485">
        <v>38400</v>
      </c>
      <c r="AS2485">
        <v>1.5</v>
      </c>
      <c r="AT2485" t="s">
        <v>564</v>
      </c>
      <c r="AU2485" t="s">
        <v>25238</v>
      </c>
      <c r="AW2485" t="s">
        <v>11447</v>
      </c>
    </row>
    <row r="2486" spans="1:49">
      <c r="A2486" s="1">
        <f>HYPERLINK("https://lsnyc.legalserver.org/matter/dynamic-profile/view/1914754","19-1914754")</f>
        <v>0</v>
      </c>
      <c r="B2486" t="s">
        <v>81</v>
      </c>
      <c r="C2486" t="s">
        <v>592</v>
      </c>
      <c r="E2486" t="s">
        <v>1875</v>
      </c>
      <c r="F2486" t="s">
        <v>4904</v>
      </c>
      <c r="G2486" t="s">
        <v>8011</v>
      </c>
      <c r="H2486" t="s">
        <v>10594</v>
      </c>
      <c r="I2486" t="s">
        <v>11383</v>
      </c>
      <c r="J2486">
        <v>10452</v>
      </c>
      <c r="K2486" t="s">
        <v>11446</v>
      </c>
      <c r="L2486" t="s">
        <v>12269</v>
      </c>
      <c r="M2486" t="s">
        <v>14743</v>
      </c>
      <c r="N2486" t="s">
        <v>14778</v>
      </c>
      <c r="P2486" t="s">
        <v>14798</v>
      </c>
      <c r="Q2486" t="s">
        <v>11448</v>
      </c>
      <c r="S2486" t="s">
        <v>14827</v>
      </c>
      <c r="V2486">
        <v>1300</v>
      </c>
      <c r="W2486" t="s">
        <v>14858</v>
      </c>
      <c r="X2486" t="s">
        <v>14863</v>
      </c>
      <c r="Z2486" t="s">
        <v>16985</v>
      </c>
      <c r="AB2486" t="s">
        <v>22004</v>
      </c>
      <c r="AC2486">
        <v>49</v>
      </c>
      <c r="AD2486" t="s">
        <v>24595</v>
      </c>
      <c r="AF2486">
        <v>4</v>
      </c>
      <c r="AG2486">
        <v>1</v>
      </c>
      <c r="AH2486">
        <v>0</v>
      </c>
      <c r="AI2486">
        <v>310.33</v>
      </c>
      <c r="AL2486" t="s">
        <v>5011</v>
      </c>
      <c r="AM2486">
        <v>38760</v>
      </c>
      <c r="AS2486">
        <v>0.5</v>
      </c>
      <c r="AT2486" t="s">
        <v>509</v>
      </c>
      <c r="AU2486" t="s">
        <v>145</v>
      </c>
      <c r="AV2486" t="s">
        <v>25335</v>
      </c>
      <c r="AW2486" t="s">
        <v>11447</v>
      </c>
    </row>
    <row r="2487" spans="1:49">
      <c r="A2487" s="1">
        <f>HYPERLINK("https://lsnyc.legalserver.org/matter/dynamic-profile/view/0780769","15-0780769")</f>
        <v>0</v>
      </c>
      <c r="B2487" t="s">
        <v>276</v>
      </c>
      <c r="C2487" t="s">
        <v>755</v>
      </c>
      <c r="E2487" t="s">
        <v>1256</v>
      </c>
      <c r="F2487" t="s">
        <v>4905</v>
      </c>
      <c r="G2487" t="s">
        <v>8012</v>
      </c>
      <c r="H2487" t="s">
        <v>10838</v>
      </c>
      <c r="I2487" t="s">
        <v>11383</v>
      </c>
      <c r="J2487">
        <v>10467</v>
      </c>
      <c r="K2487" t="s">
        <v>11447</v>
      </c>
      <c r="M2487" t="s">
        <v>14746</v>
      </c>
      <c r="N2487" t="s">
        <v>14781</v>
      </c>
      <c r="P2487" t="s">
        <v>14798</v>
      </c>
      <c r="S2487" t="s">
        <v>14827</v>
      </c>
      <c r="V2487">
        <v>0</v>
      </c>
      <c r="W2487" t="s">
        <v>14858</v>
      </c>
      <c r="Z2487" t="s">
        <v>16986</v>
      </c>
      <c r="AB2487" t="s">
        <v>22005</v>
      </c>
      <c r="AC2487">
        <v>0</v>
      </c>
      <c r="AF2487">
        <v>0</v>
      </c>
      <c r="AG2487">
        <v>1</v>
      </c>
      <c r="AH2487">
        <v>0</v>
      </c>
      <c r="AI2487">
        <v>310.98</v>
      </c>
      <c r="AL2487" t="s">
        <v>5011</v>
      </c>
      <c r="AM2487">
        <v>36602</v>
      </c>
      <c r="AS2487">
        <v>11.7</v>
      </c>
      <c r="AT2487" t="s">
        <v>645</v>
      </c>
      <c r="AU2487" t="s">
        <v>25300</v>
      </c>
      <c r="AW2487" t="s">
        <v>11447</v>
      </c>
    </row>
    <row r="2488" spans="1:49">
      <c r="A2488" s="1">
        <f>HYPERLINK("https://lsnyc.legalserver.org/matter/dynamic-profile/view/1908120","19-1908120")</f>
        <v>0</v>
      </c>
      <c r="B2488" t="s">
        <v>90</v>
      </c>
      <c r="C2488" t="s">
        <v>372</v>
      </c>
      <c r="E2488" t="s">
        <v>2248</v>
      </c>
      <c r="F2488" t="s">
        <v>4795</v>
      </c>
      <c r="G2488" t="s">
        <v>7617</v>
      </c>
      <c r="H2488" t="s">
        <v>10482</v>
      </c>
      <c r="I2488" t="s">
        <v>11383</v>
      </c>
      <c r="J2488">
        <v>10452</v>
      </c>
      <c r="K2488" t="s">
        <v>11446</v>
      </c>
      <c r="L2488" t="s">
        <v>12270</v>
      </c>
      <c r="M2488" t="s">
        <v>14743</v>
      </c>
      <c r="P2488" t="s">
        <v>14798</v>
      </c>
      <c r="Q2488" t="s">
        <v>11448</v>
      </c>
      <c r="S2488" t="s">
        <v>14827</v>
      </c>
      <c r="V2488">
        <v>1182</v>
      </c>
      <c r="W2488" t="s">
        <v>14858</v>
      </c>
      <c r="X2488" t="s">
        <v>14864</v>
      </c>
      <c r="Z2488" t="s">
        <v>16798</v>
      </c>
      <c r="AB2488" t="s">
        <v>21824</v>
      </c>
      <c r="AC2488">
        <v>129</v>
      </c>
      <c r="AD2488" t="s">
        <v>11479</v>
      </c>
      <c r="AE2488" t="s">
        <v>11459</v>
      </c>
      <c r="AF2488">
        <v>4</v>
      </c>
      <c r="AG2488">
        <v>1</v>
      </c>
      <c r="AH2488">
        <v>0</v>
      </c>
      <c r="AI2488">
        <v>312.25</v>
      </c>
      <c r="AL2488" t="s">
        <v>5011</v>
      </c>
      <c r="AM2488">
        <v>39000</v>
      </c>
      <c r="AS2488">
        <v>2.8</v>
      </c>
      <c r="AT2488" t="s">
        <v>495</v>
      </c>
      <c r="AU2488" t="s">
        <v>245</v>
      </c>
      <c r="AW2488" t="s">
        <v>11447</v>
      </c>
    </row>
    <row r="2489" spans="1:49">
      <c r="A2489" s="1">
        <f>HYPERLINK("https://lsnyc.legalserver.org/matter/dynamic-profile/view/1885466","18-1885466")</f>
        <v>0</v>
      </c>
      <c r="B2489" t="s">
        <v>157</v>
      </c>
      <c r="C2489" t="s">
        <v>405</v>
      </c>
      <c r="E2489" t="s">
        <v>1219</v>
      </c>
      <c r="F2489" t="s">
        <v>4906</v>
      </c>
      <c r="G2489" t="s">
        <v>8013</v>
      </c>
      <c r="H2489" t="s">
        <v>10512</v>
      </c>
      <c r="I2489" t="s">
        <v>11383</v>
      </c>
      <c r="J2489">
        <v>10466</v>
      </c>
      <c r="K2489" t="s">
        <v>11446</v>
      </c>
      <c r="L2489" t="s">
        <v>12271</v>
      </c>
      <c r="M2489" t="s">
        <v>14744</v>
      </c>
      <c r="N2489" t="s">
        <v>14778</v>
      </c>
      <c r="P2489" t="s">
        <v>14798</v>
      </c>
      <c r="Q2489" t="s">
        <v>11448</v>
      </c>
      <c r="S2489" t="s">
        <v>14827</v>
      </c>
      <c r="T2489" t="s">
        <v>14832</v>
      </c>
      <c r="V2489">
        <v>0</v>
      </c>
      <c r="W2489" t="s">
        <v>14858</v>
      </c>
      <c r="X2489" t="s">
        <v>14863</v>
      </c>
      <c r="Z2489" t="s">
        <v>16987</v>
      </c>
      <c r="AB2489" t="s">
        <v>22006</v>
      </c>
      <c r="AC2489">
        <v>0</v>
      </c>
      <c r="AD2489" t="s">
        <v>24597</v>
      </c>
      <c r="AF2489">
        <v>20</v>
      </c>
      <c r="AG2489">
        <v>2</v>
      </c>
      <c r="AH2489">
        <v>0</v>
      </c>
      <c r="AI2489">
        <v>315.92</v>
      </c>
      <c r="AL2489" t="s">
        <v>5011</v>
      </c>
      <c r="AM2489">
        <v>52000</v>
      </c>
      <c r="AN2489" t="s">
        <v>24839</v>
      </c>
      <c r="AS2489">
        <v>1.4</v>
      </c>
      <c r="AT2489" t="s">
        <v>25132</v>
      </c>
      <c r="AU2489" t="s">
        <v>94</v>
      </c>
      <c r="AW2489" t="s">
        <v>11446</v>
      </c>
    </row>
    <row r="2490" spans="1:49">
      <c r="A2490" s="1">
        <f>HYPERLINK("https://lsnyc.legalserver.org/matter/dynamic-profile/view/1915134","19-1915134")</f>
        <v>0</v>
      </c>
      <c r="B2490" t="s">
        <v>81</v>
      </c>
      <c r="C2490" t="s">
        <v>516</v>
      </c>
      <c r="E2490" t="s">
        <v>2344</v>
      </c>
      <c r="F2490" t="s">
        <v>4907</v>
      </c>
      <c r="G2490" t="s">
        <v>8014</v>
      </c>
      <c r="H2490" t="s">
        <v>10541</v>
      </c>
      <c r="I2490" t="s">
        <v>11383</v>
      </c>
      <c r="J2490">
        <v>10451</v>
      </c>
      <c r="K2490" t="s">
        <v>11446</v>
      </c>
      <c r="L2490" t="s">
        <v>12272</v>
      </c>
      <c r="M2490" t="s">
        <v>14743</v>
      </c>
      <c r="N2490" t="s">
        <v>14778</v>
      </c>
      <c r="P2490" t="s">
        <v>14798</v>
      </c>
      <c r="Q2490" t="s">
        <v>11448</v>
      </c>
      <c r="S2490" t="s">
        <v>14827</v>
      </c>
      <c r="T2490" t="s">
        <v>14832</v>
      </c>
      <c r="V2490">
        <v>1314</v>
      </c>
      <c r="W2490" t="s">
        <v>14858</v>
      </c>
      <c r="X2490" t="s">
        <v>14863</v>
      </c>
      <c r="Z2490" t="s">
        <v>16988</v>
      </c>
      <c r="AB2490" t="s">
        <v>22007</v>
      </c>
      <c r="AC2490">
        <v>92</v>
      </c>
      <c r="AD2490" t="s">
        <v>24607</v>
      </c>
      <c r="AF2490">
        <v>6</v>
      </c>
      <c r="AG2490">
        <v>1</v>
      </c>
      <c r="AH2490">
        <v>0</v>
      </c>
      <c r="AI2490">
        <v>320.26</v>
      </c>
      <c r="AL2490" t="s">
        <v>24632</v>
      </c>
      <c r="AM2490">
        <v>40000</v>
      </c>
      <c r="AS2490">
        <v>0</v>
      </c>
      <c r="AU2490" t="s">
        <v>145</v>
      </c>
      <c r="AV2490" t="s">
        <v>25335</v>
      </c>
      <c r="AW2490" t="s">
        <v>11447</v>
      </c>
    </row>
    <row r="2491" spans="1:49">
      <c r="A2491" s="1">
        <f>HYPERLINK("https://lsnyc.legalserver.org/matter/dynamic-profile/view/1895085","19-1895085")</f>
        <v>0</v>
      </c>
      <c r="B2491" t="s">
        <v>73</v>
      </c>
      <c r="C2491" t="s">
        <v>756</v>
      </c>
      <c r="E2491" t="s">
        <v>2345</v>
      </c>
      <c r="F2491" t="s">
        <v>4808</v>
      </c>
      <c r="G2491" t="s">
        <v>8015</v>
      </c>
      <c r="H2491">
        <v>3</v>
      </c>
      <c r="I2491" t="s">
        <v>11383</v>
      </c>
      <c r="J2491">
        <v>10455</v>
      </c>
      <c r="K2491" t="s">
        <v>11447</v>
      </c>
      <c r="N2491" t="s">
        <v>14781</v>
      </c>
      <c r="P2491" t="s">
        <v>14798</v>
      </c>
      <c r="S2491" t="s">
        <v>14827</v>
      </c>
      <c r="V2491">
        <v>1386.46</v>
      </c>
      <c r="W2491" t="s">
        <v>14858</v>
      </c>
      <c r="Z2491" t="s">
        <v>16927</v>
      </c>
      <c r="AB2491" t="s">
        <v>22008</v>
      </c>
      <c r="AC2491">
        <v>18</v>
      </c>
      <c r="AF2491">
        <v>10</v>
      </c>
      <c r="AG2491">
        <v>1</v>
      </c>
      <c r="AH2491">
        <v>0</v>
      </c>
      <c r="AI2491">
        <v>326.66</v>
      </c>
      <c r="AL2491" t="s">
        <v>5011</v>
      </c>
      <c r="AM2491">
        <v>40800</v>
      </c>
      <c r="AS2491">
        <v>6.2</v>
      </c>
      <c r="AT2491" t="s">
        <v>484</v>
      </c>
      <c r="AU2491" t="s">
        <v>25232</v>
      </c>
      <c r="AW2491" t="s">
        <v>11447</v>
      </c>
    </row>
    <row r="2492" spans="1:49">
      <c r="A2492" s="1">
        <f>HYPERLINK("https://lsnyc.legalserver.org/matter/dynamic-profile/view/1904809","19-1904809")</f>
        <v>0</v>
      </c>
      <c r="B2492" t="s">
        <v>75</v>
      </c>
      <c r="C2492" t="s">
        <v>345</v>
      </c>
      <c r="E2492" t="s">
        <v>2346</v>
      </c>
      <c r="F2492" t="s">
        <v>4908</v>
      </c>
      <c r="G2492" t="s">
        <v>8016</v>
      </c>
      <c r="H2492" t="s">
        <v>10448</v>
      </c>
      <c r="I2492" t="s">
        <v>11385</v>
      </c>
      <c r="J2492">
        <v>11225</v>
      </c>
      <c r="K2492" t="s">
        <v>11447</v>
      </c>
      <c r="P2492" t="s">
        <v>14798</v>
      </c>
      <c r="S2492" t="s">
        <v>14827</v>
      </c>
      <c r="V2492">
        <v>854</v>
      </c>
      <c r="W2492" t="s">
        <v>14859</v>
      </c>
      <c r="X2492" t="s">
        <v>14866</v>
      </c>
      <c r="Z2492" t="s">
        <v>16989</v>
      </c>
      <c r="AB2492" t="s">
        <v>22009</v>
      </c>
      <c r="AC2492">
        <v>10</v>
      </c>
      <c r="AD2492" t="s">
        <v>24595</v>
      </c>
      <c r="AE2492" t="s">
        <v>11459</v>
      </c>
      <c r="AF2492">
        <v>22</v>
      </c>
      <c r="AG2492">
        <v>1</v>
      </c>
      <c r="AH2492">
        <v>0</v>
      </c>
      <c r="AI2492">
        <v>333.07</v>
      </c>
      <c r="AL2492" t="s">
        <v>5011</v>
      </c>
      <c r="AM2492">
        <v>41600</v>
      </c>
      <c r="AS2492">
        <v>1.3</v>
      </c>
      <c r="AT2492" t="s">
        <v>496</v>
      </c>
      <c r="AU2492" t="s">
        <v>25226</v>
      </c>
      <c r="AW2492" t="s">
        <v>11447</v>
      </c>
    </row>
    <row r="2493" spans="1:49">
      <c r="A2493" s="1">
        <f>HYPERLINK("https://lsnyc.legalserver.org/matter/dynamic-profile/view/1877258","18-1877258")</f>
        <v>0</v>
      </c>
      <c r="B2493" t="s">
        <v>267</v>
      </c>
      <c r="C2493" t="s">
        <v>407</v>
      </c>
      <c r="E2493" t="s">
        <v>1334</v>
      </c>
      <c r="F2493" t="s">
        <v>4909</v>
      </c>
      <c r="G2493" t="s">
        <v>8017</v>
      </c>
      <c r="H2493" t="s">
        <v>10524</v>
      </c>
      <c r="I2493" t="s">
        <v>11385</v>
      </c>
      <c r="J2493">
        <v>11220</v>
      </c>
      <c r="K2493" t="s">
        <v>11447</v>
      </c>
      <c r="L2493" t="s">
        <v>12273</v>
      </c>
      <c r="M2493" t="s">
        <v>14744</v>
      </c>
      <c r="N2493" t="s">
        <v>14781</v>
      </c>
      <c r="P2493" t="s">
        <v>14798</v>
      </c>
      <c r="S2493" t="s">
        <v>14827</v>
      </c>
      <c r="V2493">
        <v>1588</v>
      </c>
      <c r="W2493" t="s">
        <v>14859</v>
      </c>
      <c r="X2493" t="s">
        <v>14864</v>
      </c>
      <c r="Z2493" t="s">
        <v>16990</v>
      </c>
      <c r="AB2493" t="s">
        <v>22010</v>
      </c>
      <c r="AC2493">
        <v>16</v>
      </c>
      <c r="AD2493" t="s">
        <v>24605</v>
      </c>
      <c r="AF2493">
        <v>24</v>
      </c>
      <c r="AG2493">
        <v>2</v>
      </c>
      <c r="AH2493">
        <v>0</v>
      </c>
      <c r="AI2493">
        <v>340.22</v>
      </c>
      <c r="AJ2493" t="s">
        <v>440</v>
      </c>
      <c r="AL2493" t="s">
        <v>5011</v>
      </c>
      <c r="AM2493">
        <v>56000</v>
      </c>
      <c r="AN2493" t="s">
        <v>24840</v>
      </c>
      <c r="AS2493">
        <v>25</v>
      </c>
      <c r="AT2493" t="s">
        <v>25145</v>
      </c>
      <c r="AU2493" t="s">
        <v>25230</v>
      </c>
      <c r="AW2493" t="s">
        <v>11447</v>
      </c>
    </row>
    <row r="2494" spans="1:49">
      <c r="A2494" s="1">
        <f>HYPERLINK("https://lsnyc.legalserver.org/matter/dynamic-profile/view/1910277","19-1910277")</f>
        <v>0</v>
      </c>
      <c r="B2494" t="s">
        <v>82</v>
      </c>
      <c r="C2494" t="s">
        <v>540</v>
      </c>
      <c r="E2494" t="s">
        <v>2347</v>
      </c>
      <c r="F2494" t="s">
        <v>2131</v>
      </c>
      <c r="G2494" t="s">
        <v>8018</v>
      </c>
      <c r="I2494" t="s">
        <v>11383</v>
      </c>
      <c r="J2494">
        <v>10467</v>
      </c>
      <c r="K2494" t="s">
        <v>11446</v>
      </c>
      <c r="L2494" t="s">
        <v>12274</v>
      </c>
      <c r="M2494" t="s">
        <v>14744</v>
      </c>
      <c r="P2494" t="s">
        <v>14798</v>
      </c>
      <c r="Q2494" t="s">
        <v>11448</v>
      </c>
      <c r="S2494" t="s">
        <v>14827</v>
      </c>
      <c r="V2494">
        <v>1268</v>
      </c>
      <c r="W2494" t="s">
        <v>14858</v>
      </c>
      <c r="X2494" t="s">
        <v>14863</v>
      </c>
      <c r="Z2494" t="s">
        <v>16991</v>
      </c>
      <c r="AB2494" t="s">
        <v>22011</v>
      </c>
      <c r="AC2494">
        <v>8</v>
      </c>
      <c r="AD2494" t="s">
        <v>24595</v>
      </c>
      <c r="AE2494" t="s">
        <v>11459</v>
      </c>
      <c r="AF2494">
        <v>2</v>
      </c>
      <c r="AG2494">
        <v>1</v>
      </c>
      <c r="AH2494">
        <v>0</v>
      </c>
      <c r="AI2494">
        <v>340.27</v>
      </c>
      <c r="AL2494" t="s">
        <v>5011</v>
      </c>
      <c r="AM2494">
        <v>42500</v>
      </c>
      <c r="AS2494">
        <v>2.2</v>
      </c>
      <c r="AT2494" t="s">
        <v>539</v>
      </c>
      <c r="AU2494" t="s">
        <v>245</v>
      </c>
      <c r="AW2494" t="s">
        <v>11447</v>
      </c>
    </row>
    <row r="2495" spans="1:49">
      <c r="A2495" s="1">
        <f>HYPERLINK("https://lsnyc.legalserver.org/matter/dynamic-profile/view/1863976","18-1863976")</f>
        <v>0</v>
      </c>
      <c r="B2495" t="s">
        <v>179</v>
      </c>
      <c r="C2495" t="s">
        <v>757</v>
      </c>
      <c r="E2495" t="s">
        <v>1316</v>
      </c>
      <c r="F2495" t="s">
        <v>2002</v>
      </c>
      <c r="G2495" t="s">
        <v>8019</v>
      </c>
      <c r="H2495" t="s">
        <v>10633</v>
      </c>
      <c r="I2495" t="s">
        <v>11401</v>
      </c>
      <c r="J2495">
        <v>11375</v>
      </c>
      <c r="K2495" t="s">
        <v>11448</v>
      </c>
      <c r="L2495" t="s">
        <v>12275</v>
      </c>
      <c r="M2495" t="s">
        <v>14755</v>
      </c>
      <c r="P2495" t="s">
        <v>14798</v>
      </c>
      <c r="Q2495" t="s">
        <v>11448</v>
      </c>
      <c r="S2495" t="s">
        <v>14827</v>
      </c>
      <c r="V2495">
        <v>1450</v>
      </c>
      <c r="W2495" t="s">
        <v>14861</v>
      </c>
      <c r="X2495" t="s">
        <v>14755</v>
      </c>
      <c r="Z2495" t="s">
        <v>16992</v>
      </c>
      <c r="AB2495" t="s">
        <v>22012</v>
      </c>
      <c r="AC2495">
        <v>4</v>
      </c>
      <c r="AD2495" t="s">
        <v>24595</v>
      </c>
      <c r="AF2495">
        <v>14</v>
      </c>
      <c r="AG2495">
        <v>1</v>
      </c>
      <c r="AH2495">
        <v>0</v>
      </c>
      <c r="AI2495">
        <v>342.67</v>
      </c>
      <c r="AL2495" t="s">
        <v>24632</v>
      </c>
      <c r="AM2495">
        <v>41600</v>
      </c>
      <c r="AS2495">
        <v>1.4</v>
      </c>
      <c r="AT2495" t="s">
        <v>866</v>
      </c>
      <c r="AU2495" t="s">
        <v>179</v>
      </c>
      <c r="AW2495" t="s">
        <v>11447</v>
      </c>
    </row>
    <row r="2496" spans="1:49">
      <c r="A2496" s="1">
        <f>HYPERLINK("https://lsnyc.legalserver.org/matter/dynamic-profile/view/1908176","19-1908176")</f>
        <v>0</v>
      </c>
      <c r="B2496" t="s">
        <v>75</v>
      </c>
      <c r="C2496" t="s">
        <v>372</v>
      </c>
      <c r="E2496" t="s">
        <v>2348</v>
      </c>
      <c r="F2496" t="s">
        <v>4910</v>
      </c>
      <c r="G2496" t="s">
        <v>8020</v>
      </c>
      <c r="H2496">
        <v>9</v>
      </c>
      <c r="I2496" t="s">
        <v>11385</v>
      </c>
      <c r="J2496">
        <v>11210</v>
      </c>
      <c r="K2496" t="s">
        <v>11447</v>
      </c>
      <c r="L2496" t="s">
        <v>12276</v>
      </c>
      <c r="M2496" t="s">
        <v>14744</v>
      </c>
      <c r="P2496" t="s">
        <v>14798</v>
      </c>
      <c r="S2496" t="s">
        <v>14827</v>
      </c>
      <c r="V2496">
        <v>1950</v>
      </c>
      <c r="W2496" t="s">
        <v>14859</v>
      </c>
      <c r="Z2496" t="s">
        <v>16993</v>
      </c>
      <c r="AB2496" t="s">
        <v>22013</v>
      </c>
      <c r="AC2496">
        <v>0</v>
      </c>
      <c r="AD2496" t="s">
        <v>24600</v>
      </c>
      <c r="AE2496" t="s">
        <v>11459</v>
      </c>
      <c r="AF2496">
        <v>3</v>
      </c>
      <c r="AG2496">
        <v>2</v>
      </c>
      <c r="AH2496">
        <v>0</v>
      </c>
      <c r="AI2496">
        <v>342.99</v>
      </c>
      <c r="AL2496" t="s">
        <v>5011</v>
      </c>
      <c r="AM2496">
        <v>58000</v>
      </c>
      <c r="AS2496">
        <v>1</v>
      </c>
      <c r="AT2496" t="s">
        <v>372</v>
      </c>
      <c r="AU2496" t="s">
        <v>25231</v>
      </c>
      <c r="AW2496" t="s">
        <v>11447</v>
      </c>
    </row>
    <row r="2497" spans="1:49">
      <c r="A2497" s="1">
        <f>HYPERLINK("https://lsnyc.legalserver.org/matter/dynamic-profile/view/1901326","19-1901326")</f>
        <v>0</v>
      </c>
      <c r="B2497" t="s">
        <v>136</v>
      </c>
      <c r="C2497" t="s">
        <v>649</v>
      </c>
      <c r="E2497" t="s">
        <v>2192</v>
      </c>
      <c r="F2497" t="s">
        <v>4911</v>
      </c>
      <c r="G2497" t="s">
        <v>8021</v>
      </c>
      <c r="H2497" t="s">
        <v>10486</v>
      </c>
      <c r="I2497" t="s">
        <v>11385</v>
      </c>
      <c r="J2497">
        <v>11226</v>
      </c>
      <c r="K2497" t="s">
        <v>11447</v>
      </c>
      <c r="P2497" t="s">
        <v>14798</v>
      </c>
      <c r="S2497" t="s">
        <v>14827</v>
      </c>
      <c r="V2497">
        <v>1800</v>
      </c>
      <c r="W2497" t="s">
        <v>14859</v>
      </c>
      <c r="X2497" t="s">
        <v>14755</v>
      </c>
      <c r="Z2497" t="s">
        <v>16994</v>
      </c>
      <c r="AB2497" t="s">
        <v>22014</v>
      </c>
      <c r="AC2497">
        <v>2</v>
      </c>
      <c r="AF2497">
        <v>3</v>
      </c>
      <c r="AG2497">
        <v>3</v>
      </c>
      <c r="AH2497">
        <v>2</v>
      </c>
      <c r="AI2497">
        <v>348.03</v>
      </c>
      <c r="AL2497" t="s">
        <v>5011</v>
      </c>
      <c r="AM2497">
        <v>105000</v>
      </c>
      <c r="AS2497">
        <v>11.5</v>
      </c>
      <c r="AT2497" t="s">
        <v>495</v>
      </c>
      <c r="AU2497" t="s">
        <v>25229</v>
      </c>
      <c r="AW2497" t="s">
        <v>11447</v>
      </c>
    </row>
    <row r="2498" spans="1:49">
      <c r="A2498" s="1">
        <f>HYPERLINK("https://lsnyc.legalserver.org/matter/dynamic-profile/view/1915162","19-1915162")</f>
        <v>0</v>
      </c>
      <c r="B2498" t="s">
        <v>156</v>
      </c>
      <c r="C2498" t="s">
        <v>516</v>
      </c>
      <c r="E2498" t="s">
        <v>2003</v>
      </c>
      <c r="F2498" t="s">
        <v>4912</v>
      </c>
      <c r="G2498" t="s">
        <v>8022</v>
      </c>
      <c r="H2498" t="s">
        <v>10542</v>
      </c>
      <c r="I2498" t="s">
        <v>11386</v>
      </c>
      <c r="J2498">
        <v>10034</v>
      </c>
      <c r="K2498" t="s">
        <v>11447</v>
      </c>
      <c r="N2498" t="s">
        <v>14782</v>
      </c>
      <c r="P2498" t="s">
        <v>14798</v>
      </c>
      <c r="S2498" t="s">
        <v>14827</v>
      </c>
      <c r="V2498">
        <v>896</v>
      </c>
      <c r="W2498" t="s">
        <v>14860</v>
      </c>
      <c r="X2498" t="s">
        <v>14867</v>
      </c>
      <c r="Z2498" t="s">
        <v>16995</v>
      </c>
      <c r="AB2498" t="s">
        <v>22015</v>
      </c>
      <c r="AC2498">
        <v>0</v>
      </c>
      <c r="AD2498" t="s">
        <v>24595</v>
      </c>
      <c r="AE2498" t="s">
        <v>11459</v>
      </c>
      <c r="AF2498">
        <v>34</v>
      </c>
      <c r="AG2498">
        <v>1</v>
      </c>
      <c r="AH2498">
        <v>0</v>
      </c>
      <c r="AI2498">
        <v>350.01</v>
      </c>
      <c r="AL2498" t="s">
        <v>5011</v>
      </c>
      <c r="AM2498">
        <v>43716</v>
      </c>
      <c r="AS2498">
        <v>1</v>
      </c>
      <c r="AT2498" t="s">
        <v>516</v>
      </c>
      <c r="AU2498" t="s">
        <v>25226</v>
      </c>
      <c r="AW2498" t="s">
        <v>11447</v>
      </c>
    </row>
    <row r="2499" spans="1:49">
      <c r="A2499" s="1">
        <f>HYPERLINK("https://lsnyc.legalserver.org/matter/dynamic-profile/view/1896427","19-1896427")</f>
        <v>0</v>
      </c>
      <c r="B2499" t="s">
        <v>255</v>
      </c>
      <c r="C2499" t="s">
        <v>416</v>
      </c>
      <c r="E2499" t="s">
        <v>1598</v>
      </c>
      <c r="F2499" t="s">
        <v>3600</v>
      </c>
      <c r="G2499" t="s">
        <v>7853</v>
      </c>
      <c r="H2499" t="s">
        <v>10990</v>
      </c>
      <c r="I2499" t="s">
        <v>11385</v>
      </c>
      <c r="J2499">
        <v>11238</v>
      </c>
      <c r="K2499" t="s">
        <v>11446</v>
      </c>
      <c r="L2499" t="s">
        <v>12277</v>
      </c>
      <c r="M2499" t="s">
        <v>14744</v>
      </c>
      <c r="N2499" t="s">
        <v>14781</v>
      </c>
      <c r="P2499" t="s">
        <v>14798</v>
      </c>
      <c r="S2499" t="s">
        <v>14827</v>
      </c>
      <c r="V2499">
        <v>843.15</v>
      </c>
      <c r="W2499" t="s">
        <v>14859</v>
      </c>
      <c r="X2499" t="s">
        <v>14868</v>
      </c>
      <c r="Z2499" t="s">
        <v>16996</v>
      </c>
      <c r="AB2499" t="s">
        <v>22016</v>
      </c>
      <c r="AC2499">
        <v>24</v>
      </c>
      <c r="AF2499">
        <v>19</v>
      </c>
      <c r="AG2499">
        <v>1</v>
      </c>
      <c r="AH2499">
        <v>0</v>
      </c>
      <c r="AI2499">
        <v>360.29</v>
      </c>
      <c r="AJ2499" t="s">
        <v>342</v>
      </c>
      <c r="AK2499" t="s">
        <v>24629</v>
      </c>
      <c r="AL2499" t="s">
        <v>5011</v>
      </c>
      <c r="AM2499">
        <v>45000</v>
      </c>
      <c r="AS2499">
        <v>20.25</v>
      </c>
      <c r="AT2499" t="s">
        <v>654</v>
      </c>
      <c r="AU2499" t="s">
        <v>25235</v>
      </c>
      <c r="AW2499" t="s">
        <v>11446</v>
      </c>
    </row>
    <row r="2500" spans="1:49">
      <c r="A2500" s="1">
        <f>HYPERLINK("https://lsnyc.legalserver.org/matter/dynamic-profile/view/1906066","19-1906066")</f>
        <v>0</v>
      </c>
      <c r="B2500" t="s">
        <v>67</v>
      </c>
      <c r="C2500" t="s">
        <v>618</v>
      </c>
      <c r="E2500" t="s">
        <v>2118</v>
      </c>
      <c r="F2500" t="s">
        <v>4663</v>
      </c>
      <c r="G2500" t="s">
        <v>6479</v>
      </c>
      <c r="H2500" t="s">
        <v>10738</v>
      </c>
      <c r="I2500" t="s">
        <v>11383</v>
      </c>
      <c r="J2500">
        <v>10474</v>
      </c>
      <c r="K2500" t="s">
        <v>11446</v>
      </c>
      <c r="L2500" t="s">
        <v>11496</v>
      </c>
      <c r="M2500" t="s">
        <v>14746</v>
      </c>
      <c r="N2500" t="s">
        <v>14781</v>
      </c>
      <c r="P2500" t="s">
        <v>14798</v>
      </c>
      <c r="Q2500" t="s">
        <v>11446</v>
      </c>
      <c r="S2500" t="s">
        <v>14827</v>
      </c>
      <c r="V2500">
        <v>1450</v>
      </c>
      <c r="W2500" t="s">
        <v>14858</v>
      </c>
      <c r="X2500" t="s">
        <v>14864</v>
      </c>
      <c r="Z2500" t="s">
        <v>16571</v>
      </c>
      <c r="AB2500" t="s">
        <v>21609</v>
      </c>
      <c r="AC2500">
        <v>47</v>
      </c>
      <c r="AD2500" t="s">
        <v>24595</v>
      </c>
      <c r="AE2500" t="s">
        <v>11459</v>
      </c>
      <c r="AF2500">
        <v>2</v>
      </c>
      <c r="AG2500">
        <v>2</v>
      </c>
      <c r="AH2500">
        <v>0</v>
      </c>
      <c r="AI2500">
        <v>366.65</v>
      </c>
      <c r="AL2500" t="s">
        <v>5011</v>
      </c>
      <c r="AM2500">
        <v>62000</v>
      </c>
      <c r="AS2500">
        <v>0</v>
      </c>
      <c r="AU2500" t="s">
        <v>245</v>
      </c>
      <c r="AW2500" t="s">
        <v>11447</v>
      </c>
    </row>
    <row r="2501" spans="1:49">
      <c r="A2501" s="1">
        <f>HYPERLINK("https://lsnyc.legalserver.org/matter/dynamic-profile/view/1892156","19-1892156")</f>
        <v>0</v>
      </c>
      <c r="B2501" t="s">
        <v>201</v>
      </c>
      <c r="C2501" t="s">
        <v>358</v>
      </c>
      <c r="E2501" t="s">
        <v>1328</v>
      </c>
      <c r="F2501" t="s">
        <v>2297</v>
      </c>
      <c r="G2501" t="s">
        <v>8023</v>
      </c>
      <c r="H2501" t="s">
        <v>10991</v>
      </c>
      <c r="I2501" t="s">
        <v>11383</v>
      </c>
      <c r="J2501">
        <v>10456</v>
      </c>
      <c r="K2501" t="s">
        <v>11446</v>
      </c>
      <c r="L2501" t="s">
        <v>12278</v>
      </c>
      <c r="M2501" t="s">
        <v>14743</v>
      </c>
      <c r="N2501" t="s">
        <v>14778</v>
      </c>
      <c r="P2501" t="s">
        <v>14798</v>
      </c>
      <c r="Q2501" t="s">
        <v>11448</v>
      </c>
      <c r="S2501" t="s">
        <v>14827</v>
      </c>
      <c r="T2501" t="s">
        <v>14832</v>
      </c>
      <c r="V2501">
        <v>1230</v>
      </c>
      <c r="W2501" t="s">
        <v>14858</v>
      </c>
      <c r="X2501" t="s">
        <v>14863</v>
      </c>
      <c r="Z2501" t="s">
        <v>16997</v>
      </c>
      <c r="AB2501" t="s">
        <v>22017</v>
      </c>
      <c r="AC2501">
        <v>20</v>
      </c>
      <c r="AD2501" t="s">
        <v>24595</v>
      </c>
      <c r="AF2501">
        <v>2</v>
      </c>
      <c r="AG2501">
        <v>2</v>
      </c>
      <c r="AH2501">
        <v>1</v>
      </c>
      <c r="AI2501">
        <v>372.25</v>
      </c>
      <c r="AL2501" t="s">
        <v>24632</v>
      </c>
      <c r="AM2501">
        <v>79400</v>
      </c>
      <c r="AN2501" t="s">
        <v>24841</v>
      </c>
      <c r="AS2501">
        <v>3.25</v>
      </c>
      <c r="AT2501" t="s">
        <v>613</v>
      </c>
      <c r="AU2501" t="s">
        <v>25261</v>
      </c>
      <c r="AW2501" t="s">
        <v>11446</v>
      </c>
    </row>
    <row r="2502" spans="1:49">
      <c r="A2502" s="1">
        <f>HYPERLINK("https://lsnyc.legalserver.org/matter/dynamic-profile/view/1896947","19-1896947")</f>
        <v>0</v>
      </c>
      <c r="B2502" t="s">
        <v>275</v>
      </c>
      <c r="C2502" t="s">
        <v>758</v>
      </c>
      <c r="E2502" t="s">
        <v>1176</v>
      </c>
      <c r="F2502" t="s">
        <v>4913</v>
      </c>
      <c r="G2502" t="s">
        <v>8024</v>
      </c>
      <c r="H2502" t="s">
        <v>10555</v>
      </c>
      <c r="I2502" t="s">
        <v>11385</v>
      </c>
      <c r="J2502">
        <v>11218</v>
      </c>
      <c r="K2502" t="s">
        <v>11446</v>
      </c>
      <c r="L2502" t="s">
        <v>12279</v>
      </c>
      <c r="M2502" t="s">
        <v>14743</v>
      </c>
      <c r="N2502" t="s">
        <v>14778</v>
      </c>
      <c r="P2502" t="s">
        <v>14798</v>
      </c>
      <c r="S2502" t="s">
        <v>14827</v>
      </c>
      <c r="V2502">
        <v>0</v>
      </c>
      <c r="W2502" t="s">
        <v>14859</v>
      </c>
      <c r="X2502" t="s">
        <v>14865</v>
      </c>
      <c r="Z2502" t="s">
        <v>15007</v>
      </c>
      <c r="AB2502" t="s">
        <v>22018</v>
      </c>
      <c r="AC2502">
        <v>0</v>
      </c>
      <c r="AF2502">
        <v>0</v>
      </c>
      <c r="AG2502">
        <v>1</v>
      </c>
      <c r="AH2502">
        <v>0</v>
      </c>
      <c r="AI2502">
        <v>374.7</v>
      </c>
      <c r="AL2502" t="s">
        <v>5011</v>
      </c>
      <c r="AM2502">
        <v>46800</v>
      </c>
      <c r="AS2502">
        <v>0.9</v>
      </c>
      <c r="AT2502" t="s">
        <v>758</v>
      </c>
      <c r="AU2502" t="s">
        <v>25235</v>
      </c>
      <c r="AW2502" t="s">
        <v>11446</v>
      </c>
    </row>
    <row r="2503" spans="1:49">
      <c r="A2503" s="1">
        <f>HYPERLINK("https://lsnyc.legalserver.org/matter/dynamic-profile/view/1908455","19-1908455")</f>
        <v>0</v>
      </c>
      <c r="B2503" t="s">
        <v>277</v>
      </c>
      <c r="C2503" t="s">
        <v>640</v>
      </c>
      <c r="E2503" t="s">
        <v>1131</v>
      </c>
      <c r="F2503" t="s">
        <v>4914</v>
      </c>
      <c r="G2503" t="s">
        <v>8025</v>
      </c>
      <c r="H2503" t="s">
        <v>10992</v>
      </c>
      <c r="I2503" t="s">
        <v>11386</v>
      </c>
      <c r="J2503">
        <v>10014</v>
      </c>
      <c r="K2503" t="s">
        <v>11447</v>
      </c>
      <c r="P2503" t="s">
        <v>14798</v>
      </c>
      <c r="S2503" t="s">
        <v>14827</v>
      </c>
      <c r="V2503">
        <v>0</v>
      </c>
      <c r="W2503" t="s">
        <v>14860</v>
      </c>
      <c r="Z2503" t="s">
        <v>15257</v>
      </c>
      <c r="AC2503">
        <v>0</v>
      </c>
      <c r="AF2503">
        <v>0</v>
      </c>
      <c r="AG2503">
        <v>1</v>
      </c>
      <c r="AH2503">
        <v>0</v>
      </c>
      <c r="AI2503">
        <v>376.3</v>
      </c>
      <c r="AL2503" t="s">
        <v>5011</v>
      </c>
      <c r="AM2503">
        <v>47000</v>
      </c>
      <c r="AS2503">
        <v>1.8</v>
      </c>
      <c r="AT2503" t="s">
        <v>641</v>
      </c>
      <c r="AU2503" t="s">
        <v>101</v>
      </c>
      <c r="AW2503" t="s">
        <v>11447</v>
      </c>
    </row>
    <row r="2504" spans="1:49">
      <c r="A2504" s="1">
        <f>HYPERLINK("https://lsnyc.legalserver.org/matter/dynamic-profile/view/1908260","19-1908260")</f>
        <v>0</v>
      </c>
      <c r="B2504" t="s">
        <v>75</v>
      </c>
      <c r="C2504" t="s">
        <v>375</v>
      </c>
      <c r="E2504" t="s">
        <v>2349</v>
      </c>
      <c r="F2504" t="s">
        <v>1706</v>
      </c>
      <c r="G2504" t="s">
        <v>8026</v>
      </c>
      <c r="H2504" t="s">
        <v>10993</v>
      </c>
      <c r="I2504" t="s">
        <v>11385</v>
      </c>
      <c r="J2504">
        <v>11203</v>
      </c>
      <c r="K2504" t="s">
        <v>11447</v>
      </c>
      <c r="M2504" t="s">
        <v>11601</v>
      </c>
      <c r="P2504" t="s">
        <v>14798</v>
      </c>
      <c r="S2504" t="s">
        <v>14827</v>
      </c>
      <c r="V2504">
        <v>1050</v>
      </c>
      <c r="W2504" t="s">
        <v>14859</v>
      </c>
      <c r="Z2504" t="s">
        <v>16998</v>
      </c>
      <c r="AB2504" t="s">
        <v>22019</v>
      </c>
      <c r="AC2504">
        <v>0</v>
      </c>
      <c r="AD2504" t="s">
        <v>11479</v>
      </c>
      <c r="AE2504" t="s">
        <v>11459</v>
      </c>
      <c r="AF2504">
        <v>0</v>
      </c>
      <c r="AG2504">
        <v>1</v>
      </c>
      <c r="AH2504">
        <v>0</v>
      </c>
      <c r="AI2504">
        <v>380.3</v>
      </c>
      <c r="AL2504" t="s">
        <v>5011</v>
      </c>
      <c r="AM2504">
        <v>47500</v>
      </c>
      <c r="AS2504">
        <v>1</v>
      </c>
      <c r="AT2504" t="s">
        <v>375</v>
      </c>
      <c r="AU2504" t="s">
        <v>25231</v>
      </c>
      <c r="AW2504" t="s">
        <v>11447</v>
      </c>
    </row>
    <row r="2505" spans="1:49">
      <c r="A2505" s="1">
        <f>HYPERLINK("https://lsnyc.legalserver.org/matter/dynamic-profile/view/1909403","19-1909403")</f>
        <v>0</v>
      </c>
      <c r="B2505" t="s">
        <v>75</v>
      </c>
      <c r="C2505" t="s">
        <v>412</v>
      </c>
      <c r="E2505" t="s">
        <v>2350</v>
      </c>
      <c r="F2505" t="s">
        <v>4147</v>
      </c>
      <c r="G2505" t="s">
        <v>8027</v>
      </c>
      <c r="H2505" t="s">
        <v>10994</v>
      </c>
      <c r="I2505" t="s">
        <v>11385</v>
      </c>
      <c r="J2505">
        <v>11226</v>
      </c>
      <c r="K2505" t="s">
        <v>11446</v>
      </c>
      <c r="P2505" t="s">
        <v>14798</v>
      </c>
      <c r="S2505" t="s">
        <v>14829</v>
      </c>
      <c r="V2505">
        <v>1138</v>
      </c>
      <c r="W2505" t="s">
        <v>14859</v>
      </c>
      <c r="Z2505" t="s">
        <v>16999</v>
      </c>
      <c r="AB2505" t="s">
        <v>22020</v>
      </c>
      <c r="AC2505">
        <v>30</v>
      </c>
      <c r="AE2505" t="s">
        <v>24610</v>
      </c>
      <c r="AF2505">
        <v>14</v>
      </c>
      <c r="AG2505">
        <v>2</v>
      </c>
      <c r="AH2505">
        <v>1</v>
      </c>
      <c r="AI2505">
        <v>382.86</v>
      </c>
      <c r="AL2505" t="s">
        <v>5011</v>
      </c>
      <c r="AM2505">
        <v>81664</v>
      </c>
      <c r="AS2505">
        <v>1</v>
      </c>
      <c r="AT2505" t="s">
        <v>412</v>
      </c>
      <c r="AU2505" t="s">
        <v>25237</v>
      </c>
      <c r="AW2505" t="s">
        <v>11447</v>
      </c>
    </row>
    <row r="2506" spans="1:49">
      <c r="A2506" s="1">
        <f>HYPERLINK("https://lsnyc.legalserver.org/matter/dynamic-profile/view/1863185","18-1863185")</f>
        <v>0</v>
      </c>
      <c r="B2506" t="s">
        <v>156</v>
      </c>
      <c r="C2506" t="s">
        <v>759</v>
      </c>
      <c r="E2506" t="s">
        <v>1258</v>
      </c>
      <c r="F2506" t="s">
        <v>4915</v>
      </c>
      <c r="G2506" t="s">
        <v>8028</v>
      </c>
      <c r="H2506" t="s">
        <v>10563</v>
      </c>
      <c r="I2506" t="s">
        <v>11386</v>
      </c>
      <c r="J2506">
        <v>10040</v>
      </c>
      <c r="K2506" t="s">
        <v>11447</v>
      </c>
      <c r="M2506" t="s">
        <v>14746</v>
      </c>
      <c r="N2506" t="s">
        <v>14779</v>
      </c>
      <c r="P2506" t="s">
        <v>14798</v>
      </c>
      <c r="S2506" t="s">
        <v>14827</v>
      </c>
      <c r="V2506">
        <v>1225</v>
      </c>
      <c r="W2506" t="s">
        <v>14860</v>
      </c>
      <c r="X2506" t="s">
        <v>14755</v>
      </c>
      <c r="Z2506" t="s">
        <v>17000</v>
      </c>
      <c r="AB2506" t="s">
        <v>22021</v>
      </c>
      <c r="AC2506">
        <v>54</v>
      </c>
      <c r="AF2506">
        <v>0</v>
      </c>
      <c r="AG2506">
        <v>1</v>
      </c>
      <c r="AH2506">
        <v>0</v>
      </c>
      <c r="AI2506">
        <v>388.93</v>
      </c>
      <c r="AL2506" t="s">
        <v>24632</v>
      </c>
      <c r="AM2506">
        <v>47216</v>
      </c>
      <c r="AS2506">
        <v>5.45</v>
      </c>
      <c r="AT2506" t="s">
        <v>489</v>
      </c>
      <c r="AU2506" t="s">
        <v>25238</v>
      </c>
      <c r="AW2506" t="s">
        <v>11447</v>
      </c>
    </row>
    <row r="2507" spans="1:49">
      <c r="A2507" s="1">
        <f>HYPERLINK("https://lsnyc.legalserver.org/matter/dynamic-profile/view/1902624","19-1902624")</f>
        <v>0</v>
      </c>
      <c r="B2507" t="s">
        <v>75</v>
      </c>
      <c r="C2507" t="s">
        <v>371</v>
      </c>
      <c r="E2507" t="s">
        <v>2351</v>
      </c>
      <c r="F2507" t="s">
        <v>4916</v>
      </c>
      <c r="G2507" t="s">
        <v>8029</v>
      </c>
      <c r="H2507" t="s">
        <v>10482</v>
      </c>
      <c r="I2507" t="s">
        <v>11385</v>
      </c>
      <c r="J2507">
        <v>11226</v>
      </c>
      <c r="K2507" t="s">
        <v>11447</v>
      </c>
      <c r="L2507" t="s">
        <v>12280</v>
      </c>
      <c r="M2507" t="s">
        <v>14743</v>
      </c>
      <c r="P2507" t="s">
        <v>14798</v>
      </c>
      <c r="S2507" t="s">
        <v>14827</v>
      </c>
      <c r="V2507">
        <v>990</v>
      </c>
      <c r="W2507" t="s">
        <v>14859</v>
      </c>
      <c r="Z2507" t="s">
        <v>17001</v>
      </c>
      <c r="AB2507" t="s">
        <v>22022</v>
      </c>
      <c r="AC2507">
        <v>0</v>
      </c>
      <c r="AD2507" t="s">
        <v>24595</v>
      </c>
      <c r="AE2507" t="s">
        <v>11459</v>
      </c>
      <c r="AF2507">
        <v>30</v>
      </c>
      <c r="AG2507">
        <v>1</v>
      </c>
      <c r="AH2507">
        <v>0</v>
      </c>
      <c r="AI2507">
        <v>398.72</v>
      </c>
      <c r="AL2507" t="s">
        <v>5011</v>
      </c>
      <c r="AM2507">
        <v>49800</v>
      </c>
      <c r="AS2507">
        <v>1</v>
      </c>
      <c r="AT2507" t="s">
        <v>371</v>
      </c>
      <c r="AU2507" t="s">
        <v>25231</v>
      </c>
      <c r="AW2507" t="s">
        <v>11447</v>
      </c>
    </row>
    <row r="2508" spans="1:49">
      <c r="A2508" s="1">
        <f>HYPERLINK("https://lsnyc.legalserver.org/matter/dynamic-profile/view/1908932","19-1908932")</f>
        <v>0</v>
      </c>
      <c r="B2508" t="s">
        <v>92</v>
      </c>
      <c r="C2508" t="s">
        <v>640</v>
      </c>
      <c r="E2508" t="s">
        <v>2352</v>
      </c>
      <c r="F2508" t="s">
        <v>4917</v>
      </c>
      <c r="G2508" t="s">
        <v>8030</v>
      </c>
      <c r="H2508">
        <v>508</v>
      </c>
      <c r="I2508" t="s">
        <v>11383</v>
      </c>
      <c r="J2508">
        <v>10468</v>
      </c>
      <c r="K2508" t="s">
        <v>11446</v>
      </c>
      <c r="N2508" t="s">
        <v>14779</v>
      </c>
      <c r="P2508" t="s">
        <v>14798</v>
      </c>
      <c r="Q2508" t="s">
        <v>11448</v>
      </c>
      <c r="S2508" t="s">
        <v>14827</v>
      </c>
      <c r="V2508">
        <v>1511</v>
      </c>
      <c r="W2508" t="s">
        <v>14858</v>
      </c>
      <c r="X2508" t="s">
        <v>14864</v>
      </c>
      <c r="Z2508" t="s">
        <v>17002</v>
      </c>
      <c r="AB2508" t="s">
        <v>22023</v>
      </c>
      <c r="AC2508">
        <v>93</v>
      </c>
      <c r="AD2508" t="s">
        <v>11479</v>
      </c>
      <c r="AE2508" t="s">
        <v>11459</v>
      </c>
      <c r="AF2508">
        <v>1</v>
      </c>
      <c r="AG2508">
        <v>1</v>
      </c>
      <c r="AH2508">
        <v>0</v>
      </c>
      <c r="AI2508">
        <v>400.32</v>
      </c>
      <c r="AL2508" t="s">
        <v>5011</v>
      </c>
      <c r="AM2508">
        <v>50000</v>
      </c>
      <c r="AS2508">
        <v>0.7</v>
      </c>
      <c r="AT2508" t="s">
        <v>551</v>
      </c>
      <c r="AU2508" t="s">
        <v>245</v>
      </c>
      <c r="AV2508" t="s">
        <v>25335</v>
      </c>
      <c r="AW2508" t="s">
        <v>11447</v>
      </c>
    </row>
    <row r="2509" spans="1:49">
      <c r="A2509" s="1">
        <f>HYPERLINK("https://lsnyc.legalserver.org/matter/dynamic-profile/view/1915398","19-1915398")</f>
        <v>0</v>
      </c>
      <c r="B2509" t="s">
        <v>65</v>
      </c>
      <c r="C2509" t="s">
        <v>495</v>
      </c>
      <c r="E2509" t="s">
        <v>1430</v>
      </c>
      <c r="F2509" t="s">
        <v>4918</v>
      </c>
      <c r="G2509" t="s">
        <v>8031</v>
      </c>
      <c r="H2509" t="s">
        <v>10736</v>
      </c>
      <c r="I2509" t="s">
        <v>11385</v>
      </c>
      <c r="J2509">
        <v>11207</v>
      </c>
      <c r="K2509" t="s">
        <v>11447</v>
      </c>
      <c r="L2509" t="s">
        <v>12281</v>
      </c>
      <c r="M2509" t="s">
        <v>14744</v>
      </c>
      <c r="P2509" t="s">
        <v>14798</v>
      </c>
      <c r="S2509" t="s">
        <v>14828</v>
      </c>
      <c r="V2509">
        <v>1345</v>
      </c>
      <c r="W2509" t="s">
        <v>14859</v>
      </c>
      <c r="Z2509" t="s">
        <v>17003</v>
      </c>
      <c r="AB2509" t="s">
        <v>22024</v>
      </c>
      <c r="AC2509">
        <v>0</v>
      </c>
      <c r="AD2509" t="s">
        <v>24597</v>
      </c>
      <c r="AE2509" t="s">
        <v>11459</v>
      </c>
      <c r="AF2509">
        <v>20</v>
      </c>
      <c r="AG2509">
        <v>2</v>
      </c>
      <c r="AH2509">
        <v>0</v>
      </c>
      <c r="AI2509">
        <v>403.9</v>
      </c>
      <c r="AL2509" t="s">
        <v>5011</v>
      </c>
      <c r="AM2509">
        <v>68300</v>
      </c>
      <c r="AS2509">
        <v>1</v>
      </c>
      <c r="AT2509" t="s">
        <v>495</v>
      </c>
      <c r="AU2509" t="s">
        <v>25231</v>
      </c>
      <c r="AW2509" t="s">
        <v>11447</v>
      </c>
    </row>
    <row r="2510" spans="1:49">
      <c r="A2510" s="1">
        <f>HYPERLINK("https://lsnyc.legalserver.org/matter/dynamic-profile/view/1908096","19-1908096")</f>
        <v>0</v>
      </c>
      <c r="B2510" t="s">
        <v>82</v>
      </c>
      <c r="C2510" t="s">
        <v>455</v>
      </c>
      <c r="E2510" t="s">
        <v>1854</v>
      </c>
      <c r="F2510" t="s">
        <v>4675</v>
      </c>
      <c r="G2510" t="s">
        <v>8032</v>
      </c>
      <c r="H2510" t="s">
        <v>10593</v>
      </c>
      <c r="I2510" t="s">
        <v>11383</v>
      </c>
      <c r="J2510">
        <v>10467</v>
      </c>
      <c r="K2510" t="s">
        <v>11446</v>
      </c>
      <c r="L2510" t="s">
        <v>12282</v>
      </c>
      <c r="M2510" t="s">
        <v>14744</v>
      </c>
      <c r="P2510" t="s">
        <v>14798</v>
      </c>
      <c r="Q2510" t="s">
        <v>11448</v>
      </c>
      <c r="S2510" t="s">
        <v>14827</v>
      </c>
      <c r="V2510">
        <v>1128</v>
      </c>
      <c r="W2510" t="s">
        <v>14858</v>
      </c>
      <c r="X2510" t="s">
        <v>14863</v>
      </c>
      <c r="Z2510" t="s">
        <v>17004</v>
      </c>
      <c r="AB2510" t="s">
        <v>22025</v>
      </c>
      <c r="AC2510">
        <v>55</v>
      </c>
      <c r="AD2510" t="s">
        <v>24599</v>
      </c>
      <c r="AE2510" t="s">
        <v>11459</v>
      </c>
      <c r="AF2510">
        <v>22</v>
      </c>
      <c r="AG2510">
        <v>3</v>
      </c>
      <c r="AH2510">
        <v>1</v>
      </c>
      <c r="AI2510">
        <v>407.77</v>
      </c>
      <c r="AL2510" t="s">
        <v>5011</v>
      </c>
      <c r="AM2510">
        <v>105000</v>
      </c>
      <c r="AS2510">
        <v>4.65</v>
      </c>
      <c r="AT2510" t="s">
        <v>521</v>
      </c>
      <c r="AU2510" t="s">
        <v>245</v>
      </c>
      <c r="AW2510" t="s">
        <v>11447</v>
      </c>
    </row>
    <row r="2511" spans="1:49">
      <c r="A2511" s="1">
        <f>HYPERLINK("https://lsnyc.legalserver.org/matter/dynamic-profile/view/1904050","19-1904050")</f>
        <v>0</v>
      </c>
      <c r="B2511" t="s">
        <v>157</v>
      </c>
      <c r="C2511" t="s">
        <v>621</v>
      </c>
      <c r="E2511" t="s">
        <v>2353</v>
      </c>
      <c r="F2511" t="s">
        <v>3702</v>
      </c>
      <c r="G2511" t="s">
        <v>8033</v>
      </c>
      <c r="H2511" t="s">
        <v>10568</v>
      </c>
      <c r="I2511" t="s">
        <v>11383</v>
      </c>
      <c r="J2511">
        <v>10468</v>
      </c>
      <c r="K2511" t="s">
        <v>11446</v>
      </c>
      <c r="L2511" t="s">
        <v>12283</v>
      </c>
      <c r="M2511" t="s">
        <v>14743</v>
      </c>
      <c r="N2511" t="s">
        <v>14778</v>
      </c>
      <c r="P2511" t="s">
        <v>14798</v>
      </c>
      <c r="Q2511" t="s">
        <v>11448</v>
      </c>
      <c r="S2511" t="s">
        <v>14827</v>
      </c>
      <c r="V2511">
        <v>547</v>
      </c>
      <c r="W2511" t="s">
        <v>14858</v>
      </c>
      <c r="Z2511" t="s">
        <v>17005</v>
      </c>
      <c r="AB2511" t="s">
        <v>22026</v>
      </c>
      <c r="AC2511">
        <v>0</v>
      </c>
      <c r="AF2511">
        <v>2</v>
      </c>
      <c r="AG2511">
        <v>1</v>
      </c>
      <c r="AH2511">
        <v>0</v>
      </c>
      <c r="AI2511">
        <v>424.34</v>
      </c>
      <c r="AL2511" t="s">
        <v>5011</v>
      </c>
      <c r="AM2511">
        <v>53000</v>
      </c>
      <c r="AS2511">
        <v>1.8</v>
      </c>
      <c r="AT2511" t="s">
        <v>456</v>
      </c>
      <c r="AU2511" t="s">
        <v>145</v>
      </c>
      <c r="AV2511" t="s">
        <v>25335</v>
      </c>
      <c r="AW2511" t="s">
        <v>11447</v>
      </c>
    </row>
    <row r="2512" spans="1:49">
      <c r="A2512" s="1">
        <f>HYPERLINK("https://lsnyc.legalserver.org/matter/dynamic-profile/view/1913559","19-1913559")</f>
        <v>0</v>
      </c>
      <c r="B2512" t="s">
        <v>142</v>
      </c>
      <c r="C2512" t="s">
        <v>477</v>
      </c>
      <c r="E2512" t="s">
        <v>2354</v>
      </c>
      <c r="F2512" t="s">
        <v>1375</v>
      </c>
      <c r="G2512" t="s">
        <v>8034</v>
      </c>
      <c r="H2512" t="s">
        <v>10850</v>
      </c>
      <c r="I2512" t="s">
        <v>11383</v>
      </c>
      <c r="J2512">
        <v>10462</v>
      </c>
      <c r="K2512" t="s">
        <v>11446</v>
      </c>
      <c r="L2512" t="s">
        <v>12284</v>
      </c>
      <c r="M2512" t="s">
        <v>14744</v>
      </c>
      <c r="N2512" t="s">
        <v>14781</v>
      </c>
      <c r="P2512" t="s">
        <v>14798</v>
      </c>
      <c r="Q2512" t="s">
        <v>11448</v>
      </c>
      <c r="S2512" t="s">
        <v>14827</v>
      </c>
      <c r="V2512">
        <v>1600</v>
      </c>
      <c r="W2512" t="s">
        <v>14858</v>
      </c>
      <c r="X2512" t="s">
        <v>14863</v>
      </c>
      <c r="Z2512" t="s">
        <v>17006</v>
      </c>
      <c r="AB2512" t="s">
        <v>22027</v>
      </c>
      <c r="AC2512">
        <v>3857</v>
      </c>
      <c r="AD2512" t="s">
        <v>11479</v>
      </c>
      <c r="AE2512" t="s">
        <v>11459</v>
      </c>
      <c r="AF2512">
        <v>3</v>
      </c>
      <c r="AG2512">
        <v>1</v>
      </c>
      <c r="AH2512">
        <v>0</v>
      </c>
      <c r="AI2512">
        <v>444.14</v>
      </c>
      <c r="AL2512" t="s">
        <v>5011</v>
      </c>
      <c r="AM2512">
        <v>55472.64</v>
      </c>
      <c r="AS2512">
        <v>10.7</v>
      </c>
      <c r="AT2512" t="s">
        <v>509</v>
      </c>
      <c r="AU2512" t="s">
        <v>245</v>
      </c>
      <c r="AW2512" t="s">
        <v>11447</v>
      </c>
    </row>
    <row r="2513" spans="1:49">
      <c r="A2513" s="1">
        <f>HYPERLINK("https://lsnyc.legalserver.org/matter/dynamic-profile/view/0830578","17-0830578")</f>
        <v>0</v>
      </c>
      <c r="B2513" t="s">
        <v>265</v>
      </c>
      <c r="C2513" t="s">
        <v>689</v>
      </c>
      <c r="E2513" t="s">
        <v>2355</v>
      </c>
      <c r="F2513" t="s">
        <v>4919</v>
      </c>
      <c r="G2513" t="s">
        <v>8035</v>
      </c>
      <c r="H2513">
        <v>8</v>
      </c>
      <c r="I2513" t="s">
        <v>11385</v>
      </c>
      <c r="J2513">
        <v>11238</v>
      </c>
      <c r="K2513" t="s">
        <v>11446</v>
      </c>
      <c r="L2513" t="s">
        <v>12285</v>
      </c>
      <c r="M2513" t="s">
        <v>14743</v>
      </c>
      <c r="P2513" t="s">
        <v>14798</v>
      </c>
      <c r="Q2513" t="s">
        <v>11446</v>
      </c>
      <c r="S2513" t="s">
        <v>14827</v>
      </c>
      <c r="V2513">
        <v>997</v>
      </c>
      <c r="W2513" t="s">
        <v>14859</v>
      </c>
      <c r="X2513" t="s">
        <v>14872</v>
      </c>
      <c r="Z2513" t="s">
        <v>17007</v>
      </c>
      <c r="AB2513" t="s">
        <v>22028</v>
      </c>
      <c r="AC2513">
        <v>10</v>
      </c>
      <c r="AD2513" t="s">
        <v>24595</v>
      </c>
      <c r="AE2513" t="s">
        <v>11459</v>
      </c>
      <c r="AF2513">
        <v>18</v>
      </c>
      <c r="AG2513">
        <v>1</v>
      </c>
      <c r="AH2513">
        <v>0</v>
      </c>
      <c r="AI2513">
        <v>474.3</v>
      </c>
      <c r="AL2513" t="s">
        <v>5011</v>
      </c>
      <c r="AM2513">
        <v>57200</v>
      </c>
      <c r="AS2513">
        <v>75.90000000000001</v>
      </c>
      <c r="AT2513" t="s">
        <v>349</v>
      </c>
      <c r="AU2513" t="s">
        <v>66</v>
      </c>
      <c r="AW2513" t="s">
        <v>11447</v>
      </c>
    </row>
    <row r="2514" spans="1:49">
      <c r="A2514" s="1">
        <f>HYPERLINK("https://lsnyc.legalserver.org/matter/dynamic-profile/view/0789064","15-0789064")</f>
        <v>0</v>
      </c>
      <c r="B2514" t="s">
        <v>100</v>
      </c>
      <c r="C2514" t="s">
        <v>739</v>
      </c>
      <c r="E2514" t="s">
        <v>1565</v>
      </c>
      <c r="F2514" t="s">
        <v>4920</v>
      </c>
      <c r="G2514" t="s">
        <v>7569</v>
      </c>
      <c r="H2514" t="s">
        <v>10995</v>
      </c>
      <c r="I2514" t="s">
        <v>11383</v>
      </c>
      <c r="J2514">
        <v>10452</v>
      </c>
      <c r="K2514" t="s">
        <v>11448</v>
      </c>
      <c r="L2514" t="s">
        <v>12030</v>
      </c>
      <c r="M2514" t="s">
        <v>14773</v>
      </c>
      <c r="N2514" t="s">
        <v>14781</v>
      </c>
      <c r="P2514" t="s">
        <v>14798</v>
      </c>
      <c r="Q2514" t="s">
        <v>11446</v>
      </c>
      <c r="S2514" t="s">
        <v>14827</v>
      </c>
      <c r="V2514">
        <v>651.51</v>
      </c>
      <c r="W2514" t="s">
        <v>14858</v>
      </c>
      <c r="X2514" t="s">
        <v>14864</v>
      </c>
      <c r="Z2514" t="s">
        <v>17008</v>
      </c>
      <c r="AB2514" t="s">
        <v>22029</v>
      </c>
      <c r="AC2514">
        <v>0</v>
      </c>
      <c r="AD2514" t="s">
        <v>24595</v>
      </c>
      <c r="AF2514">
        <v>20</v>
      </c>
      <c r="AG2514">
        <v>1</v>
      </c>
      <c r="AH2514">
        <v>0</v>
      </c>
      <c r="AI2514">
        <v>475.79</v>
      </c>
      <c r="AL2514" t="s">
        <v>5011</v>
      </c>
      <c r="AM2514">
        <v>56000</v>
      </c>
      <c r="AN2514" t="s">
        <v>24828</v>
      </c>
      <c r="AS2514">
        <v>0.4</v>
      </c>
      <c r="AT2514" t="s">
        <v>435</v>
      </c>
      <c r="AU2514" t="s">
        <v>186</v>
      </c>
      <c r="AW2514" t="s">
        <v>11447</v>
      </c>
    </row>
    <row r="2515" spans="1:49">
      <c r="A2515" s="1">
        <f>HYPERLINK("https://lsnyc.legalserver.org/matter/dynamic-profile/view/1846397","17-1846397")</f>
        <v>0</v>
      </c>
      <c r="B2515" t="s">
        <v>255</v>
      </c>
      <c r="C2515" t="s">
        <v>760</v>
      </c>
      <c r="E2515" t="s">
        <v>1080</v>
      </c>
      <c r="F2515" t="s">
        <v>1375</v>
      </c>
      <c r="G2515" t="s">
        <v>8036</v>
      </c>
      <c r="H2515" t="s">
        <v>10996</v>
      </c>
      <c r="I2515" t="s">
        <v>11385</v>
      </c>
      <c r="J2515">
        <v>11226</v>
      </c>
      <c r="K2515" t="s">
        <v>11448</v>
      </c>
      <c r="L2515" t="s">
        <v>12286</v>
      </c>
      <c r="M2515" t="s">
        <v>14746</v>
      </c>
      <c r="N2515" t="s">
        <v>14781</v>
      </c>
      <c r="P2515" t="s">
        <v>14798</v>
      </c>
      <c r="Q2515" t="s">
        <v>11448</v>
      </c>
      <c r="S2515" t="s">
        <v>14827</v>
      </c>
      <c r="T2515" t="s">
        <v>14832</v>
      </c>
      <c r="V2515">
        <v>1338</v>
      </c>
      <c r="W2515" t="s">
        <v>14859</v>
      </c>
      <c r="X2515" t="s">
        <v>14868</v>
      </c>
      <c r="Z2515" t="s">
        <v>17009</v>
      </c>
      <c r="AB2515" t="s">
        <v>22030</v>
      </c>
      <c r="AC2515">
        <v>35</v>
      </c>
      <c r="AD2515" t="s">
        <v>24595</v>
      </c>
      <c r="AF2515">
        <v>15</v>
      </c>
      <c r="AG2515">
        <v>2</v>
      </c>
      <c r="AH2515">
        <v>0</v>
      </c>
      <c r="AI2515">
        <v>480.3</v>
      </c>
      <c r="AL2515" t="s">
        <v>5011</v>
      </c>
      <c r="AM2515">
        <v>78000</v>
      </c>
      <c r="AS2515">
        <v>17.25</v>
      </c>
      <c r="AT2515" t="s">
        <v>603</v>
      </c>
      <c r="AU2515" t="s">
        <v>25246</v>
      </c>
      <c r="AW2515" t="s">
        <v>11447</v>
      </c>
    </row>
    <row r="2516" spans="1:49">
      <c r="A2516" s="1">
        <f>HYPERLINK("https://lsnyc.legalserver.org/matter/dynamic-profile/view/1906351","19-1906351")</f>
        <v>0</v>
      </c>
      <c r="B2516" t="s">
        <v>114</v>
      </c>
      <c r="C2516" t="s">
        <v>355</v>
      </c>
      <c r="E2516" t="s">
        <v>2356</v>
      </c>
      <c r="F2516" t="s">
        <v>4001</v>
      </c>
      <c r="G2516" t="s">
        <v>8037</v>
      </c>
      <c r="H2516" t="s">
        <v>10997</v>
      </c>
      <c r="I2516" t="s">
        <v>11383</v>
      </c>
      <c r="J2516">
        <v>10468</v>
      </c>
      <c r="K2516" t="s">
        <v>11448</v>
      </c>
      <c r="L2516" t="s">
        <v>12287</v>
      </c>
      <c r="M2516" t="s">
        <v>14744</v>
      </c>
      <c r="P2516" t="s">
        <v>14798</v>
      </c>
      <c r="Q2516" t="s">
        <v>11448</v>
      </c>
      <c r="S2516" t="s">
        <v>14827</v>
      </c>
      <c r="V2516">
        <v>1300</v>
      </c>
      <c r="W2516" t="s">
        <v>14858</v>
      </c>
      <c r="Z2516" t="s">
        <v>17010</v>
      </c>
      <c r="AC2516">
        <v>72</v>
      </c>
      <c r="AF2516">
        <v>3</v>
      </c>
      <c r="AG2516">
        <v>1</v>
      </c>
      <c r="AH2516">
        <v>0</v>
      </c>
      <c r="AI2516">
        <v>480.38</v>
      </c>
      <c r="AL2516" t="s">
        <v>5011</v>
      </c>
      <c r="AM2516">
        <v>60000</v>
      </c>
      <c r="AN2516" t="s">
        <v>24842</v>
      </c>
      <c r="AS2516">
        <v>0</v>
      </c>
      <c r="AU2516" t="s">
        <v>145</v>
      </c>
      <c r="AW2516" t="s">
        <v>11447</v>
      </c>
    </row>
    <row r="2517" spans="1:49">
      <c r="A2517" s="1">
        <f>HYPERLINK("https://lsnyc.legalserver.org/matter/dynamic-profile/view/1912905","19-1912905")</f>
        <v>0</v>
      </c>
      <c r="B2517" t="s">
        <v>127</v>
      </c>
      <c r="C2517" t="s">
        <v>574</v>
      </c>
      <c r="E2517" t="s">
        <v>2350</v>
      </c>
      <c r="F2517" t="s">
        <v>4402</v>
      </c>
      <c r="G2517" t="s">
        <v>8038</v>
      </c>
      <c r="H2517" t="s">
        <v>10589</v>
      </c>
      <c r="I2517" t="s">
        <v>11385</v>
      </c>
      <c r="J2517">
        <v>11221</v>
      </c>
      <c r="K2517" t="s">
        <v>11446</v>
      </c>
      <c r="L2517" t="s">
        <v>12288</v>
      </c>
      <c r="M2517" t="s">
        <v>14743</v>
      </c>
      <c r="N2517" t="s">
        <v>14782</v>
      </c>
      <c r="P2517" t="s">
        <v>14798</v>
      </c>
      <c r="S2517" t="s">
        <v>14827</v>
      </c>
      <c r="V2517">
        <v>0</v>
      </c>
      <c r="W2517" t="s">
        <v>14859</v>
      </c>
      <c r="X2517" t="s">
        <v>14863</v>
      </c>
      <c r="Z2517" t="s">
        <v>17011</v>
      </c>
      <c r="AB2517" t="s">
        <v>22031</v>
      </c>
      <c r="AC2517">
        <v>0</v>
      </c>
      <c r="AF2517">
        <v>0</v>
      </c>
      <c r="AG2517">
        <v>1</v>
      </c>
      <c r="AH2517">
        <v>0</v>
      </c>
      <c r="AI2517">
        <v>483.05</v>
      </c>
      <c r="AL2517" t="s">
        <v>5011</v>
      </c>
      <c r="AM2517">
        <v>60333.33</v>
      </c>
      <c r="AS2517">
        <v>17.8</v>
      </c>
      <c r="AT2517" t="s">
        <v>592</v>
      </c>
      <c r="AU2517" t="s">
        <v>25235</v>
      </c>
      <c r="AV2517" t="s">
        <v>25335</v>
      </c>
      <c r="AW2517" t="s">
        <v>11447</v>
      </c>
    </row>
    <row r="2518" spans="1:49">
      <c r="A2518" s="1">
        <f>HYPERLINK("https://lsnyc.legalserver.org/matter/dynamic-profile/view/1843930","16-1843930")</f>
        <v>0</v>
      </c>
      <c r="B2518" t="s">
        <v>189</v>
      </c>
      <c r="C2518" t="s">
        <v>718</v>
      </c>
      <c r="E2518" t="s">
        <v>2357</v>
      </c>
      <c r="F2518" t="s">
        <v>4921</v>
      </c>
      <c r="G2518" t="s">
        <v>7851</v>
      </c>
      <c r="I2518" t="s">
        <v>11385</v>
      </c>
      <c r="J2518">
        <v>11217</v>
      </c>
      <c r="K2518" t="s">
        <v>11447</v>
      </c>
      <c r="L2518" t="s">
        <v>12289</v>
      </c>
      <c r="M2518" t="s">
        <v>14743</v>
      </c>
      <c r="N2518" t="s">
        <v>14781</v>
      </c>
      <c r="P2518" t="s">
        <v>14798</v>
      </c>
      <c r="Q2518" t="s">
        <v>11446</v>
      </c>
      <c r="S2518" t="s">
        <v>14827</v>
      </c>
      <c r="V2518">
        <v>300</v>
      </c>
      <c r="W2518" t="s">
        <v>14859</v>
      </c>
      <c r="Z2518" t="s">
        <v>17012</v>
      </c>
      <c r="AC2518">
        <v>6</v>
      </c>
      <c r="AD2518" t="s">
        <v>24595</v>
      </c>
      <c r="AF2518">
        <v>7</v>
      </c>
      <c r="AG2518">
        <v>1</v>
      </c>
      <c r="AH2518">
        <v>0</v>
      </c>
      <c r="AI2518">
        <v>488.22</v>
      </c>
      <c r="AL2518" t="s">
        <v>5011</v>
      </c>
      <c r="AM2518">
        <v>58000</v>
      </c>
      <c r="AS2518">
        <v>0</v>
      </c>
      <c r="AU2518" t="s">
        <v>189</v>
      </c>
      <c r="AW2518" t="s">
        <v>11447</v>
      </c>
    </row>
    <row r="2519" spans="1:49">
      <c r="A2519" s="1">
        <f>HYPERLINK("https://lsnyc.legalserver.org/matter/dynamic-profile/view/1859944","18-1859944")</f>
        <v>0</v>
      </c>
      <c r="B2519" t="s">
        <v>210</v>
      </c>
      <c r="C2519" t="s">
        <v>761</v>
      </c>
      <c r="E2519" t="s">
        <v>2358</v>
      </c>
      <c r="F2519" t="s">
        <v>3731</v>
      </c>
      <c r="G2519" t="s">
        <v>7915</v>
      </c>
      <c r="H2519" t="s">
        <v>10789</v>
      </c>
      <c r="I2519" t="s">
        <v>11385</v>
      </c>
      <c r="J2519">
        <v>11226</v>
      </c>
      <c r="K2519" t="s">
        <v>11447</v>
      </c>
      <c r="L2519" t="s">
        <v>12290</v>
      </c>
      <c r="M2519" t="s">
        <v>14766</v>
      </c>
      <c r="N2519" t="s">
        <v>14781</v>
      </c>
      <c r="P2519" t="s">
        <v>14798</v>
      </c>
      <c r="Q2519" t="s">
        <v>11446</v>
      </c>
      <c r="R2519" t="s">
        <v>14820</v>
      </c>
      <c r="S2519" t="s">
        <v>14827</v>
      </c>
      <c r="V2519">
        <v>0</v>
      </c>
      <c r="W2519" t="s">
        <v>14859</v>
      </c>
      <c r="X2519" t="s">
        <v>14864</v>
      </c>
      <c r="Z2519" t="s">
        <v>17013</v>
      </c>
      <c r="AB2519" t="s">
        <v>22032</v>
      </c>
      <c r="AC2519">
        <v>61</v>
      </c>
      <c r="AD2519" t="s">
        <v>24595</v>
      </c>
      <c r="AE2519" t="s">
        <v>11459</v>
      </c>
      <c r="AF2519">
        <v>30</v>
      </c>
      <c r="AG2519">
        <v>1</v>
      </c>
      <c r="AH2519">
        <v>1</v>
      </c>
      <c r="AI2519">
        <v>523.4</v>
      </c>
      <c r="AL2519" t="s">
        <v>5011</v>
      </c>
      <c r="AM2519">
        <v>85000</v>
      </c>
      <c r="AS2519">
        <v>0.8</v>
      </c>
      <c r="AT2519" t="s">
        <v>761</v>
      </c>
      <c r="AU2519" t="s">
        <v>263</v>
      </c>
      <c r="AW2519" t="s">
        <v>11447</v>
      </c>
    </row>
    <row r="2520" spans="1:49">
      <c r="A2520" s="1">
        <f>HYPERLINK("https://lsnyc.legalserver.org/matter/dynamic-profile/view/1872108","18-1872108")</f>
        <v>0</v>
      </c>
      <c r="B2520" t="s">
        <v>174</v>
      </c>
      <c r="C2520" t="s">
        <v>762</v>
      </c>
      <c r="E2520" t="s">
        <v>2255</v>
      </c>
      <c r="F2520" t="s">
        <v>3891</v>
      </c>
      <c r="G2520" t="s">
        <v>7581</v>
      </c>
      <c r="H2520" t="s">
        <v>10533</v>
      </c>
      <c r="I2520" t="s">
        <v>11385</v>
      </c>
      <c r="J2520">
        <v>11225</v>
      </c>
      <c r="K2520" t="s">
        <v>11446</v>
      </c>
      <c r="M2520" t="s">
        <v>14745</v>
      </c>
      <c r="N2520" t="s">
        <v>14779</v>
      </c>
      <c r="P2520" t="s">
        <v>14798</v>
      </c>
      <c r="Q2520" t="s">
        <v>11446</v>
      </c>
      <c r="S2520" t="s">
        <v>14827</v>
      </c>
      <c r="V2520">
        <v>1740.79</v>
      </c>
      <c r="W2520" t="s">
        <v>14859</v>
      </c>
      <c r="X2520" t="s">
        <v>14876</v>
      </c>
      <c r="Z2520" t="s">
        <v>16812</v>
      </c>
      <c r="AB2520" t="s">
        <v>21839</v>
      </c>
      <c r="AC2520">
        <v>89</v>
      </c>
      <c r="AD2520" t="s">
        <v>24595</v>
      </c>
      <c r="AE2520" t="s">
        <v>11459</v>
      </c>
      <c r="AF2520">
        <v>7</v>
      </c>
      <c r="AG2520">
        <v>1</v>
      </c>
      <c r="AH2520">
        <v>0</v>
      </c>
      <c r="AI2520">
        <v>535.42</v>
      </c>
      <c r="AL2520" t="s">
        <v>5011</v>
      </c>
      <c r="AM2520">
        <v>65000</v>
      </c>
      <c r="AS2520">
        <v>0.3</v>
      </c>
      <c r="AT2520" t="s">
        <v>813</v>
      </c>
      <c r="AU2520" t="s">
        <v>66</v>
      </c>
      <c r="AW2520" t="s">
        <v>11447</v>
      </c>
    </row>
    <row r="2521" spans="1:49">
      <c r="A2521" s="1">
        <f>HYPERLINK("https://lsnyc.legalserver.org/matter/dynamic-profile/view/0771032","15-0771032")</f>
        <v>0</v>
      </c>
      <c r="B2521" t="s">
        <v>210</v>
      </c>
      <c r="C2521" t="s">
        <v>763</v>
      </c>
      <c r="E2521" t="s">
        <v>1279</v>
      </c>
      <c r="F2521" t="s">
        <v>4922</v>
      </c>
      <c r="G2521" t="s">
        <v>7504</v>
      </c>
      <c r="H2521" t="s">
        <v>10450</v>
      </c>
      <c r="I2521" t="s">
        <v>11385</v>
      </c>
      <c r="J2521">
        <v>11213</v>
      </c>
      <c r="K2521" t="s">
        <v>11447</v>
      </c>
      <c r="L2521" t="s">
        <v>12291</v>
      </c>
      <c r="N2521" t="s">
        <v>14781</v>
      </c>
      <c r="P2521" t="s">
        <v>14798</v>
      </c>
      <c r="S2521" t="s">
        <v>14827</v>
      </c>
      <c r="V2521">
        <v>112</v>
      </c>
      <c r="W2521" t="s">
        <v>14859</v>
      </c>
      <c r="Z2521" t="s">
        <v>17014</v>
      </c>
      <c r="AB2521" t="s">
        <v>22033</v>
      </c>
      <c r="AC2521">
        <v>0</v>
      </c>
      <c r="AF2521">
        <v>0</v>
      </c>
      <c r="AG2521">
        <v>1</v>
      </c>
      <c r="AH2521">
        <v>0</v>
      </c>
      <c r="AI2521">
        <v>574.34</v>
      </c>
      <c r="AM2521">
        <v>67600</v>
      </c>
      <c r="AS2521">
        <v>127.1</v>
      </c>
      <c r="AT2521" t="s">
        <v>498</v>
      </c>
      <c r="AU2521" t="s">
        <v>158</v>
      </c>
      <c r="AW2521" t="s">
        <v>11447</v>
      </c>
    </row>
    <row r="2522" spans="1:49">
      <c r="A2522" s="1">
        <f>HYPERLINK("https://lsnyc.legalserver.org/matter/dynamic-profile/view/1864197","18-1864197")</f>
        <v>0</v>
      </c>
      <c r="B2522" t="s">
        <v>210</v>
      </c>
      <c r="C2522" t="s">
        <v>628</v>
      </c>
      <c r="E2522" t="s">
        <v>1034</v>
      </c>
      <c r="F2522" t="s">
        <v>3068</v>
      </c>
      <c r="G2522" t="s">
        <v>7915</v>
      </c>
      <c r="H2522" t="s">
        <v>10998</v>
      </c>
      <c r="I2522" t="s">
        <v>11385</v>
      </c>
      <c r="J2522">
        <v>11226</v>
      </c>
      <c r="K2522" t="s">
        <v>11447</v>
      </c>
      <c r="L2522" t="s">
        <v>12292</v>
      </c>
      <c r="M2522" t="s">
        <v>14756</v>
      </c>
      <c r="N2522" t="s">
        <v>14783</v>
      </c>
      <c r="P2522" t="s">
        <v>14798</v>
      </c>
      <c r="Q2522" t="s">
        <v>11446</v>
      </c>
      <c r="R2522" t="s">
        <v>14820</v>
      </c>
      <c r="S2522" t="s">
        <v>14827</v>
      </c>
      <c r="V2522">
        <v>0</v>
      </c>
      <c r="W2522" t="s">
        <v>14859</v>
      </c>
      <c r="X2522" t="s">
        <v>14864</v>
      </c>
      <c r="Z2522" t="s">
        <v>17015</v>
      </c>
      <c r="AB2522" t="s">
        <v>22034</v>
      </c>
      <c r="AC2522">
        <v>61</v>
      </c>
      <c r="AF2522">
        <v>0</v>
      </c>
      <c r="AG2522">
        <v>1</v>
      </c>
      <c r="AH2522">
        <v>0</v>
      </c>
      <c r="AI2522">
        <v>576.61</v>
      </c>
      <c r="AL2522" t="s">
        <v>5011</v>
      </c>
      <c r="AM2522">
        <v>70000</v>
      </c>
      <c r="AS2522">
        <v>5.75</v>
      </c>
      <c r="AT2522" t="s">
        <v>416</v>
      </c>
      <c r="AU2522" t="s">
        <v>263</v>
      </c>
      <c r="AW2522" t="s">
        <v>11447</v>
      </c>
    </row>
    <row r="2523" spans="1:49">
      <c r="A2523" s="1">
        <f>HYPERLINK("https://lsnyc.legalserver.org/matter/dynamic-profile/view/1859956","18-1859956")</f>
        <v>0</v>
      </c>
      <c r="B2523" t="s">
        <v>210</v>
      </c>
      <c r="C2523" t="s">
        <v>761</v>
      </c>
      <c r="E2523" t="s">
        <v>1034</v>
      </c>
      <c r="F2523" t="s">
        <v>3068</v>
      </c>
      <c r="G2523" t="s">
        <v>7915</v>
      </c>
      <c r="H2523" t="s">
        <v>10998</v>
      </c>
      <c r="I2523" t="s">
        <v>11385</v>
      </c>
      <c r="J2523">
        <v>11226</v>
      </c>
      <c r="K2523" t="s">
        <v>11447</v>
      </c>
      <c r="L2523" t="s">
        <v>12290</v>
      </c>
      <c r="M2523" t="s">
        <v>14766</v>
      </c>
      <c r="N2523" t="s">
        <v>14781</v>
      </c>
      <c r="P2523" t="s">
        <v>14798</v>
      </c>
      <c r="Q2523" t="s">
        <v>11446</v>
      </c>
      <c r="R2523" t="s">
        <v>14820</v>
      </c>
      <c r="S2523" t="s">
        <v>14827</v>
      </c>
      <c r="V2523">
        <v>0</v>
      </c>
      <c r="W2523" t="s">
        <v>14859</v>
      </c>
      <c r="X2523" t="s">
        <v>14864</v>
      </c>
      <c r="Z2523" t="s">
        <v>17015</v>
      </c>
      <c r="AB2523" t="s">
        <v>22034</v>
      </c>
      <c r="AC2523">
        <v>61</v>
      </c>
      <c r="AD2523" t="s">
        <v>24595</v>
      </c>
      <c r="AE2523" t="s">
        <v>11459</v>
      </c>
      <c r="AF2523">
        <v>0</v>
      </c>
      <c r="AG2523">
        <v>1</v>
      </c>
      <c r="AH2523">
        <v>0</v>
      </c>
      <c r="AI2523">
        <v>580.4299999999999</v>
      </c>
      <c r="AL2523" t="s">
        <v>5011</v>
      </c>
      <c r="AM2523">
        <v>70000</v>
      </c>
      <c r="AS2523">
        <v>3.8</v>
      </c>
      <c r="AT2523" t="s">
        <v>613</v>
      </c>
      <c r="AU2523" t="s">
        <v>263</v>
      </c>
      <c r="AW2523" t="s">
        <v>11447</v>
      </c>
    </row>
    <row r="2524" spans="1:49">
      <c r="A2524" s="1">
        <f>HYPERLINK("https://lsnyc.legalserver.org/matter/dynamic-profile/view/1840025","17-1840025")</f>
        <v>0</v>
      </c>
      <c r="B2524" t="s">
        <v>188</v>
      </c>
      <c r="C2524" t="s">
        <v>764</v>
      </c>
      <c r="E2524" t="s">
        <v>2359</v>
      </c>
      <c r="F2524" t="s">
        <v>3662</v>
      </c>
      <c r="G2524" t="s">
        <v>8039</v>
      </c>
      <c r="H2524" t="s">
        <v>10999</v>
      </c>
      <c r="I2524" t="s">
        <v>11386</v>
      </c>
      <c r="J2524">
        <v>10040</v>
      </c>
      <c r="K2524" t="s">
        <v>11447</v>
      </c>
      <c r="L2524" t="s">
        <v>12293</v>
      </c>
      <c r="M2524" t="s">
        <v>14743</v>
      </c>
      <c r="N2524" t="s">
        <v>14782</v>
      </c>
      <c r="P2524" t="s">
        <v>14798</v>
      </c>
      <c r="S2524" t="s">
        <v>14827</v>
      </c>
      <c r="V2524">
        <v>0</v>
      </c>
      <c r="W2524" t="s">
        <v>14860</v>
      </c>
      <c r="Z2524" t="s">
        <v>17016</v>
      </c>
      <c r="AB2524" t="s">
        <v>22035</v>
      </c>
      <c r="AC2524">
        <v>0</v>
      </c>
      <c r="AF2524">
        <v>0</v>
      </c>
      <c r="AG2524">
        <v>1</v>
      </c>
      <c r="AH2524">
        <v>0</v>
      </c>
      <c r="AI2524">
        <v>580.4299999999999</v>
      </c>
      <c r="AL2524" t="s">
        <v>5011</v>
      </c>
      <c r="AM2524">
        <v>70000</v>
      </c>
      <c r="AS2524">
        <v>171.96</v>
      </c>
      <c r="AT2524" t="s">
        <v>720</v>
      </c>
      <c r="AU2524" t="s">
        <v>25286</v>
      </c>
      <c r="AW2524" t="s">
        <v>11447</v>
      </c>
    </row>
    <row r="2525" spans="1:49">
      <c r="A2525" s="1">
        <f>HYPERLINK("https://lsnyc.legalserver.org/matter/dynamic-profile/view/0810568","16-0810568")</f>
        <v>0</v>
      </c>
      <c r="B2525" t="s">
        <v>189</v>
      </c>
      <c r="C2525" t="s">
        <v>718</v>
      </c>
      <c r="E2525" t="s">
        <v>2360</v>
      </c>
      <c r="F2525" t="s">
        <v>4923</v>
      </c>
      <c r="G2525" t="s">
        <v>7851</v>
      </c>
      <c r="I2525" t="s">
        <v>11385</v>
      </c>
      <c r="J2525">
        <v>11217</v>
      </c>
      <c r="K2525" t="s">
        <v>11447</v>
      </c>
      <c r="L2525" t="s">
        <v>12294</v>
      </c>
      <c r="M2525" t="s">
        <v>14743</v>
      </c>
      <c r="N2525" t="s">
        <v>14781</v>
      </c>
      <c r="P2525" t="s">
        <v>14798</v>
      </c>
      <c r="S2525" t="s">
        <v>14827</v>
      </c>
      <c r="V2525">
        <v>300</v>
      </c>
      <c r="W2525" t="s">
        <v>14859</v>
      </c>
      <c r="X2525" t="s">
        <v>14864</v>
      </c>
      <c r="Z2525" t="s">
        <v>17017</v>
      </c>
      <c r="AC2525">
        <v>0</v>
      </c>
      <c r="AD2525" t="s">
        <v>24600</v>
      </c>
      <c r="AE2525" t="s">
        <v>11459</v>
      </c>
      <c r="AF2525">
        <v>-6</v>
      </c>
      <c r="AG2525">
        <v>1</v>
      </c>
      <c r="AH2525">
        <v>0</v>
      </c>
      <c r="AI2525">
        <v>589.23</v>
      </c>
      <c r="AL2525" t="s">
        <v>5011</v>
      </c>
      <c r="AM2525">
        <v>70000</v>
      </c>
      <c r="AS2525">
        <v>26.6</v>
      </c>
      <c r="AT2525" t="s">
        <v>25151</v>
      </c>
      <c r="AU2525" t="s">
        <v>263</v>
      </c>
      <c r="AW2525" t="s">
        <v>11447</v>
      </c>
    </row>
    <row r="2526" spans="1:49">
      <c r="A2526" s="1">
        <f>HYPERLINK("https://lsnyc.legalserver.org/matter/dynamic-profile/view/1860938","18-1860938")</f>
        <v>0</v>
      </c>
      <c r="B2526" t="s">
        <v>210</v>
      </c>
      <c r="C2526" t="s">
        <v>765</v>
      </c>
      <c r="E2526" t="s">
        <v>2361</v>
      </c>
      <c r="F2526" t="s">
        <v>4924</v>
      </c>
      <c r="G2526" t="s">
        <v>8040</v>
      </c>
      <c r="H2526" t="s">
        <v>10917</v>
      </c>
      <c r="I2526" t="s">
        <v>11385</v>
      </c>
      <c r="J2526">
        <v>11226</v>
      </c>
      <c r="K2526" t="s">
        <v>11447</v>
      </c>
      <c r="L2526" t="s">
        <v>12290</v>
      </c>
      <c r="M2526" t="s">
        <v>14766</v>
      </c>
      <c r="N2526" t="s">
        <v>14781</v>
      </c>
      <c r="P2526" t="s">
        <v>14798</v>
      </c>
      <c r="Q2526" t="s">
        <v>11446</v>
      </c>
      <c r="R2526" t="s">
        <v>14820</v>
      </c>
      <c r="S2526" t="s">
        <v>14827</v>
      </c>
      <c r="V2526">
        <v>2000</v>
      </c>
      <c r="W2526" t="s">
        <v>14859</v>
      </c>
      <c r="X2526" t="s">
        <v>14864</v>
      </c>
      <c r="Z2526" t="s">
        <v>17018</v>
      </c>
      <c r="AB2526" t="s">
        <v>22036</v>
      </c>
      <c r="AC2526">
        <v>61</v>
      </c>
      <c r="AD2526" t="s">
        <v>24595</v>
      </c>
      <c r="AE2526" t="s">
        <v>11459</v>
      </c>
      <c r="AF2526">
        <v>3</v>
      </c>
      <c r="AG2526">
        <v>2</v>
      </c>
      <c r="AH2526">
        <v>1</v>
      </c>
      <c r="AI2526">
        <v>640.04</v>
      </c>
      <c r="AL2526" t="s">
        <v>5011</v>
      </c>
      <c r="AM2526">
        <v>133000</v>
      </c>
      <c r="AS2526">
        <v>0.5</v>
      </c>
      <c r="AT2526" t="s">
        <v>750</v>
      </c>
      <c r="AU2526" t="s">
        <v>263</v>
      </c>
      <c r="AW2526" t="s">
        <v>11447</v>
      </c>
    </row>
    <row r="2527" spans="1:49">
      <c r="A2527" s="1">
        <f>HYPERLINK("https://lsnyc.legalserver.org/matter/dynamic-profile/view/1864199","18-1864199")</f>
        <v>0</v>
      </c>
      <c r="B2527" t="s">
        <v>210</v>
      </c>
      <c r="C2527" t="s">
        <v>628</v>
      </c>
      <c r="E2527" t="s">
        <v>2361</v>
      </c>
      <c r="F2527" t="s">
        <v>4924</v>
      </c>
      <c r="G2527" t="s">
        <v>8040</v>
      </c>
      <c r="H2527" t="s">
        <v>10917</v>
      </c>
      <c r="I2527" t="s">
        <v>11385</v>
      </c>
      <c r="J2527">
        <v>11226</v>
      </c>
      <c r="K2527" t="s">
        <v>11447</v>
      </c>
      <c r="L2527" t="s">
        <v>12295</v>
      </c>
      <c r="M2527" t="s">
        <v>14756</v>
      </c>
      <c r="N2527" t="s">
        <v>14783</v>
      </c>
      <c r="P2527" t="s">
        <v>14798</v>
      </c>
      <c r="Q2527" t="s">
        <v>11446</v>
      </c>
      <c r="R2527" t="s">
        <v>14820</v>
      </c>
      <c r="S2527" t="s">
        <v>14827</v>
      </c>
      <c r="V2527">
        <v>2000</v>
      </c>
      <c r="W2527" t="s">
        <v>14859</v>
      </c>
      <c r="X2527" t="s">
        <v>14864</v>
      </c>
      <c r="Z2527" t="s">
        <v>17018</v>
      </c>
      <c r="AB2527" t="s">
        <v>22036</v>
      </c>
      <c r="AC2527">
        <v>61</v>
      </c>
      <c r="AD2527" t="s">
        <v>24595</v>
      </c>
      <c r="AE2527" t="s">
        <v>11459</v>
      </c>
      <c r="AF2527">
        <v>3</v>
      </c>
      <c r="AG2527">
        <v>2</v>
      </c>
      <c r="AH2527">
        <v>1</v>
      </c>
      <c r="AI2527">
        <v>640.04</v>
      </c>
      <c r="AL2527" t="s">
        <v>5011</v>
      </c>
      <c r="AM2527">
        <v>196000</v>
      </c>
      <c r="AS2527">
        <v>0</v>
      </c>
      <c r="AU2527" t="s">
        <v>263</v>
      </c>
      <c r="AW2527" t="s">
        <v>11447</v>
      </c>
    </row>
    <row r="2528" spans="1:49">
      <c r="A2528" s="1">
        <f>HYPERLINK("https://lsnyc.legalserver.org/matter/dynamic-profile/view/1906085","19-1906085")</f>
        <v>0</v>
      </c>
      <c r="B2528" t="s">
        <v>67</v>
      </c>
      <c r="C2528" t="s">
        <v>618</v>
      </c>
      <c r="E2528" t="s">
        <v>2257</v>
      </c>
      <c r="F2528" t="s">
        <v>4519</v>
      </c>
      <c r="G2528" t="s">
        <v>6479</v>
      </c>
      <c r="H2528" t="s">
        <v>10579</v>
      </c>
      <c r="I2528" t="s">
        <v>11383</v>
      </c>
      <c r="J2528">
        <v>10474</v>
      </c>
      <c r="K2528" t="s">
        <v>11446</v>
      </c>
      <c r="L2528" t="s">
        <v>11496</v>
      </c>
      <c r="M2528" t="s">
        <v>14746</v>
      </c>
      <c r="N2528" t="s">
        <v>14781</v>
      </c>
      <c r="P2528" t="s">
        <v>14798</v>
      </c>
      <c r="Q2528" t="s">
        <v>11446</v>
      </c>
      <c r="S2528" t="s">
        <v>14827</v>
      </c>
      <c r="V2528">
        <v>1350</v>
      </c>
      <c r="W2528" t="s">
        <v>14858</v>
      </c>
      <c r="X2528" t="s">
        <v>14864</v>
      </c>
      <c r="Z2528" t="s">
        <v>16817</v>
      </c>
      <c r="AB2528" t="s">
        <v>21844</v>
      </c>
      <c r="AC2528">
        <v>47</v>
      </c>
      <c r="AD2528" t="s">
        <v>24595</v>
      </c>
      <c r="AE2528" t="s">
        <v>11459</v>
      </c>
      <c r="AF2528">
        <v>2</v>
      </c>
      <c r="AG2528">
        <v>2</v>
      </c>
      <c r="AH2528">
        <v>0</v>
      </c>
      <c r="AI2528">
        <v>680.0700000000001</v>
      </c>
      <c r="AL2528" t="s">
        <v>24654</v>
      </c>
      <c r="AM2528">
        <v>115000</v>
      </c>
      <c r="AS2528">
        <v>0</v>
      </c>
      <c r="AU2528" t="s">
        <v>245</v>
      </c>
      <c r="AW2528" t="s">
        <v>11447</v>
      </c>
    </row>
    <row r="2529" spans="1:49">
      <c r="A2529" s="1">
        <f>HYPERLINK("https://lsnyc.legalserver.org/matter/dynamic-profile/view/1843931","16-1843931")</f>
        <v>0</v>
      </c>
      <c r="B2529" t="s">
        <v>189</v>
      </c>
      <c r="C2529" t="s">
        <v>718</v>
      </c>
      <c r="E2529" t="s">
        <v>2362</v>
      </c>
      <c r="F2529" t="s">
        <v>4925</v>
      </c>
      <c r="G2529" t="s">
        <v>7851</v>
      </c>
      <c r="I2529" t="s">
        <v>11385</v>
      </c>
      <c r="J2529">
        <v>11217</v>
      </c>
      <c r="K2529" t="s">
        <v>11447</v>
      </c>
      <c r="L2529" t="s">
        <v>12296</v>
      </c>
      <c r="M2529" t="s">
        <v>14743</v>
      </c>
      <c r="N2529" t="s">
        <v>14781</v>
      </c>
      <c r="P2529" t="s">
        <v>14798</v>
      </c>
      <c r="Q2529" t="s">
        <v>11446</v>
      </c>
      <c r="S2529" t="s">
        <v>14827</v>
      </c>
      <c r="V2529">
        <v>300</v>
      </c>
      <c r="W2529" t="s">
        <v>14859</v>
      </c>
      <c r="Z2529" t="s">
        <v>17019</v>
      </c>
      <c r="AC2529">
        <v>6</v>
      </c>
      <c r="AD2529" t="s">
        <v>24595</v>
      </c>
      <c r="AF2529">
        <v>10</v>
      </c>
      <c r="AG2529">
        <v>1</v>
      </c>
      <c r="AH2529">
        <v>1</v>
      </c>
      <c r="AI2529">
        <v>749.0599999999999</v>
      </c>
      <c r="AL2529" t="s">
        <v>5011</v>
      </c>
      <c r="AM2529">
        <v>120000</v>
      </c>
      <c r="AS2529">
        <v>98.7</v>
      </c>
      <c r="AT2529" t="s">
        <v>642</v>
      </c>
      <c r="AU2529" t="s">
        <v>189</v>
      </c>
      <c r="AW2529" t="s">
        <v>11447</v>
      </c>
    </row>
    <row r="2530" spans="1:49">
      <c r="A2530" s="1">
        <f>HYPERLINK("https://lsnyc.legalserver.org/matter/dynamic-profile/view/1875990","18-1875990")</f>
        <v>0</v>
      </c>
      <c r="B2530" t="s">
        <v>173</v>
      </c>
      <c r="C2530" t="s">
        <v>635</v>
      </c>
      <c r="D2530" t="s">
        <v>332</v>
      </c>
      <c r="E2530" t="s">
        <v>2363</v>
      </c>
      <c r="F2530" t="s">
        <v>1529</v>
      </c>
      <c r="G2530" t="s">
        <v>8041</v>
      </c>
      <c r="I2530" t="s">
        <v>11384</v>
      </c>
      <c r="J2530">
        <v>10314</v>
      </c>
      <c r="K2530" t="s">
        <v>11447</v>
      </c>
      <c r="L2530" t="s">
        <v>11474</v>
      </c>
      <c r="M2530" t="s">
        <v>11601</v>
      </c>
      <c r="N2530" t="s">
        <v>14779</v>
      </c>
      <c r="O2530" t="s">
        <v>14787</v>
      </c>
      <c r="P2530" t="s">
        <v>14799</v>
      </c>
      <c r="Q2530" t="s">
        <v>11448</v>
      </c>
      <c r="S2530" t="s">
        <v>14829</v>
      </c>
      <c r="T2530" t="s">
        <v>14832</v>
      </c>
      <c r="V2530">
        <v>0</v>
      </c>
      <c r="W2530" t="s">
        <v>14862</v>
      </c>
      <c r="X2530" t="s">
        <v>14871</v>
      </c>
      <c r="Y2530" t="s">
        <v>14884</v>
      </c>
      <c r="Z2530" t="s">
        <v>17020</v>
      </c>
      <c r="AB2530" t="s">
        <v>22037</v>
      </c>
      <c r="AC2530">
        <v>1</v>
      </c>
      <c r="AD2530" t="s">
        <v>24600</v>
      </c>
      <c r="AE2530" t="s">
        <v>11459</v>
      </c>
      <c r="AF2530">
        <v>21</v>
      </c>
      <c r="AG2530">
        <v>3</v>
      </c>
      <c r="AH2530">
        <v>1</v>
      </c>
      <c r="AI2530">
        <v>6.22</v>
      </c>
      <c r="AL2530" t="s">
        <v>5011</v>
      </c>
      <c r="AM2530">
        <v>1560</v>
      </c>
      <c r="AS2530">
        <v>1.5</v>
      </c>
      <c r="AT2530" t="s">
        <v>558</v>
      </c>
      <c r="AU2530" t="s">
        <v>25283</v>
      </c>
      <c r="AW2530" t="s">
        <v>11447</v>
      </c>
    </row>
    <row r="2531" spans="1:49">
      <c r="A2531" s="1">
        <f>HYPERLINK("https://lsnyc.legalserver.org/matter/dynamic-profile/view/0832898","17-0832898")</f>
        <v>0</v>
      </c>
      <c r="B2531" t="s">
        <v>173</v>
      </c>
      <c r="C2531" t="s">
        <v>766</v>
      </c>
      <c r="D2531" t="s">
        <v>493</v>
      </c>
      <c r="E2531" t="s">
        <v>1274</v>
      </c>
      <c r="F2531" t="s">
        <v>4926</v>
      </c>
      <c r="G2531" t="s">
        <v>8042</v>
      </c>
      <c r="H2531" t="s">
        <v>10589</v>
      </c>
      <c r="I2531" t="s">
        <v>11384</v>
      </c>
      <c r="J2531">
        <v>10314</v>
      </c>
      <c r="K2531" t="s">
        <v>11447</v>
      </c>
      <c r="L2531" t="s">
        <v>11474</v>
      </c>
      <c r="M2531" t="s">
        <v>14761</v>
      </c>
      <c r="N2531" t="s">
        <v>14778</v>
      </c>
      <c r="O2531" t="s">
        <v>14786</v>
      </c>
      <c r="P2531" t="s">
        <v>14799</v>
      </c>
      <c r="Q2531" t="s">
        <v>11448</v>
      </c>
      <c r="S2531" t="s">
        <v>14828</v>
      </c>
      <c r="V2531">
        <v>0</v>
      </c>
      <c r="W2531" t="s">
        <v>14862</v>
      </c>
      <c r="X2531" t="s">
        <v>14872</v>
      </c>
      <c r="Y2531" t="s">
        <v>14883</v>
      </c>
      <c r="Z2531" t="s">
        <v>17021</v>
      </c>
      <c r="AB2531" t="s">
        <v>22038</v>
      </c>
      <c r="AC2531">
        <v>0</v>
      </c>
      <c r="AD2531" t="s">
        <v>24602</v>
      </c>
      <c r="AF2531">
        <v>34</v>
      </c>
      <c r="AG2531">
        <v>1</v>
      </c>
      <c r="AH2531">
        <v>1</v>
      </c>
      <c r="AI2531">
        <v>169.96</v>
      </c>
      <c r="AL2531" t="s">
        <v>5011</v>
      </c>
      <c r="AM2531">
        <v>27601.8</v>
      </c>
      <c r="AS2531">
        <v>0.7</v>
      </c>
      <c r="AT2531" t="s">
        <v>766</v>
      </c>
      <c r="AU2531" t="s">
        <v>25301</v>
      </c>
      <c r="AW2531" t="s">
        <v>11447</v>
      </c>
    </row>
    <row r="2532" spans="1:49">
      <c r="A2532" s="1">
        <f>HYPERLINK("https://lsnyc.legalserver.org/matter/dynamic-profile/view/1904471","19-1904471")</f>
        <v>0</v>
      </c>
      <c r="B2532" t="s">
        <v>164</v>
      </c>
      <c r="C2532" t="s">
        <v>365</v>
      </c>
      <c r="D2532" t="s">
        <v>456</v>
      </c>
      <c r="E2532" t="s">
        <v>2364</v>
      </c>
      <c r="F2532" t="s">
        <v>4927</v>
      </c>
      <c r="G2532" t="s">
        <v>8043</v>
      </c>
      <c r="H2532" t="s">
        <v>10568</v>
      </c>
      <c r="I2532" t="s">
        <v>11384</v>
      </c>
      <c r="J2532">
        <v>10306</v>
      </c>
      <c r="K2532" t="s">
        <v>11446</v>
      </c>
      <c r="L2532" t="s">
        <v>12297</v>
      </c>
      <c r="M2532" t="s">
        <v>14743</v>
      </c>
      <c r="N2532" t="s">
        <v>14778</v>
      </c>
      <c r="O2532" t="s">
        <v>14786</v>
      </c>
      <c r="P2532" t="s">
        <v>14799</v>
      </c>
      <c r="Q2532" t="s">
        <v>11448</v>
      </c>
      <c r="S2532" t="s">
        <v>14827</v>
      </c>
      <c r="T2532" t="s">
        <v>14832</v>
      </c>
      <c r="U2532" t="s">
        <v>365</v>
      </c>
      <c r="V2532">
        <v>600</v>
      </c>
      <c r="W2532" t="s">
        <v>14862</v>
      </c>
      <c r="X2532" t="s">
        <v>14863</v>
      </c>
      <c r="Y2532" t="s">
        <v>14883</v>
      </c>
      <c r="Z2532" t="s">
        <v>17022</v>
      </c>
      <c r="AB2532" t="s">
        <v>22039</v>
      </c>
      <c r="AC2532">
        <v>70</v>
      </c>
      <c r="AD2532" t="s">
        <v>24597</v>
      </c>
      <c r="AE2532" t="s">
        <v>11459</v>
      </c>
      <c r="AF2532">
        <v>-1</v>
      </c>
      <c r="AG2532">
        <v>1</v>
      </c>
      <c r="AH2532">
        <v>1</v>
      </c>
      <c r="AI2532">
        <v>114.43</v>
      </c>
      <c r="AL2532" t="s">
        <v>5011</v>
      </c>
      <c r="AM2532">
        <v>19350</v>
      </c>
      <c r="AS2532">
        <v>1.6</v>
      </c>
      <c r="AT2532" t="s">
        <v>456</v>
      </c>
      <c r="AU2532" t="s">
        <v>25270</v>
      </c>
      <c r="AV2532" t="s">
        <v>25335</v>
      </c>
      <c r="AW2532" t="s">
        <v>11447</v>
      </c>
    </row>
    <row r="2533" spans="1:49">
      <c r="A2533" s="1">
        <f>HYPERLINK("https://lsnyc.legalserver.org/matter/dynamic-profile/view/1903190","19-1903190")</f>
        <v>0</v>
      </c>
      <c r="B2533" t="s">
        <v>87</v>
      </c>
      <c r="C2533" t="s">
        <v>608</v>
      </c>
      <c r="D2533" t="s">
        <v>553</v>
      </c>
      <c r="E2533" t="s">
        <v>2365</v>
      </c>
      <c r="F2533" t="s">
        <v>4928</v>
      </c>
      <c r="G2533" t="s">
        <v>8044</v>
      </c>
      <c r="H2533" t="s">
        <v>10594</v>
      </c>
      <c r="I2533" t="s">
        <v>11384</v>
      </c>
      <c r="J2533">
        <v>10310</v>
      </c>
      <c r="K2533" t="s">
        <v>11446</v>
      </c>
      <c r="L2533" t="s">
        <v>12298</v>
      </c>
      <c r="M2533" t="s">
        <v>14761</v>
      </c>
      <c r="N2533" t="s">
        <v>14778</v>
      </c>
      <c r="O2533" t="s">
        <v>14786</v>
      </c>
      <c r="P2533" t="s">
        <v>14799</v>
      </c>
      <c r="Q2533" t="s">
        <v>11448</v>
      </c>
      <c r="S2533" t="s">
        <v>14828</v>
      </c>
      <c r="T2533" t="s">
        <v>14832</v>
      </c>
      <c r="V2533">
        <v>280</v>
      </c>
      <c r="W2533" t="s">
        <v>14862</v>
      </c>
      <c r="X2533" t="s">
        <v>14868</v>
      </c>
      <c r="Y2533" t="s">
        <v>14883</v>
      </c>
      <c r="Z2533" t="s">
        <v>15617</v>
      </c>
      <c r="AB2533" t="s">
        <v>22040</v>
      </c>
      <c r="AC2533">
        <v>516</v>
      </c>
      <c r="AD2533" t="s">
        <v>24596</v>
      </c>
      <c r="AE2533" t="s">
        <v>11459</v>
      </c>
      <c r="AF2533">
        <v>11</v>
      </c>
      <c r="AG2533">
        <v>1</v>
      </c>
      <c r="AH2533">
        <v>0</v>
      </c>
      <c r="AI2533">
        <v>8.74</v>
      </c>
      <c r="AL2533" t="s">
        <v>5011</v>
      </c>
      <c r="AM2533">
        <v>1092</v>
      </c>
      <c r="AS2533">
        <v>2.2</v>
      </c>
      <c r="AT2533" t="s">
        <v>522</v>
      </c>
      <c r="AU2533" t="s">
        <v>25270</v>
      </c>
      <c r="AV2533" t="s">
        <v>25335</v>
      </c>
      <c r="AW2533" t="s">
        <v>11447</v>
      </c>
    </row>
    <row r="2534" spans="1:49">
      <c r="A2534" s="1">
        <f>HYPERLINK("https://lsnyc.legalserver.org/matter/dynamic-profile/view/1898293","19-1898293")</f>
        <v>0</v>
      </c>
      <c r="B2534" t="s">
        <v>87</v>
      </c>
      <c r="C2534" t="s">
        <v>337</v>
      </c>
      <c r="D2534" t="s">
        <v>553</v>
      </c>
      <c r="E2534" t="s">
        <v>1048</v>
      </c>
      <c r="F2534" t="s">
        <v>4350</v>
      </c>
      <c r="G2534" t="s">
        <v>8045</v>
      </c>
      <c r="H2534" t="s">
        <v>10465</v>
      </c>
      <c r="I2534" t="s">
        <v>11384</v>
      </c>
      <c r="J2534">
        <v>10306</v>
      </c>
      <c r="K2534" t="s">
        <v>11446</v>
      </c>
      <c r="L2534" t="s">
        <v>12298</v>
      </c>
      <c r="M2534" t="s">
        <v>14750</v>
      </c>
      <c r="N2534" t="s">
        <v>14778</v>
      </c>
      <c r="O2534" t="s">
        <v>14786</v>
      </c>
      <c r="P2534" t="s">
        <v>14799</v>
      </c>
      <c r="Q2534" t="s">
        <v>11448</v>
      </c>
      <c r="S2534" t="s">
        <v>14828</v>
      </c>
      <c r="T2534" t="s">
        <v>14832</v>
      </c>
      <c r="V2534">
        <v>259.6</v>
      </c>
      <c r="W2534" t="s">
        <v>14862</v>
      </c>
      <c r="X2534" t="s">
        <v>14867</v>
      </c>
      <c r="Y2534" t="s">
        <v>14883</v>
      </c>
      <c r="Z2534" t="s">
        <v>16295</v>
      </c>
      <c r="AB2534" t="s">
        <v>22041</v>
      </c>
      <c r="AC2534">
        <v>506</v>
      </c>
      <c r="AD2534" t="s">
        <v>24597</v>
      </c>
      <c r="AE2534" t="s">
        <v>11459</v>
      </c>
      <c r="AF2534">
        <v>13</v>
      </c>
      <c r="AG2534">
        <v>2</v>
      </c>
      <c r="AH2534">
        <v>0</v>
      </c>
      <c r="AI2534">
        <v>62.59</v>
      </c>
      <c r="AL2534" t="s">
        <v>5011</v>
      </c>
      <c r="AM2534">
        <v>10584</v>
      </c>
      <c r="AS2534">
        <v>3.05</v>
      </c>
      <c r="AT2534" t="s">
        <v>602</v>
      </c>
      <c r="AU2534" t="s">
        <v>25270</v>
      </c>
      <c r="AV2534" t="s">
        <v>25335</v>
      </c>
      <c r="AW2534" t="s">
        <v>11447</v>
      </c>
    </row>
    <row r="2535" spans="1:49">
      <c r="A2535" s="1">
        <f>HYPERLINK("https://lsnyc.legalserver.org/matter/dynamic-profile/view/1903291","19-1903291")</f>
        <v>0</v>
      </c>
      <c r="B2535" t="s">
        <v>165</v>
      </c>
      <c r="C2535" t="s">
        <v>621</v>
      </c>
      <c r="D2535" t="s">
        <v>465</v>
      </c>
      <c r="E2535" t="s">
        <v>2366</v>
      </c>
      <c r="F2535" t="s">
        <v>4284</v>
      </c>
      <c r="G2535" t="s">
        <v>8046</v>
      </c>
      <c r="H2535" t="s">
        <v>10604</v>
      </c>
      <c r="I2535" t="s">
        <v>11384</v>
      </c>
      <c r="J2535">
        <v>10307</v>
      </c>
      <c r="K2535" t="s">
        <v>11446</v>
      </c>
      <c r="L2535" t="s">
        <v>12299</v>
      </c>
      <c r="M2535" t="s">
        <v>14743</v>
      </c>
      <c r="N2535" t="s">
        <v>14781</v>
      </c>
      <c r="O2535" t="s">
        <v>14788</v>
      </c>
      <c r="P2535" t="s">
        <v>14799</v>
      </c>
      <c r="Q2535" t="s">
        <v>11448</v>
      </c>
      <c r="S2535" t="s">
        <v>14827</v>
      </c>
      <c r="T2535" t="s">
        <v>14832</v>
      </c>
      <c r="U2535" t="s">
        <v>621</v>
      </c>
      <c r="V2535">
        <v>750</v>
      </c>
      <c r="W2535" t="s">
        <v>14862</v>
      </c>
      <c r="X2535" t="s">
        <v>14868</v>
      </c>
      <c r="Y2535" t="s">
        <v>14888</v>
      </c>
      <c r="Z2535" t="s">
        <v>17023</v>
      </c>
      <c r="AB2535" t="s">
        <v>22042</v>
      </c>
      <c r="AC2535">
        <v>2</v>
      </c>
      <c r="AD2535" t="s">
        <v>24600</v>
      </c>
      <c r="AE2535" t="s">
        <v>11459</v>
      </c>
      <c r="AF2535">
        <v>6</v>
      </c>
      <c r="AG2535">
        <v>1</v>
      </c>
      <c r="AH2535">
        <v>0</v>
      </c>
      <c r="AI2535">
        <v>99.34</v>
      </c>
      <c r="AL2535" t="s">
        <v>5011</v>
      </c>
      <c r="AM2535">
        <v>12408</v>
      </c>
      <c r="AO2535" t="s">
        <v>24930</v>
      </c>
      <c r="AP2535" t="s">
        <v>14755</v>
      </c>
      <c r="AQ2535" t="s">
        <v>24987</v>
      </c>
      <c r="AR2535" t="s">
        <v>25043</v>
      </c>
      <c r="AS2535">
        <v>4.7</v>
      </c>
      <c r="AT2535" t="s">
        <v>366</v>
      </c>
      <c r="AU2535" t="s">
        <v>25270</v>
      </c>
      <c r="AV2535" t="s">
        <v>25335</v>
      </c>
      <c r="AW2535" t="s">
        <v>11447</v>
      </c>
    </row>
    <row r="2536" spans="1:49">
      <c r="A2536" s="1">
        <f>HYPERLINK("https://lsnyc.legalserver.org/matter/dynamic-profile/view/1904241","19-1904241")</f>
        <v>0</v>
      </c>
      <c r="B2536" t="s">
        <v>164</v>
      </c>
      <c r="C2536" t="s">
        <v>338</v>
      </c>
      <c r="D2536" t="s">
        <v>630</v>
      </c>
      <c r="E2536" t="s">
        <v>1550</v>
      </c>
      <c r="F2536" t="s">
        <v>4929</v>
      </c>
      <c r="G2536" t="s">
        <v>8047</v>
      </c>
      <c r="H2536" t="s">
        <v>10728</v>
      </c>
      <c r="I2536" t="s">
        <v>11384</v>
      </c>
      <c r="J2536">
        <v>10303</v>
      </c>
      <c r="K2536" t="s">
        <v>11446</v>
      </c>
      <c r="L2536" t="s">
        <v>11474</v>
      </c>
      <c r="M2536" t="s">
        <v>14753</v>
      </c>
      <c r="N2536" t="s">
        <v>14783</v>
      </c>
      <c r="O2536" t="s">
        <v>14790</v>
      </c>
      <c r="P2536" t="s">
        <v>14799</v>
      </c>
      <c r="Q2536" t="s">
        <v>11448</v>
      </c>
      <c r="S2536" t="s">
        <v>14830</v>
      </c>
      <c r="T2536" t="s">
        <v>14832</v>
      </c>
      <c r="U2536" t="s">
        <v>332</v>
      </c>
      <c r="V2536">
        <v>1400</v>
      </c>
      <c r="W2536" t="s">
        <v>14862</v>
      </c>
      <c r="X2536" t="s">
        <v>14868</v>
      </c>
      <c r="Y2536" t="s">
        <v>14886</v>
      </c>
      <c r="Z2536" t="s">
        <v>17024</v>
      </c>
      <c r="AB2536" t="s">
        <v>22043</v>
      </c>
      <c r="AC2536">
        <v>130</v>
      </c>
      <c r="AD2536" t="s">
        <v>24596</v>
      </c>
      <c r="AE2536" t="s">
        <v>24610</v>
      </c>
      <c r="AF2536">
        <v>5</v>
      </c>
      <c r="AG2536">
        <v>1</v>
      </c>
      <c r="AH2536">
        <v>2</v>
      </c>
      <c r="AI2536">
        <v>149.99</v>
      </c>
      <c r="AL2536" t="s">
        <v>5011</v>
      </c>
      <c r="AM2536">
        <v>31992</v>
      </c>
      <c r="AO2536" t="s">
        <v>24934</v>
      </c>
      <c r="AP2536" t="s">
        <v>24943</v>
      </c>
      <c r="AQ2536" t="s">
        <v>24986</v>
      </c>
      <c r="AR2536" t="s">
        <v>25040</v>
      </c>
      <c r="AS2536">
        <v>2.3</v>
      </c>
      <c r="AT2536" t="s">
        <v>618</v>
      </c>
      <c r="AU2536" t="s">
        <v>164</v>
      </c>
      <c r="AV2536" t="s">
        <v>25335</v>
      </c>
      <c r="AW2536" t="s">
        <v>11447</v>
      </c>
    </row>
    <row r="2537" spans="1:49">
      <c r="A2537" s="1">
        <f>HYPERLINK("https://lsnyc.legalserver.org/matter/dynamic-profile/view/1907104","19-1907104")</f>
        <v>0</v>
      </c>
      <c r="B2537" t="s">
        <v>164</v>
      </c>
      <c r="C2537" t="s">
        <v>366</v>
      </c>
      <c r="D2537" t="s">
        <v>585</v>
      </c>
      <c r="E2537" t="s">
        <v>2365</v>
      </c>
      <c r="F2537" t="s">
        <v>4928</v>
      </c>
      <c r="G2537" t="s">
        <v>8044</v>
      </c>
      <c r="H2537" t="s">
        <v>10594</v>
      </c>
      <c r="I2537" t="s">
        <v>11384</v>
      </c>
      <c r="J2537">
        <v>10310</v>
      </c>
      <c r="K2537" t="s">
        <v>11446</v>
      </c>
      <c r="L2537" t="s">
        <v>11474</v>
      </c>
      <c r="M2537" t="s">
        <v>14750</v>
      </c>
      <c r="N2537" t="s">
        <v>14779</v>
      </c>
      <c r="O2537" t="s">
        <v>14787</v>
      </c>
      <c r="P2537" t="s">
        <v>14799</v>
      </c>
      <c r="Q2537" t="s">
        <v>11448</v>
      </c>
      <c r="S2537" t="s">
        <v>14828</v>
      </c>
      <c r="T2537" t="s">
        <v>14832</v>
      </c>
      <c r="U2537" t="s">
        <v>366</v>
      </c>
      <c r="V2537">
        <v>214</v>
      </c>
      <c r="W2537" t="s">
        <v>14862</v>
      </c>
      <c r="X2537" t="s">
        <v>14868</v>
      </c>
      <c r="Y2537" t="s">
        <v>14883</v>
      </c>
      <c r="Z2537" t="s">
        <v>15617</v>
      </c>
      <c r="AB2537" t="s">
        <v>22040</v>
      </c>
      <c r="AC2537">
        <v>564</v>
      </c>
      <c r="AD2537" t="s">
        <v>24597</v>
      </c>
      <c r="AE2537" t="s">
        <v>11459</v>
      </c>
      <c r="AF2537">
        <v>11</v>
      </c>
      <c r="AG2537">
        <v>1</v>
      </c>
      <c r="AH2537">
        <v>0</v>
      </c>
      <c r="AI2537">
        <v>18.94</v>
      </c>
      <c r="AL2537" t="s">
        <v>5011</v>
      </c>
      <c r="AM2537">
        <v>2366</v>
      </c>
      <c r="AS2537">
        <v>2.3</v>
      </c>
      <c r="AT2537" t="s">
        <v>640</v>
      </c>
      <c r="AU2537" t="s">
        <v>25270</v>
      </c>
      <c r="AV2537" t="s">
        <v>25335</v>
      </c>
      <c r="AW2537" t="s">
        <v>11447</v>
      </c>
    </row>
    <row r="2538" spans="1:49">
      <c r="A2538" s="1">
        <f>HYPERLINK("https://lsnyc.legalserver.org/matter/dynamic-profile/view/1905025","19-1905025")</f>
        <v>0</v>
      </c>
      <c r="B2538" t="s">
        <v>221</v>
      </c>
      <c r="C2538" t="s">
        <v>500</v>
      </c>
      <c r="D2538" t="s">
        <v>508</v>
      </c>
      <c r="E2538" t="s">
        <v>2367</v>
      </c>
      <c r="F2538" t="s">
        <v>4930</v>
      </c>
      <c r="G2538" t="s">
        <v>8048</v>
      </c>
      <c r="H2538" t="s">
        <v>10451</v>
      </c>
      <c r="I2538" t="s">
        <v>11384</v>
      </c>
      <c r="J2538">
        <v>10314</v>
      </c>
      <c r="K2538" t="s">
        <v>11446</v>
      </c>
      <c r="M2538" t="s">
        <v>14745</v>
      </c>
      <c r="N2538" t="s">
        <v>14780</v>
      </c>
      <c r="O2538" t="s">
        <v>14787</v>
      </c>
      <c r="P2538" t="s">
        <v>14799</v>
      </c>
      <c r="Q2538" t="s">
        <v>11448</v>
      </c>
      <c r="S2538" t="s">
        <v>14828</v>
      </c>
      <c r="U2538" t="s">
        <v>500</v>
      </c>
      <c r="V2538">
        <v>1149.6</v>
      </c>
      <c r="W2538" t="s">
        <v>14862</v>
      </c>
      <c r="X2538" t="s">
        <v>14871</v>
      </c>
      <c r="Y2538" t="s">
        <v>14894</v>
      </c>
      <c r="Z2538" t="s">
        <v>17025</v>
      </c>
      <c r="AB2538" t="s">
        <v>22044</v>
      </c>
      <c r="AC2538">
        <v>504</v>
      </c>
      <c r="AD2538" t="s">
        <v>24602</v>
      </c>
      <c r="AE2538" t="s">
        <v>11459</v>
      </c>
      <c r="AF2538">
        <v>18</v>
      </c>
      <c r="AG2538">
        <v>3</v>
      </c>
      <c r="AH2538">
        <v>1</v>
      </c>
      <c r="AI2538">
        <v>181.75</v>
      </c>
      <c r="AL2538" t="s">
        <v>5011</v>
      </c>
      <c r="AM2538">
        <v>46800</v>
      </c>
      <c r="AP2538" t="s">
        <v>14755</v>
      </c>
      <c r="AQ2538" t="s">
        <v>24986</v>
      </c>
      <c r="AR2538" t="s">
        <v>25016</v>
      </c>
      <c r="AS2538">
        <v>2.8</v>
      </c>
      <c r="AT2538" t="s">
        <v>508</v>
      </c>
      <c r="AU2538" t="s">
        <v>221</v>
      </c>
      <c r="AV2538" t="s">
        <v>25335</v>
      </c>
      <c r="AW2538" t="s">
        <v>11447</v>
      </c>
    </row>
    <row r="2539" spans="1:49">
      <c r="A2539" s="1">
        <f>HYPERLINK("https://lsnyc.legalserver.org/matter/dynamic-profile/view/1905535","19-1905535")</f>
        <v>0</v>
      </c>
      <c r="B2539" t="s">
        <v>164</v>
      </c>
      <c r="C2539" t="s">
        <v>630</v>
      </c>
      <c r="D2539" t="s">
        <v>508</v>
      </c>
      <c r="E2539" t="s">
        <v>2368</v>
      </c>
      <c r="F2539" t="s">
        <v>3262</v>
      </c>
      <c r="G2539" t="s">
        <v>8049</v>
      </c>
      <c r="H2539" t="s">
        <v>10508</v>
      </c>
      <c r="I2539" t="s">
        <v>11384</v>
      </c>
      <c r="J2539">
        <v>10304</v>
      </c>
      <c r="K2539" t="s">
        <v>11446</v>
      </c>
      <c r="L2539" t="s">
        <v>12300</v>
      </c>
      <c r="M2539" t="s">
        <v>14750</v>
      </c>
      <c r="N2539" t="s">
        <v>14783</v>
      </c>
      <c r="O2539" t="s">
        <v>14788</v>
      </c>
      <c r="P2539" t="s">
        <v>14799</v>
      </c>
      <c r="Q2539" t="s">
        <v>11448</v>
      </c>
      <c r="S2539" t="s">
        <v>14828</v>
      </c>
      <c r="T2539" t="s">
        <v>14832</v>
      </c>
      <c r="U2539" t="s">
        <v>379</v>
      </c>
      <c r="V2539">
        <v>697</v>
      </c>
      <c r="W2539" t="s">
        <v>14862</v>
      </c>
      <c r="X2539" t="s">
        <v>14870</v>
      </c>
      <c r="Y2539" t="s">
        <v>14894</v>
      </c>
      <c r="Z2539" t="s">
        <v>17026</v>
      </c>
      <c r="AB2539" t="s">
        <v>22045</v>
      </c>
      <c r="AC2539">
        <v>696</v>
      </c>
      <c r="AD2539" t="s">
        <v>24597</v>
      </c>
      <c r="AE2539" t="s">
        <v>11459</v>
      </c>
      <c r="AF2539">
        <v>19</v>
      </c>
      <c r="AG2539">
        <v>1</v>
      </c>
      <c r="AH2539">
        <v>0</v>
      </c>
      <c r="AI2539">
        <v>212.1</v>
      </c>
      <c r="AJ2539" t="s">
        <v>462</v>
      </c>
      <c r="AK2539" t="s">
        <v>24629</v>
      </c>
      <c r="AL2539" t="s">
        <v>5011</v>
      </c>
      <c r="AM2539">
        <v>26491.88</v>
      </c>
      <c r="AO2539" t="s">
        <v>24930</v>
      </c>
      <c r="AP2539" t="s">
        <v>24943</v>
      </c>
      <c r="AQ2539" t="s">
        <v>24986</v>
      </c>
      <c r="AR2539" t="s">
        <v>25044</v>
      </c>
      <c r="AS2539">
        <v>7.05</v>
      </c>
      <c r="AT2539" t="s">
        <v>508</v>
      </c>
      <c r="AU2539" t="s">
        <v>25270</v>
      </c>
      <c r="AV2539" t="s">
        <v>25335</v>
      </c>
      <c r="AW2539" t="s">
        <v>11447</v>
      </c>
    </row>
    <row r="2540" spans="1:49">
      <c r="A2540" s="1">
        <f>HYPERLINK("https://lsnyc.legalserver.org/matter/dynamic-profile/view/1910747","19-1910747")</f>
        <v>0</v>
      </c>
      <c r="B2540" t="s">
        <v>164</v>
      </c>
      <c r="C2540" t="s">
        <v>663</v>
      </c>
      <c r="D2540" t="s">
        <v>604</v>
      </c>
      <c r="E2540" t="s">
        <v>1114</v>
      </c>
      <c r="F2540" t="s">
        <v>3943</v>
      </c>
      <c r="G2540" t="s">
        <v>6786</v>
      </c>
      <c r="H2540" t="s">
        <v>10663</v>
      </c>
      <c r="I2540" t="s">
        <v>11384</v>
      </c>
      <c r="J2540">
        <v>10301</v>
      </c>
      <c r="K2540" t="s">
        <v>11446</v>
      </c>
      <c r="L2540" t="s">
        <v>12301</v>
      </c>
      <c r="M2540" t="s">
        <v>14743</v>
      </c>
      <c r="N2540" t="s">
        <v>14781</v>
      </c>
      <c r="O2540" t="s">
        <v>14788</v>
      </c>
      <c r="P2540" t="s">
        <v>14799</v>
      </c>
      <c r="Q2540" t="s">
        <v>11448</v>
      </c>
      <c r="S2540" t="s">
        <v>14827</v>
      </c>
      <c r="T2540" t="s">
        <v>14832</v>
      </c>
      <c r="U2540" t="s">
        <v>663</v>
      </c>
      <c r="V2540">
        <v>0</v>
      </c>
      <c r="W2540" t="s">
        <v>14862</v>
      </c>
      <c r="X2540" t="s">
        <v>14868</v>
      </c>
      <c r="Y2540" t="s">
        <v>14887</v>
      </c>
      <c r="Z2540" t="s">
        <v>15416</v>
      </c>
      <c r="AB2540" t="s">
        <v>20547</v>
      </c>
      <c r="AC2540">
        <v>1</v>
      </c>
      <c r="AD2540" t="s">
        <v>24600</v>
      </c>
      <c r="AE2540" t="s">
        <v>11459</v>
      </c>
      <c r="AF2540">
        <v>20</v>
      </c>
      <c r="AG2540">
        <v>1</v>
      </c>
      <c r="AH2540">
        <v>0</v>
      </c>
      <c r="AI2540">
        <v>86.47</v>
      </c>
      <c r="AL2540" t="s">
        <v>5011</v>
      </c>
      <c r="AM2540">
        <v>10800</v>
      </c>
      <c r="AO2540" t="s">
        <v>24930</v>
      </c>
      <c r="AP2540" t="s">
        <v>24941</v>
      </c>
      <c r="AQ2540" t="s">
        <v>24986</v>
      </c>
      <c r="AR2540" t="s">
        <v>25017</v>
      </c>
      <c r="AS2540">
        <v>1.4</v>
      </c>
      <c r="AT2540" t="s">
        <v>460</v>
      </c>
      <c r="AU2540" t="s">
        <v>164</v>
      </c>
      <c r="AV2540" t="s">
        <v>25335</v>
      </c>
      <c r="AW2540" t="s">
        <v>11447</v>
      </c>
    </row>
    <row r="2541" spans="1:49">
      <c r="A2541" s="1">
        <f>HYPERLINK("https://lsnyc.legalserver.org/matter/dynamic-profile/view/1903641","19-1903641")</f>
        <v>0</v>
      </c>
      <c r="B2541" t="s">
        <v>165</v>
      </c>
      <c r="C2541" t="s">
        <v>619</v>
      </c>
      <c r="D2541" t="s">
        <v>489</v>
      </c>
      <c r="E2541" t="s">
        <v>2369</v>
      </c>
      <c r="F2541" t="s">
        <v>3589</v>
      </c>
      <c r="G2541" t="s">
        <v>8050</v>
      </c>
      <c r="H2541">
        <v>2</v>
      </c>
      <c r="I2541" t="s">
        <v>11384</v>
      </c>
      <c r="J2541">
        <v>10309</v>
      </c>
      <c r="K2541" t="s">
        <v>11448</v>
      </c>
      <c r="L2541" t="s">
        <v>12302</v>
      </c>
      <c r="M2541" t="s">
        <v>14744</v>
      </c>
      <c r="N2541" t="s">
        <v>14781</v>
      </c>
      <c r="O2541" t="s">
        <v>14788</v>
      </c>
      <c r="P2541" t="s">
        <v>14799</v>
      </c>
      <c r="Q2541" t="s">
        <v>11448</v>
      </c>
      <c r="S2541" t="s">
        <v>14827</v>
      </c>
      <c r="T2541" t="s">
        <v>14832</v>
      </c>
      <c r="U2541" t="s">
        <v>607</v>
      </c>
      <c r="V2541">
        <v>1450</v>
      </c>
      <c r="W2541" t="s">
        <v>14862</v>
      </c>
      <c r="X2541" t="s">
        <v>14868</v>
      </c>
      <c r="Y2541" t="s">
        <v>14887</v>
      </c>
      <c r="Z2541" t="s">
        <v>17027</v>
      </c>
      <c r="AB2541" t="s">
        <v>22046</v>
      </c>
      <c r="AC2541">
        <v>2</v>
      </c>
      <c r="AD2541" t="s">
        <v>24600</v>
      </c>
      <c r="AE2541" t="s">
        <v>11459</v>
      </c>
      <c r="AF2541">
        <v>2</v>
      </c>
      <c r="AG2541">
        <v>2</v>
      </c>
      <c r="AH2541">
        <v>2</v>
      </c>
      <c r="AI2541">
        <v>152.3</v>
      </c>
      <c r="AL2541" t="s">
        <v>5011</v>
      </c>
      <c r="AM2541">
        <v>39217</v>
      </c>
      <c r="AS2541">
        <v>4.3</v>
      </c>
      <c r="AT2541" t="s">
        <v>366</v>
      </c>
      <c r="AU2541" t="s">
        <v>25270</v>
      </c>
      <c r="AV2541" t="s">
        <v>25335</v>
      </c>
      <c r="AW2541" t="s">
        <v>11447</v>
      </c>
    </row>
    <row r="2542" spans="1:49">
      <c r="A2542" s="1">
        <f>HYPERLINK("https://lsnyc.legalserver.org/matter/dynamic-profile/view/1904148","19-1904148")</f>
        <v>0</v>
      </c>
      <c r="B2542" t="s">
        <v>168</v>
      </c>
      <c r="C2542" t="s">
        <v>520</v>
      </c>
      <c r="E2542" t="s">
        <v>1896</v>
      </c>
      <c r="F2542" t="s">
        <v>4103</v>
      </c>
      <c r="G2542" t="s">
        <v>8051</v>
      </c>
      <c r="H2542" t="s">
        <v>10498</v>
      </c>
      <c r="I2542" t="s">
        <v>11384</v>
      </c>
      <c r="J2542">
        <v>10310</v>
      </c>
      <c r="K2542" t="s">
        <v>11446</v>
      </c>
      <c r="M2542" t="s">
        <v>14761</v>
      </c>
      <c r="P2542" t="s">
        <v>14799</v>
      </c>
      <c r="Q2542" t="s">
        <v>11448</v>
      </c>
      <c r="S2542" t="s">
        <v>14828</v>
      </c>
      <c r="U2542" t="s">
        <v>607</v>
      </c>
      <c r="V2542">
        <v>224</v>
      </c>
      <c r="W2542" t="s">
        <v>14862</v>
      </c>
      <c r="X2542" t="s">
        <v>14873</v>
      </c>
      <c r="Z2542" t="s">
        <v>15463</v>
      </c>
      <c r="AB2542" t="s">
        <v>22047</v>
      </c>
      <c r="AC2542">
        <v>634</v>
      </c>
      <c r="AD2542" t="s">
        <v>24596</v>
      </c>
      <c r="AE2542" t="s">
        <v>11459</v>
      </c>
      <c r="AF2542">
        <v>2</v>
      </c>
      <c r="AG2542">
        <v>1</v>
      </c>
      <c r="AH2542">
        <v>0</v>
      </c>
      <c r="AI2542">
        <v>74.08</v>
      </c>
      <c r="AL2542" t="s">
        <v>5011</v>
      </c>
      <c r="AM2542">
        <v>9252</v>
      </c>
      <c r="AS2542">
        <v>4.2</v>
      </c>
      <c r="AT2542" t="s">
        <v>539</v>
      </c>
      <c r="AU2542" t="s">
        <v>25270</v>
      </c>
      <c r="AV2542" t="s">
        <v>25335</v>
      </c>
      <c r="AW2542" t="s">
        <v>11447</v>
      </c>
    </row>
    <row r="2543" spans="1:49">
      <c r="A2543" s="1">
        <f>HYPERLINK("https://lsnyc.legalserver.org/matter/dynamic-profile/view/1899123","19-1899123")</f>
        <v>0</v>
      </c>
      <c r="B2543" t="s">
        <v>87</v>
      </c>
      <c r="C2543" t="s">
        <v>493</v>
      </c>
      <c r="E2543" t="s">
        <v>1861</v>
      </c>
      <c r="F2543" t="s">
        <v>4201</v>
      </c>
      <c r="G2543" t="s">
        <v>8052</v>
      </c>
      <c r="H2543" t="s">
        <v>10604</v>
      </c>
      <c r="I2543" t="s">
        <v>11384</v>
      </c>
      <c r="J2543">
        <v>10306</v>
      </c>
      <c r="K2543" t="s">
        <v>11446</v>
      </c>
      <c r="L2543" t="s">
        <v>12303</v>
      </c>
      <c r="M2543" t="s">
        <v>14743</v>
      </c>
      <c r="N2543" t="s">
        <v>14781</v>
      </c>
      <c r="P2543" t="s">
        <v>14799</v>
      </c>
      <c r="Q2543" t="s">
        <v>11448</v>
      </c>
      <c r="S2543" t="s">
        <v>14827</v>
      </c>
      <c r="T2543" t="s">
        <v>14832</v>
      </c>
      <c r="U2543" t="s">
        <v>493</v>
      </c>
      <c r="V2543">
        <v>1500</v>
      </c>
      <c r="W2543" t="s">
        <v>14862</v>
      </c>
      <c r="X2543" t="s">
        <v>14865</v>
      </c>
      <c r="Z2543" t="s">
        <v>17028</v>
      </c>
      <c r="AB2543" t="s">
        <v>22048</v>
      </c>
      <c r="AC2543">
        <v>2</v>
      </c>
      <c r="AD2543" t="s">
        <v>24600</v>
      </c>
      <c r="AE2543" t="s">
        <v>11459</v>
      </c>
      <c r="AF2543">
        <v>4</v>
      </c>
      <c r="AG2543">
        <v>3</v>
      </c>
      <c r="AH2543">
        <v>0</v>
      </c>
      <c r="AI2543">
        <v>121.89</v>
      </c>
      <c r="AL2543" t="s">
        <v>5011</v>
      </c>
      <c r="AM2543">
        <v>26000</v>
      </c>
      <c r="AS2543">
        <v>14.65</v>
      </c>
      <c r="AT2543" t="s">
        <v>495</v>
      </c>
      <c r="AU2543" t="s">
        <v>25271</v>
      </c>
      <c r="AV2543" t="s">
        <v>25335</v>
      </c>
      <c r="AW2543" t="s">
        <v>11447</v>
      </c>
    </row>
    <row r="2544" spans="1:49">
      <c r="A2544" s="1">
        <f>HYPERLINK("https://lsnyc.legalserver.org/matter/dynamic-profile/view/1905839","19-1905839")</f>
        <v>0</v>
      </c>
      <c r="B2544" t="s">
        <v>148</v>
      </c>
      <c r="C2544" t="s">
        <v>500</v>
      </c>
      <c r="E2544" t="s">
        <v>2370</v>
      </c>
      <c r="F2544" t="s">
        <v>4163</v>
      </c>
      <c r="G2544" t="s">
        <v>8053</v>
      </c>
      <c r="H2544" t="s">
        <v>11000</v>
      </c>
      <c r="I2544" t="s">
        <v>11384</v>
      </c>
      <c r="J2544">
        <v>10312</v>
      </c>
      <c r="K2544" t="s">
        <v>11446</v>
      </c>
      <c r="L2544" t="s">
        <v>12304</v>
      </c>
      <c r="M2544" t="s">
        <v>14743</v>
      </c>
      <c r="N2544" t="s">
        <v>14781</v>
      </c>
      <c r="P2544" t="s">
        <v>14799</v>
      </c>
      <c r="Q2544" t="s">
        <v>11448</v>
      </c>
      <c r="S2544" t="s">
        <v>14827</v>
      </c>
      <c r="T2544" t="s">
        <v>14832</v>
      </c>
      <c r="U2544" t="s">
        <v>500</v>
      </c>
      <c r="V2544">
        <v>1260</v>
      </c>
      <c r="W2544" t="s">
        <v>14862</v>
      </c>
      <c r="X2544" t="s">
        <v>14863</v>
      </c>
      <c r="Z2544" t="s">
        <v>17029</v>
      </c>
      <c r="AB2544" t="s">
        <v>22049</v>
      </c>
      <c r="AC2544">
        <v>2</v>
      </c>
      <c r="AD2544" t="s">
        <v>24600</v>
      </c>
      <c r="AE2544" t="s">
        <v>24617</v>
      </c>
      <c r="AF2544">
        <v>2</v>
      </c>
      <c r="AG2544">
        <v>1</v>
      </c>
      <c r="AH2544">
        <v>0</v>
      </c>
      <c r="AI2544">
        <v>14.41</v>
      </c>
      <c r="AL2544" t="s">
        <v>5011</v>
      </c>
      <c r="AM2544">
        <v>1800</v>
      </c>
      <c r="AS2544">
        <v>0.5</v>
      </c>
      <c r="AT2544" t="s">
        <v>486</v>
      </c>
      <c r="AU2544" t="s">
        <v>25270</v>
      </c>
      <c r="AV2544" t="s">
        <v>25335</v>
      </c>
      <c r="AW2544" t="s">
        <v>11447</v>
      </c>
    </row>
    <row r="2545" spans="1:49">
      <c r="A2545" s="1">
        <f>HYPERLINK("https://lsnyc.legalserver.org/matter/dynamic-profile/view/1905209","19-1905209")</f>
        <v>0</v>
      </c>
      <c r="B2545" t="s">
        <v>87</v>
      </c>
      <c r="C2545" t="s">
        <v>618</v>
      </c>
      <c r="E2545" t="s">
        <v>1598</v>
      </c>
      <c r="F2545" t="s">
        <v>4931</v>
      </c>
      <c r="G2545" t="s">
        <v>7046</v>
      </c>
      <c r="H2545" t="s">
        <v>11001</v>
      </c>
      <c r="I2545" t="s">
        <v>11384</v>
      </c>
      <c r="J2545">
        <v>10301</v>
      </c>
      <c r="K2545" t="s">
        <v>11446</v>
      </c>
      <c r="M2545" t="s">
        <v>14750</v>
      </c>
      <c r="N2545" t="s">
        <v>14783</v>
      </c>
      <c r="P2545" t="s">
        <v>14799</v>
      </c>
      <c r="Q2545" t="s">
        <v>11448</v>
      </c>
      <c r="S2545" t="s">
        <v>14828</v>
      </c>
      <c r="T2545" t="s">
        <v>14832</v>
      </c>
      <c r="U2545" t="s">
        <v>618</v>
      </c>
      <c r="V2545">
        <v>1878</v>
      </c>
      <c r="W2545" t="s">
        <v>14862</v>
      </c>
      <c r="X2545" t="s">
        <v>14867</v>
      </c>
      <c r="Z2545" t="s">
        <v>17030</v>
      </c>
      <c r="AA2545" t="s">
        <v>19515</v>
      </c>
      <c r="AB2545" t="s">
        <v>22050</v>
      </c>
      <c r="AC2545">
        <v>454</v>
      </c>
      <c r="AD2545" t="s">
        <v>24597</v>
      </c>
      <c r="AE2545" t="s">
        <v>24610</v>
      </c>
      <c r="AF2545">
        <v>-1</v>
      </c>
      <c r="AG2545">
        <v>1</v>
      </c>
      <c r="AH2545">
        <v>2</v>
      </c>
      <c r="AI2545">
        <v>54.46</v>
      </c>
      <c r="AL2545" t="s">
        <v>5011</v>
      </c>
      <c r="AM2545">
        <v>11616</v>
      </c>
      <c r="AO2545" t="s">
        <v>24930</v>
      </c>
      <c r="AP2545" t="s">
        <v>24942</v>
      </c>
      <c r="AQ2545" t="s">
        <v>24986</v>
      </c>
      <c r="AR2545" t="s">
        <v>25045</v>
      </c>
      <c r="AS2545">
        <v>21.85</v>
      </c>
      <c r="AT2545" t="s">
        <v>539</v>
      </c>
      <c r="AU2545" t="s">
        <v>25270</v>
      </c>
      <c r="AV2545" t="s">
        <v>25335</v>
      </c>
      <c r="AW2545" t="s">
        <v>11447</v>
      </c>
    </row>
    <row r="2546" spans="1:49">
      <c r="A2546" s="1">
        <f>HYPERLINK("https://lsnyc.legalserver.org/matter/dynamic-profile/view/1903556","19-1903556")</f>
        <v>0</v>
      </c>
      <c r="B2546" t="s">
        <v>87</v>
      </c>
      <c r="C2546" t="s">
        <v>767</v>
      </c>
      <c r="E2546" t="s">
        <v>1228</v>
      </c>
      <c r="F2546" t="s">
        <v>3877</v>
      </c>
      <c r="G2546" t="s">
        <v>8054</v>
      </c>
      <c r="H2546" t="s">
        <v>11002</v>
      </c>
      <c r="I2546" t="s">
        <v>11384</v>
      </c>
      <c r="J2546">
        <v>10303</v>
      </c>
      <c r="K2546" t="s">
        <v>11446</v>
      </c>
      <c r="L2546" t="s">
        <v>11456</v>
      </c>
      <c r="M2546" t="s">
        <v>14754</v>
      </c>
      <c r="N2546" t="s">
        <v>14783</v>
      </c>
      <c r="P2546" t="s">
        <v>14799</v>
      </c>
      <c r="Q2546" t="s">
        <v>11448</v>
      </c>
      <c r="S2546" t="s">
        <v>14830</v>
      </c>
      <c r="T2546" t="s">
        <v>14832</v>
      </c>
      <c r="U2546" t="s">
        <v>553</v>
      </c>
      <c r="V2546">
        <v>710</v>
      </c>
      <c r="W2546" t="s">
        <v>14862</v>
      </c>
      <c r="X2546" t="s">
        <v>14868</v>
      </c>
      <c r="Z2546" t="s">
        <v>17031</v>
      </c>
      <c r="AB2546" t="s">
        <v>22051</v>
      </c>
      <c r="AC2546">
        <v>568</v>
      </c>
      <c r="AD2546" t="s">
        <v>24596</v>
      </c>
      <c r="AE2546" t="s">
        <v>24610</v>
      </c>
      <c r="AF2546">
        <v>17</v>
      </c>
      <c r="AG2546">
        <v>1</v>
      </c>
      <c r="AH2546">
        <v>2</v>
      </c>
      <c r="AI2546">
        <v>127.99</v>
      </c>
      <c r="AL2546" t="s">
        <v>5011</v>
      </c>
      <c r="AM2546">
        <v>27300</v>
      </c>
      <c r="AS2546">
        <v>21.9</v>
      </c>
      <c r="AT2546" t="s">
        <v>551</v>
      </c>
      <c r="AU2546" t="s">
        <v>25270</v>
      </c>
      <c r="AV2546" t="s">
        <v>25335</v>
      </c>
      <c r="AW2546" t="s">
        <v>11447</v>
      </c>
    </row>
    <row r="2547" spans="1:49">
      <c r="A2547" s="1">
        <f>HYPERLINK("https://lsnyc.legalserver.org/matter/dynamic-profile/view/1907241","19-1907241")</f>
        <v>0</v>
      </c>
      <c r="B2547" t="s">
        <v>164</v>
      </c>
      <c r="C2547" t="s">
        <v>633</v>
      </c>
      <c r="E2547" t="s">
        <v>2371</v>
      </c>
      <c r="F2547" t="s">
        <v>2138</v>
      </c>
      <c r="G2547" t="s">
        <v>8055</v>
      </c>
      <c r="H2547" t="s">
        <v>10467</v>
      </c>
      <c r="I2547" t="s">
        <v>11384</v>
      </c>
      <c r="J2547">
        <v>10301</v>
      </c>
      <c r="K2547" t="s">
        <v>11446</v>
      </c>
      <c r="L2547" t="s">
        <v>12305</v>
      </c>
      <c r="M2547" t="s">
        <v>14744</v>
      </c>
      <c r="N2547" t="s">
        <v>14781</v>
      </c>
      <c r="P2547" t="s">
        <v>14799</v>
      </c>
      <c r="Q2547" t="s">
        <v>11448</v>
      </c>
      <c r="S2547" t="s">
        <v>14828</v>
      </c>
      <c r="T2547" t="s">
        <v>14834</v>
      </c>
      <c r="U2547" t="s">
        <v>633</v>
      </c>
      <c r="V2547">
        <v>559</v>
      </c>
      <c r="W2547" t="s">
        <v>14862</v>
      </c>
      <c r="X2547" t="s">
        <v>14864</v>
      </c>
      <c r="Z2547" t="s">
        <v>17032</v>
      </c>
      <c r="AB2547" t="s">
        <v>22052</v>
      </c>
      <c r="AC2547">
        <v>164</v>
      </c>
      <c r="AD2547" t="s">
        <v>24597</v>
      </c>
      <c r="AE2547" t="s">
        <v>11459</v>
      </c>
      <c r="AF2547">
        <v>2</v>
      </c>
      <c r="AG2547">
        <v>2</v>
      </c>
      <c r="AH2547">
        <v>4</v>
      </c>
      <c r="AI2547">
        <v>63.83</v>
      </c>
      <c r="AL2547" t="s">
        <v>5011</v>
      </c>
      <c r="AM2547">
        <v>22080</v>
      </c>
      <c r="AO2547" t="s">
        <v>24931</v>
      </c>
      <c r="AP2547" t="s">
        <v>24960</v>
      </c>
      <c r="AQ2547" t="s">
        <v>24986</v>
      </c>
      <c r="AR2547" t="s">
        <v>25046</v>
      </c>
      <c r="AS2547">
        <v>10.1</v>
      </c>
      <c r="AT2547" t="s">
        <v>484</v>
      </c>
      <c r="AU2547" t="s">
        <v>221</v>
      </c>
      <c r="AV2547" t="s">
        <v>25335</v>
      </c>
      <c r="AW2547" t="s">
        <v>11447</v>
      </c>
    </row>
    <row r="2548" spans="1:49">
      <c r="A2548" s="1">
        <f>HYPERLINK("https://lsnyc.legalserver.org/matter/dynamic-profile/view/1908031","19-1908031")</f>
        <v>0</v>
      </c>
      <c r="B2548" t="s">
        <v>169</v>
      </c>
      <c r="C2548" t="s">
        <v>455</v>
      </c>
      <c r="E2548" t="s">
        <v>2372</v>
      </c>
      <c r="F2548" t="s">
        <v>4932</v>
      </c>
      <c r="G2548" t="s">
        <v>8056</v>
      </c>
      <c r="I2548" t="s">
        <v>11384</v>
      </c>
      <c r="J2548">
        <v>10306</v>
      </c>
      <c r="K2548" t="s">
        <v>11446</v>
      </c>
      <c r="L2548" t="s">
        <v>12306</v>
      </c>
      <c r="M2548" t="s">
        <v>14743</v>
      </c>
      <c r="N2548" t="s">
        <v>14781</v>
      </c>
      <c r="P2548" t="s">
        <v>14799</v>
      </c>
      <c r="Q2548" t="s">
        <v>11448</v>
      </c>
      <c r="S2548" t="s">
        <v>14827</v>
      </c>
      <c r="T2548" t="s">
        <v>14832</v>
      </c>
      <c r="U2548" t="s">
        <v>455</v>
      </c>
      <c r="V2548">
        <v>1350</v>
      </c>
      <c r="W2548" t="s">
        <v>14862</v>
      </c>
      <c r="X2548" t="s">
        <v>14868</v>
      </c>
      <c r="Z2548" t="s">
        <v>17033</v>
      </c>
      <c r="AB2548" t="s">
        <v>22053</v>
      </c>
      <c r="AC2548">
        <v>2</v>
      </c>
      <c r="AD2548" t="s">
        <v>24600</v>
      </c>
      <c r="AE2548" t="s">
        <v>11459</v>
      </c>
      <c r="AF2548">
        <v>2</v>
      </c>
      <c r="AG2548">
        <v>2</v>
      </c>
      <c r="AH2548">
        <v>1</v>
      </c>
      <c r="AI2548">
        <v>248.48</v>
      </c>
      <c r="AJ2548" t="s">
        <v>462</v>
      </c>
      <c r="AK2548" t="s">
        <v>24629</v>
      </c>
      <c r="AL2548" t="s">
        <v>5011</v>
      </c>
      <c r="AM2548">
        <v>53000</v>
      </c>
      <c r="AS2548">
        <v>13.55</v>
      </c>
      <c r="AT2548" t="s">
        <v>490</v>
      </c>
      <c r="AU2548" t="s">
        <v>25270</v>
      </c>
      <c r="AV2548" t="s">
        <v>25335</v>
      </c>
      <c r="AW2548" t="s">
        <v>11447</v>
      </c>
    </row>
    <row r="2549" spans="1:49">
      <c r="A2549" s="1">
        <f>HYPERLINK("https://lsnyc.legalserver.org/matter/dynamic-profile/view/1907984","19-1907984")</f>
        <v>0</v>
      </c>
      <c r="B2549" t="s">
        <v>169</v>
      </c>
      <c r="C2549" t="s">
        <v>528</v>
      </c>
      <c r="E2549" t="s">
        <v>2113</v>
      </c>
      <c r="F2549" t="s">
        <v>4933</v>
      </c>
      <c r="G2549" t="s">
        <v>8057</v>
      </c>
      <c r="I2549" t="s">
        <v>11384</v>
      </c>
      <c r="J2549">
        <v>10306</v>
      </c>
      <c r="K2549" t="s">
        <v>11446</v>
      </c>
      <c r="L2549" t="s">
        <v>12307</v>
      </c>
      <c r="M2549" t="s">
        <v>14744</v>
      </c>
      <c r="N2549" t="s">
        <v>14781</v>
      </c>
      <c r="P2549" t="s">
        <v>14799</v>
      </c>
      <c r="Q2549" t="s">
        <v>11448</v>
      </c>
      <c r="S2549" t="s">
        <v>14827</v>
      </c>
      <c r="T2549" t="s">
        <v>14832</v>
      </c>
      <c r="U2549" t="s">
        <v>410</v>
      </c>
      <c r="V2549">
        <v>2000</v>
      </c>
      <c r="W2549" t="s">
        <v>14862</v>
      </c>
      <c r="X2549" t="s">
        <v>14880</v>
      </c>
      <c r="Z2549" t="s">
        <v>17034</v>
      </c>
      <c r="AB2549" t="s">
        <v>22054</v>
      </c>
      <c r="AC2549">
        <v>2</v>
      </c>
      <c r="AD2549" t="s">
        <v>24600</v>
      </c>
      <c r="AE2549" t="s">
        <v>11459</v>
      </c>
      <c r="AF2549">
        <v>2</v>
      </c>
      <c r="AG2549">
        <v>2</v>
      </c>
      <c r="AH2549">
        <v>4</v>
      </c>
      <c r="AI2549">
        <v>10.41</v>
      </c>
      <c r="AL2549" t="s">
        <v>5011</v>
      </c>
      <c r="AM2549">
        <v>3600</v>
      </c>
      <c r="AS2549">
        <v>31.35</v>
      </c>
      <c r="AT2549" t="s">
        <v>516</v>
      </c>
      <c r="AU2549" t="s">
        <v>25270</v>
      </c>
      <c r="AV2549" t="s">
        <v>25335</v>
      </c>
      <c r="AW2549" t="s">
        <v>11447</v>
      </c>
    </row>
    <row r="2550" spans="1:49">
      <c r="A2550" s="1">
        <f>HYPERLINK("https://lsnyc.legalserver.org/matter/dynamic-profile/view/1908727","19-1908727")</f>
        <v>0</v>
      </c>
      <c r="B2550" t="s">
        <v>169</v>
      </c>
      <c r="C2550" t="s">
        <v>640</v>
      </c>
      <c r="E2550" t="s">
        <v>1526</v>
      </c>
      <c r="F2550" t="s">
        <v>4934</v>
      </c>
      <c r="G2550" t="s">
        <v>8058</v>
      </c>
      <c r="I2550" t="s">
        <v>11384</v>
      </c>
      <c r="J2550">
        <v>10308</v>
      </c>
      <c r="K2550" t="s">
        <v>11446</v>
      </c>
      <c r="L2550" t="s">
        <v>12308</v>
      </c>
      <c r="M2550" t="s">
        <v>14744</v>
      </c>
      <c r="N2550" t="s">
        <v>14781</v>
      </c>
      <c r="P2550" t="s">
        <v>14799</v>
      </c>
      <c r="Q2550" t="s">
        <v>11448</v>
      </c>
      <c r="S2550" t="s">
        <v>14827</v>
      </c>
      <c r="T2550" t="s">
        <v>14832</v>
      </c>
      <c r="U2550" t="s">
        <v>640</v>
      </c>
      <c r="V2550">
        <v>2200</v>
      </c>
      <c r="W2550" t="s">
        <v>14862</v>
      </c>
      <c r="X2550" t="s">
        <v>14873</v>
      </c>
      <c r="Z2550" t="s">
        <v>17035</v>
      </c>
      <c r="AB2550" t="s">
        <v>22055</v>
      </c>
      <c r="AC2550">
        <v>2</v>
      </c>
      <c r="AD2550" t="s">
        <v>24600</v>
      </c>
      <c r="AE2550" t="s">
        <v>24616</v>
      </c>
      <c r="AF2550">
        <v>-1</v>
      </c>
      <c r="AG2550">
        <v>3</v>
      </c>
      <c r="AH2550">
        <v>3</v>
      </c>
      <c r="AI2550">
        <v>124.31</v>
      </c>
      <c r="AL2550" t="s">
        <v>5011</v>
      </c>
      <c r="AM2550">
        <v>43000</v>
      </c>
      <c r="AS2550">
        <v>16.85</v>
      </c>
      <c r="AT2550" t="s">
        <v>478</v>
      </c>
      <c r="AU2550" t="s">
        <v>25270</v>
      </c>
      <c r="AV2550" t="s">
        <v>25335</v>
      </c>
      <c r="AW2550" t="s">
        <v>11447</v>
      </c>
    </row>
    <row r="2551" spans="1:49">
      <c r="A2551" s="1">
        <f>HYPERLINK("https://lsnyc.legalserver.org/matter/dynamic-profile/view/1909589","19-1909589")</f>
        <v>0</v>
      </c>
      <c r="B2551" t="s">
        <v>168</v>
      </c>
      <c r="C2551" t="s">
        <v>463</v>
      </c>
      <c r="E2551" t="s">
        <v>2373</v>
      </c>
      <c r="F2551" t="s">
        <v>3547</v>
      </c>
      <c r="G2551" t="s">
        <v>8059</v>
      </c>
      <c r="I2551" t="s">
        <v>11384</v>
      </c>
      <c r="J2551">
        <v>10301</v>
      </c>
      <c r="K2551" t="s">
        <v>11446</v>
      </c>
      <c r="L2551" t="s">
        <v>12309</v>
      </c>
      <c r="M2551" t="s">
        <v>14744</v>
      </c>
      <c r="N2551" t="s">
        <v>14781</v>
      </c>
      <c r="P2551" t="s">
        <v>14799</v>
      </c>
      <c r="Q2551" t="s">
        <v>11448</v>
      </c>
      <c r="S2551" t="s">
        <v>14827</v>
      </c>
      <c r="T2551" t="s">
        <v>14832</v>
      </c>
      <c r="U2551" t="s">
        <v>463</v>
      </c>
      <c r="V2551">
        <v>1268</v>
      </c>
      <c r="W2551" t="s">
        <v>14862</v>
      </c>
      <c r="X2551" t="s">
        <v>14863</v>
      </c>
      <c r="Z2551" t="s">
        <v>16702</v>
      </c>
      <c r="AA2551" t="s">
        <v>19516</v>
      </c>
      <c r="AB2551" t="s">
        <v>22056</v>
      </c>
      <c r="AC2551">
        <v>6</v>
      </c>
      <c r="AD2551" t="s">
        <v>24600</v>
      </c>
      <c r="AE2551" t="s">
        <v>24616</v>
      </c>
      <c r="AF2551">
        <v>2</v>
      </c>
      <c r="AG2551">
        <v>1</v>
      </c>
      <c r="AH2551">
        <v>1</v>
      </c>
      <c r="AI2551">
        <v>26.4</v>
      </c>
      <c r="AL2551" t="s">
        <v>5011</v>
      </c>
      <c r="AM2551">
        <v>4464</v>
      </c>
      <c r="AS2551">
        <v>12.25</v>
      </c>
      <c r="AT2551" t="s">
        <v>539</v>
      </c>
      <c r="AU2551" t="s">
        <v>25270</v>
      </c>
      <c r="AV2551" t="s">
        <v>25335</v>
      </c>
      <c r="AW2551" t="s">
        <v>11447</v>
      </c>
    </row>
    <row r="2552" spans="1:49">
      <c r="A2552" s="1">
        <f>HYPERLINK("https://lsnyc.legalserver.org/matter/dynamic-profile/view/1909489","19-1909489")</f>
        <v>0</v>
      </c>
      <c r="B2552" t="s">
        <v>87</v>
      </c>
      <c r="C2552" t="s">
        <v>519</v>
      </c>
      <c r="E2552" t="s">
        <v>2374</v>
      </c>
      <c r="F2552" t="s">
        <v>3773</v>
      </c>
      <c r="G2552" t="s">
        <v>8060</v>
      </c>
      <c r="H2552" t="s">
        <v>10496</v>
      </c>
      <c r="I2552" t="s">
        <v>11384</v>
      </c>
      <c r="J2552">
        <v>10305</v>
      </c>
      <c r="K2552" t="s">
        <v>11446</v>
      </c>
      <c r="L2552" t="s">
        <v>12310</v>
      </c>
      <c r="M2552" t="s">
        <v>14743</v>
      </c>
      <c r="N2552" t="s">
        <v>14781</v>
      </c>
      <c r="P2552" t="s">
        <v>14799</v>
      </c>
      <c r="Q2552" t="s">
        <v>11448</v>
      </c>
      <c r="S2552" t="s">
        <v>14827</v>
      </c>
      <c r="T2552" t="s">
        <v>14832</v>
      </c>
      <c r="U2552" t="s">
        <v>519</v>
      </c>
      <c r="V2552">
        <v>1900</v>
      </c>
      <c r="W2552" t="s">
        <v>14862</v>
      </c>
      <c r="X2552" t="s">
        <v>14880</v>
      </c>
      <c r="Z2552" t="s">
        <v>17036</v>
      </c>
      <c r="AB2552" t="s">
        <v>22057</v>
      </c>
      <c r="AC2552">
        <v>4</v>
      </c>
      <c r="AD2552" t="s">
        <v>24600</v>
      </c>
      <c r="AE2552" t="s">
        <v>11459</v>
      </c>
      <c r="AF2552">
        <v>-1</v>
      </c>
      <c r="AG2552">
        <v>1</v>
      </c>
      <c r="AH2552">
        <v>2</v>
      </c>
      <c r="AI2552">
        <v>14.06</v>
      </c>
      <c r="AL2552" t="s">
        <v>5011</v>
      </c>
      <c r="AM2552">
        <v>3000</v>
      </c>
      <c r="AS2552">
        <v>13.4</v>
      </c>
      <c r="AT2552" t="s">
        <v>490</v>
      </c>
      <c r="AU2552" t="s">
        <v>25270</v>
      </c>
      <c r="AV2552" t="s">
        <v>25335</v>
      </c>
      <c r="AW2552" t="s">
        <v>11447</v>
      </c>
    </row>
    <row r="2553" spans="1:49">
      <c r="A2553" s="1">
        <f>HYPERLINK("https://lsnyc.legalserver.org/matter/dynamic-profile/view/1909936","19-1909936")</f>
        <v>0</v>
      </c>
      <c r="B2553" t="s">
        <v>164</v>
      </c>
      <c r="C2553" t="s">
        <v>468</v>
      </c>
      <c r="E2553" t="s">
        <v>1692</v>
      </c>
      <c r="F2553" t="s">
        <v>3662</v>
      </c>
      <c r="G2553" t="s">
        <v>8061</v>
      </c>
      <c r="H2553" t="s">
        <v>10771</v>
      </c>
      <c r="I2553" t="s">
        <v>11384</v>
      </c>
      <c r="J2553">
        <v>10306</v>
      </c>
      <c r="K2553" t="s">
        <v>11446</v>
      </c>
      <c r="L2553" t="s">
        <v>12311</v>
      </c>
      <c r="M2553" t="s">
        <v>14744</v>
      </c>
      <c r="N2553" t="s">
        <v>14781</v>
      </c>
      <c r="P2553" t="s">
        <v>14799</v>
      </c>
      <c r="Q2553" t="s">
        <v>11448</v>
      </c>
      <c r="S2553" t="s">
        <v>14827</v>
      </c>
      <c r="T2553" t="s">
        <v>14832</v>
      </c>
      <c r="U2553" t="s">
        <v>468</v>
      </c>
      <c r="V2553">
        <v>1500</v>
      </c>
      <c r="W2553" t="s">
        <v>14862</v>
      </c>
      <c r="X2553" t="s">
        <v>14863</v>
      </c>
      <c r="Z2553" t="s">
        <v>17037</v>
      </c>
      <c r="AA2553" t="s">
        <v>19517</v>
      </c>
      <c r="AB2553" t="s">
        <v>22058</v>
      </c>
      <c r="AC2553">
        <v>100</v>
      </c>
      <c r="AD2553" t="s">
        <v>24595</v>
      </c>
      <c r="AE2553" t="s">
        <v>11459</v>
      </c>
      <c r="AF2553">
        <v>4</v>
      </c>
      <c r="AG2553">
        <v>1</v>
      </c>
      <c r="AH2553">
        <v>1</v>
      </c>
      <c r="AI2553">
        <v>18.45</v>
      </c>
      <c r="AL2553" t="s">
        <v>5011</v>
      </c>
      <c r="AM2553">
        <v>3120</v>
      </c>
      <c r="AS2553">
        <v>5.6</v>
      </c>
      <c r="AT2553" t="s">
        <v>516</v>
      </c>
      <c r="AU2553" t="s">
        <v>25270</v>
      </c>
      <c r="AV2553" t="s">
        <v>25335</v>
      </c>
      <c r="AW2553" t="s">
        <v>11447</v>
      </c>
    </row>
    <row r="2554" spans="1:49">
      <c r="A2554" s="1">
        <f>HYPERLINK("https://lsnyc.legalserver.org/matter/dynamic-profile/view/1889556","19-1889556")</f>
        <v>0</v>
      </c>
      <c r="B2554" t="s">
        <v>169</v>
      </c>
      <c r="C2554" t="s">
        <v>424</v>
      </c>
      <c r="E2554" t="s">
        <v>2046</v>
      </c>
      <c r="F2554" t="s">
        <v>4299</v>
      </c>
      <c r="G2554" t="s">
        <v>8062</v>
      </c>
      <c r="H2554" t="s">
        <v>10604</v>
      </c>
      <c r="I2554" t="s">
        <v>11384</v>
      </c>
      <c r="J2554">
        <v>10305</v>
      </c>
      <c r="K2554" t="s">
        <v>11446</v>
      </c>
      <c r="L2554" t="s">
        <v>12312</v>
      </c>
      <c r="M2554" t="s">
        <v>14743</v>
      </c>
      <c r="N2554" t="s">
        <v>14781</v>
      </c>
      <c r="P2554" t="s">
        <v>14799</v>
      </c>
      <c r="Q2554" t="s">
        <v>11448</v>
      </c>
      <c r="S2554" t="s">
        <v>14827</v>
      </c>
      <c r="T2554" t="s">
        <v>14832</v>
      </c>
      <c r="U2554" t="s">
        <v>528</v>
      </c>
      <c r="V2554">
        <v>775</v>
      </c>
      <c r="W2554" t="s">
        <v>14862</v>
      </c>
      <c r="X2554" t="s">
        <v>14863</v>
      </c>
      <c r="Z2554" t="s">
        <v>17038</v>
      </c>
      <c r="AB2554" t="s">
        <v>22059</v>
      </c>
      <c r="AC2554">
        <v>2</v>
      </c>
      <c r="AD2554" t="s">
        <v>24607</v>
      </c>
      <c r="AF2554">
        <v>6</v>
      </c>
      <c r="AG2554">
        <v>1</v>
      </c>
      <c r="AH2554">
        <v>0</v>
      </c>
      <c r="AI2554">
        <v>120.96</v>
      </c>
      <c r="AL2554" t="s">
        <v>5011</v>
      </c>
      <c r="AM2554">
        <v>15108</v>
      </c>
      <c r="AO2554" t="s">
        <v>24931</v>
      </c>
      <c r="AP2554" t="s">
        <v>14755</v>
      </c>
      <c r="AS2554">
        <v>30.05</v>
      </c>
      <c r="AT2554" t="s">
        <v>472</v>
      </c>
      <c r="AU2554" t="s">
        <v>25295</v>
      </c>
      <c r="AV2554" t="s">
        <v>25335</v>
      </c>
      <c r="AW2554" t="s">
        <v>11447</v>
      </c>
    </row>
    <row r="2555" spans="1:49">
      <c r="A2555" s="1">
        <f>HYPERLINK("https://lsnyc.legalserver.org/matter/dynamic-profile/view/1908672","19-1908672")</f>
        <v>0</v>
      </c>
      <c r="B2555" t="s">
        <v>169</v>
      </c>
      <c r="C2555" t="s">
        <v>528</v>
      </c>
      <c r="E2555" t="s">
        <v>1057</v>
      </c>
      <c r="F2555" t="s">
        <v>4935</v>
      </c>
      <c r="G2555" t="s">
        <v>8063</v>
      </c>
      <c r="H2555" t="s">
        <v>10604</v>
      </c>
      <c r="I2555" t="s">
        <v>11384</v>
      </c>
      <c r="J2555">
        <v>10308</v>
      </c>
      <c r="K2555" t="s">
        <v>11446</v>
      </c>
      <c r="L2555" t="s">
        <v>12313</v>
      </c>
      <c r="M2555" t="s">
        <v>14744</v>
      </c>
      <c r="N2555" t="s">
        <v>14781</v>
      </c>
      <c r="P2555" t="s">
        <v>14799</v>
      </c>
      <c r="Q2555" t="s">
        <v>11448</v>
      </c>
      <c r="S2555" t="s">
        <v>14827</v>
      </c>
      <c r="T2555" t="s">
        <v>14832</v>
      </c>
      <c r="U2555" t="s">
        <v>508</v>
      </c>
      <c r="V2555">
        <v>800</v>
      </c>
      <c r="W2555" t="s">
        <v>14862</v>
      </c>
      <c r="X2555" t="s">
        <v>14863</v>
      </c>
      <c r="Z2555" t="s">
        <v>16374</v>
      </c>
      <c r="AB2555" t="s">
        <v>22060</v>
      </c>
      <c r="AC2555">
        <v>2</v>
      </c>
      <c r="AD2555" t="s">
        <v>24600</v>
      </c>
      <c r="AE2555" t="s">
        <v>11459</v>
      </c>
      <c r="AF2555">
        <v>6</v>
      </c>
      <c r="AG2555">
        <v>2</v>
      </c>
      <c r="AH2555">
        <v>0</v>
      </c>
      <c r="AI2555">
        <v>56.77</v>
      </c>
      <c r="AL2555" t="s">
        <v>5011</v>
      </c>
      <c r="AM2555">
        <v>9600</v>
      </c>
      <c r="AS2555">
        <v>27</v>
      </c>
      <c r="AT2555" t="s">
        <v>539</v>
      </c>
      <c r="AU2555" t="s">
        <v>25270</v>
      </c>
      <c r="AV2555" t="s">
        <v>25335</v>
      </c>
      <c r="AW2555" t="s">
        <v>11447</v>
      </c>
    </row>
    <row r="2556" spans="1:49">
      <c r="A2556" s="1">
        <f>HYPERLINK("https://lsnyc.legalserver.org/matter/dynamic-profile/view/1910535","19-1910535")</f>
        <v>0</v>
      </c>
      <c r="B2556" t="s">
        <v>164</v>
      </c>
      <c r="C2556" t="s">
        <v>604</v>
      </c>
      <c r="E2556" t="s">
        <v>1048</v>
      </c>
      <c r="F2556" t="s">
        <v>4350</v>
      </c>
      <c r="G2556" t="s">
        <v>8045</v>
      </c>
      <c r="H2556" t="s">
        <v>10465</v>
      </c>
      <c r="I2556" t="s">
        <v>11384</v>
      </c>
      <c r="J2556">
        <v>10306</v>
      </c>
      <c r="K2556" t="s">
        <v>11446</v>
      </c>
      <c r="L2556" t="s">
        <v>12314</v>
      </c>
      <c r="M2556" t="s">
        <v>14743</v>
      </c>
      <c r="N2556" t="s">
        <v>14781</v>
      </c>
      <c r="P2556" t="s">
        <v>14799</v>
      </c>
      <c r="Q2556" t="s">
        <v>11448</v>
      </c>
      <c r="S2556" t="s">
        <v>14828</v>
      </c>
      <c r="T2556" t="s">
        <v>14832</v>
      </c>
      <c r="U2556" t="s">
        <v>604</v>
      </c>
      <c r="V2556">
        <v>259.6</v>
      </c>
      <c r="W2556" t="s">
        <v>14862</v>
      </c>
      <c r="X2556" t="s">
        <v>14868</v>
      </c>
      <c r="Z2556" t="s">
        <v>16295</v>
      </c>
      <c r="AB2556" t="s">
        <v>22041</v>
      </c>
      <c r="AC2556">
        <v>506</v>
      </c>
      <c r="AD2556" t="s">
        <v>24597</v>
      </c>
      <c r="AE2556" t="s">
        <v>11459</v>
      </c>
      <c r="AF2556">
        <v>6</v>
      </c>
      <c r="AG2556">
        <v>2</v>
      </c>
      <c r="AH2556">
        <v>0</v>
      </c>
      <c r="AI2556">
        <v>62.59</v>
      </c>
      <c r="AL2556" t="s">
        <v>5011</v>
      </c>
      <c r="AM2556">
        <v>10584</v>
      </c>
      <c r="AS2556">
        <v>7.3</v>
      </c>
      <c r="AT2556" t="s">
        <v>592</v>
      </c>
      <c r="AU2556" t="s">
        <v>25270</v>
      </c>
      <c r="AV2556" t="s">
        <v>25335</v>
      </c>
      <c r="AW2556" t="s">
        <v>11447</v>
      </c>
    </row>
    <row r="2557" spans="1:49">
      <c r="A2557" s="1">
        <f>HYPERLINK("https://lsnyc.legalserver.org/matter/dynamic-profile/view/1912784","19-1912784")</f>
        <v>0</v>
      </c>
      <c r="B2557" t="s">
        <v>169</v>
      </c>
      <c r="C2557" t="s">
        <v>470</v>
      </c>
      <c r="E2557" t="s">
        <v>1057</v>
      </c>
      <c r="F2557" t="s">
        <v>4935</v>
      </c>
      <c r="G2557" t="s">
        <v>8063</v>
      </c>
      <c r="H2557" t="s">
        <v>10604</v>
      </c>
      <c r="I2557" t="s">
        <v>11384</v>
      </c>
      <c r="J2557">
        <v>10308</v>
      </c>
      <c r="K2557" t="s">
        <v>11448</v>
      </c>
      <c r="L2557" t="s">
        <v>12315</v>
      </c>
      <c r="M2557" t="s">
        <v>14743</v>
      </c>
      <c r="N2557" t="s">
        <v>14781</v>
      </c>
      <c r="P2557" t="s">
        <v>14799</v>
      </c>
      <c r="Q2557" t="s">
        <v>11448</v>
      </c>
      <c r="S2557" t="s">
        <v>14827</v>
      </c>
      <c r="T2557" t="s">
        <v>14832</v>
      </c>
      <c r="U2557" t="s">
        <v>460</v>
      </c>
      <c r="V2557">
        <v>800</v>
      </c>
      <c r="W2557" t="s">
        <v>14862</v>
      </c>
      <c r="X2557" t="s">
        <v>14863</v>
      </c>
      <c r="Z2557" t="s">
        <v>16374</v>
      </c>
      <c r="AB2557" t="s">
        <v>22060</v>
      </c>
      <c r="AC2557">
        <v>2</v>
      </c>
      <c r="AD2557" t="s">
        <v>24600</v>
      </c>
      <c r="AE2557" t="s">
        <v>11459</v>
      </c>
      <c r="AF2557">
        <v>6</v>
      </c>
      <c r="AG2557">
        <v>2</v>
      </c>
      <c r="AH2557">
        <v>2</v>
      </c>
      <c r="AI2557">
        <v>37.28</v>
      </c>
      <c r="AL2557" t="s">
        <v>5011</v>
      </c>
      <c r="AM2557">
        <v>9600</v>
      </c>
      <c r="AS2557">
        <v>10.9</v>
      </c>
      <c r="AT2557" t="s">
        <v>592</v>
      </c>
      <c r="AU2557" t="s">
        <v>169</v>
      </c>
      <c r="AW2557" t="s">
        <v>11447</v>
      </c>
    </row>
    <row r="2558" spans="1:49">
      <c r="A2558" s="1">
        <f>HYPERLINK("https://lsnyc.legalserver.org/matter/dynamic-profile/view/1911353","19-1911353")</f>
        <v>0</v>
      </c>
      <c r="B2558" t="s">
        <v>166</v>
      </c>
      <c r="C2558" t="s">
        <v>489</v>
      </c>
      <c r="E2558" t="s">
        <v>2375</v>
      </c>
      <c r="F2558" t="s">
        <v>4936</v>
      </c>
      <c r="G2558" t="s">
        <v>8064</v>
      </c>
      <c r="I2558" t="s">
        <v>11384</v>
      </c>
      <c r="J2558">
        <v>10305</v>
      </c>
      <c r="K2558" t="s">
        <v>11446</v>
      </c>
      <c r="L2558" t="s">
        <v>12316</v>
      </c>
      <c r="M2558" t="s">
        <v>14744</v>
      </c>
      <c r="N2558" t="s">
        <v>14781</v>
      </c>
      <c r="P2558" t="s">
        <v>14799</v>
      </c>
      <c r="Q2558" t="s">
        <v>11448</v>
      </c>
      <c r="S2558" t="s">
        <v>14828</v>
      </c>
      <c r="T2558" t="s">
        <v>14834</v>
      </c>
      <c r="U2558" t="s">
        <v>586</v>
      </c>
      <c r="V2558">
        <v>400</v>
      </c>
      <c r="W2558" t="s">
        <v>14862</v>
      </c>
      <c r="X2558" t="s">
        <v>14880</v>
      </c>
      <c r="Z2558" t="s">
        <v>17039</v>
      </c>
      <c r="AB2558" t="s">
        <v>22061</v>
      </c>
      <c r="AC2558">
        <v>422</v>
      </c>
      <c r="AD2558" t="s">
        <v>24597</v>
      </c>
      <c r="AE2558" t="s">
        <v>11459</v>
      </c>
      <c r="AF2558">
        <v>15</v>
      </c>
      <c r="AG2558">
        <v>1</v>
      </c>
      <c r="AH2558">
        <v>2</v>
      </c>
      <c r="AI2558">
        <v>18.89</v>
      </c>
      <c r="AL2558" t="s">
        <v>5011</v>
      </c>
      <c r="AM2558">
        <v>4030</v>
      </c>
      <c r="AS2558">
        <v>7.2</v>
      </c>
      <c r="AT2558" t="s">
        <v>654</v>
      </c>
      <c r="AU2558" t="s">
        <v>25271</v>
      </c>
      <c r="AW2558" t="s">
        <v>11447</v>
      </c>
    </row>
    <row r="2559" spans="1:49">
      <c r="A2559" s="1">
        <f>HYPERLINK("https://lsnyc.legalserver.org/matter/dynamic-profile/view/1912876","19-1912876")</f>
        <v>0</v>
      </c>
      <c r="B2559" t="s">
        <v>165</v>
      </c>
      <c r="C2559" t="s">
        <v>768</v>
      </c>
      <c r="E2559" t="s">
        <v>1176</v>
      </c>
      <c r="F2559" t="s">
        <v>4937</v>
      </c>
      <c r="G2559" t="s">
        <v>8065</v>
      </c>
      <c r="H2559" t="s">
        <v>11003</v>
      </c>
      <c r="I2559" t="s">
        <v>11384</v>
      </c>
      <c r="J2559">
        <v>10307</v>
      </c>
      <c r="K2559" t="s">
        <v>11446</v>
      </c>
      <c r="L2559" t="s">
        <v>12317</v>
      </c>
      <c r="M2559" t="s">
        <v>14743</v>
      </c>
      <c r="P2559" t="s">
        <v>14799</v>
      </c>
      <c r="Q2559" t="s">
        <v>11448</v>
      </c>
      <c r="S2559" t="s">
        <v>14827</v>
      </c>
      <c r="T2559" t="s">
        <v>14832</v>
      </c>
      <c r="U2559" t="s">
        <v>574</v>
      </c>
      <c r="V2559">
        <v>1500</v>
      </c>
      <c r="W2559" t="s">
        <v>14862</v>
      </c>
      <c r="X2559" t="s">
        <v>14873</v>
      </c>
      <c r="Z2559" t="s">
        <v>17040</v>
      </c>
      <c r="AB2559" t="s">
        <v>22062</v>
      </c>
      <c r="AC2559">
        <v>3</v>
      </c>
      <c r="AD2559" t="s">
        <v>24600</v>
      </c>
      <c r="AE2559" t="s">
        <v>11459</v>
      </c>
      <c r="AF2559">
        <v>8</v>
      </c>
      <c r="AG2559">
        <v>1</v>
      </c>
      <c r="AH2559">
        <v>0</v>
      </c>
      <c r="AI2559">
        <v>93.67</v>
      </c>
      <c r="AL2559" t="s">
        <v>5011</v>
      </c>
      <c r="AM2559">
        <v>11700</v>
      </c>
      <c r="AS2559">
        <v>4.2</v>
      </c>
      <c r="AT2559" t="s">
        <v>516</v>
      </c>
      <c r="AU2559" t="s">
        <v>25270</v>
      </c>
      <c r="AV2559" t="s">
        <v>25335</v>
      </c>
      <c r="AW2559" t="s">
        <v>11447</v>
      </c>
    </row>
    <row r="2560" spans="1:49">
      <c r="A2560" s="1">
        <f>HYPERLINK("https://lsnyc.legalserver.org/matter/dynamic-profile/view/1913868","19-1913868")</f>
        <v>0</v>
      </c>
      <c r="B2560" t="s">
        <v>151</v>
      </c>
      <c r="C2560" t="s">
        <v>533</v>
      </c>
      <c r="E2560" t="s">
        <v>1663</v>
      </c>
      <c r="F2560" t="s">
        <v>4938</v>
      </c>
      <c r="G2560" t="s">
        <v>8066</v>
      </c>
      <c r="H2560" t="s">
        <v>10699</v>
      </c>
      <c r="I2560" t="s">
        <v>11385</v>
      </c>
      <c r="J2560">
        <v>11224</v>
      </c>
      <c r="K2560" t="s">
        <v>11446</v>
      </c>
      <c r="L2560" t="s">
        <v>12318</v>
      </c>
      <c r="M2560" t="s">
        <v>14750</v>
      </c>
      <c r="N2560" t="s">
        <v>14783</v>
      </c>
      <c r="P2560" t="s">
        <v>14799</v>
      </c>
      <c r="Q2560" t="s">
        <v>11448</v>
      </c>
      <c r="S2560" t="s">
        <v>14828</v>
      </c>
      <c r="U2560" t="s">
        <v>533</v>
      </c>
      <c r="V2560">
        <v>409</v>
      </c>
      <c r="W2560" t="s">
        <v>14859</v>
      </c>
      <c r="Z2560" t="s">
        <v>17041</v>
      </c>
      <c r="AB2560" t="s">
        <v>22063</v>
      </c>
      <c r="AC2560">
        <v>0</v>
      </c>
      <c r="AD2560" t="s">
        <v>24597</v>
      </c>
      <c r="AF2560">
        <v>41</v>
      </c>
      <c r="AG2560">
        <v>2</v>
      </c>
      <c r="AH2560">
        <v>0</v>
      </c>
      <c r="AI2560">
        <v>61.88</v>
      </c>
      <c r="AL2560" t="s">
        <v>5011</v>
      </c>
      <c r="AM2560">
        <v>10464</v>
      </c>
      <c r="AS2560">
        <v>0.5</v>
      </c>
      <c r="AT2560" t="s">
        <v>478</v>
      </c>
      <c r="AU2560" t="s">
        <v>221</v>
      </c>
      <c r="AV2560" t="s">
        <v>25335</v>
      </c>
      <c r="AW2560" t="s">
        <v>11447</v>
      </c>
    </row>
    <row r="2561" spans="1:49">
      <c r="A2561" s="1">
        <f>HYPERLINK("https://lsnyc.legalserver.org/matter/dynamic-profile/view/1913841","19-1913841")</f>
        <v>0</v>
      </c>
      <c r="B2561" t="s">
        <v>232</v>
      </c>
      <c r="C2561" t="s">
        <v>533</v>
      </c>
      <c r="E2561" t="s">
        <v>1181</v>
      </c>
      <c r="F2561" t="s">
        <v>4939</v>
      </c>
      <c r="G2561" t="s">
        <v>8067</v>
      </c>
      <c r="H2561">
        <v>62</v>
      </c>
      <c r="I2561" t="s">
        <v>11386</v>
      </c>
      <c r="J2561">
        <v>10040</v>
      </c>
      <c r="K2561" t="s">
        <v>11446</v>
      </c>
      <c r="L2561" t="s">
        <v>12319</v>
      </c>
      <c r="M2561" t="s">
        <v>14762</v>
      </c>
      <c r="N2561" t="s">
        <v>14778</v>
      </c>
      <c r="P2561" t="s">
        <v>14799</v>
      </c>
      <c r="Q2561" t="s">
        <v>11448</v>
      </c>
      <c r="S2561" t="s">
        <v>14828</v>
      </c>
      <c r="U2561" t="s">
        <v>533</v>
      </c>
      <c r="V2561">
        <v>173</v>
      </c>
      <c r="W2561" t="s">
        <v>14860</v>
      </c>
      <c r="X2561" t="s">
        <v>14755</v>
      </c>
      <c r="Z2561" t="s">
        <v>16272</v>
      </c>
      <c r="AB2561" t="s">
        <v>22064</v>
      </c>
      <c r="AC2561">
        <v>0</v>
      </c>
      <c r="AD2561" t="s">
        <v>24597</v>
      </c>
      <c r="AE2561" t="s">
        <v>24610</v>
      </c>
      <c r="AF2561">
        <v>10</v>
      </c>
      <c r="AG2561">
        <v>1</v>
      </c>
      <c r="AH2561">
        <v>0</v>
      </c>
      <c r="AI2561">
        <v>80.8</v>
      </c>
      <c r="AL2561" t="s">
        <v>5011</v>
      </c>
      <c r="AM2561">
        <v>10092</v>
      </c>
      <c r="AS2561">
        <v>0.7</v>
      </c>
      <c r="AT2561" t="s">
        <v>509</v>
      </c>
      <c r="AU2561" t="s">
        <v>25270</v>
      </c>
      <c r="AV2561" t="s">
        <v>25335</v>
      </c>
      <c r="AW2561" t="s">
        <v>11447</v>
      </c>
    </row>
    <row r="2562" spans="1:49">
      <c r="A2562" s="1">
        <f>HYPERLINK("https://lsnyc.legalserver.org/matter/dynamic-profile/view/1913811","19-1913811")</f>
        <v>0</v>
      </c>
      <c r="B2562" t="s">
        <v>151</v>
      </c>
      <c r="C2562" t="s">
        <v>533</v>
      </c>
      <c r="E2562" t="s">
        <v>1256</v>
      </c>
      <c r="F2562" t="s">
        <v>4103</v>
      </c>
      <c r="G2562" t="s">
        <v>8068</v>
      </c>
      <c r="H2562" t="s">
        <v>10783</v>
      </c>
      <c r="I2562" t="s">
        <v>11385</v>
      </c>
      <c r="J2562">
        <v>11213</v>
      </c>
      <c r="K2562" t="s">
        <v>11446</v>
      </c>
      <c r="L2562" t="s">
        <v>12320</v>
      </c>
      <c r="M2562" t="s">
        <v>14750</v>
      </c>
      <c r="N2562" t="s">
        <v>14781</v>
      </c>
      <c r="P2562" t="s">
        <v>14799</v>
      </c>
      <c r="Q2562" t="s">
        <v>11448</v>
      </c>
      <c r="S2562" t="s">
        <v>14828</v>
      </c>
      <c r="U2562" t="s">
        <v>533</v>
      </c>
      <c r="V2562">
        <v>258</v>
      </c>
      <c r="W2562" t="s">
        <v>14859</v>
      </c>
      <c r="X2562" t="s">
        <v>14755</v>
      </c>
      <c r="Z2562" t="s">
        <v>17042</v>
      </c>
      <c r="AB2562" t="s">
        <v>22065</v>
      </c>
      <c r="AC2562">
        <v>0</v>
      </c>
      <c r="AD2562" t="s">
        <v>24597</v>
      </c>
      <c r="AE2562" t="s">
        <v>11459</v>
      </c>
      <c r="AF2562">
        <v>40</v>
      </c>
      <c r="AG2562">
        <v>2</v>
      </c>
      <c r="AH2562">
        <v>0</v>
      </c>
      <c r="AI2562">
        <v>109.43</v>
      </c>
      <c r="AL2562" t="s">
        <v>5011</v>
      </c>
      <c r="AM2562">
        <v>18504</v>
      </c>
      <c r="AS2562">
        <v>0.3</v>
      </c>
      <c r="AT2562" t="s">
        <v>490</v>
      </c>
      <c r="AU2562" t="s">
        <v>25270</v>
      </c>
      <c r="AV2562" t="s">
        <v>25335</v>
      </c>
      <c r="AW2562" t="s">
        <v>11447</v>
      </c>
    </row>
    <row r="2563" spans="1:49">
      <c r="A2563" s="1">
        <f>HYPERLINK("https://lsnyc.legalserver.org/matter/dynamic-profile/view/1913855","19-1913855")</f>
        <v>0</v>
      </c>
      <c r="B2563" t="s">
        <v>262</v>
      </c>
      <c r="C2563" t="s">
        <v>533</v>
      </c>
      <c r="E2563" t="s">
        <v>1066</v>
      </c>
      <c r="F2563" t="s">
        <v>4284</v>
      </c>
      <c r="G2563" t="s">
        <v>8069</v>
      </c>
      <c r="H2563" t="s">
        <v>10849</v>
      </c>
      <c r="I2563" t="s">
        <v>11385</v>
      </c>
      <c r="J2563">
        <v>11205</v>
      </c>
      <c r="K2563" t="s">
        <v>11446</v>
      </c>
      <c r="L2563" t="s">
        <v>12321</v>
      </c>
      <c r="M2563" t="s">
        <v>14750</v>
      </c>
      <c r="N2563" t="s">
        <v>14783</v>
      </c>
      <c r="P2563" t="s">
        <v>14799</v>
      </c>
      <c r="Q2563" t="s">
        <v>11448</v>
      </c>
      <c r="R2563" t="s">
        <v>14804</v>
      </c>
      <c r="S2563" t="s">
        <v>14828</v>
      </c>
      <c r="U2563" t="s">
        <v>533</v>
      </c>
      <c r="V2563">
        <v>92</v>
      </c>
      <c r="W2563" t="s">
        <v>14859</v>
      </c>
      <c r="X2563" t="s">
        <v>14755</v>
      </c>
      <c r="Z2563" t="s">
        <v>17043</v>
      </c>
      <c r="AB2563" t="s">
        <v>22066</v>
      </c>
      <c r="AC2563">
        <v>0</v>
      </c>
      <c r="AD2563" t="s">
        <v>24597</v>
      </c>
      <c r="AE2563" t="s">
        <v>11459</v>
      </c>
      <c r="AF2563">
        <v>89</v>
      </c>
      <c r="AG2563">
        <v>1</v>
      </c>
      <c r="AH2563">
        <v>0</v>
      </c>
      <c r="AI2563">
        <v>115.29</v>
      </c>
      <c r="AL2563" t="s">
        <v>5011</v>
      </c>
      <c r="AM2563">
        <v>14400</v>
      </c>
      <c r="AS2563">
        <v>1.5</v>
      </c>
      <c r="AT2563" t="s">
        <v>478</v>
      </c>
      <c r="AU2563" t="s">
        <v>25270</v>
      </c>
      <c r="AV2563" t="s">
        <v>25335</v>
      </c>
      <c r="AW2563" t="s">
        <v>11447</v>
      </c>
    </row>
    <row r="2564" spans="1:49">
      <c r="A2564" s="1">
        <f>HYPERLINK("https://lsnyc.legalserver.org/matter/dynamic-profile/view/1912607","19-1912607")</f>
        <v>0</v>
      </c>
      <c r="B2564" t="s">
        <v>165</v>
      </c>
      <c r="C2564" t="s">
        <v>490</v>
      </c>
      <c r="E2564" t="s">
        <v>1119</v>
      </c>
      <c r="F2564" t="s">
        <v>4940</v>
      </c>
      <c r="G2564" t="s">
        <v>8070</v>
      </c>
      <c r="H2564" t="s">
        <v>10748</v>
      </c>
      <c r="I2564" t="s">
        <v>11384</v>
      </c>
      <c r="J2564">
        <v>10305</v>
      </c>
      <c r="K2564" t="s">
        <v>11446</v>
      </c>
      <c r="L2564" t="s">
        <v>12322</v>
      </c>
      <c r="M2564" t="s">
        <v>14743</v>
      </c>
      <c r="P2564" t="s">
        <v>14799</v>
      </c>
      <c r="Q2564" t="s">
        <v>11448</v>
      </c>
      <c r="S2564" t="s">
        <v>14828</v>
      </c>
      <c r="U2564" t="s">
        <v>490</v>
      </c>
      <c r="V2564">
        <v>1200</v>
      </c>
      <c r="W2564" t="s">
        <v>14862</v>
      </c>
      <c r="X2564" t="s">
        <v>14868</v>
      </c>
      <c r="Z2564" t="s">
        <v>17044</v>
      </c>
      <c r="AB2564" t="s">
        <v>22067</v>
      </c>
      <c r="AC2564">
        <v>42</v>
      </c>
      <c r="AD2564" t="s">
        <v>24595</v>
      </c>
      <c r="AE2564" t="s">
        <v>24616</v>
      </c>
      <c r="AF2564">
        <v>5</v>
      </c>
      <c r="AG2564">
        <v>1</v>
      </c>
      <c r="AH2564">
        <v>0</v>
      </c>
      <c r="AI2564">
        <v>0</v>
      </c>
      <c r="AL2564" t="s">
        <v>5011</v>
      </c>
      <c r="AM2564">
        <v>0</v>
      </c>
      <c r="AS2564">
        <v>2.4</v>
      </c>
      <c r="AT2564" t="s">
        <v>506</v>
      </c>
      <c r="AU2564" t="s">
        <v>25283</v>
      </c>
      <c r="AV2564" t="s">
        <v>25335</v>
      </c>
      <c r="AW2564" t="s">
        <v>11447</v>
      </c>
    </row>
    <row r="2565" spans="1:49">
      <c r="A2565" s="1">
        <f>HYPERLINK("https://lsnyc.legalserver.org/matter/dynamic-profile/view/1914417","19-1914417")</f>
        <v>0</v>
      </c>
      <c r="B2565" t="s">
        <v>87</v>
      </c>
      <c r="C2565" t="s">
        <v>537</v>
      </c>
      <c r="E2565" t="s">
        <v>2376</v>
      </c>
      <c r="F2565" t="s">
        <v>3804</v>
      </c>
      <c r="G2565" t="s">
        <v>8061</v>
      </c>
      <c r="H2565" t="s">
        <v>10819</v>
      </c>
      <c r="I2565" t="s">
        <v>11384</v>
      </c>
      <c r="J2565">
        <v>10306</v>
      </c>
      <c r="K2565" t="s">
        <v>11447</v>
      </c>
      <c r="L2565" t="s">
        <v>12323</v>
      </c>
      <c r="M2565" t="s">
        <v>14743</v>
      </c>
      <c r="N2565" t="s">
        <v>14781</v>
      </c>
      <c r="P2565" t="s">
        <v>14799</v>
      </c>
      <c r="Q2565" t="s">
        <v>11448</v>
      </c>
      <c r="S2565" t="s">
        <v>14827</v>
      </c>
      <c r="U2565" t="s">
        <v>14854</v>
      </c>
      <c r="V2565">
        <v>0</v>
      </c>
      <c r="W2565" t="s">
        <v>14862</v>
      </c>
      <c r="Z2565" t="s">
        <v>17045</v>
      </c>
      <c r="AB2565" t="s">
        <v>22068</v>
      </c>
      <c r="AC2565">
        <v>0</v>
      </c>
      <c r="AF2565">
        <v>0</v>
      </c>
      <c r="AG2565">
        <v>2</v>
      </c>
      <c r="AH2565">
        <v>1</v>
      </c>
      <c r="AI2565">
        <v>195.03</v>
      </c>
      <c r="AL2565" t="s">
        <v>5011</v>
      </c>
      <c r="AM2565">
        <v>41600</v>
      </c>
      <c r="AS2565">
        <v>0.2</v>
      </c>
      <c r="AT2565" t="s">
        <v>654</v>
      </c>
      <c r="AU2565" t="s">
        <v>25295</v>
      </c>
      <c r="AW2565" t="s">
        <v>11447</v>
      </c>
    </row>
    <row r="2566" spans="1:49">
      <c r="A2566" s="1">
        <f>HYPERLINK("https://lsnyc.legalserver.org/matter/dynamic-profile/view/1912003","19-1912003")</f>
        <v>0</v>
      </c>
      <c r="B2566" t="s">
        <v>169</v>
      </c>
      <c r="C2566" t="s">
        <v>586</v>
      </c>
      <c r="E2566" t="s">
        <v>1598</v>
      </c>
      <c r="F2566" t="s">
        <v>4941</v>
      </c>
      <c r="G2566" t="s">
        <v>8071</v>
      </c>
      <c r="H2566" t="s">
        <v>10568</v>
      </c>
      <c r="I2566" t="s">
        <v>11384</v>
      </c>
      <c r="J2566">
        <v>10314</v>
      </c>
      <c r="K2566" t="s">
        <v>11447</v>
      </c>
      <c r="L2566" t="s">
        <v>12324</v>
      </c>
      <c r="M2566" t="s">
        <v>14744</v>
      </c>
      <c r="P2566" t="s">
        <v>14799</v>
      </c>
      <c r="Q2566" t="s">
        <v>11448</v>
      </c>
      <c r="S2566" t="s">
        <v>14828</v>
      </c>
      <c r="T2566" t="s">
        <v>14832</v>
      </c>
      <c r="V2566">
        <v>231</v>
      </c>
      <c r="W2566" t="s">
        <v>14862</v>
      </c>
      <c r="X2566" t="s">
        <v>14868</v>
      </c>
      <c r="Z2566" t="s">
        <v>17046</v>
      </c>
      <c r="AB2566" t="s">
        <v>22069</v>
      </c>
      <c r="AC2566">
        <v>504</v>
      </c>
      <c r="AD2566" t="s">
        <v>24596</v>
      </c>
      <c r="AE2566" t="s">
        <v>24610</v>
      </c>
      <c r="AF2566">
        <v>6</v>
      </c>
      <c r="AG2566">
        <v>1</v>
      </c>
      <c r="AH2566">
        <v>0</v>
      </c>
      <c r="AI2566">
        <v>0</v>
      </c>
      <c r="AL2566" t="s">
        <v>5011</v>
      </c>
      <c r="AM2566">
        <v>0</v>
      </c>
      <c r="AS2566">
        <v>7.7</v>
      </c>
      <c r="AT2566" t="s">
        <v>537</v>
      </c>
      <c r="AU2566" t="s">
        <v>25270</v>
      </c>
      <c r="AW2566" t="s">
        <v>11447</v>
      </c>
    </row>
    <row r="2567" spans="1:49">
      <c r="A2567" s="1">
        <f>HYPERLINK("https://lsnyc.legalserver.org/matter/dynamic-profile/view/1912713","19-1912713")</f>
        <v>0</v>
      </c>
      <c r="B2567" t="s">
        <v>169</v>
      </c>
      <c r="C2567" t="s">
        <v>483</v>
      </c>
      <c r="E2567" t="s">
        <v>1025</v>
      </c>
      <c r="F2567" t="s">
        <v>1983</v>
      </c>
      <c r="G2567" t="s">
        <v>8072</v>
      </c>
      <c r="H2567" t="s">
        <v>10486</v>
      </c>
      <c r="I2567" t="s">
        <v>11384</v>
      </c>
      <c r="J2567">
        <v>10305</v>
      </c>
      <c r="K2567" t="s">
        <v>11447</v>
      </c>
      <c r="L2567" t="s">
        <v>12325</v>
      </c>
      <c r="M2567" t="s">
        <v>14744</v>
      </c>
      <c r="P2567" t="s">
        <v>14799</v>
      </c>
      <c r="Q2567" t="s">
        <v>11448</v>
      </c>
      <c r="S2567" t="s">
        <v>14827</v>
      </c>
      <c r="T2567" t="s">
        <v>14832</v>
      </c>
      <c r="V2567">
        <v>1550</v>
      </c>
      <c r="W2567" t="s">
        <v>14862</v>
      </c>
      <c r="X2567" t="s">
        <v>14863</v>
      </c>
      <c r="Z2567" t="s">
        <v>15744</v>
      </c>
      <c r="AB2567" t="s">
        <v>22070</v>
      </c>
      <c r="AC2567">
        <v>2</v>
      </c>
      <c r="AD2567" t="s">
        <v>24600</v>
      </c>
      <c r="AE2567" t="s">
        <v>11459</v>
      </c>
      <c r="AF2567">
        <v>-1</v>
      </c>
      <c r="AG2567">
        <v>2</v>
      </c>
      <c r="AH2567">
        <v>0</v>
      </c>
      <c r="AI2567">
        <v>0</v>
      </c>
      <c r="AL2567" t="s">
        <v>5011</v>
      </c>
      <c r="AM2567">
        <v>0</v>
      </c>
      <c r="AS2567">
        <v>9.4</v>
      </c>
      <c r="AT2567" t="s">
        <v>537</v>
      </c>
      <c r="AU2567" t="s">
        <v>25270</v>
      </c>
      <c r="AW2567" t="s">
        <v>11447</v>
      </c>
    </row>
    <row r="2568" spans="1:49">
      <c r="A2568" s="1">
        <f>HYPERLINK("https://lsnyc.legalserver.org/matter/dynamic-profile/view/1893280","19-1893280")</f>
        <v>0</v>
      </c>
      <c r="B2568" t="s">
        <v>117</v>
      </c>
      <c r="C2568" t="s">
        <v>550</v>
      </c>
      <c r="E2568" t="s">
        <v>2377</v>
      </c>
      <c r="F2568" t="s">
        <v>3730</v>
      </c>
      <c r="G2568" t="s">
        <v>8073</v>
      </c>
      <c r="H2568" t="s">
        <v>10717</v>
      </c>
      <c r="I2568" t="s">
        <v>11384</v>
      </c>
      <c r="J2568">
        <v>10304</v>
      </c>
      <c r="K2568" t="s">
        <v>11446</v>
      </c>
      <c r="L2568" t="s">
        <v>12326</v>
      </c>
      <c r="M2568" t="s">
        <v>14744</v>
      </c>
      <c r="N2568" t="s">
        <v>14781</v>
      </c>
      <c r="P2568" t="s">
        <v>14799</v>
      </c>
      <c r="Q2568" t="s">
        <v>11448</v>
      </c>
      <c r="S2568" t="s">
        <v>14828</v>
      </c>
      <c r="T2568" t="s">
        <v>14832</v>
      </c>
      <c r="V2568">
        <v>1090</v>
      </c>
      <c r="W2568" t="s">
        <v>14862</v>
      </c>
      <c r="X2568" t="s">
        <v>14868</v>
      </c>
      <c r="Z2568" t="s">
        <v>17047</v>
      </c>
      <c r="AB2568" t="s">
        <v>22071</v>
      </c>
      <c r="AC2568">
        <v>0</v>
      </c>
      <c r="AD2568" t="s">
        <v>24597</v>
      </c>
      <c r="AE2568" t="s">
        <v>14755</v>
      </c>
      <c r="AF2568">
        <v>18</v>
      </c>
      <c r="AG2568">
        <v>2</v>
      </c>
      <c r="AH2568">
        <v>2</v>
      </c>
      <c r="AI2568">
        <v>0</v>
      </c>
      <c r="AL2568" t="s">
        <v>5011</v>
      </c>
      <c r="AM2568">
        <v>0</v>
      </c>
      <c r="AS2568">
        <v>22.8</v>
      </c>
      <c r="AT2568" t="s">
        <v>495</v>
      </c>
      <c r="AU2568" t="s">
        <v>25271</v>
      </c>
      <c r="AV2568" t="s">
        <v>25335</v>
      </c>
      <c r="AW2568" t="s">
        <v>11447</v>
      </c>
    </row>
    <row r="2569" spans="1:49">
      <c r="A2569" s="1">
        <f>HYPERLINK("https://lsnyc.legalserver.org/matter/dynamic-profile/view/1891265","19-1891265")</f>
        <v>0</v>
      </c>
      <c r="B2569" t="s">
        <v>148</v>
      </c>
      <c r="C2569" t="s">
        <v>769</v>
      </c>
      <c r="E2569" t="s">
        <v>1727</v>
      </c>
      <c r="F2569" t="s">
        <v>4915</v>
      </c>
      <c r="G2569" t="s">
        <v>8074</v>
      </c>
      <c r="H2569" t="s">
        <v>10589</v>
      </c>
      <c r="I2569" t="s">
        <v>11384</v>
      </c>
      <c r="J2569">
        <v>10303</v>
      </c>
      <c r="K2569" t="s">
        <v>11446</v>
      </c>
      <c r="L2569" t="s">
        <v>12327</v>
      </c>
      <c r="M2569" t="s">
        <v>14750</v>
      </c>
      <c r="P2569" t="s">
        <v>14799</v>
      </c>
      <c r="Q2569" t="s">
        <v>11448</v>
      </c>
      <c r="S2569" t="s">
        <v>14828</v>
      </c>
      <c r="T2569" t="s">
        <v>14832</v>
      </c>
      <c r="V2569">
        <v>169</v>
      </c>
      <c r="W2569" t="s">
        <v>14862</v>
      </c>
      <c r="X2569" t="s">
        <v>14868</v>
      </c>
      <c r="Z2569" t="s">
        <v>15716</v>
      </c>
      <c r="AC2569">
        <v>0</v>
      </c>
      <c r="AD2569" t="s">
        <v>24597</v>
      </c>
      <c r="AE2569" t="s">
        <v>24610</v>
      </c>
      <c r="AF2569">
        <v>3</v>
      </c>
      <c r="AG2569">
        <v>1</v>
      </c>
      <c r="AH2569">
        <v>2</v>
      </c>
      <c r="AI2569">
        <v>16.88</v>
      </c>
      <c r="AL2569" t="s">
        <v>24632</v>
      </c>
      <c r="AM2569">
        <v>3600</v>
      </c>
      <c r="AS2569">
        <v>5</v>
      </c>
      <c r="AT2569" t="s">
        <v>553</v>
      </c>
      <c r="AU2569" t="s">
        <v>25265</v>
      </c>
      <c r="AW2569" t="s">
        <v>11446</v>
      </c>
    </row>
    <row r="2570" spans="1:49">
      <c r="A2570" s="1">
        <f>HYPERLINK("https://lsnyc.legalserver.org/matter/dynamic-profile/view/1913555","19-1913555")</f>
        <v>0</v>
      </c>
      <c r="B2570" t="s">
        <v>165</v>
      </c>
      <c r="C2570" t="s">
        <v>592</v>
      </c>
      <c r="E2570" t="s">
        <v>1653</v>
      </c>
      <c r="F2570" t="s">
        <v>4942</v>
      </c>
      <c r="G2570" t="s">
        <v>8075</v>
      </c>
      <c r="H2570" t="s">
        <v>10604</v>
      </c>
      <c r="I2570" t="s">
        <v>11384</v>
      </c>
      <c r="J2570">
        <v>10304</v>
      </c>
      <c r="K2570" t="s">
        <v>11447</v>
      </c>
      <c r="L2570" t="s">
        <v>12328</v>
      </c>
      <c r="M2570" t="s">
        <v>14743</v>
      </c>
      <c r="P2570" t="s">
        <v>14799</v>
      </c>
      <c r="Q2570" t="s">
        <v>11448</v>
      </c>
      <c r="S2570" t="s">
        <v>14827</v>
      </c>
      <c r="V2570">
        <v>0</v>
      </c>
      <c r="W2570" t="s">
        <v>14862</v>
      </c>
      <c r="Z2570" t="s">
        <v>17048</v>
      </c>
      <c r="AB2570" t="s">
        <v>22072</v>
      </c>
      <c r="AC2570">
        <v>2</v>
      </c>
      <c r="AD2570" t="s">
        <v>24600</v>
      </c>
      <c r="AE2570" t="s">
        <v>24616</v>
      </c>
      <c r="AF2570">
        <v>1</v>
      </c>
      <c r="AG2570">
        <v>1</v>
      </c>
      <c r="AH2570">
        <v>7</v>
      </c>
      <c r="AI2570">
        <v>17.74</v>
      </c>
      <c r="AL2570" t="s">
        <v>5011</v>
      </c>
      <c r="AM2570">
        <v>7704</v>
      </c>
      <c r="AS2570">
        <v>7.8</v>
      </c>
      <c r="AT2570" t="s">
        <v>509</v>
      </c>
      <c r="AU2570" t="s">
        <v>25271</v>
      </c>
      <c r="AW2570" t="s">
        <v>11447</v>
      </c>
    </row>
    <row r="2571" spans="1:49">
      <c r="A2571" s="1">
        <f>HYPERLINK("https://lsnyc.legalserver.org/matter/dynamic-profile/view/1911541","19-1911541")</f>
        <v>0</v>
      </c>
      <c r="B2571" t="s">
        <v>169</v>
      </c>
      <c r="C2571" t="s">
        <v>489</v>
      </c>
      <c r="E2571" t="s">
        <v>2378</v>
      </c>
      <c r="F2571" t="s">
        <v>2754</v>
      </c>
      <c r="G2571" t="s">
        <v>8076</v>
      </c>
      <c r="H2571" t="s">
        <v>10524</v>
      </c>
      <c r="I2571" t="s">
        <v>11384</v>
      </c>
      <c r="J2571">
        <v>10304</v>
      </c>
      <c r="K2571" t="s">
        <v>11448</v>
      </c>
      <c r="L2571" t="s">
        <v>12329</v>
      </c>
      <c r="M2571" t="s">
        <v>14744</v>
      </c>
      <c r="N2571" t="s">
        <v>14781</v>
      </c>
      <c r="P2571" t="s">
        <v>14799</v>
      </c>
      <c r="Q2571" t="s">
        <v>11448</v>
      </c>
      <c r="S2571" t="s">
        <v>14828</v>
      </c>
      <c r="T2571" t="s">
        <v>14832</v>
      </c>
      <c r="V2571">
        <v>207</v>
      </c>
      <c r="W2571" t="s">
        <v>14862</v>
      </c>
      <c r="X2571" t="s">
        <v>14863</v>
      </c>
      <c r="Z2571" t="s">
        <v>17049</v>
      </c>
      <c r="AB2571" t="s">
        <v>22073</v>
      </c>
      <c r="AC2571">
        <v>0</v>
      </c>
      <c r="AF2571">
        <v>5</v>
      </c>
      <c r="AG2571">
        <v>3</v>
      </c>
      <c r="AH2571">
        <v>2</v>
      </c>
      <c r="AI2571">
        <v>20.68</v>
      </c>
      <c r="AL2571" t="s">
        <v>5011</v>
      </c>
      <c r="AM2571">
        <v>6240</v>
      </c>
      <c r="AS2571">
        <v>5.7</v>
      </c>
      <c r="AT2571" t="s">
        <v>516</v>
      </c>
      <c r="AU2571" t="s">
        <v>221</v>
      </c>
      <c r="AW2571" t="s">
        <v>11447</v>
      </c>
    </row>
    <row r="2572" spans="1:49">
      <c r="A2572" s="1">
        <f>HYPERLINK("https://lsnyc.legalserver.org/matter/dynamic-profile/view/1912995","19-1912995")</f>
        <v>0</v>
      </c>
      <c r="B2572" t="s">
        <v>165</v>
      </c>
      <c r="C2572" t="s">
        <v>768</v>
      </c>
      <c r="E2572" t="s">
        <v>1801</v>
      </c>
      <c r="F2572" t="s">
        <v>2515</v>
      </c>
      <c r="G2572" t="s">
        <v>8077</v>
      </c>
      <c r="H2572" t="s">
        <v>10589</v>
      </c>
      <c r="I2572" t="s">
        <v>11384</v>
      </c>
      <c r="J2572">
        <v>10303</v>
      </c>
      <c r="K2572" t="s">
        <v>11447</v>
      </c>
      <c r="P2572" t="s">
        <v>14799</v>
      </c>
      <c r="S2572" t="s">
        <v>14828</v>
      </c>
      <c r="V2572">
        <v>0</v>
      </c>
      <c r="W2572" t="s">
        <v>14862</v>
      </c>
      <c r="Z2572" t="s">
        <v>17050</v>
      </c>
      <c r="AB2572" t="s">
        <v>22074</v>
      </c>
      <c r="AC2572">
        <v>0</v>
      </c>
      <c r="AF2572">
        <v>0</v>
      </c>
      <c r="AG2572">
        <v>4</v>
      </c>
      <c r="AH2572">
        <v>1</v>
      </c>
      <c r="AI2572">
        <v>30.63</v>
      </c>
      <c r="AL2572" t="s">
        <v>24632</v>
      </c>
      <c r="AM2572">
        <v>9240</v>
      </c>
      <c r="AS2572">
        <v>2.5</v>
      </c>
      <c r="AT2572" t="s">
        <v>516</v>
      </c>
      <c r="AU2572" t="s">
        <v>165</v>
      </c>
      <c r="AW2572" t="s">
        <v>11447</v>
      </c>
    </row>
    <row r="2573" spans="1:49">
      <c r="A2573" s="1">
        <f>HYPERLINK("https://lsnyc.legalserver.org/matter/dynamic-profile/view/1887812","19-1887812")</f>
        <v>0</v>
      </c>
      <c r="B2573" t="s">
        <v>165</v>
      </c>
      <c r="C2573" t="s">
        <v>334</v>
      </c>
      <c r="E2573" t="s">
        <v>1135</v>
      </c>
      <c r="F2573" t="s">
        <v>3727</v>
      </c>
      <c r="G2573" t="s">
        <v>8078</v>
      </c>
      <c r="H2573" t="s">
        <v>10520</v>
      </c>
      <c r="I2573" t="s">
        <v>11384</v>
      </c>
      <c r="J2573">
        <v>10310</v>
      </c>
      <c r="K2573" t="s">
        <v>11447</v>
      </c>
      <c r="P2573" t="s">
        <v>14799</v>
      </c>
      <c r="S2573" t="s">
        <v>14828</v>
      </c>
      <c r="V2573">
        <v>0</v>
      </c>
      <c r="W2573" t="s">
        <v>14862</v>
      </c>
      <c r="Z2573" t="s">
        <v>17051</v>
      </c>
      <c r="AB2573" t="s">
        <v>22075</v>
      </c>
      <c r="AC2573">
        <v>0</v>
      </c>
      <c r="AF2573">
        <v>0</v>
      </c>
      <c r="AG2573">
        <v>1</v>
      </c>
      <c r="AH2573">
        <v>2</v>
      </c>
      <c r="AI2573">
        <v>50.59</v>
      </c>
      <c r="AL2573" t="s">
        <v>5011</v>
      </c>
      <c r="AM2573">
        <v>10512</v>
      </c>
      <c r="AS2573">
        <v>19.9</v>
      </c>
      <c r="AT2573" t="s">
        <v>378</v>
      </c>
      <c r="AU2573" t="s">
        <v>25271</v>
      </c>
      <c r="AW2573" t="s">
        <v>11447</v>
      </c>
    </row>
    <row r="2574" spans="1:49">
      <c r="A2574" s="1">
        <f>HYPERLINK("https://lsnyc.legalserver.org/matter/dynamic-profile/view/1914459","19-1914459")</f>
        <v>0</v>
      </c>
      <c r="B2574" t="s">
        <v>169</v>
      </c>
      <c r="C2574" t="s">
        <v>478</v>
      </c>
      <c r="E2574" t="s">
        <v>1615</v>
      </c>
      <c r="F2574" t="s">
        <v>4110</v>
      </c>
      <c r="G2574" t="s">
        <v>7038</v>
      </c>
      <c r="H2574" t="s">
        <v>10494</v>
      </c>
      <c r="I2574" t="s">
        <v>11384</v>
      </c>
      <c r="J2574">
        <v>10306</v>
      </c>
      <c r="K2574" t="s">
        <v>11447</v>
      </c>
      <c r="M2574" t="s">
        <v>14743</v>
      </c>
      <c r="P2574" t="s">
        <v>14799</v>
      </c>
      <c r="Q2574" t="s">
        <v>11448</v>
      </c>
      <c r="S2574" t="s">
        <v>14827</v>
      </c>
      <c r="T2574" t="s">
        <v>14832</v>
      </c>
      <c r="V2574">
        <v>1820</v>
      </c>
      <c r="W2574" t="s">
        <v>14862</v>
      </c>
      <c r="X2574" t="s">
        <v>14868</v>
      </c>
      <c r="Z2574" t="s">
        <v>15670</v>
      </c>
      <c r="AB2574" t="s">
        <v>20772</v>
      </c>
      <c r="AC2574">
        <v>3</v>
      </c>
      <c r="AD2574" t="s">
        <v>24600</v>
      </c>
      <c r="AE2574" t="s">
        <v>24610</v>
      </c>
      <c r="AF2574">
        <v>-1</v>
      </c>
      <c r="AG2574">
        <v>2</v>
      </c>
      <c r="AH2574">
        <v>0</v>
      </c>
      <c r="AI2574">
        <v>65.70999999999999</v>
      </c>
      <c r="AL2574" t="s">
        <v>5011</v>
      </c>
      <c r="AM2574">
        <v>11112</v>
      </c>
      <c r="AS2574">
        <v>1.3</v>
      </c>
      <c r="AT2574" t="s">
        <v>521</v>
      </c>
      <c r="AU2574" t="s">
        <v>25270</v>
      </c>
      <c r="AW2574" t="s">
        <v>11447</v>
      </c>
    </row>
    <row r="2575" spans="1:49">
      <c r="A2575" s="1">
        <f>HYPERLINK("https://lsnyc.legalserver.org/matter/dynamic-profile/view/1854913","18-1854913")</f>
        <v>0</v>
      </c>
      <c r="B2575" t="s">
        <v>117</v>
      </c>
      <c r="C2575" t="s">
        <v>436</v>
      </c>
      <c r="E2575" t="s">
        <v>2379</v>
      </c>
      <c r="F2575" t="s">
        <v>4524</v>
      </c>
      <c r="G2575" t="s">
        <v>8079</v>
      </c>
      <c r="H2575" t="s">
        <v>10696</v>
      </c>
      <c r="I2575" t="s">
        <v>11384</v>
      </c>
      <c r="J2575">
        <v>10302</v>
      </c>
      <c r="K2575" t="s">
        <v>11446</v>
      </c>
      <c r="L2575" t="s">
        <v>12330</v>
      </c>
      <c r="M2575" t="s">
        <v>14751</v>
      </c>
      <c r="N2575" t="s">
        <v>14781</v>
      </c>
      <c r="P2575" t="s">
        <v>14799</v>
      </c>
      <c r="Q2575" t="s">
        <v>11448</v>
      </c>
      <c r="S2575" t="s">
        <v>14829</v>
      </c>
      <c r="V2575">
        <v>1274</v>
      </c>
      <c r="W2575" t="s">
        <v>14862</v>
      </c>
      <c r="X2575" t="s">
        <v>14868</v>
      </c>
      <c r="Z2575" t="s">
        <v>17052</v>
      </c>
      <c r="AB2575" t="s">
        <v>22076</v>
      </c>
      <c r="AC2575">
        <v>24</v>
      </c>
      <c r="AD2575" t="s">
        <v>24595</v>
      </c>
      <c r="AE2575" t="s">
        <v>24610</v>
      </c>
      <c r="AF2575">
        <v>20</v>
      </c>
      <c r="AG2575">
        <v>1</v>
      </c>
      <c r="AH2575">
        <v>0</v>
      </c>
      <c r="AI2575">
        <v>78.20999999999999</v>
      </c>
      <c r="AL2575" t="s">
        <v>5011</v>
      </c>
      <c r="AM2575">
        <v>9432</v>
      </c>
      <c r="AS2575">
        <v>8</v>
      </c>
      <c r="AT2575" t="s">
        <v>714</v>
      </c>
      <c r="AU2575" t="s">
        <v>25302</v>
      </c>
      <c r="AW2575" t="s">
        <v>11447</v>
      </c>
    </row>
    <row r="2576" spans="1:49">
      <c r="A2576" s="1">
        <f>HYPERLINK("https://lsnyc.legalserver.org/matter/dynamic-profile/view/1913721","19-1913721")</f>
        <v>0</v>
      </c>
      <c r="B2576" t="s">
        <v>169</v>
      </c>
      <c r="C2576" t="s">
        <v>539</v>
      </c>
      <c r="E2576" t="s">
        <v>1216</v>
      </c>
      <c r="F2576" t="s">
        <v>4335</v>
      </c>
      <c r="G2576" t="s">
        <v>8080</v>
      </c>
      <c r="I2576" t="s">
        <v>11384</v>
      </c>
      <c r="J2576">
        <v>10309</v>
      </c>
      <c r="K2576" t="s">
        <v>11447</v>
      </c>
      <c r="L2576" t="s">
        <v>12331</v>
      </c>
      <c r="M2576" t="s">
        <v>14743</v>
      </c>
      <c r="P2576" t="s">
        <v>14799</v>
      </c>
      <c r="Q2576" t="s">
        <v>11448</v>
      </c>
      <c r="S2576" t="s">
        <v>14827</v>
      </c>
      <c r="V2576">
        <v>1700</v>
      </c>
      <c r="W2576" t="s">
        <v>14862</v>
      </c>
      <c r="X2576" t="s">
        <v>14863</v>
      </c>
      <c r="Z2576" t="s">
        <v>17053</v>
      </c>
      <c r="AB2576" t="s">
        <v>22077</v>
      </c>
      <c r="AC2576">
        <v>2</v>
      </c>
      <c r="AD2576" t="s">
        <v>24600</v>
      </c>
      <c r="AF2576">
        <v>9</v>
      </c>
      <c r="AG2576">
        <v>2</v>
      </c>
      <c r="AH2576">
        <v>1</v>
      </c>
      <c r="AI2576">
        <v>78.76000000000001</v>
      </c>
      <c r="AL2576" t="s">
        <v>5011</v>
      </c>
      <c r="AM2576">
        <v>16800</v>
      </c>
      <c r="AS2576">
        <v>3.4</v>
      </c>
      <c r="AT2576" t="s">
        <v>592</v>
      </c>
      <c r="AU2576" t="s">
        <v>25270</v>
      </c>
      <c r="AW2576" t="s">
        <v>11447</v>
      </c>
    </row>
    <row r="2577" spans="1:49">
      <c r="A2577" s="1">
        <f>HYPERLINK("https://lsnyc.legalserver.org/matter/dynamic-profile/view/1912623","19-1912623")</f>
        <v>0</v>
      </c>
      <c r="B2577" t="s">
        <v>166</v>
      </c>
      <c r="C2577" t="s">
        <v>477</v>
      </c>
      <c r="E2577" t="s">
        <v>2380</v>
      </c>
      <c r="F2577" t="s">
        <v>4943</v>
      </c>
      <c r="G2577" t="s">
        <v>8081</v>
      </c>
      <c r="H2577" t="s">
        <v>10498</v>
      </c>
      <c r="I2577" t="s">
        <v>11384</v>
      </c>
      <c r="J2577">
        <v>10314</v>
      </c>
      <c r="K2577" t="s">
        <v>11447</v>
      </c>
      <c r="L2577" t="s">
        <v>12332</v>
      </c>
      <c r="M2577" t="s">
        <v>14744</v>
      </c>
      <c r="P2577" t="s">
        <v>14799</v>
      </c>
      <c r="Q2577" t="s">
        <v>11448</v>
      </c>
      <c r="S2577" t="s">
        <v>14828</v>
      </c>
      <c r="V2577">
        <v>858</v>
      </c>
      <c r="W2577" t="s">
        <v>14862</v>
      </c>
      <c r="X2577" t="s">
        <v>14873</v>
      </c>
      <c r="Z2577" t="s">
        <v>17054</v>
      </c>
      <c r="AB2577" t="s">
        <v>22078</v>
      </c>
      <c r="AC2577">
        <v>0</v>
      </c>
      <c r="AD2577" t="s">
        <v>24597</v>
      </c>
      <c r="AE2577" t="s">
        <v>11459</v>
      </c>
      <c r="AF2577">
        <v>10</v>
      </c>
      <c r="AG2577">
        <v>1</v>
      </c>
      <c r="AH2577">
        <v>2</v>
      </c>
      <c r="AI2577">
        <v>91.48999999999999</v>
      </c>
      <c r="AL2577" t="s">
        <v>5011</v>
      </c>
      <c r="AM2577">
        <v>19515.6</v>
      </c>
      <c r="AS2577">
        <v>3.85</v>
      </c>
      <c r="AT2577" t="s">
        <v>654</v>
      </c>
      <c r="AU2577" t="s">
        <v>25270</v>
      </c>
      <c r="AW2577" t="s">
        <v>11447</v>
      </c>
    </row>
    <row r="2578" spans="1:49">
      <c r="A2578" s="1">
        <f>HYPERLINK("https://lsnyc.legalserver.org/matter/dynamic-profile/view/1914500","19-1914500")</f>
        <v>0</v>
      </c>
      <c r="B2578" t="s">
        <v>165</v>
      </c>
      <c r="C2578" t="s">
        <v>478</v>
      </c>
      <c r="E2578" t="s">
        <v>1754</v>
      </c>
      <c r="F2578" t="s">
        <v>4563</v>
      </c>
      <c r="G2578" t="s">
        <v>8082</v>
      </c>
      <c r="H2578" t="s">
        <v>10522</v>
      </c>
      <c r="I2578" t="s">
        <v>11384</v>
      </c>
      <c r="J2578">
        <v>10303</v>
      </c>
      <c r="K2578" t="s">
        <v>11447</v>
      </c>
      <c r="P2578" t="s">
        <v>14799</v>
      </c>
      <c r="S2578" t="s">
        <v>14828</v>
      </c>
      <c r="V2578">
        <v>0</v>
      </c>
      <c r="W2578" t="s">
        <v>14862</v>
      </c>
      <c r="Z2578" t="s">
        <v>17055</v>
      </c>
      <c r="AB2578" t="s">
        <v>22079</v>
      </c>
      <c r="AC2578">
        <v>0</v>
      </c>
      <c r="AF2578">
        <v>0</v>
      </c>
      <c r="AG2578">
        <v>3</v>
      </c>
      <c r="AH2578">
        <v>2</v>
      </c>
      <c r="AI2578">
        <v>107.23</v>
      </c>
      <c r="AL2578" t="s">
        <v>5011</v>
      </c>
      <c r="AM2578">
        <v>32352</v>
      </c>
      <c r="AS2578">
        <v>4.3</v>
      </c>
      <c r="AT2578" t="s">
        <v>592</v>
      </c>
      <c r="AU2578" t="s">
        <v>165</v>
      </c>
      <c r="AW2578" t="s">
        <v>11447</v>
      </c>
    </row>
    <row r="2579" spans="1:49">
      <c r="A2579" s="1">
        <f>HYPERLINK("https://lsnyc.legalserver.org/matter/dynamic-profile/view/1912741","19-1912741")</f>
        <v>0</v>
      </c>
      <c r="B2579" t="s">
        <v>169</v>
      </c>
      <c r="C2579" t="s">
        <v>533</v>
      </c>
      <c r="E2579" t="s">
        <v>2381</v>
      </c>
      <c r="F2579" t="s">
        <v>4944</v>
      </c>
      <c r="G2579" t="s">
        <v>8083</v>
      </c>
      <c r="I2579" t="s">
        <v>11384</v>
      </c>
      <c r="J2579">
        <v>10312</v>
      </c>
      <c r="K2579" t="s">
        <v>11447</v>
      </c>
      <c r="L2579" t="s">
        <v>12333</v>
      </c>
      <c r="M2579" t="s">
        <v>14743</v>
      </c>
      <c r="P2579" t="s">
        <v>14799</v>
      </c>
      <c r="Q2579" t="s">
        <v>11448</v>
      </c>
      <c r="S2579" t="s">
        <v>14827</v>
      </c>
      <c r="T2579" t="s">
        <v>14832</v>
      </c>
      <c r="V2579">
        <v>2000</v>
      </c>
      <c r="W2579" t="s">
        <v>14862</v>
      </c>
      <c r="X2579" t="s">
        <v>14755</v>
      </c>
      <c r="Z2579" t="s">
        <v>17056</v>
      </c>
      <c r="AB2579" t="s">
        <v>22080</v>
      </c>
      <c r="AC2579">
        <v>2</v>
      </c>
      <c r="AD2579" t="s">
        <v>24600</v>
      </c>
      <c r="AE2579" t="s">
        <v>11459</v>
      </c>
      <c r="AF2579">
        <v>1</v>
      </c>
      <c r="AG2579">
        <v>2</v>
      </c>
      <c r="AH2579">
        <v>0</v>
      </c>
      <c r="AI2579">
        <v>109.99</v>
      </c>
      <c r="AL2579" t="s">
        <v>5011</v>
      </c>
      <c r="AM2579">
        <v>18600</v>
      </c>
      <c r="AS2579">
        <v>4.7</v>
      </c>
      <c r="AT2579" t="s">
        <v>478</v>
      </c>
      <c r="AU2579" t="s">
        <v>25270</v>
      </c>
      <c r="AW2579" t="s">
        <v>11447</v>
      </c>
    </row>
    <row r="2580" spans="1:49">
      <c r="A2580" s="1">
        <f>HYPERLINK("https://lsnyc.legalserver.org/matter/dynamic-profile/view/1908117","19-1908117")</f>
        <v>0</v>
      </c>
      <c r="B2580" t="s">
        <v>87</v>
      </c>
      <c r="C2580" t="s">
        <v>462</v>
      </c>
      <c r="E2580" t="s">
        <v>1906</v>
      </c>
      <c r="F2580" t="s">
        <v>4945</v>
      </c>
      <c r="G2580" t="s">
        <v>8084</v>
      </c>
      <c r="H2580" t="s">
        <v>11004</v>
      </c>
      <c r="I2580" t="s">
        <v>11384</v>
      </c>
      <c r="J2580">
        <v>10304</v>
      </c>
      <c r="K2580" t="s">
        <v>11447</v>
      </c>
      <c r="L2580" t="s">
        <v>12334</v>
      </c>
      <c r="M2580" t="s">
        <v>14775</v>
      </c>
      <c r="P2580" t="s">
        <v>14799</v>
      </c>
      <c r="Q2580" t="s">
        <v>11448</v>
      </c>
      <c r="S2580" t="s">
        <v>14828</v>
      </c>
      <c r="T2580" t="s">
        <v>14832</v>
      </c>
      <c r="V2580">
        <v>430</v>
      </c>
      <c r="W2580" t="s">
        <v>14862</v>
      </c>
      <c r="X2580" t="s">
        <v>14868</v>
      </c>
      <c r="Z2580" t="s">
        <v>17057</v>
      </c>
      <c r="AB2580" t="s">
        <v>22081</v>
      </c>
      <c r="AC2580">
        <v>693</v>
      </c>
      <c r="AD2580" t="s">
        <v>24596</v>
      </c>
      <c r="AE2580" t="s">
        <v>24610</v>
      </c>
      <c r="AF2580">
        <v>8</v>
      </c>
      <c r="AG2580">
        <v>1</v>
      </c>
      <c r="AH2580">
        <v>0</v>
      </c>
      <c r="AI2580">
        <v>138.16</v>
      </c>
      <c r="AL2580" t="s">
        <v>5011</v>
      </c>
      <c r="AM2580">
        <v>17256</v>
      </c>
      <c r="AS2580">
        <v>5.8</v>
      </c>
      <c r="AT2580" t="s">
        <v>551</v>
      </c>
      <c r="AU2580" t="s">
        <v>25270</v>
      </c>
      <c r="AW2580" t="s">
        <v>11447</v>
      </c>
    </row>
    <row r="2581" spans="1:49">
      <c r="A2581" s="1">
        <f>HYPERLINK("https://lsnyc.legalserver.org/matter/dynamic-profile/view/1912985","19-1912985")</f>
        <v>0</v>
      </c>
      <c r="B2581" t="s">
        <v>168</v>
      </c>
      <c r="C2581" t="s">
        <v>483</v>
      </c>
      <c r="E2581" t="s">
        <v>2382</v>
      </c>
      <c r="F2581" t="s">
        <v>4946</v>
      </c>
      <c r="G2581" t="s">
        <v>8085</v>
      </c>
      <c r="H2581" t="s">
        <v>10598</v>
      </c>
      <c r="I2581" t="s">
        <v>11384</v>
      </c>
      <c r="J2581">
        <v>10306</v>
      </c>
      <c r="K2581" t="s">
        <v>11447</v>
      </c>
      <c r="L2581" t="s">
        <v>12335</v>
      </c>
      <c r="M2581" t="s">
        <v>14743</v>
      </c>
      <c r="N2581" t="s">
        <v>14781</v>
      </c>
      <c r="P2581" t="s">
        <v>14799</v>
      </c>
      <c r="Q2581" t="s">
        <v>11448</v>
      </c>
      <c r="S2581" t="s">
        <v>14828</v>
      </c>
      <c r="T2581" t="s">
        <v>14832</v>
      </c>
      <c r="V2581">
        <v>1344</v>
      </c>
      <c r="W2581" t="s">
        <v>14862</v>
      </c>
      <c r="X2581" t="s">
        <v>14863</v>
      </c>
      <c r="Z2581" t="s">
        <v>17058</v>
      </c>
      <c r="AB2581" t="s">
        <v>22082</v>
      </c>
      <c r="AC2581">
        <v>0</v>
      </c>
      <c r="AD2581" t="s">
        <v>24597</v>
      </c>
      <c r="AE2581" t="s">
        <v>11459</v>
      </c>
      <c r="AF2581">
        <v>27</v>
      </c>
      <c r="AG2581">
        <v>2</v>
      </c>
      <c r="AH2581">
        <v>0</v>
      </c>
      <c r="AI2581">
        <v>138.38</v>
      </c>
      <c r="AL2581" t="s">
        <v>5011</v>
      </c>
      <c r="AM2581">
        <v>23400</v>
      </c>
      <c r="AS2581">
        <v>1</v>
      </c>
      <c r="AT2581" t="s">
        <v>483</v>
      </c>
      <c r="AU2581" t="s">
        <v>25270</v>
      </c>
      <c r="AW2581" t="s">
        <v>11447</v>
      </c>
    </row>
    <row r="2582" spans="1:49">
      <c r="A2582" s="1">
        <f>HYPERLINK("https://lsnyc.legalserver.org/matter/dynamic-profile/view/1914029","19-1914029")</f>
        <v>0</v>
      </c>
      <c r="B2582" t="s">
        <v>165</v>
      </c>
      <c r="C2582" t="s">
        <v>770</v>
      </c>
      <c r="E2582" t="s">
        <v>1331</v>
      </c>
      <c r="F2582" t="s">
        <v>4070</v>
      </c>
      <c r="G2582" t="s">
        <v>8086</v>
      </c>
      <c r="H2582" t="s">
        <v>10552</v>
      </c>
      <c r="I2582" t="s">
        <v>11384</v>
      </c>
      <c r="J2582">
        <v>10314</v>
      </c>
      <c r="K2582" t="s">
        <v>11447</v>
      </c>
      <c r="N2582" t="s">
        <v>14784</v>
      </c>
      <c r="P2582" t="s">
        <v>14799</v>
      </c>
      <c r="S2582" t="s">
        <v>14828</v>
      </c>
      <c r="V2582">
        <v>0</v>
      </c>
      <c r="W2582" t="s">
        <v>14862</v>
      </c>
      <c r="Z2582" t="s">
        <v>17059</v>
      </c>
      <c r="AB2582" t="s">
        <v>22083</v>
      </c>
      <c r="AC2582">
        <v>0</v>
      </c>
      <c r="AF2582">
        <v>0</v>
      </c>
      <c r="AG2582">
        <v>1</v>
      </c>
      <c r="AH2582">
        <v>1</v>
      </c>
      <c r="AI2582">
        <v>165.98</v>
      </c>
      <c r="AM2582">
        <v>28068</v>
      </c>
      <c r="AS2582">
        <v>1</v>
      </c>
      <c r="AT2582" t="s">
        <v>537</v>
      </c>
      <c r="AU2582" t="s">
        <v>165</v>
      </c>
      <c r="AW2582" t="s">
        <v>11447</v>
      </c>
    </row>
    <row r="2583" spans="1:49">
      <c r="A2583" s="1">
        <f>HYPERLINK("https://lsnyc.legalserver.org/matter/dynamic-profile/view/1872647","18-1872647")</f>
        <v>0</v>
      </c>
      <c r="B2583" t="s">
        <v>117</v>
      </c>
      <c r="C2583" t="s">
        <v>388</v>
      </c>
      <c r="E2583" t="s">
        <v>1726</v>
      </c>
      <c r="F2583" t="s">
        <v>4947</v>
      </c>
      <c r="G2583" t="s">
        <v>8087</v>
      </c>
      <c r="H2583" t="s">
        <v>10501</v>
      </c>
      <c r="I2583" t="s">
        <v>11384</v>
      </c>
      <c r="J2583">
        <v>10310</v>
      </c>
      <c r="K2583" t="s">
        <v>11447</v>
      </c>
      <c r="N2583" t="s">
        <v>14778</v>
      </c>
      <c r="P2583" t="s">
        <v>14799</v>
      </c>
      <c r="S2583" t="s">
        <v>14827</v>
      </c>
      <c r="V2583">
        <v>0</v>
      </c>
      <c r="W2583" t="s">
        <v>14862</v>
      </c>
      <c r="Z2583" t="s">
        <v>17060</v>
      </c>
      <c r="AB2583" t="s">
        <v>22084</v>
      </c>
      <c r="AC2583">
        <v>0</v>
      </c>
      <c r="AF2583">
        <v>0</v>
      </c>
      <c r="AG2583">
        <v>1</v>
      </c>
      <c r="AH2583">
        <v>0</v>
      </c>
      <c r="AI2583">
        <v>231.7</v>
      </c>
      <c r="AL2583" t="s">
        <v>5011</v>
      </c>
      <c r="AM2583">
        <v>28128</v>
      </c>
      <c r="AS2583">
        <v>1.6</v>
      </c>
      <c r="AT2583" t="s">
        <v>388</v>
      </c>
      <c r="AU2583" t="s">
        <v>25283</v>
      </c>
      <c r="AW2583" t="s">
        <v>11447</v>
      </c>
    </row>
    <row r="2584" spans="1:49">
      <c r="A2584" s="1">
        <f>HYPERLINK("https://lsnyc.legalserver.org/matter/dynamic-profile/view/1913081","19-1913081")</f>
        <v>0</v>
      </c>
      <c r="B2584" t="s">
        <v>165</v>
      </c>
      <c r="C2584" t="s">
        <v>603</v>
      </c>
      <c r="E2584" t="s">
        <v>2383</v>
      </c>
      <c r="F2584" t="s">
        <v>1375</v>
      </c>
      <c r="G2584" t="s">
        <v>8088</v>
      </c>
      <c r="H2584" t="s">
        <v>10509</v>
      </c>
      <c r="I2584" t="s">
        <v>11384</v>
      </c>
      <c r="J2584">
        <v>10310</v>
      </c>
      <c r="K2584" t="s">
        <v>11447</v>
      </c>
      <c r="N2584" t="s">
        <v>14784</v>
      </c>
      <c r="P2584" t="s">
        <v>14799</v>
      </c>
      <c r="S2584" t="s">
        <v>14828</v>
      </c>
      <c r="V2584">
        <v>0</v>
      </c>
      <c r="W2584" t="s">
        <v>14862</v>
      </c>
      <c r="Z2584" t="s">
        <v>17061</v>
      </c>
      <c r="AB2584" t="s">
        <v>22085</v>
      </c>
      <c r="AC2584">
        <v>0</v>
      </c>
      <c r="AF2584">
        <v>0</v>
      </c>
      <c r="AG2584">
        <v>1</v>
      </c>
      <c r="AH2584">
        <v>1</v>
      </c>
      <c r="AI2584">
        <v>274.15</v>
      </c>
      <c r="AL2584" t="s">
        <v>5011</v>
      </c>
      <c r="AM2584">
        <v>46359</v>
      </c>
      <c r="AS2584">
        <v>1.4</v>
      </c>
      <c r="AT2584" t="s">
        <v>537</v>
      </c>
      <c r="AU2584" t="s">
        <v>165</v>
      </c>
      <c r="AW2584" t="s">
        <v>11447</v>
      </c>
    </row>
    <row r="2585" spans="1:49">
      <c r="A2585" s="1">
        <f>HYPERLINK("https://lsnyc.legalserver.org/matter/dynamic-profile/view/1877992","18-1877992")</f>
        <v>0</v>
      </c>
      <c r="B2585" t="s">
        <v>191</v>
      </c>
      <c r="C2585" t="s">
        <v>390</v>
      </c>
      <c r="D2585" t="s">
        <v>621</v>
      </c>
      <c r="E2585" t="s">
        <v>2384</v>
      </c>
      <c r="F2585" t="s">
        <v>1395</v>
      </c>
      <c r="G2585" t="s">
        <v>8089</v>
      </c>
      <c r="H2585" t="s">
        <v>10638</v>
      </c>
      <c r="I2585" t="s">
        <v>11385</v>
      </c>
      <c r="J2585">
        <v>11236</v>
      </c>
      <c r="K2585" t="s">
        <v>11448</v>
      </c>
      <c r="L2585" t="s">
        <v>12336</v>
      </c>
      <c r="M2585" t="s">
        <v>14743</v>
      </c>
      <c r="N2585" t="s">
        <v>14781</v>
      </c>
      <c r="O2585" t="s">
        <v>14788</v>
      </c>
      <c r="P2585" t="s">
        <v>14800</v>
      </c>
      <c r="Q2585" t="s">
        <v>11448</v>
      </c>
      <c r="S2585" t="s">
        <v>14827</v>
      </c>
      <c r="V2585">
        <v>0</v>
      </c>
      <c r="W2585" t="s">
        <v>14859</v>
      </c>
      <c r="X2585" t="s">
        <v>14868</v>
      </c>
      <c r="Y2585" t="s">
        <v>14887</v>
      </c>
      <c r="Z2585" t="s">
        <v>17062</v>
      </c>
      <c r="AB2585" t="s">
        <v>22086</v>
      </c>
      <c r="AC2585">
        <v>0</v>
      </c>
      <c r="AD2585" t="s">
        <v>24595</v>
      </c>
      <c r="AF2585">
        <v>7</v>
      </c>
      <c r="AG2585">
        <v>1</v>
      </c>
      <c r="AH2585">
        <v>2</v>
      </c>
      <c r="AI2585">
        <v>97.70999999999999</v>
      </c>
      <c r="AL2585" t="s">
        <v>5011</v>
      </c>
      <c r="AM2585">
        <v>20304</v>
      </c>
      <c r="AO2585" t="s">
        <v>24937</v>
      </c>
      <c r="AP2585" t="s">
        <v>24961</v>
      </c>
      <c r="AQ2585" t="s">
        <v>24986</v>
      </c>
      <c r="AR2585" t="s">
        <v>25047</v>
      </c>
      <c r="AS2585">
        <v>22.1</v>
      </c>
      <c r="AT2585" t="s">
        <v>357</v>
      </c>
      <c r="AU2585" t="s">
        <v>25275</v>
      </c>
      <c r="AW2585" t="s">
        <v>11447</v>
      </c>
    </row>
    <row r="2586" spans="1:49">
      <c r="A2586" s="1">
        <f>HYPERLINK("https://lsnyc.legalserver.org/matter/dynamic-profile/view/1903223","19-1903223")</f>
        <v>0</v>
      </c>
      <c r="B2586" t="s">
        <v>151</v>
      </c>
      <c r="C2586" t="s">
        <v>338</v>
      </c>
      <c r="D2586" t="s">
        <v>338</v>
      </c>
      <c r="E2586" t="s">
        <v>1045</v>
      </c>
      <c r="F2586" t="s">
        <v>4948</v>
      </c>
      <c r="G2586" t="s">
        <v>8090</v>
      </c>
      <c r="H2586" t="s">
        <v>10529</v>
      </c>
      <c r="I2586" t="s">
        <v>11385</v>
      </c>
      <c r="J2586">
        <v>11233</v>
      </c>
      <c r="K2586" t="s">
        <v>11446</v>
      </c>
      <c r="L2586" t="s">
        <v>12337</v>
      </c>
      <c r="M2586" t="s">
        <v>14750</v>
      </c>
      <c r="N2586" t="s">
        <v>14781</v>
      </c>
      <c r="O2586" t="s">
        <v>14788</v>
      </c>
      <c r="P2586" t="s">
        <v>14800</v>
      </c>
      <c r="Q2586" t="s">
        <v>11448</v>
      </c>
      <c r="S2586" t="s">
        <v>14828</v>
      </c>
      <c r="T2586" t="s">
        <v>14832</v>
      </c>
      <c r="U2586" t="s">
        <v>338</v>
      </c>
      <c r="V2586">
        <v>463</v>
      </c>
      <c r="W2586" t="s">
        <v>14859</v>
      </c>
      <c r="X2586" t="s">
        <v>14864</v>
      </c>
      <c r="Y2586" t="s">
        <v>14894</v>
      </c>
      <c r="Z2586" t="s">
        <v>17063</v>
      </c>
      <c r="AA2586" t="s">
        <v>19418</v>
      </c>
      <c r="AB2586" t="s">
        <v>22087</v>
      </c>
      <c r="AC2586">
        <v>40</v>
      </c>
      <c r="AD2586" t="s">
        <v>24597</v>
      </c>
      <c r="AE2586" t="s">
        <v>11459</v>
      </c>
      <c r="AF2586">
        <v>15</v>
      </c>
      <c r="AG2586">
        <v>1</v>
      </c>
      <c r="AH2586">
        <v>0</v>
      </c>
      <c r="AI2586">
        <v>0</v>
      </c>
      <c r="AL2586" t="s">
        <v>5011</v>
      </c>
      <c r="AM2586">
        <v>0</v>
      </c>
      <c r="AO2586" t="s">
        <v>24930</v>
      </c>
      <c r="AP2586" t="s">
        <v>24942</v>
      </c>
      <c r="AQ2586" t="s">
        <v>24986</v>
      </c>
      <c r="AR2586" t="s">
        <v>25048</v>
      </c>
      <c r="AS2586">
        <v>1.9</v>
      </c>
      <c r="AT2586" t="s">
        <v>332</v>
      </c>
      <c r="AU2586" t="s">
        <v>25230</v>
      </c>
      <c r="AV2586" t="s">
        <v>11459</v>
      </c>
      <c r="AW2586" t="s">
        <v>11447</v>
      </c>
    </row>
    <row r="2587" spans="1:49">
      <c r="A2587" s="1">
        <f>HYPERLINK("https://lsnyc.legalserver.org/matter/dynamic-profile/view/1904561","19-1904561")</f>
        <v>0</v>
      </c>
      <c r="B2587" t="s">
        <v>238</v>
      </c>
      <c r="C2587" t="s">
        <v>493</v>
      </c>
      <c r="D2587" t="s">
        <v>365</v>
      </c>
      <c r="E2587" t="s">
        <v>1851</v>
      </c>
      <c r="F2587" t="s">
        <v>4949</v>
      </c>
      <c r="G2587" t="s">
        <v>8091</v>
      </c>
      <c r="H2587" t="s">
        <v>11005</v>
      </c>
      <c r="I2587" t="s">
        <v>11385</v>
      </c>
      <c r="J2587">
        <v>11235</v>
      </c>
      <c r="K2587" t="s">
        <v>11446</v>
      </c>
      <c r="L2587" t="s">
        <v>12338</v>
      </c>
      <c r="M2587" t="s">
        <v>14744</v>
      </c>
      <c r="N2587" t="s">
        <v>14778</v>
      </c>
      <c r="O2587" t="s">
        <v>14786</v>
      </c>
      <c r="P2587" t="s">
        <v>14800</v>
      </c>
      <c r="Q2587" t="s">
        <v>11448</v>
      </c>
      <c r="S2587" t="s">
        <v>14827</v>
      </c>
      <c r="T2587" t="s">
        <v>14834</v>
      </c>
      <c r="U2587" t="s">
        <v>493</v>
      </c>
      <c r="V2587">
        <v>1504.6</v>
      </c>
      <c r="W2587" t="s">
        <v>14859</v>
      </c>
      <c r="X2587" t="s">
        <v>14863</v>
      </c>
      <c r="Y2587" t="s">
        <v>14883</v>
      </c>
      <c r="Z2587" t="s">
        <v>16335</v>
      </c>
      <c r="AB2587" t="s">
        <v>22088</v>
      </c>
      <c r="AC2587">
        <v>108</v>
      </c>
      <c r="AD2587" t="s">
        <v>11479</v>
      </c>
      <c r="AE2587" t="s">
        <v>11459</v>
      </c>
      <c r="AF2587">
        <v>15</v>
      </c>
      <c r="AG2587">
        <v>1</v>
      </c>
      <c r="AH2587">
        <v>0</v>
      </c>
      <c r="AI2587">
        <v>96.08</v>
      </c>
      <c r="AL2587" t="s">
        <v>5011</v>
      </c>
      <c r="AM2587">
        <v>12000</v>
      </c>
      <c r="AS2587">
        <v>3.6</v>
      </c>
      <c r="AT2587" t="s">
        <v>496</v>
      </c>
      <c r="AU2587" t="s">
        <v>25275</v>
      </c>
      <c r="AV2587" t="s">
        <v>25335</v>
      </c>
      <c r="AW2587" t="s">
        <v>11447</v>
      </c>
    </row>
    <row r="2588" spans="1:49">
      <c r="A2588" s="1">
        <f>HYPERLINK("https://lsnyc.legalserver.org/matter/dynamic-profile/view/1903644","19-1903644")</f>
        <v>0</v>
      </c>
      <c r="B2588" t="s">
        <v>151</v>
      </c>
      <c r="C2588" t="s">
        <v>522</v>
      </c>
      <c r="D2588" t="s">
        <v>345</v>
      </c>
      <c r="E2588" t="s">
        <v>2385</v>
      </c>
      <c r="F2588" t="s">
        <v>4950</v>
      </c>
      <c r="G2588" t="s">
        <v>8092</v>
      </c>
      <c r="H2588" t="s">
        <v>10462</v>
      </c>
      <c r="I2588" t="s">
        <v>11385</v>
      </c>
      <c r="J2588">
        <v>11215</v>
      </c>
      <c r="K2588" t="s">
        <v>11447</v>
      </c>
      <c r="N2588" t="s">
        <v>14778</v>
      </c>
      <c r="O2588" t="s">
        <v>14786</v>
      </c>
      <c r="P2588" t="s">
        <v>14800</v>
      </c>
      <c r="S2588" t="s">
        <v>14827</v>
      </c>
      <c r="V2588">
        <v>0</v>
      </c>
      <c r="W2588" t="s">
        <v>14859</v>
      </c>
      <c r="Y2588" t="s">
        <v>14883</v>
      </c>
      <c r="Z2588" t="s">
        <v>17064</v>
      </c>
      <c r="AB2588" t="s">
        <v>22089</v>
      </c>
      <c r="AC2588">
        <v>0</v>
      </c>
      <c r="AF2588">
        <v>0</v>
      </c>
      <c r="AG2588">
        <v>1</v>
      </c>
      <c r="AH2588">
        <v>0</v>
      </c>
      <c r="AI2588">
        <v>48.04</v>
      </c>
      <c r="AM2588">
        <v>6000</v>
      </c>
      <c r="AS2588">
        <v>1.35</v>
      </c>
      <c r="AT2588" t="s">
        <v>338</v>
      </c>
      <c r="AU2588" t="s">
        <v>193</v>
      </c>
      <c r="AW2588" t="s">
        <v>11447</v>
      </c>
    </row>
    <row r="2589" spans="1:49">
      <c r="A2589" s="1">
        <f>HYPERLINK("https://lsnyc.legalserver.org/matter/dynamic-profile/view/1904636","19-1904636")</f>
        <v>0</v>
      </c>
      <c r="B2589" t="s">
        <v>238</v>
      </c>
      <c r="C2589" t="s">
        <v>365</v>
      </c>
      <c r="D2589" t="s">
        <v>480</v>
      </c>
      <c r="E2589" t="s">
        <v>1276</v>
      </c>
      <c r="F2589" t="s">
        <v>3965</v>
      </c>
      <c r="G2589" t="s">
        <v>8093</v>
      </c>
      <c r="H2589" t="s">
        <v>10501</v>
      </c>
      <c r="I2589" t="s">
        <v>11385</v>
      </c>
      <c r="J2589">
        <v>11236</v>
      </c>
      <c r="K2589" t="s">
        <v>11446</v>
      </c>
      <c r="L2589" t="s">
        <v>12339</v>
      </c>
      <c r="M2589" t="s">
        <v>14746</v>
      </c>
      <c r="N2589" t="s">
        <v>14778</v>
      </c>
      <c r="O2589" t="s">
        <v>14786</v>
      </c>
      <c r="P2589" t="s">
        <v>14800</v>
      </c>
      <c r="Q2589" t="s">
        <v>11448</v>
      </c>
      <c r="S2589" t="s">
        <v>14827</v>
      </c>
      <c r="T2589" t="s">
        <v>14832</v>
      </c>
      <c r="U2589" t="s">
        <v>493</v>
      </c>
      <c r="V2589">
        <v>0</v>
      </c>
      <c r="W2589" t="s">
        <v>14859</v>
      </c>
      <c r="X2589" t="s">
        <v>14865</v>
      </c>
      <c r="Y2589" t="s">
        <v>14883</v>
      </c>
      <c r="Z2589" t="s">
        <v>17065</v>
      </c>
      <c r="AA2589" t="s">
        <v>19518</v>
      </c>
      <c r="AB2589" t="s">
        <v>22090</v>
      </c>
      <c r="AC2589">
        <v>2</v>
      </c>
      <c r="AD2589" t="s">
        <v>24600</v>
      </c>
      <c r="AE2589" t="s">
        <v>11459</v>
      </c>
      <c r="AF2589">
        <v>4</v>
      </c>
      <c r="AG2589">
        <v>1</v>
      </c>
      <c r="AH2589">
        <v>0</v>
      </c>
      <c r="AI2589">
        <v>17.49</v>
      </c>
      <c r="AL2589" t="s">
        <v>5011</v>
      </c>
      <c r="AM2589">
        <v>2184</v>
      </c>
      <c r="AS2589">
        <v>0.5</v>
      </c>
      <c r="AT2589" t="s">
        <v>493</v>
      </c>
      <c r="AU2589" t="s">
        <v>25275</v>
      </c>
      <c r="AV2589" t="s">
        <v>25335</v>
      </c>
      <c r="AW2589" t="s">
        <v>11447</v>
      </c>
    </row>
    <row r="2590" spans="1:49">
      <c r="A2590" s="1">
        <f>HYPERLINK("https://lsnyc.legalserver.org/matter/dynamic-profile/view/1844598","17-1844598")</f>
        <v>0</v>
      </c>
      <c r="B2590" t="s">
        <v>88</v>
      </c>
      <c r="C2590" t="s">
        <v>771</v>
      </c>
      <c r="D2590" t="s">
        <v>480</v>
      </c>
      <c r="E2590" t="s">
        <v>1698</v>
      </c>
      <c r="F2590" t="s">
        <v>1210</v>
      </c>
      <c r="G2590" t="s">
        <v>8094</v>
      </c>
      <c r="H2590" t="s">
        <v>11006</v>
      </c>
      <c r="I2590" t="s">
        <v>11385</v>
      </c>
      <c r="J2590">
        <v>11230</v>
      </c>
      <c r="K2590" t="s">
        <v>11448</v>
      </c>
      <c r="L2590" t="s">
        <v>12340</v>
      </c>
      <c r="M2590" t="s">
        <v>14744</v>
      </c>
      <c r="N2590" t="s">
        <v>14781</v>
      </c>
      <c r="O2590" t="s">
        <v>14788</v>
      </c>
      <c r="P2590" t="s">
        <v>14800</v>
      </c>
      <c r="S2590" t="s">
        <v>14827</v>
      </c>
      <c r="V2590">
        <v>996.83</v>
      </c>
      <c r="W2590" t="s">
        <v>14859</v>
      </c>
      <c r="X2590" t="s">
        <v>14867</v>
      </c>
      <c r="Y2590" t="s">
        <v>14887</v>
      </c>
      <c r="Z2590" t="s">
        <v>17066</v>
      </c>
      <c r="AB2590" t="s">
        <v>22091</v>
      </c>
      <c r="AC2590">
        <v>48</v>
      </c>
      <c r="AD2590" t="s">
        <v>24595</v>
      </c>
      <c r="AF2590">
        <v>37</v>
      </c>
      <c r="AG2590">
        <v>2</v>
      </c>
      <c r="AH2590">
        <v>0</v>
      </c>
      <c r="AI2590">
        <v>108.76</v>
      </c>
      <c r="AL2590" t="s">
        <v>5011</v>
      </c>
      <c r="AM2590">
        <v>17662</v>
      </c>
      <c r="AS2590">
        <v>12.5</v>
      </c>
      <c r="AT2590" t="s">
        <v>480</v>
      </c>
      <c r="AU2590" t="s">
        <v>25230</v>
      </c>
      <c r="AW2590" t="s">
        <v>11447</v>
      </c>
    </row>
    <row r="2591" spans="1:49">
      <c r="A2591" s="1">
        <f>HYPERLINK("https://lsnyc.legalserver.org/matter/dynamic-profile/view/1905360","19-1905360")</f>
        <v>0</v>
      </c>
      <c r="B2591" t="s">
        <v>198</v>
      </c>
      <c r="C2591" t="s">
        <v>619</v>
      </c>
      <c r="D2591" t="s">
        <v>619</v>
      </c>
      <c r="E2591" t="s">
        <v>2386</v>
      </c>
      <c r="F2591" t="s">
        <v>4951</v>
      </c>
      <c r="G2591" t="s">
        <v>8095</v>
      </c>
      <c r="H2591" t="s">
        <v>10799</v>
      </c>
      <c r="I2591" t="s">
        <v>11385</v>
      </c>
      <c r="J2591">
        <v>11203</v>
      </c>
      <c r="K2591" t="s">
        <v>11446</v>
      </c>
      <c r="L2591" t="s">
        <v>12341</v>
      </c>
      <c r="M2591" t="s">
        <v>14743</v>
      </c>
      <c r="N2591" t="s">
        <v>14778</v>
      </c>
      <c r="O2591" t="s">
        <v>14786</v>
      </c>
      <c r="P2591" t="s">
        <v>14800</v>
      </c>
      <c r="Q2591" t="s">
        <v>11448</v>
      </c>
      <c r="S2591" t="s">
        <v>14827</v>
      </c>
      <c r="T2591" t="s">
        <v>14832</v>
      </c>
      <c r="U2591" t="s">
        <v>619</v>
      </c>
      <c r="V2591">
        <v>1000</v>
      </c>
      <c r="W2591" t="s">
        <v>14859</v>
      </c>
      <c r="X2591" t="s">
        <v>14865</v>
      </c>
      <c r="Y2591" t="s">
        <v>14883</v>
      </c>
      <c r="Z2591" t="s">
        <v>17067</v>
      </c>
      <c r="AA2591" t="s">
        <v>19519</v>
      </c>
      <c r="AB2591" t="s">
        <v>22092</v>
      </c>
      <c r="AC2591">
        <v>2</v>
      </c>
      <c r="AD2591" t="s">
        <v>11479</v>
      </c>
      <c r="AE2591" t="s">
        <v>11459</v>
      </c>
      <c r="AF2591">
        <v>23</v>
      </c>
      <c r="AG2591">
        <v>3</v>
      </c>
      <c r="AH2591">
        <v>0</v>
      </c>
      <c r="AI2591">
        <v>168.78</v>
      </c>
      <c r="AL2591" t="s">
        <v>5011</v>
      </c>
      <c r="AM2591">
        <v>36000</v>
      </c>
      <c r="AS2591">
        <v>1.4</v>
      </c>
      <c r="AT2591" t="s">
        <v>619</v>
      </c>
      <c r="AU2591" t="s">
        <v>25235</v>
      </c>
      <c r="AV2591" t="s">
        <v>25335</v>
      </c>
      <c r="AW2591" t="s">
        <v>11447</v>
      </c>
    </row>
    <row r="2592" spans="1:49">
      <c r="A2592" s="1">
        <f>HYPERLINK("https://lsnyc.legalserver.org/matter/dynamic-profile/view/1900533","19-1900533")</f>
        <v>0</v>
      </c>
      <c r="B2592" t="s">
        <v>180</v>
      </c>
      <c r="C2592" t="s">
        <v>336</v>
      </c>
      <c r="D2592" t="s">
        <v>555</v>
      </c>
      <c r="E2592" t="s">
        <v>1872</v>
      </c>
      <c r="F2592" t="s">
        <v>4952</v>
      </c>
      <c r="G2592" t="s">
        <v>8096</v>
      </c>
      <c r="H2592" t="s">
        <v>10575</v>
      </c>
      <c r="I2592" t="s">
        <v>11385</v>
      </c>
      <c r="J2592">
        <v>11205</v>
      </c>
      <c r="K2592" t="s">
        <v>11446</v>
      </c>
      <c r="L2592" t="s">
        <v>12342</v>
      </c>
      <c r="M2592" t="s">
        <v>14744</v>
      </c>
      <c r="N2592" t="s">
        <v>14778</v>
      </c>
      <c r="O2592" t="s">
        <v>14786</v>
      </c>
      <c r="P2592" t="s">
        <v>14800</v>
      </c>
      <c r="Q2592" t="s">
        <v>11448</v>
      </c>
      <c r="S2592" t="s">
        <v>14828</v>
      </c>
      <c r="T2592" t="s">
        <v>14832</v>
      </c>
      <c r="U2592" t="s">
        <v>545</v>
      </c>
      <c r="V2592">
        <v>677</v>
      </c>
      <c r="W2592" t="s">
        <v>14859</v>
      </c>
      <c r="X2592" t="s">
        <v>14865</v>
      </c>
      <c r="Y2592" t="s">
        <v>14883</v>
      </c>
      <c r="Z2592" t="s">
        <v>17068</v>
      </c>
      <c r="AA2592" t="s">
        <v>19520</v>
      </c>
      <c r="AB2592" t="s">
        <v>22093</v>
      </c>
      <c r="AC2592">
        <v>856</v>
      </c>
      <c r="AD2592" t="s">
        <v>24597</v>
      </c>
      <c r="AE2592" t="s">
        <v>14755</v>
      </c>
      <c r="AF2592">
        <v>6</v>
      </c>
      <c r="AG2592">
        <v>7</v>
      </c>
      <c r="AH2592">
        <v>4</v>
      </c>
      <c r="AI2592">
        <v>14.18</v>
      </c>
      <c r="AL2592" t="s">
        <v>24632</v>
      </c>
      <c r="AM2592">
        <v>8040</v>
      </c>
      <c r="AS2592">
        <v>0.8</v>
      </c>
      <c r="AT2592" t="s">
        <v>555</v>
      </c>
      <c r="AU2592" t="s">
        <v>180</v>
      </c>
      <c r="AV2592" t="s">
        <v>25334</v>
      </c>
      <c r="AW2592" t="s">
        <v>11447</v>
      </c>
    </row>
    <row r="2593" spans="1:49">
      <c r="A2593" s="1">
        <f>HYPERLINK("https://lsnyc.legalserver.org/matter/dynamic-profile/view/1899747","19-1899747")</f>
        <v>0</v>
      </c>
      <c r="B2593" t="s">
        <v>77</v>
      </c>
      <c r="C2593" t="s">
        <v>543</v>
      </c>
      <c r="D2593" t="s">
        <v>485</v>
      </c>
      <c r="E2593" t="s">
        <v>1139</v>
      </c>
      <c r="F2593" t="s">
        <v>4180</v>
      </c>
      <c r="G2593" t="s">
        <v>8097</v>
      </c>
      <c r="H2593" t="s">
        <v>10652</v>
      </c>
      <c r="I2593" t="s">
        <v>11385</v>
      </c>
      <c r="J2593">
        <v>11225</v>
      </c>
      <c r="K2593" t="s">
        <v>11446</v>
      </c>
      <c r="M2593" t="s">
        <v>11601</v>
      </c>
      <c r="N2593" t="s">
        <v>14779</v>
      </c>
      <c r="O2593" t="s">
        <v>14787</v>
      </c>
      <c r="P2593" t="s">
        <v>14800</v>
      </c>
      <c r="Q2593" t="s">
        <v>11448</v>
      </c>
      <c r="S2593" t="s">
        <v>14827</v>
      </c>
      <c r="T2593" t="s">
        <v>14832</v>
      </c>
      <c r="U2593" t="s">
        <v>545</v>
      </c>
      <c r="V2593">
        <v>0</v>
      </c>
      <c r="W2593" t="s">
        <v>14859</v>
      </c>
      <c r="X2593" t="s">
        <v>14755</v>
      </c>
      <c r="Y2593" t="s">
        <v>14883</v>
      </c>
      <c r="Z2593" t="s">
        <v>17069</v>
      </c>
      <c r="AB2593" t="s">
        <v>22094</v>
      </c>
      <c r="AC2593">
        <v>1321</v>
      </c>
      <c r="AD2593" t="s">
        <v>24599</v>
      </c>
      <c r="AE2593" t="s">
        <v>24611</v>
      </c>
      <c r="AF2593">
        <v>0</v>
      </c>
      <c r="AG2593">
        <v>1</v>
      </c>
      <c r="AH2593">
        <v>0</v>
      </c>
      <c r="AI2593">
        <v>39.14</v>
      </c>
      <c r="AM2593">
        <v>4888</v>
      </c>
      <c r="AS2593">
        <v>1</v>
      </c>
      <c r="AT2593" t="s">
        <v>485</v>
      </c>
      <c r="AU2593" t="s">
        <v>91</v>
      </c>
      <c r="AV2593" t="s">
        <v>25335</v>
      </c>
      <c r="AW2593" t="s">
        <v>11447</v>
      </c>
    </row>
    <row r="2594" spans="1:49">
      <c r="A2594" s="1">
        <f>HYPERLINK("https://lsnyc.legalserver.org/matter/dynamic-profile/view/1906146","19-1906146")</f>
        <v>0</v>
      </c>
      <c r="B2594" t="s">
        <v>151</v>
      </c>
      <c r="C2594" t="s">
        <v>553</v>
      </c>
      <c r="D2594" t="s">
        <v>485</v>
      </c>
      <c r="E2594" t="s">
        <v>2322</v>
      </c>
      <c r="F2594" t="s">
        <v>4070</v>
      </c>
      <c r="G2594" t="s">
        <v>8098</v>
      </c>
      <c r="H2594">
        <v>3</v>
      </c>
      <c r="I2594" t="s">
        <v>11385</v>
      </c>
      <c r="J2594">
        <v>11210</v>
      </c>
      <c r="K2594" t="s">
        <v>11446</v>
      </c>
      <c r="L2594" t="s">
        <v>12343</v>
      </c>
      <c r="M2594" t="s">
        <v>14744</v>
      </c>
      <c r="N2594" t="s">
        <v>14778</v>
      </c>
      <c r="O2594" t="s">
        <v>14786</v>
      </c>
      <c r="P2594" t="s">
        <v>14800</v>
      </c>
      <c r="Q2594" t="s">
        <v>11448</v>
      </c>
      <c r="S2594" t="s">
        <v>14827</v>
      </c>
      <c r="T2594" t="s">
        <v>14834</v>
      </c>
      <c r="U2594" t="s">
        <v>618</v>
      </c>
      <c r="V2594">
        <v>1000</v>
      </c>
      <c r="W2594" t="s">
        <v>14859</v>
      </c>
      <c r="X2594" t="s">
        <v>14865</v>
      </c>
      <c r="Y2594" t="s">
        <v>14883</v>
      </c>
      <c r="Z2594" t="s">
        <v>17070</v>
      </c>
      <c r="AB2594" t="s">
        <v>22095</v>
      </c>
      <c r="AC2594">
        <v>60</v>
      </c>
      <c r="AD2594" t="s">
        <v>24595</v>
      </c>
      <c r="AF2594">
        <v>16</v>
      </c>
      <c r="AG2594">
        <v>2</v>
      </c>
      <c r="AH2594">
        <v>1</v>
      </c>
      <c r="AI2594">
        <v>97.52</v>
      </c>
      <c r="AL2594" t="s">
        <v>5011</v>
      </c>
      <c r="AM2594">
        <v>20800</v>
      </c>
      <c r="AS2594">
        <v>0.5</v>
      </c>
      <c r="AT2594" t="s">
        <v>485</v>
      </c>
      <c r="AU2594" t="s">
        <v>25285</v>
      </c>
      <c r="AV2594" t="s">
        <v>25335</v>
      </c>
      <c r="AW2594" t="s">
        <v>11447</v>
      </c>
    </row>
    <row r="2595" spans="1:49">
      <c r="A2595" s="1">
        <f>HYPERLINK("https://lsnyc.legalserver.org/matter/dynamic-profile/view/1876740","18-1876740")</f>
        <v>0</v>
      </c>
      <c r="B2595" t="s">
        <v>77</v>
      </c>
      <c r="C2595" t="s">
        <v>449</v>
      </c>
      <c r="D2595" t="s">
        <v>485</v>
      </c>
      <c r="E2595" t="s">
        <v>1399</v>
      </c>
      <c r="F2595" t="s">
        <v>4953</v>
      </c>
      <c r="G2595" t="s">
        <v>8099</v>
      </c>
      <c r="H2595" t="s">
        <v>11007</v>
      </c>
      <c r="I2595" t="s">
        <v>11385</v>
      </c>
      <c r="J2595">
        <v>11203</v>
      </c>
      <c r="K2595" t="s">
        <v>11447</v>
      </c>
      <c r="M2595" t="s">
        <v>14744</v>
      </c>
      <c r="N2595" t="s">
        <v>14781</v>
      </c>
      <c r="O2595" t="s">
        <v>14788</v>
      </c>
      <c r="P2595" t="s">
        <v>14800</v>
      </c>
      <c r="S2595" t="s">
        <v>14827</v>
      </c>
      <c r="V2595">
        <v>0</v>
      </c>
      <c r="W2595" t="s">
        <v>14859</v>
      </c>
      <c r="Y2595" t="s">
        <v>14887</v>
      </c>
      <c r="Z2595" t="s">
        <v>17071</v>
      </c>
      <c r="AB2595" t="s">
        <v>22096</v>
      </c>
      <c r="AC2595">
        <v>0</v>
      </c>
      <c r="AF2595">
        <v>0</v>
      </c>
      <c r="AG2595">
        <v>1</v>
      </c>
      <c r="AH2595">
        <v>0</v>
      </c>
      <c r="AI2595">
        <v>37.17</v>
      </c>
      <c r="AL2595" t="s">
        <v>5011</v>
      </c>
      <c r="AM2595">
        <v>4512</v>
      </c>
      <c r="AP2595" t="s">
        <v>24942</v>
      </c>
      <c r="AQ2595" t="s">
        <v>24986</v>
      </c>
      <c r="AR2595" t="s">
        <v>25049</v>
      </c>
      <c r="AS2595">
        <v>10.8</v>
      </c>
      <c r="AT2595" t="s">
        <v>343</v>
      </c>
      <c r="AU2595" t="s">
        <v>25230</v>
      </c>
      <c r="AW2595" t="s">
        <v>11447</v>
      </c>
    </row>
    <row r="2596" spans="1:49">
      <c r="A2596" s="1">
        <f>HYPERLINK("https://lsnyc.legalserver.org/matter/dynamic-profile/view/1906654","19-1906654")</f>
        <v>0</v>
      </c>
      <c r="B2596" t="s">
        <v>151</v>
      </c>
      <c r="C2596" t="s">
        <v>373</v>
      </c>
      <c r="D2596" t="s">
        <v>373</v>
      </c>
      <c r="E2596" t="s">
        <v>2387</v>
      </c>
      <c r="F2596" t="s">
        <v>4954</v>
      </c>
      <c r="G2596" t="s">
        <v>8100</v>
      </c>
      <c r="H2596">
        <v>1</v>
      </c>
      <c r="I2596" t="s">
        <v>11385</v>
      </c>
      <c r="J2596">
        <v>11212</v>
      </c>
      <c r="K2596" t="s">
        <v>11446</v>
      </c>
      <c r="L2596" t="s">
        <v>12344</v>
      </c>
      <c r="M2596" t="s">
        <v>14743</v>
      </c>
      <c r="N2596" t="s">
        <v>14778</v>
      </c>
      <c r="O2596" t="s">
        <v>14786</v>
      </c>
      <c r="P2596" t="s">
        <v>14800</v>
      </c>
      <c r="Q2596" t="s">
        <v>11448</v>
      </c>
      <c r="S2596" t="s">
        <v>14827</v>
      </c>
      <c r="T2596" t="s">
        <v>14832</v>
      </c>
      <c r="U2596" t="s">
        <v>485</v>
      </c>
      <c r="V2596">
        <v>1000</v>
      </c>
      <c r="W2596" t="s">
        <v>14859</v>
      </c>
      <c r="X2596" t="s">
        <v>14865</v>
      </c>
      <c r="Y2596" t="s">
        <v>14883</v>
      </c>
      <c r="Z2596" t="s">
        <v>17072</v>
      </c>
      <c r="AB2596" t="s">
        <v>22097</v>
      </c>
      <c r="AC2596">
        <v>2</v>
      </c>
      <c r="AD2596" t="s">
        <v>24600</v>
      </c>
      <c r="AE2596" t="s">
        <v>11459</v>
      </c>
      <c r="AF2596">
        <v>20</v>
      </c>
      <c r="AG2596">
        <v>3</v>
      </c>
      <c r="AH2596">
        <v>1</v>
      </c>
      <c r="AI2596">
        <v>81.55</v>
      </c>
      <c r="AL2596" t="s">
        <v>5011</v>
      </c>
      <c r="AM2596">
        <v>21000</v>
      </c>
      <c r="AS2596">
        <v>1.1</v>
      </c>
      <c r="AT2596" t="s">
        <v>373</v>
      </c>
      <c r="AU2596" t="s">
        <v>25235</v>
      </c>
      <c r="AV2596" t="s">
        <v>25335</v>
      </c>
      <c r="AW2596" t="s">
        <v>11447</v>
      </c>
    </row>
    <row r="2597" spans="1:49">
      <c r="A2597" s="1">
        <f>HYPERLINK("https://lsnyc.legalserver.org/matter/dynamic-profile/view/1906524","19-1906524")</f>
        <v>0</v>
      </c>
      <c r="B2597" t="s">
        <v>191</v>
      </c>
      <c r="C2597" t="s">
        <v>380</v>
      </c>
      <c r="D2597" t="s">
        <v>373</v>
      </c>
      <c r="E2597" t="s">
        <v>1135</v>
      </c>
      <c r="F2597" t="s">
        <v>3662</v>
      </c>
      <c r="G2597" t="s">
        <v>8101</v>
      </c>
      <c r="H2597" t="s">
        <v>10459</v>
      </c>
      <c r="I2597" t="s">
        <v>11385</v>
      </c>
      <c r="J2597">
        <v>11206</v>
      </c>
      <c r="K2597" t="s">
        <v>11446</v>
      </c>
      <c r="L2597" t="s">
        <v>12345</v>
      </c>
      <c r="M2597" t="s">
        <v>14744</v>
      </c>
      <c r="N2597" t="s">
        <v>14778</v>
      </c>
      <c r="O2597" t="s">
        <v>14786</v>
      </c>
      <c r="P2597" t="s">
        <v>14800</v>
      </c>
      <c r="Q2597" t="s">
        <v>11448</v>
      </c>
      <c r="S2597" t="s">
        <v>14827</v>
      </c>
      <c r="U2597" t="s">
        <v>380</v>
      </c>
      <c r="V2597">
        <v>1456.75</v>
      </c>
      <c r="W2597" t="s">
        <v>14859</v>
      </c>
      <c r="X2597" t="s">
        <v>14865</v>
      </c>
      <c r="Y2597" t="s">
        <v>14883</v>
      </c>
      <c r="Z2597" t="s">
        <v>17073</v>
      </c>
      <c r="AA2597" t="s">
        <v>19521</v>
      </c>
      <c r="AB2597" t="s">
        <v>22098</v>
      </c>
      <c r="AC2597">
        <v>194</v>
      </c>
      <c r="AD2597" t="s">
        <v>24597</v>
      </c>
      <c r="AE2597" t="s">
        <v>11459</v>
      </c>
      <c r="AF2597">
        <v>35</v>
      </c>
      <c r="AG2597">
        <v>2</v>
      </c>
      <c r="AH2597">
        <v>0</v>
      </c>
      <c r="AI2597">
        <v>52.16</v>
      </c>
      <c r="AL2597" t="s">
        <v>5011</v>
      </c>
      <c r="AM2597">
        <v>8820</v>
      </c>
      <c r="AP2597" t="s">
        <v>14755</v>
      </c>
      <c r="AS2597">
        <v>0.7</v>
      </c>
      <c r="AT2597" t="s">
        <v>564</v>
      </c>
      <c r="AU2597" t="s">
        <v>25277</v>
      </c>
      <c r="AV2597" t="s">
        <v>25335</v>
      </c>
      <c r="AW2597" t="s">
        <v>11447</v>
      </c>
    </row>
    <row r="2598" spans="1:49">
      <c r="A2598" s="1">
        <f>HYPERLINK("https://lsnyc.legalserver.org/matter/dynamic-profile/view/1906577","19-1906577")</f>
        <v>0</v>
      </c>
      <c r="B2598" t="s">
        <v>191</v>
      </c>
      <c r="C2598" t="s">
        <v>373</v>
      </c>
      <c r="D2598" t="s">
        <v>373</v>
      </c>
      <c r="E2598" t="s">
        <v>2388</v>
      </c>
      <c r="F2598" t="s">
        <v>4955</v>
      </c>
      <c r="G2598" t="s">
        <v>8102</v>
      </c>
      <c r="H2598">
        <v>3</v>
      </c>
      <c r="I2598" t="s">
        <v>11385</v>
      </c>
      <c r="J2598">
        <v>11203</v>
      </c>
      <c r="K2598" t="s">
        <v>11446</v>
      </c>
      <c r="L2598" t="s">
        <v>12346</v>
      </c>
      <c r="M2598" t="s">
        <v>14743</v>
      </c>
      <c r="N2598" t="s">
        <v>14778</v>
      </c>
      <c r="O2598" t="s">
        <v>14786</v>
      </c>
      <c r="P2598" t="s">
        <v>14800</v>
      </c>
      <c r="Q2598" t="s">
        <v>11448</v>
      </c>
      <c r="S2598" t="s">
        <v>14827</v>
      </c>
      <c r="U2598" t="s">
        <v>373</v>
      </c>
      <c r="V2598">
        <v>420</v>
      </c>
      <c r="W2598" t="s">
        <v>14859</v>
      </c>
      <c r="X2598" t="s">
        <v>14865</v>
      </c>
      <c r="Y2598" t="s">
        <v>14883</v>
      </c>
      <c r="Z2598" t="s">
        <v>17074</v>
      </c>
      <c r="AA2598" t="s">
        <v>19522</v>
      </c>
      <c r="AB2598" t="s">
        <v>22099</v>
      </c>
      <c r="AC2598">
        <v>3</v>
      </c>
      <c r="AD2598" t="s">
        <v>24600</v>
      </c>
      <c r="AE2598" t="s">
        <v>11459</v>
      </c>
      <c r="AF2598">
        <v>2</v>
      </c>
      <c r="AG2598">
        <v>3</v>
      </c>
      <c r="AH2598">
        <v>2</v>
      </c>
      <c r="AI2598">
        <v>73.25</v>
      </c>
      <c r="AL2598" t="s">
        <v>5011</v>
      </c>
      <c r="AM2598">
        <v>22100</v>
      </c>
      <c r="AP2598" t="s">
        <v>14755</v>
      </c>
      <c r="AS2598">
        <v>0.4</v>
      </c>
      <c r="AT2598" t="s">
        <v>373</v>
      </c>
      <c r="AU2598" t="s">
        <v>25235</v>
      </c>
      <c r="AV2598" t="s">
        <v>25335</v>
      </c>
      <c r="AW2598" t="s">
        <v>11447</v>
      </c>
    </row>
    <row r="2599" spans="1:49">
      <c r="A2599" s="1">
        <f>HYPERLINK("https://lsnyc.legalserver.org/matter/dynamic-profile/view/1903201","19-1903201")</f>
        <v>0</v>
      </c>
      <c r="B2599" t="s">
        <v>198</v>
      </c>
      <c r="C2599" t="s">
        <v>346</v>
      </c>
      <c r="D2599" t="s">
        <v>564</v>
      </c>
      <c r="E2599" t="s">
        <v>1241</v>
      </c>
      <c r="F2599" t="s">
        <v>4368</v>
      </c>
      <c r="G2599" t="s">
        <v>8103</v>
      </c>
      <c r="H2599" t="s">
        <v>10552</v>
      </c>
      <c r="I2599" t="s">
        <v>11385</v>
      </c>
      <c r="J2599">
        <v>11205</v>
      </c>
      <c r="K2599" t="s">
        <v>11446</v>
      </c>
      <c r="L2599" t="s">
        <v>12347</v>
      </c>
      <c r="M2599" t="s">
        <v>14744</v>
      </c>
      <c r="N2599" t="s">
        <v>14778</v>
      </c>
      <c r="O2599" t="s">
        <v>14786</v>
      </c>
      <c r="P2599" t="s">
        <v>14800</v>
      </c>
      <c r="Q2599" t="s">
        <v>11448</v>
      </c>
      <c r="S2599" t="s">
        <v>14828</v>
      </c>
      <c r="T2599" t="s">
        <v>14832</v>
      </c>
      <c r="U2599" t="s">
        <v>545</v>
      </c>
      <c r="V2599">
        <v>720</v>
      </c>
      <c r="W2599" t="s">
        <v>14859</v>
      </c>
      <c r="X2599" t="s">
        <v>14865</v>
      </c>
      <c r="Y2599" t="s">
        <v>14883</v>
      </c>
      <c r="Z2599" t="s">
        <v>17075</v>
      </c>
      <c r="AB2599" t="s">
        <v>22100</v>
      </c>
      <c r="AC2599">
        <v>79</v>
      </c>
      <c r="AD2599" t="s">
        <v>24597</v>
      </c>
      <c r="AE2599" t="s">
        <v>24610</v>
      </c>
      <c r="AF2599">
        <v>0</v>
      </c>
      <c r="AG2599">
        <v>1</v>
      </c>
      <c r="AH2599">
        <v>0</v>
      </c>
      <c r="AI2599">
        <v>271.13</v>
      </c>
      <c r="AL2599" t="s">
        <v>5011</v>
      </c>
      <c r="AM2599">
        <v>33864</v>
      </c>
      <c r="AS2599">
        <v>1</v>
      </c>
      <c r="AT2599" t="s">
        <v>346</v>
      </c>
      <c r="AU2599" t="s">
        <v>25235</v>
      </c>
      <c r="AV2599" t="s">
        <v>25335</v>
      </c>
      <c r="AW2599" t="s">
        <v>11447</v>
      </c>
    </row>
    <row r="2600" spans="1:49">
      <c r="A2600" s="1">
        <f>HYPERLINK("https://lsnyc.legalserver.org/matter/dynamic-profile/view/1898841","19-1898841")</f>
        <v>0</v>
      </c>
      <c r="B2600" t="s">
        <v>133</v>
      </c>
      <c r="C2600" t="s">
        <v>342</v>
      </c>
      <c r="D2600" t="s">
        <v>366</v>
      </c>
      <c r="E2600" t="s">
        <v>1615</v>
      </c>
      <c r="F2600" t="s">
        <v>3779</v>
      </c>
      <c r="G2600" t="s">
        <v>8104</v>
      </c>
      <c r="I2600" t="s">
        <v>11387</v>
      </c>
      <c r="J2600">
        <v>11433</v>
      </c>
      <c r="K2600" t="s">
        <v>11448</v>
      </c>
      <c r="M2600" t="s">
        <v>11601</v>
      </c>
      <c r="N2600" t="s">
        <v>14779</v>
      </c>
      <c r="O2600" t="s">
        <v>14787</v>
      </c>
      <c r="P2600" t="s">
        <v>14800</v>
      </c>
      <c r="Q2600" t="s">
        <v>11448</v>
      </c>
      <c r="S2600" t="s">
        <v>14830</v>
      </c>
      <c r="V2600">
        <v>0</v>
      </c>
      <c r="W2600" t="s">
        <v>14859</v>
      </c>
      <c r="Y2600" t="s">
        <v>14884</v>
      </c>
      <c r="Z2600" t="s">
        <v>16119</v>
      </c>
      <c r="AB2600" t="s">
        <v>22101</v>
      </c>
      <c r="AC2600">
        <v>0</v>
      </c>
      <c r="AE2600" t="s">
        <v>24610</v>
      </c>
      <c r="AF2600">
        <v>0</v>
      </c>
      <c r="AG2600">
        <v>1</v>
      </c>
      <c r="AH2600">
        <v>0</v>
      </c>
      <c r="AI2600">
        <v>144.88</v>
      </c>
      <c r="AL2600" t="s">
        <v>5011</v>
      </c>
      <c r="AM2600">
        <v>18096</v>
      </c>
      <c r="AS2600">
        <v>3.1</v>
      </c>
      <c r="AT2600" t="s">
        <v>366</v>
      </c>
      <c r="AU2600" t="s">
        <v>133</v>
      </c>
      <c r="AW2600" t="s">
        <v>11448</v>
      </c>
    </row>
    <row r="2601" spans="1:49">
      <c r="A2601" s="1">
        <f>HYPERLINK("https://lsnyc.legalserver.org/matter/dynamic-profile/view/1902849","19-1902849")</f>
        <v>0</v>
      </c>
      <c r="B2601" t="s">
        <v>198</v>
      </c>
      <c r="C2601" t="s">
        <v>343</v>
      </c>
      <c r="D2601" t="s">
        <v>524</v>
      </c>
      <c r="E2601" t="s">
        <v>2206</v>
      </c>
      <c r="F2601" t="s">
        <v>4956</v>
      </c>
      <c r="G2601" t="s">
        <v>8105</v>
      </c>
      <c r="H2601" t="s">
        <v>10585</v>
      </c>
      <c r="I2601" t="s">
        <v>11385</v>
      </c>
      <c r="J2601">
        <v>11208</v>
      </c>
      <c r="K2601" t="s">
        <v>11446</v>
      </c>
      <c r="L2601" t="s">
        <v>12348</v>
      </c>
      <c r="M2601" t="s">
        <v>14744</v>
      </c>
      <c r="N2601" t="s">
        <v>14778</v>
      </c>
      <c r="O2601" t="s">
        <v>14786</v>
      </c>
      <c r="P2601" t="s">
        <v>14800</v>
      </c>
      <c r="Q2601" t="s">
        <v>11448</v>
      </c>
      <c r="S2601" t="s">
        <v>14828</v>
      </c>
      <c r="T2601" t="s">
        <v>14832</v>
      </c>
      <c r="U2601" t="s">
        <v>545</v>
      </c>
      <c r="V2601">
        <v>418</v>
      </c>
      <c r="W2601" t="s">
        <v>14859</v>
      </c>
      <c r="X2601" t="s">
        <v>14868</v>
      </c>
      <c r="Y2601" t="s">
        <v>14883</v>
      </c>
      <c r="Z2601" t="s">
        <v>17076</v>
      </c>
      <c r="AB2601" t="s">
        <v>22102</v>
      </c>
      <c r="AC2601">
        <v>600</v>
      </c>
      <c r="AD2601" t="s">
        <v>24597</v>
      </c>
      <c r="AE2601" t="s">
        <v>24610</v>
      </c>
      <c r="AF2601">
        <v>44</v>
      </c>
      <c r="AG2601">
        <v>1</v>
      </c>
      <c r="AH2601">
        <v>0</v>
      </c>
      <c r="AI2601">
        <v>76.67</v>
      </c>
      <c r="AL2601" t="s">
        <v>5011</v>
      </c>
      <c r="AM2601">
        <v>9576</v>
      </c>
      <c r="AS2601">
        <v>1.5</v>
      </c>
      <c r="AT2601" t="s">
        <v>659</v>
      </c>
      <c r="AU2601" t="s">
        <v>25226</v>
      </c>
      <c r="AV2601" t="s">
        <v>25335</v>
      </c>
      <c r="AW2601" t="s">
        <v>11447</v>
      </c>
    </row>
    <row r="2602" spans="1:49">
      <c r="A2602" s="1">
        <f>HYPERLINK("https://lsnyc.legalserver.org/matter/dynamic-profile/view/1906719","19-1906719")</f>
        <v>0</v>
      </c>
      <c r="B2602" t="s">
        <v>198</v>
      </c>
      <c r="C2602" t="s">
        <v>620</v>
      </c>
      <c r="D2602" t="s">
        <v>524</v>
      </c>
      <c r="E2602" t="s">
        <v>1069</v>
      </c>
      <c r="F2602" t="s">
        <v>1254</v>
      </c>
      <c r="G2602" t="s">
        <v>6541</v>
      </c>
      <c r="H2602" t="s">
        <v>10562</v>
      </c>
      <c r="I2602" t="s">
        <v>11385</v>
      </c>
      <c r="J2602">
        <v>11220</v>
      </c>
      <c r="K2602" t="s">
        <v>11446</v>
      </c>
      <c r="L2602" t="s">
        <v>11523</v>
      </c>
      <c r="M2602" t="s">
        <v>14744</v>
      </c>
      <c r="N2602" t="s">
        <v>14778</v>
      </c>
      <c r="O2602" t="s">
        <v>14786</v>
      </c>
      <c r="P2602" t="s">
        <v>14800</v>
      </c>
      <c r="S2602" t="s">
        <v>14827</v>
      </c>
      <c r="U2602" t="s">
        <v>620</v>
      </c>
      <c r="V2602">
        <v>1710</v>
      </c>
      <c r="W2602" t="s">
        <v>14859</v>
      </c>
      <c r="X2602" t="s">
        <v>14865</v>
      </c>
      <c r="Y2602" t="s">
        <v>14883</v>
      </c>
      <c r="Z2602" t="s">
        <v>15166</v>
      </c>
      <c r="AB2602" t="s">
        <v>20325</v>
      </c>
      <c r="AC2602">
        <v>6</v>
      </c>
      <c r="AD2602" t="s">
        <v>24595</v>
      </c>
      <c r="AE2602" t="s">
        <v>11459</v>
      </c>
      <c r="AF2602">
        <v>6</v>
      </c>
      <c r="AG2602">
        <v>2</v>
      </c>
      <c r="AH2602">
        <v>0</v>
      </c>
      <c r="AI2602">
        <v>61.01</v>
      </c>
      <c r="AL2602" t="s">
        <v>5011</v>
      </c>
      <c r="AM2602">
        <v>10316.4</v>
      </c>
      <c r="AS2602">
        <v>1.1</v>
      </c>
      <c r="AT2602" t="s">
        <v>524</v>
      </c>
      <c r="AU2602" t="s">
        <v>25235</v>
      </c>
      <c r="AV2602" t="s">
        <v>25335</v>
      </c>
      <c r="AW2602" t="s">
        <v>11447</v>
      </c>
    </row>
    <row r="2603" spans="1:49">
      <c r="A2603" s="1">
        <f>HYPERLINK("https://lsnyc.legalserver.org/matter/dynamic-profile/view/1909258","19-1909258")</f>
        <v>0</v>
      </c>
      <c r="B2603" t="s">
        <v>191</v>
      </c>
      <c r="C2603" t="s">
        <v>589</v>
      </c>
      <c r="D2603" t="s">
        <v>589</v>
      </c>
      <c r="E2603" t="s">
        <v>2389</v>
      </c>
      <c r="F2603" t="s">
        <v>4957</v>
      </c>
      <c r="G2603" t="s">
        <v>8106</v>
      </c>
      <c r="H2603" t="s">
        <v>10500</v>
      </c>
      <c r="I2603" t="s">
        <v>11385</v>
      </c>
      <c r="J2603">
        <v>11218</v>
      </c>
      <c r="K2603" t="s">
        <v>11446</v>
      </c>
      <c r="L2603" t="s">
        <v>12349</v>
      </c>
      <c r="M2603" t="s">
        <v>14744</v>
      </c>
      <c r="N2603" t="s">
        <v>14778</v>
      </c>
      <c r="O2603" t="s">
        <v>14786</v>
      </c>
      <c r="P2603" t="s">
        <v>14800</v>
      </c>
      <c r="Q2603" t="s">
        <v>11448</v>
      </c>
      <c r="S2603" t="s">
        <v>14827</v>
      </c>
      <c r="U2603" t="s">
        <v>589</v>
      </c>
      <c r="V2603">
        <v>0</v>
      </c>
      <c r="W2603" t="s">
        <v>14859</v>
      </c>
      <c r="X2603" t="s">
        <v>14865</v>
      </c>
      <c r="Y2603" t="s">
        <v>14883</v>
      </c>
      <c r="Z2603" t="s">
        <v>17077</v>
      </c>
      <c r="AB2603" t="s">
        <v>21591</v>
      </c>
      <c r="AC2603">
        <v>0</v>
      </c>
      <c r="AD2603" t="s">
        <v>24598</v>
      </c>
      <c r="AF2603">
        <v>0</v>
      </c>
      <c r="AG2603">
        <v>1</v>
      </c>
      <c r="AH2603">
        <v>0</v>
      </c>
      <c r="AI2603">
        <v>49.86</v>
      </c>
      <c r="AL2603" t="s">
        <v>24636</v>
      </c>
      <c r="AM2603">
        <v>6228</v>
      </c>
      <c r="AS2603">
        <v>0.3</v>
      </c>
      <c r="AT2603" t="s">
        <v>462</v>
      </c>
      <c r="AU2603" t="s">
        <v>25235</v>
      </c>
      <c r="AV2603" t="s">
        <v>25335</v>
      </c>
      <c r="AW2603" t="s">
        <v>11447</v>
      </c>
    </row>
    <row r="2604" spans="1:49">
      <c r="A2604" s="1">
        <f>HYPERLINK("https://lsnyc.legalserver.org/matter/dynamic-profile/view/1905944","19-1905944")</f>
        <v>0</v>
      </c>
      <c r="B2604" t="s">
        <v>150</v>
      </c>
      <c r="C2604" t="s">
        <v>461</v>
      </c>
      <c r="D2604" t="s">
        <v>412</v>
      </c>
      <c r="E2604" t="s">
        <v>2390</v>
      </c>
      <c r="F2604" t="s">
        <v>3901</v>
      </c>
      <c r="G2604" t="s">
        <v>8107</v>
      </c>
      <c r="H2604" t="s">
        <v>10996</v>
      </c>
      <c r="I2604" t="s">
        <v>11385</v>
      </c>
      <c r="J2604">
        <v>11229</v>
      </c>
      <c r="K2604" t="s">
        <v>11446</v>
      </c>
      <c r="L2604" t="s">
        <v>12350</v>
      </c>
      <c r="M2604" t="s">
        <v>14744</v>
      </c>
      <c r="N2604" t="s">
        <v>14778</v>
      </c>
      <c r="O2604" t="s">
        <v>14786</v>
      </c>
      <c r="P2604" t="s">
        <v>14800</v>
      </c>
      <c r="Q2604" t="s">
        <v>11448</v>
      </c>
      <c r="S2604" t="s">
        <v>14827</v>
      </c>
      <c r="T2604" t="s">
        <v>14834</v>
      </c>
      <c r="U2604" t="s">
        <v>485</v>
      </c>
      <c r="V2604">
        <v>1700</v>
      </c>
      <c r="W2604" t="s">
        <v>14859</v>
      </c>
      <c r="X2604" t="s">
        <v>14865</v>
      </c>
      <c r="Y2604" t="s">
        <v>14883</v>
      </c>
      <c r="Z2604" t="s">
        <v>17078</v>
      </c>
      <c r="AB2604" t="s">
        <v>22103</v>
      </c>
      <c r="AC2604">
        <v>0</v>
      </c>
      <c r="AE2604" t="s">
        <v>24616</v>
      </c>
      <c r="AF2604">
        <v>1</v>
      </c>
      <c r="AG2604">
        <v>1</v>
      </c>
      <c r="AH2604">
        <v>1</v>
      </c>
      <c r="AI2604">
        <v>184.51</v>
      </c>
      <c r="AL2604" t="s">
        <v>5011</v>
      </c>
      <c r="AM2604">
        <v>31200</v>
      </c>
      <c r="AP2604" t="s">
        <v>14755</v>
      </c>
      <c r="AR2604" t="s">
        <v>25007</v>
      </c>
      <c r="AS2604">
        <v>0.1</v>
      </c>
      <c r="AT2604" t="s">
        <v>412</v>
      </c>
      <c r="AU2604" t="s">
        <v>25275</v>
      </c>
      <c r="AV2604" t="s">
        <v>25335</v>
      </c>
      <c r="AW2604" t="s">
        <v>11447</v>
      </c>
    </row>
    <row r="2605" spans="1:49">
      <c r="A2605" s="1">
        <f>HYPERLINK("https://lsnyc.legalserver.org/matter/dynamic-profile/view/1909351","19-1909351")</f>
        <v>0</v>
      </c>
      <c r="B2605" t="s">
        <v>191</v>
      </c>
      <c r="C2605" t="s">
        <v>589</v>
      </c>
      <c r="D2605" t="s">
        <v>519</v>
      </c>
      <c r="E2605" t="s">
        <v>1463</v>
      </c>
      <c r="F2605" t="s">
        <v>4278</v>
      </c>
      <c r="G2605" t="s">
        <v>8108</v>
      </c>
      <c r="H2605" t="s">
        <v>10499</v>
      </c>
      <c r="I2605" t="s">
        <v>11385</v>
      </c>
      <c r="J2605">
        <v>11237</v>
      </c>
      <c r="K2605" t="s">
        <v>11446</v>
      </c>
      <c r="L2605" t="s">
        <v>12351</v>
      </c>
      <c r="M2605" t="s">
        <v>14743</v>
      </c>
      <c r="N2605" t="s">
        <v>14778</v>
      </c>
      <c r="O2605" t="s">
        <v>14786</v>
      </c>
      <c r="P2605" t="s">
        <v>14800</v>
      </c>
      <c r="Q2605" t="s">
        <v>11448</v>
      </c>
      <c r="S2605" t="s">
        <v>14827</v>
      </c>
      <c r="U2605" t="s">
        <v>589</v>
      </c>
      <c r="V2605">
        <v>0</v>
      </c>
      <c r="W2605" t="s">
        <v>14859</v>
      </c>
      <c r="X2605" t="s">
        <v>14865</v>
      </c>
      <c r="Y2605" t="s">
        <v>14883</v>
      </c>
      <c r="Z2605" t="s">
        <v>17079</v>
      </c>
      <c r="AB2605" t="s">
        <v>22104</v>
      </c>
      <c r="AC2605">
        <v>0</v>
      </c>
      <c r="AD2605" t="s">
        <v>24600</v>
      </c>
      <c r="AF2605">
        <v>0</v>
      </c>
      <c r="AG2605">
        <v>2</v>
      </c>
      <c r="AH2605">
        <v>2</v>
      </c>
      <c r="AI2605">
        <v>0</v>
      </c>
      <c r="AL2605" t="s">
        <v>24632</v>
      </c>
      <c r="AM2605">
        <v>0</v>
      </c>
      <c r="AS2605">
        <v>0.3</v>
      </c>
      <c r="AT2605" t="s">
        <v>519</v>
      </c>
      <c r="AU2605" t="s">
        <v>25277</v>
      </c>
      <c r="AV2605" t="s">
        <v>25335</v>
      </c>
      <c r="AW2605" t="s">
        <v>11447</v>
      </c>
    </row>
    <row r="2606" spans="1:49">
      <c r="A2606" s="1">
        <f>HYPERLINK("https://lsnyc.legalserver.org/matter/dynamic-profile/view/1894942","19-1894942")</f>
        <v>0</v>
      </c>
      <c r="B2606" t="s">
        <v>76</v>
      </c>
      <c r="C2606" t="s">
        <v>594</v>
      </c>
      <c r="D2606" t="s">
        <v>504</v>
      </c>
      <c r="E2606" t="s">
        <v>1354</v>
      </c>
      <c r="F2606" t="s">
        <v>3839</v>
      </c>
      <c r="G2606" t="s">
        <v>8109</v>
      </c>
      <c r="H2606" t="s">
        <v>10562</v>
      </c>
      <c r="I2606" t="s">
        <v>11385</v>
      </c>
      <c r="J2606">
        <v>11220</v>
      </c>
      <c r="K2606" t="s">
        <v>11446</v>
      </c>
      <c r="N2606" t="s">
        <v>14778</v>
      </c>
      <c r="O2606" t="s">
        <v>14786</v>
      </c>
      <c r="P2606" t="s">
        <v>14800</v>
      </c>
      <c r="S2606" t="s">
        <v>14827</v>
      </c>
      <c r="U2606" t="s">
        <v>545</v>
      </c>
      <c r="V2606">
        <v>268.1</v>
      </c>
      <c r="W2606" t="s">
        <v>14859</v>
      </c>
      <c r="Y2606" t="s">
        <v>14890</v>
      </c>
      <c r="Z2606" t="s">
        <v>17080</v>
      </c>
      <c r="AB2606" t="s">
        <v>22105</v>
      </c>
      <c r="AC2606">
        <v>6</v>
      </c>
      <c r="AD2606" t="s">
        <v>24599</v>
      </c>
      <c r="AF2606">
        <v>40</v>
      </c>
      <c r="AG2606">
        <v>2</v>
      </c>
      <c r="AH2606">
        <v>0</v>
      </c>
      <c r="AI2606">
        <v>137.17</v>
      </c>
      <c r="AL2606" t="s">
        <v>24632</v>
      </c>
      <c r="AM2606">
        <v>23196</v>
      </c>
      <c r="AS2606">
        <v>1.6</v>
      </c>
      <c r="AT2606" t="s">
        <v>643</v>
      </c>
      <c r="AU2606" t="s">
        <v>25235</v>
      </c>
      <c r="AV2606" t="s">
        <v>25335</v>
      </c>
      <c r="AW2606" t="s">
        <v>11446</v>
      </c>
    </row>
    <row r="2607" spans="1:49">
      <c r="A2607" s="1">
        <f>HYPERLINK("https://lsnyc.legalserver.org/matter/dynamic-profile/view/1856927","18-1856927")</f>
        <v>0</v>
      </c>
      <c r="B2607" t="s">
        <v>76</v>
      </c>
      <c r="C2607" t="s">
        <v>673</v>
      </c>
      <c r="D2607" t="s">
        <v>504</v>
      </c>
      <c r="E2607" t="s">
        <v>2391</v>
      </c>
      <c r="F2607" t="s">
        <v>4958</v>
      </c>
      <c r="G2607" t="s">
        <v>8110</v>
      </c>
      <c r="H2607" t="s">
        <v>10575</v>
      </c>
      <c r="I2607" t="s">
        <v>11385</v>
      </c>
      <c r="J2607">
        <v>11206</v>
      </c>
      <c r="K2607" t="s">
        <v>11448</v>
      </c>
      <c r="O2607" t="s">
        <v>14786</v>
      </c>
      <c r="P2607" t="s">
        <v>14800</v>
      </c>
      <c r="S2607" t="s">
        <v>14828</v>
      </c>
      <c r="V2607">
        <v>0</v>
      </c>
      <c r="W2607" t="s">
        <v>14859</v>
      </c>
      <c r="Y2607" t="s">
        <v>14890</v>
      </c>
      <c r="Z2607" t="s">
        <v>17081</v>
      </c>
      <c r="AB2607" t="s">
        <v>22106</v>
      </c>
      <c r="AC2607">
        <v>0</v>
      </c>
      <c r="AF2607">
        <v>13</v>
      </c>
      <c r="AG2607">
        <v>1</v>
      </c>
      <c r="AH2607">
        <v>0</v>
      </c>
      <c r="AI2607">
        <v>19.4</v>
      </c>
      <c r="AL2607" t="s">
        <v>5011</v>
      </c>
      <c r="AM2607">
        <v>2340</v>
      </c>
      <c r="AS2607">
        <v>0.7</v>
      </c>
      <c r="AT2607" t="s">
        <v>673</v>
      </c>
      <c r="AU2607" t="s">
        <v>25229</v>
      </c>
      <c r="AW2607" t="s">
        <v>11447</v>
      </c>
    </row>
    <row r="2608" spans="1:49">
      <c r="A2608" s="1">
        <f>HYPERLINK("https://lsnyc.legalserver.org/matter/dynamic-profile/view/1857287","18-1857287")</f>
        <v>0</v>
      </c>
      <c r="B2608" t="s">
        <v>76</v>
      </c>
      <c r="C2608" t="s">
        <v>395</v>
      </c>
      <c r="D2608" t="s">
        <v>504</v>
      </c>
      <c r="E2608" t="s">
        <v>1056</v>
      </c>
      <c r="F2608" t="s">
        <v>4959</v>
      </c>
      <c r="G2608" t="s">
        <v>8111</v>
      </c>
      <c r="I2608" t="s">
        <v>11385</v>
      </c>
      <c r="J2608">
        <v>11220</v>
      </c>
      <c r="K2608" t="s">
        <v>11448</v>
      </c>
      <c r="O2608" t="s">
        <v>14786</v>
      </c>
      <c r="P2608" t="s">
        <v>14800</v>
      </c>
      <c r="S2608" t="s">
        <v>14827</v>
      </c>
      <c r="V2608">
        <v>0</v>
      </c>
      <c r="W2608" t="s">
        <v>14859</v>
      </c>
      <c r="Y2608" t="s">
        <v>14890</v>
      </c>
      <c r="Z2608" t="s">
        <v>17082</v>
      </c>
      <c r="AB2608" t="s">
        <v>22107</v>
      </c>
      <c r="AC2608">
        <v>0</v>
      </c>
      <c r="AF2608">
        <v>0</v>
      </c>
      <c r="AG2608">
        <v>2</v>
      </c>
      <c r="AH2608">
        <v>0</v>
      </c>
      <c r="AI2608">
        <v>110.84</v>
      </c>
      <c r="AL2608" t="s">
        <v>5011</v>
      </c>
      <c r="AM2608">
        <v>18000</v>
      </c>
      <c r="AS2608">
        <v>1.3</v>
      </c>
      <c r="AT2608" t="s">
        <v>25152</v>
      </c>
      <c r="AU2608" t="s">
        <v>25303</v>
      </c>
      <c r="AW2608" t="s">
        <v>11447</v>
      </c>
    </row>
    <row r="2609" spans="1:49">
      <c r="A2609" s="1">
        <f>HYPERLINK("https://lsnyc.legalserver.org/matter/dynamic-profile/view/1879007","18-1879007")</f>
        <v>0</v>
      </c>
      <c r="B2609" t="s">
        <v>76</v>
      </c>
      <c r="C2609" t="s">
        <v>444</v>
      </c>
      <c r="D2609" t="s">
        <v>468</v>
      </c>
      <c r="E2609" t="s">
        <v>2392</v>
      </c>
      <c r="F2609" t="s">
        <v>4960</v>
      </c>
      <c r="G2609" t="s">
        <v>8112</v>
      </c>
      <c r="H2609" t="s">
        <v>11008</v>
      </c>
      <c r="I2609" t="s">
        <v>11385</v>
      </c>
      <c r="J2609">
        <v>11206</v>
      </c>
      <c r="K2609" t="s">
        <v>11446</v>
      </c>
      <c r="L2609" t="s">
        <v>12352</v>
      </c>
      <c r="M2609" t="s">
        <v>14746</v>
      </c>
      <c r="N2609" t="s">
        <v>14779</v>
      </c>
      <c r="O2609" t="s">
        <v>14786</v>
      </c>
      <c r="P2609" t="s">
        <v>14800</v>
      </c>
      <c r="Q2609" t="s">
        <v>11448</v>
      </c>
      <c r="S2609" t="s">
        <v>14828</v>
      </c>
      <c r="U2609" t="s">
        <v>545</v>
      </c>
      <c r="V2609">
        <v>213</v>
      </c>
      <c r="W2609" t="s">
        <v>14859</v>
      </c>
      <c r="X2609" t="s">
        <v>14868</v>
      </c>
      <c r="Y2609" t="s">
        <v>14890</v>
      </c>
      <c r="Z2609" t="s">
        <v>15711</v>
      </c>
      <c r="AC2609">
        <v>0</v>
      </c>
      <c r="AF2609">
        <v>3</v>
      </c>
      <c r="AG2609">
        <v>1</v>
      </c>
      <c r="AH2609">
        <v>1</v>
      </c>
      <c r="AI2609">
        <v>97.20999999999999</v>
      </c>
      <c r="AL2609" t="s">
        <v>5011</v>
      </c>
      <c r="AM2609">
        <v>16000</v>
      </c>
      <c r="AS2609">
        <v>0.9</v>
      </c>
      <c r="AT2609" t="s">
        <v>420</v>
      </c>
      <c r="AU2609" t="s">
        <v>25235</v>
      </c>
      <c r="AV2609" t="s">
        <v>25335</v>
      </c>
      <c r="AW2609" t="s">
        <v>11446</v>
      </c>
    </row>
    <row r="2610" spans="1:49">
      <c r="A2610" s="1">
        <f>HYPERLINK("https://lsnyc.legalserver.org/matter/dynamic-profile/view/1909747","19-1909747")</f>
        <v>0</v>
      </c>
      <c r="B2610" t="s">
        <v>278</v>
      </c>
      <c r="C2610" t="s">
        <v>519</v>
      </c>
      <c r="D2610" t="s">
        <v>528</v>
      </c>
      <c r="E2610" t="s">
        <v>2348</v>
      </c>
      <c r="F2610" t="s">
        <v>4961</v>
      </c>
      <c r="G2610" t="s">
        <v>8113</v>
      </c>
      <c r="I2610" t="s">
        <v>11385</v>
      </c>
      <c r="J2610">
        <v>11210</v>
      </c>
      <c r="K2610" t="s">
        <v>11446</v>
      </c>
      <c r="L2610" t="s">
        <v>12353</v>
      </c>
      <c r="M2610" t="s">
        <v>14743</v>
      </c>
      <c r="N2610" t="s">
        <v>14778</v>
      </c>
      <c r="O2610" t="s">
        <v>14786</v>
      </c>
      <c r="P2610" t="s">
        <v>14800</v>
      </c>
      <c r="Q2610" t="s">
        <v>11448</v>
      </c>
      <c r="S2610" t="s">
        <v>14827</v>
      </c>
      <c r="T2610" t="s">
        <v>14832</v>
      </c>
      <c r="U2610" t="s">
        <v>640</v>
      </c>
      <c r="V2610">
        <v>1950</v>
      </c>
      <c r="W2610" t="s">
        <v>14859</v>
      </c>
      <c r="X2610" t="s">
        <v>14865</v>
      </c>
      <c r="Y2610" t="s">
        <v>14883</v>
      </c>
      <c r="Z2610" t="s">
        <v>17083</v>
      </c>
      <c r="AA2610" t="s">
        <v>11459</v>
      </c>
      <c r="AB2610" t="s">
        <v>22108</v>
      </c>
      <c r="AC2610">
        <v>2</v>
      </c>
      <c r="AD2610" t="s">
        <v>24600</v>
      </c>
      <c r="AE2610" t="s">
        <v>11459</v>
      </c>
      <c r="AF2610">
        <v>4</v>
      </c>
      <c r="AG2610">
        <v>3</v>
      </c>
      <c r="AH2610">
        <v>2</v>
      </c>
      <c r="AI2610">
        <v>67.95</v>
      </c>
      <c r="AL2610" t="s">
        <v>5011</v>
      </c>
      <c r="AM2610">
        <v>20500</v>
      </c>
      <c r="AP2610" t="s">
        <v>14755</v>
      </c>
      <c r="AQ2610" t="s">
        <v>24988</v>
      </c>
      <c r="AR2610" t="s">
        <v>25050</v>
      </c>
      <c r="AS2610">
        <v>0.5</v>
      </c>
      <c r="AT2610" t="s">
        <v>640</v>
      </c>
      <c r="AU2610" t="s">
        <v>25235</v>
      </c>
      <c r="AV2610" t="s">
        <v>25335</v>
      </c>
      <c r="AW2610" t="s">
        <v>11447</v>
      </c>
    </row>
    <row r="2611" spans="1:49">
      <c r="A2611" s="1">
        <f>HYPERLINK("https://lsnyc.legalserver.org/matter/dynamic-profile/view/1908788","19-1908788")</f>
        <v>0</v>
      </c>
      <c r="B2611" t="s">
        <v>278</v>
      </c>
      <c r="C2611" t="s">
        <v>585</v>
      </c>
      <c r="D2611" t="s">
        <v>540</v>
      </c>
      <c r="E2611" t="s">
        <v>1090</v>
      </c>
      <c r="F2611" t="s">
        <v>4962</v>
      </c>
      <c r="G2611" t="s">
        <v>8114</v>
      </c>
      <c r="H2611" t="s">
        <v>11009</v>
      </c>
      <c r="I2611" t="s">
        <v>11385</v>
      </c>
      <c r="J2611">
        <v>11211</v>
      </c>
      <c r="K2611" t="s">
        <v>11446</v>
      </c>
      <c r="L2611" t="s">
        <v>12354</v>
      </c>
      <c r="M2611" t="s">
        <v>14743</v>
      </c>
      <c r="N2611" t="s">
        <v>14778</v>
      </c>
      <c r="O2611" t="s">
        <v>14786</v>
      </c>
      <c r="P2611" t="s">
        <v>14800</v>
      </c>
      <c r="Q2611" t="s">
        <v>11448</v>
      </c>
      <c r="S2611" t="s">
        <v>14827</v>
      </c>
      <c r="T2611" t="s">
        <v>14832</v>
      </c>
      <c r="U2611" t="s">
        <v>640</v>
      </c>
      <c r="V2611">
        <v>600</v>
      </c>
      <c r="W2611" t="s">
        <v>14859</v>
      </c>
      <c r="X2611" t="s">
        <v>14865</v>
      </c>
      <c r="Y2611" t="s">
        <v>14883</v>
      </c>
      <c r="Z2611" t="s">
        <v>17084</v>
      </c>
      <c r="AA2611" t="s">
        <v>19523</v>
      </c>
      <c r="AB2611" t="s">
        <v>22109</v>
      </c>
      <c r="AC2611">
        <v>35</v>
      </c>
      <c r="AD2611" t="s">
        <v>24595</v>
      </c>
      <c r="AE2611" t="s">
        <v>11459</v>
      </c>
      <c r="AF2611">
        <v>30</v>
      </c>
      <c r="AG2611">
        <v>1</v>
      </c>
      <c r="AH2611">
        <v>0</v>
      </c>
      <c r="AI2611">
        <v>57.36</v>
      </c>
      <c r="AL2611" t="s">
        <v>5011</v>
      </c>
      <c r="AM2611">
        <v>7164</v>
      </c>
      <c r="AP2611" t="s">
        <v>14755</v>
      </c>
      <c r="AQ2611" t="s">
        <v>24988</v>
      </c>
      <c r="AR2611" t="s">
        <v>25015</v>
      </c>
      <c r="AS2611">
        <v>1.7</v>
      </c>
      <c r="AT2611" t="s">
        <v>540</v>
      </c>
      <c r="AU2611" t="s">
        <v>25277</v>
      </c>
      <c r="AV2611" t="s">
        <v>25335</v>
      </c>
      <c r="AW2611" t="s">
        <v>11447</v>
      </c>
    </row>
    <row r="2612" spans="1:49">
      <c r="A2612" s="1">
        <f>HYPERLINK("https://lsnyc.legalserver.org/matter/dynamic-profile/view/1910285","19-1910285")</f>
        <v>0</v>
      </c>
      <c r="B2612" t="s">
        <v>150</v>
      </c>
      <c r="C2612" t="s">
        <v>540</v>
      </c>
      <c r="D2612" t="s">
        <v>508</v>
      </c>
      <c r="E2612" t="s">
        <v>2261</v>
      </c>
      <c r="F2612" t="s">
        <v>4963</v>
      </c>
      <c r="G2612" t="s">
        <v>8115</v>
      </c>
      <c r="H2612" t="s">
        <v>10663</v>
      </c>
      <c r="I2612" t="s">
        <v>11385</v>
      </c>
      <c r="J2612">
        <v>11234</v>
      </c>
      <c r="K2612" t="s">
        <v>11446</v>
      </c>
      <c r="L2612" t="s">
        <v>12355</v>
      </c>
      <c r="M2612" t="s">
        <v>14743</v>
      </c>
      <c r="N2612" t="s">
        <v>14778</v>
      </c>
      <c r="O2612" t="s">
        <v>14786</v>
      </c>
      <c r="P2612" t="s">
        <v>14800</v>
      </c>
      <c r="Q2612" t="s">
        <v>11448</v>
      </c>
      <c r="S2612" t="s">
        <v>14827</v>
      </c>
      <c r="T2612" t="s">
        <v>14832</v>
      </c>
      <c r="U2612" t="s">
        <v>14839</v>
      </c>
      <c r="V2612">
        <v>1350</v>
      </c>
      <c r="W2612" t="s">
        <v>14859</v>
      </c>
      <c r="X2612" t="s">
        <v>14865</v>
      </c>
      <c r="Y2612" t="s">
        <v>14883</v>
      </c>
      <c r="Z2612" t="s">
        <v>17085</v>
      </c>
      <c r="AB2612" t="s">
        <v>22110</v>
      </c>
      <c r="AC2612">
        <v>2</v>
      </c>
      <c r="AD2612" t="s">
        <v>24600</v>
      </c>
      <c r="AE2612" t="s">
        <v>11459</v>
      </c>
      <c r="AF2612">
        <v>9</v>
      </c>
      <c r="AG2612">
        <v>2</v>
      </c>
      <c r="AH2612">
        <v>2</v>
      </c>
      <c r="AI2612">
        <v>178.64</v>
      </c>
      <c r="AL2612" t="s">
        <v>5011</v>
      </c>
      <c r="AM2612">
        <v>46000</v>
      </c>
      <c r="AR2612" t="s">
        <v>25051</v>
      </c>
      <c r="AS2612">
        <v>1</v>
      </c>
      <c r="AT2612" t="s">
        <v>528</v>
      </c>
      <c r="AU2612" t="s">
        <v>25235</v>
      </c>
      <c r="AV2612" t="s">
        <v>25335</v>
      </c>
      <c r="AW2612" t="s">
        <v>11447</v>
      </c>
    </row>
    <row r="2613" spans="1:49">
      <c r="A2613" s="1">
        <f>HYPERLINK("https://lsnyc.legalserver.org/matter/dynamic-profile/view/1910330","19-1910330")</f>
        <v>0</v>
      </c>
      <c r="B2613" t="s">
        <v>133</v>
      </c>
      <c r="C2613" t="s">
        <v>540</v>
      </c>
      <c r="D2613" t="s">
        <v>602</v>
      </c>
      <c r="E2613" t="s">
        <v>1175</v>
      </c>
      <c r="F2613" t="s">
        <v>3684</v>
      </c>
      <c r="G2613" t="s">
        <v>6442</v>
      </c>
      <c r="H2613">
        <v>1</v>
      </c>
      <c r="I2613" t="s">
        <v>11385</v>
      </c>
      <c r="J2613">
        <v>11221</v>
      </c>
      <c r="K2613" t="s">
        <v>11446</v>
      </c>
      <c r="L2613" t="s">
        <v>12356</v>
      </c>
      <c r="M2613" t="s">
        <v>14746</v>
      </c>
      <c r="N2613" t="s">
        <v>14778</v>
      </c>
      <c r="O2613" t="s">
        <v>14786</v>
      </c>
      <c r="P2613" t="s">
        <v>14800</v>
      </c>
      <c r="Q2613" t="s">
        <v>11448</v>
      </c>
      <c r="S2613" t="s">
        <v>14827</v>
      </c>
      <c r="T2613" t="s">
        <v>14835</v>
      </c>
      <c r="U2613" t="s">
        <v>540</v>
      </c>
      <c r="V2613">
        <v>1480</v>
      </c>
      <c r="W2613" t="s">
        <v>14859</v>
      </c>
      <c r="X2613" t="s">
        <v>14865</v>
      </c>
      <c r="Y2613" t="s">
        <v>14883</v>
      </c>
      <c r="Z2613" t="s">
        <v>15068</v>
      </c>
      <c r="AA2613" t="s">
        <v>19524</v>
      </c>
      <c r="AB2613" t="s">
        <v>22111</v>
      </c>
      <c r="AC2613">
        <v>3</v>
      </c>
      <c r="AD2613" t="s">
        <v>24600</v>
      </c>
      <c r="AF2613">
        <v>3</v>
      </c>
      <c r="AG2613">
        <v>1</v>
      </c>
      <c r="AH2613">
        <v>0</v>
      </c>
      <c r="AI2613">
        <v>82.43000000000001</v>
      </c>
      <c r="AL2613" t="s">
        <v>5011</v>
      </c>
      <c r="AM2613">
        <v>10296</v>
      </c>
      <c r="AS2613">
        <v>1</v>
      </c>
      <c r="AT2613" t="s">
        <v>471</v>
      </c>
      <c r="AU2613" t="s">
        <v>25277</v>
      </c>
      <c r="AV2613" t="s">
        <v>25335</v>
      </c>
      <c r="AW2613" t="s">
        <v>11447</v>
      </c>
    </row>
    <row r="2614" spans="1:49">
      <c r="A2614" s="1">
        <f>HYPERLINK("https://lsnyc.legalserver.org/matter/dynamic-profile/view/1895525","19-1895525")</f>
        <v>0</v>
      </c>
      <c r="B2614" t="s">
        <v>139</v>
      </c>
      <c r="C2614" t="s">
        <v>643</v>
      </c>
      <c r="D2614" t="s">
        <v>644</v>
      </c>
      <c r="E2614" t="s">
        <v>1115</v>
      </c>
      <c r="F2614" t="s">
        <v>4964</v>
      </c>
      <c r="G2614" t="s">
        <v>8116</v>
      </c>
      <c r="H2614">
        <v>329</v>
      </c>
      <c r="I2614" t="s">
        <v>11385</v>
      </c>
      <c r="J2614">
        <v>11224</v>
      </c>
      <c r="K2614" t="s">
        <v>11447</v>
      </c>
      <c r="M2614" t="s">
        <v>14753</v>
      </c>
      <c r="N2614" t="s">
        <v>14780</v>
      </c>
      <c r="O2614" t="s">
        <v>14791</v>
      </c>
      <c r="P2614" t="s">
        <v>14800</v>
      </c>
      <c r="S2614" t="s">
        <v>14830</v>
      </c>
      <c r="V2614">
        <v>0</v>
      </c>
      <c r="W2614" t="s">
        <v>14859</v>
      </c>
      <c r="Y2614" t="s">
        <v>14897</v>
      </c>
      <c r="Z2614" t="s">
        <v>17086</v>
      </c>
      <c r="AC2614">
        <v>0</v>
      </c>
      <c r="AE2614" t="s">
        <v>24610</v>
      </c>
      <c r="AF2614">
        <v>0</v>
      </c>
      <c r="AG2614">
        <v>1</v>
      </c>
      <c r="AH2614">
        <v>0</v>
      </c>
      <c r="AI2614">
        <v>83.68000000000001</v>
      </c>
      <c r="AL2614" t="s">
        <v>24636</v>
      </c>
      <c r="AM2614">
        <v>10452</v>
      </c>
      <c r="AS2614">
        <v>12.5</v>
      </c>
      <c r="AT2614" t="s">
        <v>644</v>
      </c>
      <c r="AU2614" t="s">
        <v>139</v>
      </c>
      <c r="AW2614" t="s">
        <v>11447</v>
      </c>
    </row>
    <row r="2615" spans="1:49">
      <c r="A2615" s="1">
        <f>HYPERLINK("https://lsnyc.legalserver.org/matter/dynamic-profile/view/1909806","19-1909806")</f>
        <v>0</v>
      </c>
      <c r="B2615" t="s">
        <v>106</v>
      </c>
      <c r="C2615" t="s">
        <v>640</v>
      </c>
      <c r="D2615" t="s">
        <v>1018</v>
      </c>
      <c r="E2615" t="s">
        <v>1093</v>
      </c>
      <c r="F2615" t="s">
        <v>3718</v>
      </c>
      <c r="G2615" t="s">
        <v>8117</v>
      </c>
      <c r="H2615" t="s">
        <v>10513</v>
      </c>
      <c r="I2615" t="s">
        <v>11385</v>
      </c>
      <c r="J2615">
        <v>11218</v>
      </c>
      <c r="K2615" t="s">
        <v>11446</v>
      </c>
      <c r="L2615" t="s">
        <v>12357</v>
      </c>
      <c r="M2615" t="s">
        <v>14744</v>
      </c>
      <c r="N2615" t="s">
        <v>14778</v>
      </c>
      <c r="O2615" t="s">
        <v>14786</v>
      </c>
      <c r="P2615" t="s">
        <v>14800</v>
      </c>
      <c r="S2615" t="s">
        <v>14827</v>
      </c>
      <c r="U2615" t="s">
        <v>640</v>
      </c>
      <c r="V2615">
        <v>1600</v>
      </c>
      <c r="W2615" t="s">
        <v>14859</v>
      </c>
      <c r="X2615" t="s">
        <v>14865</v>
      </c>
      <c r="Y2615" t="s">
        <v>14883</v>
      </c>
      <c r="Z2615" t="s">
        <v>17087</v>
      </c>
      <c r="AA2615" t="s">
        <v>19525</v>
      </c>
      <c r="AB2615" t="s">
        <v>22112</v>
      </c>
      <c r="AC2615">
        <v>0</v>
      </c>
      <c r="AF2615">
        <v>0</v>
      </c>
      <c r="AG2615">
        <v>1</v>
      </c>
      <c r="AH2615">
        <v>1</v>
      </c>
      <c r="AI2615">
        <v>0</v>
      </c>
      <c r="AL2615" t="s">
        <v>5011</v>
      </c>
      <c r="AM2615">
        <v>0</v>
      </c>
      <c r="AS2615">
        <v>1.7</v>
      </c>
      <c r="AT2615" t="s">
        <v>1018</v>
      </c>
      <c r="AU2615" t="s">
        <v>25277</v>
      </c>
      <c r="AV2615" t="s">
        <v>25335</v>
      </c>
      <c r="AW2615" t="s">
        <v>11447</v>
      </c>
    </row>
    <row r="2616" spans="1:49">
      <c r="A2616" s="1">
        <f>HYPERLINK("https://lsnyc.legalserver.org/matter/dynamic-profile/view/1887431","19-1887431")</f>
        <v>0</v>
      </c>
      <c r="B2616" t="s">
        <v>106</v>
      </c>
      <c r="C2616" t="s">
        <v>772</v>
      </c>
      <c r="D2616" t="s">
        <v>1019</v>
      </c>
      <c r="E2616" t="s">
        <v>1168</v>
      </c>
      <c r="F2616" t="s">
        <v>4965</v>
      </c>
      <c r="G2616" t="s">
        <v>8118</v>
      </c>
      <c r="H2616">
        <v>2</v>
      </c>
      <c r="I2616" t="s">
        <v>11385</v>
      </c>
      <c r="J2616">
        <v>11215</v>
      </c>
      <c r="K2616" t="s">
        <v>11447</v>
      </c>
      <c r="O2616" t="s">
        <v>14786</v>
      </c>
      <c r="P2616" t="s">
        <v>14800</v>
      </c>
      <c r="S2616" t="s">
        <v>14827</v>
      </c>
      <c r="V2616">
        <v>0</v>
      </c>
      <c r="W2616" t="s">
        <v>14859</v>
      </c>
      <c r="Y2616" t="s">
        <v>14883</v>
      </c>
      <c r="Z2616" t="s">
        <v>17088</v>
      </c>
      <c r="AC2616">
        <v>0</v>
      </c>
      <c r="AF2616">
        <v>0</v>
      </c>
      <c r="AG2616">
        <v>2</v>
      </c>
      <c r="AH2616">
        <v>3</v>
      </c>
      <c r="AI2616">
        <v>0</v>
      </c>
      <c r="AL2616" t="s">
        <v>5011</v>
      </c>
      <c r="AM2616">
        <v>0</v>
      </c>
      <c r="AP2616" t="s">
        <v>14755</v>
      </c>
      <c r="AQ2616" t="s">
        <v>24987</v>
      </c>
      <c r="AR2616" t="s">
        <v>25052</v>
      </c>
      <c r="AS2616">
        <v>2.9</v>
      </c>
      <c r="AT2616" t="s">
        <v>656</v>
      </c>
      <c r="AU2616" t="s">
        <v>25304</v>
      </c>
      <c r="AW2616" t="s">
        <v>11447</v>
      </c>
    </row>
    <row r="2617" spans="1:49">
      <c r="A2617" s="1">
        <f>HYPERLINK("https://lsnyc.legalserver.org/matter/dynamic-profile/view/1910808","19-1910808")</f>
        <v>0</v>
      </c>
      <c r="B2617" t="s">
        <v>151</v>
      </c>
      <c r="C2617" t="s">
        <v>601</v>
      </c>
      <c r="D2617" t="s">
        <v>460</v>
      </c>
      <c r="E2617" t="s">
        <v>2393</v>
      </c>
      <c r="F2617" t="s">
        <v>4966</v>
      </c>
      <c r="G2617" t="s">
        <v>8119</v>
      </c>
      <c r="H2617" t="s">
        <v>10465</v>
      </c>
      <c r="I2617" t="s">
        <v>11385</v>
      </c>
      <c r="J2617">
        <v>11214</v>
      </c>
      <c r="K2617" t="s">
        <v>11446</v>
      </c>
      <c r="L2617" t="s">
        <v>12358</v>
      </c>
      <c r="M2617" t="s">
        <v>14744</v>
      </c>
      <c r="N2617" t="s">
        <v>14778</v>
      </c>
      <c r="O2617" t="s">
        <v>14786</v>
      </c>
      <c r="P2617" t="s">
        <v>14800</v>
      </c>
      <c r="Q2617" t="s">
        <v>11448</v>
      </c>
      <c r="S2617" t="s">
        <v>14827</v>
      </c>
      <c r="T2617" t="s">
        <v>14832</v>
      </c>
      <c r="U2617" t="s">
        <v>601</v>
      </c>
      <c r="V2617">
        <v>1350</v>
      </c>
      <c r="W2617" t="s">
        <v>14859</v>
      </c>
      <c r="X2617" t="s">
        <v>14865</v>
      </c>
      <c r="Y2617" t="s">
        <v>14883</v>
      </c>
      <c r="Z2617" t="s">
        <v>17089</v>
      </c>
      <c r="AB2617" t="s">
        <v>22113</v>
      </c>
      <c r="AC2617">
        <v>5</v>
      </c>
      <c r="AD2617" t="s">
        <v>24600</v>
      </c>
      <c r="AE2617" t="s">
        <v>11459</v>
      </c>
      <c r="AF2617">
        <v>2</v>
      </c>
      <c r="AG2617">
        <v>1</v>
      </c>
      <c r="AH2617">
        <v>0</v>
      </c>
      <c r="AI2617">
        <v>98.56999999999999</v>
      </c>
      <c r="AL2617" t="s">
        <v>5011</v>
      </c>
      <c r="AM2617">
        <v>12312</v>
      </c>
      <c r="AS2617">
        <v>0.5</v>
      </c>
      <c r="AT2617" t="s">
        <v>604</v>
      </c>
      <c r="AU2617" t="s">
        <v>25277</v>
      </c>
      <c r="AV2617" t="s">
        <v>25335</v>
      </c>
      <c r="AW2617" t="s">
        <v>11447</v>
      </c>
    </row>
    <row r="2618" spans="1:49">
      <c r="A2618" s="1">
        <f>HYPERLINK("https://lsnyc.legalserver.org/matter/dynamic-profile/view/1909765","19-1909765")</f>
        <v>0</v>
      </c>
      <c r="B2618" t="s">
        <v>198</v>
      </c>
      <c r="C2618" t="s">
        <v>519</v>
      </c>
      <c r="D2618" t="s">
        <v>645</v>
      </c>
      <c r="E2618" t="s">
        <v>2394</v>
      </c>
      <c r="F2618" t="s">
        <v>3796</v>
      </c>
      <c r="G2618" t="s">
        <v>8120</v>
      </c>
      <c r="I2618" t="s">
        <v>11385</v>
      </c>
      <c r="J2618">
        <v>11236</v>
      </c>
      <c r="K2618" t="s">
        <v>11446</v>
      </c>
      <c r="L2618" t="s">
        <v>12359</v>
      </c>
      <c r="M2618" t="s">
        <v>14744</v>
      </c>
      <c r="N2618" t="s">
        <v>14782</v>
      </c>
      <c r="O2618" t="s">
        <v>14786</v>
      </c>
      <c r="P2618" t="s">
        <v>14800</v>
      </c>
      <c r="S2618" t="s">
        <v>14827</v>
      </c>
      <c r="U2618" t="s">
        <v>519</v>
      </c>
      <c r="V2618">
        <v>0</v>
      </c>
      <c r="W2618" t="s">
        <v>14859</v>
      </c>
      <c r="X2618" t="s">
        <v>14865</v>
      </c>
      <c r="Y2618" t="s">
        <v>14883</v>
      </c>
      <c r="Z2618" t="s">
        <v>17090</v>
      </c>
      <c r="AB2618" t="s">
        <v>22114</v>
      </c>
      <c r="AC2618">
        <v>0</v>
      </c>
      <c r="AF2618">
        <v>0</v>
      </c>
      <c r="AG2618">
        <v>1</v>
      </c>
      <c r="AH2618">
        <v>1</v>
      </c>
      <c r="AI2618">
        <v>72.51000000000001</v>
      </c>
      <c r="AL2618" t="s">
        <v>5011</v>
      </c>
      <c r="AM2618">
        <v>12262</v>
      </c>
      <c r="AS2618">
        <v>0.5</v>
      </c>
      <c r="AT2618" t="s">
        <v>488</v>
      </c>
      <c r="AU2618" t="s">
        <v>25235</v>
      </c>
      <c r="AV2618" t="s">
        <v>25335</v>
      </c>
      <c r="AW2618" t="s">
        <v>11447</v>
      </c>
    </row>
    <row r="2619" spans="1:49">
      <c r="A2619" s="1">
        <f>HYPERLINK("https://lsnyc.legalserver.org/matter/dynamic-profile/view/1910860","19-1910860")</f>
        <v>0</v>
      </c>
      <c r="B2619" t="s">
        <v>270</v>
      </c>
      <c r="C2619" t="s">
        <v>601</v>
      </c>
      <c r="D2619" t="s">
        <v>1020</v>
      </c>
      <c r="E2619" t="s">
        <v>1106</v>
      </c>
      <c r="F2619" t="s">
        <v>4967</v>
      </c>
      <c r="G2619" t="s">
        <v>8121</v>
      </c>
      <c r="H2619" t="s">
        <v>11010</v>
      </c>
      <c r="I2619" t="s">
        <v>11385</v>
      </c>
      <c r="J2619">
        <v>11225</v>
      </c>
      <c r="K2619" t="s">
        <v>11447</v>
      </c>
      <c r="M2619" t="s">
        <v>14744</v>
      </c>
      <c r="N2619" t="s">
        <v>14781</v>
      </c>
      <c r="O2619" t="s">
        <v>14788</v>
      </c>
      <c r="P2619" t="s">
        <v>14800</v>
      </c>
      <c r="S2619" t="s">
        <v>14827</v>
      </c>
      <c r="V2619">
        <v>780</v>
      </c>
      <c r="W2619" t="s">
        <v>14859</v>
      </c>
      <c r="Y2619" t="s">
        <v>14887</v>
      </c>
      <c r="Z2619" t="s">
        <v>17091</v>
      </c>
      <c r="AB2619" t="s">
        <v>22115</v>
      </c>
      <c r="AC2619">
        <v>0</v>
      </c>
      <c r="AD2619" t="s">
        <v>24595</v>
      </c>
      <c r="AF2619">
        <v>0</v>
      </c>
      <c r="AG2619">
        <v>1</v>
      </c>
      <c r="AH2619">
        <v>0</v>
      </c>
      <c r="AI2619">
        <v>36.03</v>
      </c>
      <c r="AL2619" t="s">
        <v>5011</v>
      </c>
      <c r="AM2619">
        <v>4500</v>
      </c>
      <c r="AS2619">
        <v>1.25</v>
      </c>
      <c r="AT2619" t="s">
        <v>1020</v>
      </c>
      <c r="AU2619" t="s">
        <v>270</v>
      </c>
      <c r="AW2619" t="s">
        <v>11447</v>
      </c>
    </row>
    <row r="2620" spans="1:49">
      <c r="A2620" s="1">
        <f>HYPERLINK("https://lsnyc.legalserver.org/matter/dynamic-profile/view/1911266","19-1911266")</f>
        <v>0</v>
      </c>
      <c r="B2620" t="s">
        <v>151</v>
      </c>
      <c r="C2620" t="s">
        <v>467</v>
      </c>
      <c r="D2620" t="s">
        <v>472</v>
      </c>
      <c r="E2620" t="s">
        <v>2395</v>
      </c>
      <c r="F2620" t="s">
        <v>4968</v>
      </c>
      <c r="G2620" t="s">
        <v>8122</v>
      </c>
      <c r="H2620" t="s">
        <v>10888</v>
      </c>
      <c r="I2620" t="s">
        <v>11385</v>
      </c>
      <c r="J2620">
        <v>11235</v>
      </c>
      <c r="K2620" t="s">
        <v>11446</v>
      </c>
      <c r="L2620" t="s">
        <v>12360</v>
      </c>
      <c r="M2620" t="s">
        <v>14744</v>
      </c>
      <c r="N2620" t="s">
        <v>14778</v>
      </c>
      <c r="O2620" t="s">
        <v>14786</v>
      </c>
      <c r="P2620" t="s">
        <v>14800</v>
      </c>
      <c r="Q2620" t="s">
        <v>11448</v>
      </c>
      <c r="S2620" t="s">
        <v>14827</v>
      </c>
      <c r="T2620" t="s">
        <v>14832</v>
      </c>
      <c r="U2620" t="s">
        <v>663</v>
      </c>
      <c r="V2620">
        <v>0</v>
      </c>
      <c r="W2620" t="s">
        <v>14859</v>
      </c>
      <c r="X2620" t="s">
        <v>14865</v>
      </c>
      <c r="Y2620" t="s">
        <v>14883</v>
      </c>
      <c r="Z2620" t="s">
        <v>17092</v>
      </c>
      <c r="AB2620" t="s">
        <v>22116</v>
      </c>
      <c r="AC2620">
        <v>2</v>
      </c>
      <c r="AD2620" t="s">
        <v>24600</v>
      </c>
      <c r="AF2620">
        <v>3</v>
      </c>
      <c r="AG2620">
        <v>2</v>
      </c>
      <c r="AH2620">
        <v>3</v>
      </c>
      <c r="AI2620">
        <v>46.4</v>
      </c>
      <c r="AL2620" t="s">
        <v>5011</v>
      </c>
      <c r="AM2620">
        <v>14000</v>
      </c>
      <c r="AS2620">
        <v>0.4</v>
      </c>
      <c r="AT2620" t="s">
        <v>586</v>
      </c>
      <c r="AU2620" t="s">
        <v>25285</v>
      </c>
      <c r="AV2620" t="s">
        <v>25335</v>
      </c>
      <c r="AW2620" t="s">
        <v>11447</v>
      </c>
    </row>
    <row r="2621" spans="1:49">
      <c r="A2621" s="1">
        <f>HYPERLINK("https://lsnyc.legalserver.org/matter/dynamic-profile/view/1911041","19-1911041")</f>
        <v>0</v>
      </c>
      <c r="B2621" t="s">
        <v>151</v>
      </c>
      <c r="C2621" t="s">
        <v>460</v>
      </c>
      <c r="D2621" t="s">
        <v>472</v>
      </c>
      <c r="E2621" t="s">
        <v>2396</v>
      </c>
      <c r="F2621" t="s">
        <v>4969</v>
      </c>
      <c r="G2621" t="s">
        <v>8123</v>
      </c>
      <c r="H2621">
        <v>739</v>
      </c>
      <c r="I2621" t="s">
        <v>11385</v>
      </c>
      <c r="J2621">
        <v>11224</v>
      </c>
      <c r="K2621" t="s">
        <v>11446</v>
      </c>
      <c r="L2621" t="s">
        <v>12361</v>
      </c>
      <c r="M2621" t="s">
        <v>14746</v>
      </c>
      <c r="N2621" t="s">
        <v>14778</v>
      </c>
      <c r="O2621" t="s">
        <v>14786</v>
      </c>
      <c r="P2621" t="s">
        <v>14800</v>
      </c>
      <c r="S2621" t="s">
        <v>14827</v>
      </c>
      <c r="U2621" t="s">
        <v>460</v>
      </c>
      <c r="V2621">
        <v>0</v>
      </c>
      <c r="W2621" t="s">
        <v>14859</v>
      </c>
      <c r="Y2621" t="s">
        <v>14883</v>
      </c>
      <c r="Z2621" t="s">
        <v>17093</v>
      </c>
      <c r="AB2621" t="s">
        <v>22117</v>
      </c>
      <c r="AC2621">
        <v>0</v>
      </c>
      <c r="AF2621">
        <v>0</v>
      </c>
      <c r="AG2621">
        <v>1</v>
      </c>
      <c r="AH2621">
        <v>2</v>
      </c>
      <c r="AI2621">
        <v>0</v>
      </c>
      <c r="AL2621" t="s">
        <v>5011</v>
      </c>
      <c r="AM2621">
        <v>0</v>
      </c>
      <c r="AS2621">
        <v>0.5</v>
      </c>
      <c r="AT2621" t="s">
        <v>460</v>
      </c>
      <c r="AU2621" t="s">
        <v>25235</v>
      </c>
      <c r="AV2621" t="s">
        <v>25335</v>
      </c>
      <c r="AW2621" t="s">
        <v>11447</v>
      </c>
    </row>
    <row r="2622" spans="1:49">
      <c r="A2622" s="1">
        <f>HYPERLINK("https://lsnyc.legalserver.org/matter/dynamic-profile/view/1911149","19-1911149")</f>
        <v>0</v>
      </c>
      <c r="B2622" t="s">
        <v>151</v>
      </c>
      <c r="C2622" t="s">
        <v>475</v>
      </c>
      <c r="D2622" t="s">
        <v>472</v>
      </c>
      <c r="E2622" t="s">
        <v>2397</v>
      </c>
      <c r="F2622" t="s">
        <v>4970</v>
      </c>
      <c r="G2622" t="s">
        <v>8124</v>
      </c>
      <c r="H2622" t="s">
        <v>11011</v>
      </c>
      <c r="I2622" t="s">
        <v>11385</v>
      </c>
      <c r="J2622">
        <v>11225</v>
      </c>
      <c r="K2622" t="s">
        <v>11446</v>
      </c>
      <c r="L2622" t="s">
        <v>12362</v>
      </c>
      <c r="M2622" t="s">
        <v>14746</v>
      </c>
      <c r="N2622" t="s">
        <v>14778</v>
      </c>
      <c r="O2622" t="s">
        <v>14786</v>
      </c>
      <c r="P2622" t="s">
        <v>14800</v>
      </c>
      <c r="S2622" t="s">
        <v>14829</v>
      </c>
      <c r="U2622" t="s">
        <v>475</v>
      </c>
      <c r="V2622">
        <v>725.97</v>
      </c>
      <c r="W2622" t="s">
        <v>14859</v>
      </c>
      <c r="X2622" t="s">
        <v>14865</v>
      </c>
      <c r="Y2622" t="s">
        <v>14883</v>
      </c>
      <c r="Z2622" t="s">
        <v>17094</v>
      </c>
      <c r="AB2622" t="s">
        <v>22118</v>
      </c>
      <c r="AC2622">
        <v>0</v>
      </c>
      <c r="AF2622">
        <v>0</v>
      </c>
      <c r="AG2622">
        <v>1</v>
      </c>
      <c r="AH2622">
        <v>0</v>
      </c>
      <c r="AI2622">
        <v>0</v>
      </c>
      <c r="AL2622" t="s">
        <v>5011</v>
      </c>
      <c r="AM2622">
        <v>0</v>
      </c>
      <c r="AS2622">
        <v>0.5</v>
      </c>
      <c r="AT2622" t="s">
        <v>586</v>
      </c>
      <c r="AU2622" t="s">
        <v>25275</v>
      </c>
      <c r="AV2622" t="s">
        <v>25335</v>
      </c>
      <c r="AW2622" t="s">
        <v>11447</v>
      </c>
    </row>
    <row r="2623" spans="1:49">
      <c r="A2623" s="1">
        <f>HYPERLINK("https://lsnyc.legalserver.org/matter/dynamic-profile/view/1911310","19-1911310")</f>
        <v>0</v>
      </c>
      <c r="B2623" t="s">
        <v>151</v>
      </c>
      <c r="C2623" t="s">
        <v>511</v>
      </c>
      <c r="D2623" t="s">
        <v>472</v>
      </c>
      <c r="E2623" t="s">
        <v>2398</v>
      </c>
      <c r="F2623" t="s">
        <v>4971</v>
      </c>
      <c r="G2623" t="s">
        <v>8125</v>
      </c>
      <c r="H2623" t="s">
        <v>10460</v>
      </c>
      <c r="I2623" t="s">
        <v>11385</v>
      </c>
      <c r="J2623">
        <v>11204</v>
      </c>
      <c r="K2623" t="s">
        <v>11446</v>
      </c>
      <c r="L2623" t="s">
        <v>12363</v>
      </c>
      <c r="M2623" t="s">
        <v>14744</v>
      </c>
      <c r="N2623" t="s">
        <v>14778</v>
      </c>
      <c r="O2623" t="s">
        <v>14786</v>
      </c>
      <c r="P2623" t="s">
        <v>14800</v>
      </c>
      <c r="S2623" t="s">
        <v>14827</v>
      </c>
      <c r="U2623" t="s">
        <v>511</v>
      </c>
      <c r="V2623">
        <v>1380</v>
      </c>
      <c r="W2623" t="s">
        <v>14859</v>
      </c>
      <c r="Y2623" t="s">
        <v>14883</v>
      </c>
      <c r="Z2623" t="s">
        <v>17095</v>
      </c>
      <c r="AA2623" t="s">
        <v>19526</v>
      </c>
      <c r="AB2623" t="s">
        <v>22119</v>
      </c>
      <c r="AC2623">
        <v>0</v>
      </c>
      <c r="AF2623">
        <v>0</v>
      </c>
      <c r="AG2623">
        <v>2</v>
      </c>
      <c r="AH2623">
        <v>2</v>
      </c>
      <c r="AI2623">
        <v>42.41</v>
      </c>
      <c r="AL2623" t="s">
        <v>5011</v>
      </c>
      <c r="AM2623">
        <v>10920</v>
      </c>
      <c r="AS2623">
        <v>1</v>
      </c>
      <c r="AT2623" t="s">
        <v>586</v>
      </c>
      <c r="AU2623" t="s">
        <v>25277</v>
      </c>
      <c r="AV2623" t="s">
        <v>25335</v>
      </c>
      <c r="AW2623" t="s">
        <v>11447</v>
      </c>
    </row>
    <row r="2624" spans="1:49">
      <c r="A2624" s="1">
        <f>HYPERLINK("https://lsnyc.legalserver.org/matter/dynamic-profile/view/1911247","19-1911247")</f>
        <v>0</v>
      </c>
      <c r="B2624" t="s">
        <v>151</v>
      </c>
      <c r="C2624" t="s">
        <v>511</v>
      </c>
      <c r="D2624" t="s">
        <v>472</v>
      </c>
      <c r="E2624" t="s">
        <v>1146</v>
      </c>
      <c r="F2624" t="s">
        <v>2218</v>
      </c>
      <c r="G2624" t="s">
        <v>8126</v>
      </c>
      <c r="H2624" t="s">
        <v>10848</v>
      </c>
      <c r="I2624" t="s">
        <v>11385</v>
      </c>
      <c r="J2624">
        <v>11220</v>
      </c>
      <c r="K2624" t="s">
        <v>11446</v>
      </c>
      <c r="L2624" t="s">
        <v>12364</v>
      </c>
      <c r="M2624" t="s">
        <v>14743</v>
      </c>
      <c r="N2624" t="s">
        <v>14781</v>
      </c>
      <c r="O2624" t="s">
        <v>14786</v>
      </c>
      <c r="P2624" t="s">
        <v>14800</v>
      </c>
      <c r="Q2624" t="s">
        <v>11448</v>
      </c>
      <c r="S2624" t="s">
        <v>14827</v>
      </c>
      <c r="U2624" t="s">
        <v>511</v>
      </c>
      <c r="V2624">
        <v>0</v>
      </c>
      <c r="W2624" t="s">
        <v>14859</v>
      </c>
      <c r="X2624" t="s">
        <v>14881</v>
      </c>
      <c r="Y2624" t="s">
        <v>14883</v>
      </c>
      <c r="Z2624" t="s">
        <v>17096</v>
      </c>
      <c r="AB2624" t="s">
        <v>22120</v>
      </c>
      <c r="AC2624">
        <v>0</v>
      </c>
      <c r="AF2624">
        <v>0</v>
      </c>
      <c r="AG2624">
        <v>1</v>
      </c>
      <c r="AH2624">
        <v>0</v>
      </c>
      <c r="AI2624">
        <v>145.72</v>
      </c>
      <c r="AL2624" t="s">
        <v>5011</v>
      </c>
      <c r="AM2624">
        <v>18200</v>
      </c>
      <c r="AS2624">
        <v>0.2</v>
      </c>
      <c r="AT2624" t="s">
        <v>586</v>
      </c>
      <c r="AU2624" t="s">
        <v>25285</v>
      </c>
      <c r="AV2624" t="s">
        <v>25335</v>
      </c>
      <c r="AW2624" t="s">
        <v>11447</v>
      </c>
    </row>
    <row r="2625" spans="1:49">
      <c r="A2625" s="1">
        <f>HYPERLINK("https://lsnyc.legalserver.org/matter/dynamic-profile/view/1911263","19-1911263")</f>
        <v>0</v>
      </c>
      <c r="B2625" t="s">
        <v>151</v>
      </c>
      <c r="C2625" t="s">
        <v>511</v>
      </c>
      <c r="D2625" t="s">
        <v>472</v>
      </c>
      <c r="E2625" t="s">
        <v>2399</v>
      </c>
      <c r="F2625" t="s">
        <v>4690</v>
      </c>
      <c r="G2625" t="s">
        <v>8127</v>
      </c>
      <c r="H2625" t="s">
        <v>10894</v>
      </c>
      <c r="I2625" t="s">
        <v>11385</v>
      </c>
      <c r="J2625">
        <v>11226</v>
      </c>
      <c r="K2625" t="s">
        <v>11446</v>
      </c>
      <c r="L2625" t="s">
        <v>12365</v>
      </c>
      <c r="M2625" t="s">
        <v>14746</v>
      </c>
      <c r="N2625" t="s">
        <v>14782</v>
      </c>
      <c r="O2625" t="s">
        <v>14786</v>
      </c>
      <c r="P2625" t="s">
        <v>14800</v>
      </c>
      <c r="Q2625" t="s">
        <v>11448</v>
      </c>
      <c r="S2625" t="s">
        <v>14827</v>
      </c>
      <c r="U2625" t="s">
        <v>511</v>
      </c>
      <c r="V2625">
        <v>0</v>
      </c>
      <c r="W2625" t="s">
        <v>14859</v>
      </c>
      <c r="Y2625" t="s">
        <v>14883</v>
      </c>
      <c r="Z2625" t="s">
        <v>17097</v>
      </c>
      <c r="AB2625" t="s">
        <v>22121</v>
      </c>
      <c r="AC2625">
        <v>0</v>
      </c>
      <c r="AF2625">
        <v>0</v>
      </c>
      <c r="AG2625">
        <v>1</v>
      </c>
      <c r="AH2625">
        <v>0</v>
      </c>
      <c r="AI2625">
        <v>184.44</v>
      </c>
      <c r="AL2625" t="s">
        <v>5011</v>
      </c>
      <c r="AM2625">
        <v>23036</v>
      </c>
      <c r="AS2625">
        <v>0.1</v>
      </c>
      <c r="AT2625" t="s">
        <v>511</v>
      </c>
      <c r="AU2625" t="s">
        <v>25246</v>
      </c>
      <c r="AV2625" t="s">
        <v>25335</v>
      </c>
      <c r="AW2625" t="s">
        <v>11447</v>
      </c>
    </row>
    <row r="2626" spans="1:49">
      <c r="A2626" s="1">
        <f>HYPERLINK("https://lsnyc.legalserver.org/matter/dynamic-profile/view/1911841","19-1911841")</f>
        <v>0</v>
      </c>
      <c r="B2626" t="s">
        <v>151</v>
      </c>
      <c r="C2626" t="s">
        <v>645</v>
      </c>
      <c r="D2626" t="s">
        <v>472</v>
      </c>
      <c r="E2626" t="s">
        <v>1835</v>
      </c>
      <c r="F2626" t="s">
        <v>4456</v>
      </c>
      <c r="G2626" t="s">
        <v>8128</v>
      </c>
      <c r="H2626" t="s">
        <v>11012</v>
      </c>
      <c r="I2626" t="s">
        <v>11385</v>
      </c>
      <c r="J2626">
        <v>11201</v>
      </c>
      <c r="K2626" t="s">
        <v>11446</v>
      </c>
      <c r="L2626" t="s">
        <v>12366</v>
      </c>
      <c r="M2626" t="s">
        <v>14743</v>
      </c>
      <c r="N2626" t="s">
        <v>14778</v>
      </c>
      <c r="O2626" t="s">
        <v>14786</v>
      </c>
      <c r="P2626" t="s">
        <v>14800</v>
      </c>
      <c r="S2626" t="s">
        <v>14827</v>
      </c>
      <c r="U2626" t="s">
        <v>645</v>
      </c>
      <c r="V2626">
        <v>750</v>
      </c>
      <c r="W2626" t="s">
        <v>14859</v>
      </c>
      <c r="Y2626" t="s">
        <v>14883</v>
      </c>
      <c r="Z2626" t="s">
        <v>17098</v>
      </c>
      <c r="AB2626" t="s">
        <v>22122</v>
      </c>
      <c r="AC2626">
        <v>0</v>
      </c>
      <c r="AF2626">
        <v>0</v>
      </c>
      <c r="AG2626">
        <v>2</v>
      </c>
      <c r="AH2626">
        <v>0</v>
      </c>
      <c r="AI2626">
        <v>53.22</v>
      </c>
      <c r="AL2626" t="s">
        <v>5011</v>
      </c>
      <c r="AM2626">
        <v>9000</v>
      </c>
      <c r="AS2626">
        <v>1.2</v>
      </c>
      <c r="AT2626" t="s">
        <v>586</v>
      </c>
      <c r="AU2626" t="s">
        <v>25277</v>
      </c>
      <c r="AV2626" t="s">
        <v>25335</v>
      </c>
      <c r="AW2626" t="s">
        <v>11447</v>
      </c>
    </row>
    <row r="2627" spans="1:49">
      <c r="A2627" s="1">
        <f>HYPERLINK("https://lsnyc.legalserver.org/matter/dynamic-profile/view/1912078","19-1912078")</f>
        <v>0</v>
      </c>
      <c r="B2627" t="s">
        <v>151</v>
      </c>
      <c r="C2627" t="s">
        <v>551</v>
      </c>
      <c r="D2627" t="s">
        <v>472</v>
      </c>
      <c r="E2627" t="s">
        <v>2400</v>
      </c>
      <c r="F2627" t="s">
        <v>4972</v>
      </c>
      <c r="G2627" t="s">
        <v>8129</v>
      </c>
      <c r="I2627" t="s">
        <v>11385</v>
      </c>
      <c r="J2627">
        <v>11238</v>
      </c>
      <c r="K2627" t="s">
        <v>11446</v>
      </c>
      <c r="L2627" t="s">
        <v>12367</v>
      </c>
      <c r="M2627" t="s">
        <v>14746</v>
      </c>
      <c r="N2627" t="s">
        <v>14778</v>
      </c>
      <c r="O2627" t="s">
        <v>14786</v>
      </c>
      <c r="P2627" t="s">
        <v>14800</v>
      </c>
      <c r="S2627" t="s">
        <v>14827</v>
      </c>
      <c r="U2627" t="s">
        <v>551</v>
      </c>
      <c r="V2627">
        <v>2500</v>
      </c>
      <c r="W2627" t="s">
        <v>14859</v>
      </c>
      <c r="Y2627" t="s">
        <v>14883</v>
      </c>
      <c r="Z2627" t="s">
        <v>16296</v>
      </c>
      <c r="AB2627" t="s">
        <v>22123</v>
      </c>
      <c r="AC2627">
        <v>0</v>
      </c>
      <c r="AF2627">
        <v>0</v>
      </c>
      <c r="AG2627">
        <v>1</v>
      </c>
      <c r="AH2627">
        <v>0</v>
      </c>
      <c r="AI2627">
        <v>0</v>
      </c>
      <c r="AL2627" t="s">
        <v>5011</v>
      </c>
      <c r="AM2627">
        <v>0</v>
      </c>
      <c r="AS2627">
        <v>0.3</v>
      </c>
      <c r="AT2627" t="s">
        <v>472</v>
      </c>
      <c r="AU2627" t="s">
        <v>25277</v>
      </c>
      <c r="AV2627" t="s">
        <v>25335</v>
      </c>
      <c r="AW2627" t="s">
        <v>11447</v>
      </c>
    </row>
    <row r="2628" spans="1:49">
      <c r="A2628" s="1">
        <f>HYPERLINK("https://lsnyc.legalserver.org/matter/dynamic-profile/view/1912129","19-1912129")</f>
        <v>0</v>
      </c>
      <c r="B2628" t="s">
        <v>151</v>
      </c>
      <c r="C2628" t="s">
        <v>551</v>
      </c>
      <c r="D2628" t="s">
        <v>472</v>
      </c>
      <c r="E2628" t="s">
        <v>1610</v>
      </c>
      <c r="F2628" t="s">
        <v>3885</v>
      </c>
      <c r="G2628" t="s">
        <v>8130</v>
      </c>
      <c r="H2628" t="s">
        <v>10486</v>
      </c>
      <c r="I2628" t="s">
        <v>11385</v>
      </c>
      <c r="J2628">
        <v>11234</v>
      </c>
      <c r="K2628" t="s">
        <v>11446</v>
      </c>
      <c r="L2628" t="s">
        <v>12368</v>
      </c>
      <c r="M2628" t="s">
        <v>14743</v>
      </c>
      <c r="N2628" t="s">
        <v>14778</v>
      </c>
      <c r="O2628" t="s">
        <v>14786</v>
      </c>
      <c r="P2628" t="s">
        <v>14800</v>
      </c>
      <c r="S2628" t="s">
        <v>14827</v>
      </c>
      <c r="U2628" t="s">
        <v>551</v>
      </c>
      <c r="V2628">
        <v>1250</v>
      </c>
      <c r="W2628" t="s">
        <v>14859</v>
      </c>
      <c r="X2628" t="s">
        <v>14865</v>
      </c>
      <c r="Y2628" t="s">
        <v>14883</v>
      </c>
      <c r="Z2628" t="s">
        <v>17099</v>
      </c>
      <c r="AA2628">
        <v>371551501</v>
      </c>
      <c r="AB2628" t="s">
        <v>22124</v>
      </c>
      <c r="AC2628">
        <v>0</v>
      </c>
      <c r="AF2628">
        <v>0</v>
      </c>
      <c r="AG2628">
        <v>1</v>
      </c>
      <c r="AH2628">
        <v>0</v>
      </c>
      <c r="AI2628">
        <v>5.67</v>
      </c>
      <c r="AL2628" t="s">
        <v>5011</v>
      </c>
      <c r="AM2628">
        <v>708</v>
      </c>
      <c r="AS2628">
        <v>0.3</v>
      </c>
      <c r="AT2628" t="s">
        <v>472</v>
      </c>
      <c r="AU2628" t="s">
        <v>25277</v>
      </c>
      <c r="AV2628" t="s">
        <v>25335</v>
      </c>
      <c r="AW2628" t="s">
        <v>11447</v>
      </c>
    </row>
    <row r="2629" spans="1:49">
      <c r="A2629" s="1">
        <f>HYPERLINK("https://lsnyc.legalserver.org/matter/dynamic-profile/view/1897420","19-1897420")</f>
        <v>0</v>
      </c>
      <c r="B2629" t="s">
        <v>238</v>
      </c>
      <c r="C2629" t="s">
        <v>773</v>
      </c>
      <c r="D2629" t="s">
        <v>578</v>
      </c>
      <c r="E2629" t="s">
        <v>1247</v>
      </c>
      <c r="F2629" t="s">
        <v>4973</v>
      </c>
      <c r="G2629" t="s">
        <v>8131</v>
      </c>
      <c r="H2629" t="s">
        <v>11013</v>
      </c>
      <c r="I2629" t="s">
        <v>11385</v>
      </c>
      <c r="J2629">
        <v>11217</v>
      </c>
      <c r="K2629" t="s">
        <v>11448</v>
      </c>
      <c r="L2629" t="s">
        <v>12369</v>
      </c>
      <c r="M2629" t="s">
        <v>14743</v>
      </c>
      <c r="N2629" t="s">
        <v>14781</v>
      </c>
      <c r="O2629" t="s">
        <v>14788</v>
      </c>
      <c r="P2629" t="s">
        <v>14800</v>
      </c>
      <c r="S2629" t="s">
        <v>14828</v>
      </c>
      <c r="V2629">
        <v>422</v>
      </c>
      <c r="W2629" t="s">
        <v>14859</v>
      </c>
      <c r="X2629" t="s">
        <v>14877</v>
      </c>
      <c r="Y2629" t="s">
        <v>14894</v>
      </c>
      <c r="Z2629" t="s">
        <v>17100</v>
      </c>
      <c r="AC2629">
        <v>78</v>
      </c>
      <c r="AF2629">
        <v>5</v>
      </c>
      <c r="AG2629">
        <v>3</v>
      </c>
      <c r="AH2629">
        <v>0</v>
      </c>
      <c r="AI2629">
        <v>10.24</v>
      </c>
      <c r="AL2629" t="s">
        <v>5011</v>
      </c>
      <c r="AM2629">
        <v>2184</v>
      </c>
      <c r="AS2629">
        <v>3.55</v>
      </c>
      <c r="AT2629" t="s">
        <v>645</v>
      </c>
      <c r="AU2629" t="s">
        <v>25275</v>
      </c>
      <c r="AW2629" t="s">
        <v>11448</v>
      </c>
    </row>
    <row r="2630" spans="1:49">
      <c r="A2630" s="1">
        <f>HYPERLINK("https://lsnyc.legalserver.org/matter/dynamic-profile/view/1911973","19-1911973")</f>
        <v>0</v>
      </c>
      <c r="B2630" t="s">
        <v>262</v>
      </c>
      <c r="C2630" t="s">
        <v>586</v>
      </c>
      <c r="D2630" t="s">
        <v>470</v>
      </c>
      <c r="E2630" t="s">
        <v>1982</v>
      </c>
      <c r="F2630" t="s">
        <v>4013</v>
      </c>
      <c r="G2630" t="s">
        <v>8132</v>
      </c>
      <c r="H2630" t="s">
        <v>10575</v>
      </c>
      <c r="I2630" t="s">
        <v>11385</v>
      </c>
      <c r="J2630">
        <v>11219</v>
      </c>
      <c r="K2630" t="s">
        <v>11446</v>
      </c>
      <c r="L2630" t="s">
        <v>12370</v>
      </c>
      <c r="M2630" t="s">
        <v>14743</v>
      </c>
      <c r="N2630" t="s">
        <v>14778</v>
      </c>
      <c r="O2630" t="s">
        <v>14786</v>
      </c>
      <c r="P2630" t="s">
        <v>14800</v>
      </c>
      <c r="Q2630" t="s">
        <v>11448</v>
      </c>
      <c r="S2630" t="s">
        <v>14827</v>
      </c>
      <c r="U2630" t="s">
        <v>604</v>
      </c>
      <c r="V2630">
        <v>0</v>
      </c>
      <c r="W2630" t="s">
        <v>14859</v>
      </c>
      <c r="X2630" t="s">
        <v>14865</v>
      </c>
      <c r="Y2630" t="s">
        <v>14883</v>
      </c>
      <c r="Z2630" t="s">
        <v>17101</v>
      </c>
      <c r="AB2630" t="s">
        <v>22125</v>
      </c>
      <c r="AC2630">
        <v>0</v>
      </c>
      <c r="AF2630">
        <v>0</v>
      </c>
      <c r="AG2630">
        <v>2</v>
      </c>
      <c r="AH2630">
        <v>4</v>
      </c>
      <c r="AI2630">
        <v>80.95</v>
      </c>
      <c r="AL2630" t="s">
        <v>5011</v>
      </c>
      <c r="AM2630">
        <v>28000</v>
      </c>
      <c r="AS2630">
        <v>0.2</v>
      </c>
      <c r="AT2630" t="s">
        <v>470</v>
      </c>
      <c r="AU2630" t="s">
        <v>25285</v>
      </c>
      <c r="AV2630" t="s">
        <v>25335</v>
      </c>
      <c r="AW2630" t="s">
        <v>11447</v>
      </c>
    </row>
    <row r="2631" spans="1:49">
      <c r="A2631" s="1">
        <f>HYPERLINK("https://lsnyc.legalserver.org/matter/dynamic-profile/view/1912279","19-1912279")</f>
        <v>0</v>
      </c>
      <c r="B2631" t="s">
        <v>150</v>
      </c>
      <c r="C2631" t="s">
        <v>559</v>
      </c>
      <c r="D2631" t="s">
        <v>574</v>
      </c>
      <c r="E2631" t="s">
        <v>1228</v>
      </c>
      <c r="F2631" t="s">
        <v>4471</v>
      </c>
      <c r="G2631" t="s">
        <v>8133</v>
      </c>
      <c r="H2631" t="s">
        <v>10757</v>
      </c>
      <c r="I2631" t="s">
        <v>11385</v>
      </c>
      <c r="J2631">
        <v>11213</v>
      </c>
      <c r="K2631" t="s">
        <v>11446</v>
      </c>
      <c r="L2631" t="s">
        <v>12371</v>
      </c>
      <c r="M2631" t="s">
        <v>14744</v>
      </c>
      <c r="N2631" t="s">
        <v>14778</v>
      </c>
      <c r="O2631" t="s">
        <v>14786</v>
      </c>
      <c r="P2631" t="s">
        <v>14800</v>
      </c>
      <c r="Q2631" t="s">
        <v>11448</v>
      </c>
      <c r="S2631" t="s">
        <v>14827</v>
      </c>
      <c r="T2631" t="s">
        <v>14834</v>
      </c>
      <c r="U2631" t="s">
        <v>559</v>
      </c>
      <c r="V2631">
        <v>1700</v>
      </c>
      <c r="W2631" t="s">
        <v>14859</v>
      </c>
      <c r="X2631" t="s">
        <v>14755</v>
      </c>
      <c r="Y2631" t="s">
        <v>14883</v>
      </c>
      <c r="Z2631" t="s">
        <v>17102</v>
      </c>
      <c r="AB2631" t="s">
        <v>22126</v>
      </c>
      <c r="AC2631">
        <v>91</v>
      </c>
      <c r="AD2631" t="s">
        <v>24595</v>
      </c>
      <c r="AE2631" t="s">
        <v>11459</v>
      </c>
      <c r="AF2631">
        <v>2</v>
      </c>
      <c r="AG2631">
        <v>1</v>
      </c>
      <c r="AH2631">
        <v>0</v>
      </c>
      <c r="AI2631">
        <v>333.07</v>
      </c>
      <c r="AL2631" t="s">
        <v>5011</v>
      </c>
      <c r="AM2631">
        <v>41600</v>
      </c>
      <c r="AS2631">
        <v>0.3</v>
      </c>
      <c r="AT2631" t="s">
        <v>472</v>
      </c>
      <c r="AU2631" t="s">
        <v>25275</v>
      </c>
      <c r="AV2631" t="s">
        <v>25335</v>
      </c>
      <c r="AW2631" t="s">
        <v>11447</v>
      </c>
    </row>
    <row r="2632" spans="1:49">
      <c r="A2632" s="1">
        <f>HYPERLINK("https://lsnyc.legalserver.org/matter/dynamic-profile/view/1912906","19-1912906")</f>
        <v>0</v>
      </c>
      <c r="B2632" t="s">
        <v>191</v>
      </c>
      <c r="C2632" t="s">
        <v>574</v>
      </c>
      <c r="D2632" t="s">
        <v>574</v>
      </c>
      <c r="E2632" t="s">
        <v>2401</v>
      </c>
      <c r="F2632" t="s">
        <v>4974</v>
      </c>
      <c r="G2632" t="s">
        <v>8134</v>
      </c>
      <c r="H2632" t="s">
        <v>11014</v>
      </c>
      <c r="I2632" t="s">
        <v>11385</v>
      </c>
      <c r="J2632">
        <v>11236</v>
      </c>
      <c r="K2632" t="s">
        <v>11446</v>
      </c>
      <c r="L2632" t="s">
        <v>12372</v>
      </c>
      <c r="M2632" t="s">
        <v>14744</v>
      </c>
      <c r="N2632" t="s">
        <v>14778</v>
      </c>
      <c r="O2632" t="s">
        <v>14786</v>
      </c>
      <c r="P2632" t="s">
        <v>14800</v>
      </c>
      <c r="Q2632" t="s">
        <v>11448</v>
      </c>
      <c r="S2632" t="s">
        <v>14827</v>
      </c>
      <c r="U2632" t="s">
        <v>574</v>
      </c>
      <c r="V2632">
        <v>1000</v>
      </c>
      <c r="W2632" t="s">
        <v>14859</v>
      </c>
      <c r="X2632" t="s">
        <v>14865</v>
      </c>
      <c r="Y2632" t="s">
        <v>14883</v>
      </c>
      <c r="Z2632" t="s">
        <v>15722</v>
      </c>
      <c r="AA2632" t="s">
        <v>19527</v>
      </c>
      <c r="AB2632" t="s">
        <v>22127</v>
      </c>
      <c r="AC2632">
        <v>0</v>
      </c>
      <c r="AD2632" t="s">
        <v>24600</v>
      </c>
      <c r="AF2632">
        <v>0</v>
      </c>
      <c r="AG2632">
        <v>2</v>
      </c>
      <c r="AH2632">
        <v>1</v>
      </c>
      <c r="AI2632">
        <v>129.15</v>
      </c>
      <c r="AL2632" t="s">
        <v>5011</v>
      </c>
      <c r="AM2632">
        <v>27548</v>
      </c>
      <c r="AS2632">
        <v>0.3</v>
      </c>
      <c r="AT2632" t="s">
        <v>574</v>
      </c>
      <c r="AU2632" t="s">
        <v>25275</v>
      </c>
      <c r="AV2632" t="s">
        <v>25335</v>
      </c>
      <c r="AW2632" t="s">
        <v>11447</v>
      </c>
    </row>
    <row r="2633" spans="1:49">
      <c r="A2633" s="1">
        <f>HYPERLINK("https://lsnyc.legalserver.org/matter/dynamic-profile/view/1911569","19-1911569")</f>
        <v>0</v>
      </c>
      <c r="B2633" t="s">
        <v>198</v>
      </c>
      <c r="C2633" t="s">
        <v>526</v>
      </c>
      <c r="D2633" t="s">
        <v>603</v>
      </c>
      <c r="E2633" t="s">
        <v>2402</v>
      </c>
      <c r="F2633" t="s">
        <v>3584</v>
      </c>
      <c r="G2633" t="s">
        <v>7635</v>
      </c>
      <c r="H2633">
        <v>1910</v>
      </c>
      <c r="I2633" t="s">
        <v>11385</v>
      </c>
      <c r="J2633">
        <v>11224</v>
      </c>
      <c r="K2633" t="s">
        <v>11446</v>
      </c>
      <c r="L2633" t="s">
        <v>12373</v>
      </c>
      <c r="M2633" t="s">
        <v>14746</v>
      </c>
      <c r="N2633" t="s">
        <v>14778</v>
      </c>
      <c r="O2633" t="s">
        <v>14786</v>
      </c>
      <c r="P2633" t="s">
        <v>14800</v>
      </c>
      <c r="Q2633" t="s">
        <v>11448</v>
      </c>
      <c r="S2633" t="s">
        <v>14827</v>
      </c>
      <c r="U2633" t="s">
        <v>526</v>
      </c>
      <c r="V2633">
        <v>0</v>
      </c>
      <c r="W2633" t="s">
        <v>14859</v>
      </c>
      <c r="X2633" t="s">
        <v>14865</v>
      </c>
      <c r="Y2633" t="s">
        <v>14883</v>
      </c>
      <c r="Z2633" t="s">
        <v>14999</v>
      </c>
      <c r="AB2633" t="s">
        <v>22128</v>
      </c>
      <c r="AC2633">
        <v>0</v>
      </c>
      <c r="AF2633">
        <v>0</v>
      </c>
      <c r="AG2633">
        <v>1</v>
      </c>
      <c r="AH2633">
        <v>3</v>
      </c>
      <c r="AI2633">
        <v>32.53</v>
      </c>
      <c r="AL2633" t="s">
        <v>5011</v>
      </c>
      <c r="AM2633">
        <v>8376</v>
      </c>
      <c r="AS2633">
        <v>1</v>
      </c>
      <c r="AT2633" t="s">
        <v>603</v>
      </c>
      <c r="AU2633" t="s">
        <v>25285</v>
      </c>
      <c r="AV2633" t="s">
        <v>25335</v>
      </c>
      <c r="AW2633" t="s">
        <v>11447</v>
      </c>
    </row>
    <row r="2634" spans="1:49">
      <c r="A2634" s="1">
        <f>HYPERLINK("https://lsnyc.legalserver.org/matter/dynamic-profile/view/1911750","19-1911750")</f>
        <v>0</v>
      </c>
      <c r="B2634" t="s">
        <v>198</v>
      </c>
      <c r="C2634" t="s">
        <v>505</v>
      </c>
      <c r="D2634" t="s">
        <v>603</v>
      </c>
      <c r="E2634" t="s">
        <v>1886</v>
      </c>
      <c r="F2634" t="s">
        <v>4975</v>
      </c>
      <c r="G2634" t="s">
        <v>8135</v>
      </c>
      <c r="H2634" t="s">
        <v>10648</v>
      </c>
      <c r="I2634" t="s">
        <v>11385</v>
      </c>
      <c r="J2634">
        <v>11235</v>
      </c>
      <c r="K2634" t="s">
        <v>11446</v>
      </c>
      <c r="L2634" t="s">
        <v>12374</v>
      </c>
      <c r="M2634" t="s">
        <v>14743</v>
      </c>
      <c r="O2634" t="s">
        <v>14786</v>
      </c>
      <c r="P2634" t="s">
        <v>14800</v>
      </c>
      <c r="S2634" t="s">
        <v>14827</v>
      </c>
      <c r="U2634" t="s">
        <v>505</v>
      </c>
      <c r="V2634">
        <v>0</v>
      </c>
      <c r="W2634" t="s">
        <v>14859</v>
      </c>
      <c r="X2634" t="s">
        <v>14865</v>
      </c>
      <c r="Y2634" t="s">
        <v>14883</v>
      </c>
      <c r="Z2634" t="s">
        <v>15903</v>
      </c>
      <c r="AB2634" t="s">
        <v>22129</v>
      </c>
      <c r="AC2634">
        <v>0</v>
      </c>
      <c r="AF2634">
        <v>6</v>
      </c>
      <c r="AG2634">
        <v>1</v>
      </c>
      <c r="AH2634">
        <v>0</v>
      </c>
      <c r="AI2634">
        <v>82.34</v>
      </c>
      <c r="AL2634" t="s">
        <v>24636</v>
      </c>
      <c r="AM2634">
        <v>10284</v>
      </c>
      <c r="AS2634">
        <v>0.5</v>
      </c>
      <c r="AT2634" t="s">
        <v>645</v>
      </c>
      <c r="AU2634" t="s">
        <v>25275</v>
      </c>
      <c r="AV2634" t="s">
        <v>25335</v>
      </c>
      <c r="AW2634" t="s">
        <v>11447</v>
      </c>
    </row>
    <row r="2635" spans="1:49">
      <c r="A2635" s="1">
        <f>HYPERLINK("https://lsnyc.legalserver.org/matter/dynamic-profile/view/1912002","19-1912002")</f>
        <v>0</v>
      </c>
      <c r="B2635" t="s">
        <v>198</v>
      </c>
      <c r="C2635" t="s">
        <v>586</v>
      </c>
      <c r="D2635" t="s">
        <v>603</v>
      </c>
      <c r="E2635" t="s">
        <v>1332</v>
      </c>
      <c r="F2635" t="s">
        <v>4085</v>
      </c>
      <c r="G2635" t="s">
        <v>8136</v>
      </c>
      <c r="H2635" t="s">
        <v>10486</v>
      </c>
      <c r="I2635" t="s">
        <v>11385</v>
      </c>
      <c r="J2635">
        <v>11203</v>
      </c>
      <c r="K2635" t="s">
        <v>11446</v>
      </c>
      <c r="L2635" t="s">
        <v>12375</v>
      </c>
      <c r="M2635" t="s">
        <v>14743</v>
      </c>
      <c r="N2635" t="s">
        <v>14778</v>
      </c>
      <c r="O2635" t="s">
        <v>14786</v>
      </c>
      <c r="P2635" t="s">
        <v>14800</v>
      </c>
      <c r="S2635" t="s">
        <v>14827</v>
      </c>
      <c r="U2635" t="s">
        <v>586</v>
      </c>
      <c r="V2635">
        <v>0</v>
      </c>
      <c r="W2635" t="s">
        <v>14859</v>
      </c>
      <c r="X2635" t="s">
        <v>14865</v>
      </c>
      <c r="Y2635" t="s">
        <v>14883</v>
      </c>
      <c r="Z2635" t="s">
        <v>17103</v>
      </c>
      <c r="AB2635" t="s">
        <v>22130</v>
      </c>
      <c r="AC2635">
        <v>0</v>
      </c>
      <c r="AF2635">
        <v>0</v>
      </c>
      <c r="AG2635">
        <v>1</v>
      </c>
      <c r="AH2635">
        <v>2</v>
      </c>
      <c r="AI2635">
        <v>0</v>
      </c>
      <c r="AL2635" t="s">
        <v>5011</v>
      </c>
      <c r="AM2635">
        <v>0</v>
      </c>
      <c r="AS2635">
        <v>1.6</v>
      </c>
      <c r="AT2635" t="s">
        <v>603</v>
      </c>
      <c r="AU2635" t="s">
        <v>25235</v>
      </c>
      <c r="AV2635" t="s">
        <v>25335</v>
      </c>
      <c r="AW2635" t="s">
        <v>11447</v>
      </c>
    </row>
    <row r="2636" spans="1:49">
      <c r="A2636" s="1">
        <f>HYPERLINK("https://lsnyc.legalserver.org/matter/dynamic-profile/view/1912997","19-1912997")</f>
        <v>0</v>
      </c>
      <c r="B2636" t="s">
        <v>191</v>
      </c>
      <c r="C2636" t="s">
        <v>603</v>
      </c>
      <c r="D2636" t="s">
        <v>571</v>
      </c>
      <c r="E2636" t="s">
        <v>2403</v>
      </c>
      <c r="F2636" t="s">
        <v>4976</v>
      </c>
      <c r="G2636" t="s">
        <v>8137</v>
      </c>
      <c r="H2636" t="s">
        <v>11015</v>
      </c>
      <c r="I2636" t="s">
        <v>11385</v>
      </c>
      <c r="J2636">
        <v>11213</v>
      </c>
      <c r="K2636" t="s">
        <v>11446</v>
      </c>
      <c r="L2636" t="s">
        <v>12376</v>
      </c>
      <c r="M2636" t="s">
        <v>14744</v>
      </c>
      <c r="N2636" t="s">
        <v>14778</v>
      </c>
      <c r="O2636" t="s">
        <v>14786</v>
      </c>
      <c r="P2636" t="s">
        <v>14800</v>
      </c>
      <c r="Q2636" t="s">
        <v>11448</v>
      </c>
      <c r="S2636" t="s">
        <v>14827</v>
      </c>
      <c r="U2636" t="s">
        <v>603</v>
      </c>
      <c r="V2636">
        <v>0</v>
      </c>
      <c r="W2636" t="s">
        <v>14859</v>
      </c>
      <c r="X2636" t="s">
        <v>14865</v>
      </c>
      <c r="Y2636" t="s">
        <v>14883</v>
      </c>
      <c r="Z2636" t="s">
        <v>17104</v>
      </c>
      <c r="AB2636" t="s">
        <v>22131</v>
      </c>
      <c r="AC2636">
        <v>0</v>
      </c>
      <c r="AD2636" t="s">
        <v>24600</v>
      </c>
      <c r="AF2636">
        <v>0</v>
      </c>
      <c r="AG2636">
        <v>1</v>
      </c>
      <c r="AH2636">
        <v>2</v>
      </c>
      <c r="AI2636">
        <v>109.44</v>
      </c>
      <c r="AL2636" t="s">
        <v>5011</v>
      </c>
      <c r="AM2636">
        <v>23344</v>
      </c>
      <c r="AS2636">
        <v>0.3</v>
      </c>
      <c r="AT2636" t="s">
        <v>603</v>
      </c>
      <c r="AU2636" t="s">
        <v>25285</v>
      </c>
      <c r="AV2636" t="s">
        <v>25335</v>
      </c>
      <c r="AW2636" t="s">
        <v>11447</v>
      </c>
    </row>
    <row r="2637" spans="1:49">
      <c r="A2637" s="1">
        <f>HYPERLINK("https://lsnyc.legalserver.org/matter/dynamic-profile/view/1908028","19-1908028")</f>
        <v>0</v>
      </c>
      <c r="B2637" t="s">
        <v>150</v>
      </c>
      <c r="C2637" t="s">
        <v>455</v>
      </c>
      <c r="D2637" t="s">
        <v>515</v>
      </c>
      <c r="E2637" t="s">
        <v>1554</v>
      </c>
      <c r="F2637" t="s">
        <v>4977</v>
      </c>
      <c r="G2637" t="s">
        <v>8138</v>
      </c>
      <c r="H2637" t="s">
        <v>11016</v>
      </c>
      <c r="I2637" t="s">
        <v>11385</v>
      </c>
      <c r="J2637">
        <v>11236</v>
      </c>
      <c r="K2637" t="s">
        <v>11446</v>
      </c>
      <c r="L2637" t="s">
        <v>12377</v>
      </c>
      <c r="M2637" t="s">
        <v>14744</v>
      </c>
      <c r="N2637" t="s">
        <v>14781</v>
      </c>
      <c r="O2637" t="s">
        <v>14788</v>
      </c>
      <c r="P2637" t="s">
        <v>14800</v>
      </c>
      <c r="Q2637" t="s">
        <v>11448</v>
      </c>
      <c r="S2637" t="s">
        <v>14827</v>
      </c>
      <c r="T2637" t="s">
        <v>14832</v>
      </c>
      <c r="U2637" t="s">
        <v>485</v>
      </c>
      <c r="V2637">
        <v>900</v>
      </c>
      <c r="W2637" t="s">
        <v>14859</v>
      </c>
      <c r="X2637" t="s">
        <v>14865</v>
      </c>
      <c r="Y2637" t="s">
        <v>14887</v>
      </c>
      <c r="Z2637" t="s">
        <v>17105</v>
      </c>
      <c r="AB2637" t="s">
        <v>20286</v>
      </c>
      <c r="AC2637">
        <v>2</v>
      </c>
      <c r="AD2637" t="s">
        <v>24600</v>
      </c>
      <c r="AE2637" t="s">
        <v>11459</v>
      </c>
      <c r="AF2637">
        <v>8</v>
      </c>
      <c r="AG2637">
        <v>1</v>
      </c>
      <c r="AH2637">
        <v>0</v>
      </c>
      <c r="AI2637">
        <v>152.12</v>
      </c>
      <c r="AL2637" t="s">
        <v>5011</v>
      </c>
      <c r="AM2637">
        <v>19000</v>
      </c>
      <c r="AP2637" t="s">
        <v>24941</v>
      </c>
      <c r="AQ2637" t="s">
        <v>24986</v>
      </c>
      <c r="AR2637" t="s">
        <v>25033</v>
      </c>
      <c r="AS2637">
        <v>6</v>
      </c>
      <c r="AT2637" t="s">
        <v>515</v>
      </c>
      <c r="AU2637" t="s">
        <v>25235</v>
      </c>
      <c r="AV2637" t="s">
        <v>25335</v>
      </c>
      <c r="AW2637" t="s">
        <v>11447</v>
      </c>
    </row>
    <row r="2638" spans="1:49">
      <c r="A2638" s="1">
        <f>HYPERLINK("https://lsnyc.legalserver.org/matter/dynamic-profile/view/1913140","19-1913140")</f>
        <v>0</v>
      </c>
      <c r="B2638" t="s">
        <v>191</v>
      </c>
      <c r="C2638" t="s">
        <v>571</v>
      </c>
      <c r="D2638" t="s">
        <v>515</v>
      </c>
      <c r="E2638" t="s">
        <v>2404</v>
      </c>
      <c r="F2638" t="s">
        <v>4978</v>
      </c>
      <c r="G2638" t="s">
        <v>8139</v>
      </c>
      <c r="H2638">
        <v>425</v>
      </c>
      <c r="I2638" t="s">
        <v>11385</v>
      </c>
      <c r="J2638">
        <v>11201</v>
      </c>
      <c r="K2638" t="s">
        <v>11446</v>
      </c>
      <c r="L2638" t="s">
        <v>12378</v>
      </c>
      <c r="M2638" t="s">
        <v>14744</v>
      </c>
      <c r="N2638" t="s">
        <v>14778</v>
      </c>
      <c r="O2638" t="s">
        <v>14786</v>
      </c>
      <c r="P2638" t="s">
        <v>14800</v>
      </c>
      <c r="Q2638" t="s">
        <v>11448</v>
      </c>
      <c r="S2638" t="s">
        <v>14828</v>
      </c>
      <c r="U2638" t="s">
        <v>571</v>
      </c>
      <c r="V2638">
        <v>670</v>
      </c>
      <c r="W2638" t="s">
        <v>14859</v>
      </c>
      <c r="X2638" t="s">
        <v>14865</v>
      </c>
      <c r="Y2638" t="s">
        <v>14883</v>
      </c>
      <c r="Z2638" t="s">
        <v>17106</v>
      </c>
      <c r="AB2638" t="s">
        <v>22132</v>
      </c>
      <c r="AC2638">
        <v>0</v>
      </c>
      <c r="AD2638" t="s">
        <v>24600</v>
      </c>
      <c r="AF2638">
        <v>0</v>
      </c>
      <c r="AG2638">
        <v>2</v>
      </c>
      <c r="AH2638">
        <v>3</v>
      </c>
      <c r="AI2638">
        <v>2.22</v>
      </c>
      <c r="AL2638" t="s">
        <v>5011</v>
      </c>
      <c r="AM2638">
        <v>670</v>
      </c>
      <c r="AS2638">
        <v>0.3</v>
      </c>
      <c r="AT2638" t="s">
        <v>571</v>
      </c>
      <c r="AU2638" t="s">
        <v>25277</v>
      </c>
      <c r="AV2638" t="s">
        <v>25335</v>
      </c>
      <c r="AW2638" t="s">
        <v>11447</v>
      </c>
    </row>
    <row r="2639" spans="1:49">
      <c r="A2639" s="1">
        <f>HYPERLINK("https://lsnyc.legalserver.org/matter/dynamic-profile/view/1909967","19-1909967")</f>
        <v>0</v>
      </c>
      <c r="B2639" t="s">
        <v>76</v>
      </c>
      <c r="C2639" t="s">
        <v>468</v>
      </c>
      <c r="D2639" t="s">
        <v>484</v>
      </c>
      <c r="E2639" t="s">
        <v>2405</v>
      </c>
      <c r="F2639" t="s">
        <v>4979</v>
      </c>
      <c r="G2639" t="s">
        <v>8140</v>
      </c>
      <c r="H2639" t="s">
        <v>10738</v>
      </c>
      <c r="I2639" t="s">
        <v>11385</v>
      </c>
      <c r="J2639">
        <v>11229</v>
      </c>
      <c r="K2639" t="s">
        <v>11446</v>
      </c>
      <c r="L2639" t="s">
        <v>12379</v>
      </c>
      <c r="N2639" t="s">
        <v>14778</v>
      </c>
      <c r="O2639" t="s">
        <v>14786</v>
      </c>
      <c r="P2639" t="s">
        <v>14800</v>
      </c>
      <c r="S2639" t="s">
        <v>14827</v>
      </c>
      <c r="U2639" t="s">
        <v>468</v>
      </c>
      <c r="V2639">
        <v>0</v>
      </c>
      <c r="W2639" t="s">
        <v>14859</v>
      </c>
      <c r="Y2639" t="s">
        <v>14883</v>
      </c>
      <c r="Z2639" t="s">
        <v>17107</v>
      </c>
      <c r="AB2639" t="s">
        <v>22133</v>
      </c>
      <c r="AC2639">
        <v>0</v>
      </c>
      <c r="AF2639">
        <v>0</v>
      </c>
      <c r="AG2639">
        <v>1</v>
      </c>
      <c r="AH2639">
        <v>0</v>
      </c>
      <c r="AI2639">
        <v>82.43000000000001</v>
      </c>
      <c r="AL2639" t="s">
        <v>24636</v>
      </c>
      <c r="AM2639">
        <v>10296</v>
      </c>
      <c r="AS2639">
        <v>1.5</v>
      </c>
      <c r="AT2639" t="s">
        <v>602</v>
      </c>
      <c r="AU2639" t="s">
        <v>25277</v>
      </c>
      <c r="AV2639" t="s">
        <v>25335</v>
      </c>
      <c r="AW2639" t="s">
        <v>11447</v>
      </c>
    </row>
    <row r="2640" spans="1:49">
      <c r="A2640" s="1">
        <f>HYPERLINK("https://lsnyc.legalserver.org/matter/dynamic-profile/view/1913400","19-1913400")</f>
        <v>0</v>
      </c>
      <c r="B2640" t="s">
        <v>278</v>
      </c>
      <c r="C2640" t="s">
        <v>483</v>
      </c>
      <c r="D2640" t="s">
        <v>484</v>
      </c>
      <c r="E2640" t="s">
        <v>2406</v>
      </c>
      <c r="F2640" t="s">
        <v>4180</v>
      </c>
      <c r="G2640" t="s">
        <v>8141</v>
      </c>
      <c r="H2640" t="s">
        <v>11017</v>
      </c>
      <c r="I2640" t="s">
        <v>11385</v>
      </c>
      <c r="J2640">
        <v>11238</v>
      </c>
      <c r="K2640" t="s">
        <v>11446</v>
      </c>
      <c r="L2640" t="s">
        <v>12380</v>
      </c>
      <c r="M2640" t="s">
        <v>14743</v>
      </c>
      <c r="N2640" t="s">
        <v>14778</v>
      </c>
      <c r="O2640" t="s">
        <v>14786</v>
      </c>
      <c r="P2640" t="s">
        <v>14800</v>
      </c>
      <c r="Q2640" t="s">
        <v>11448</v>
      </c>
      <c r="S2640" t="s">
        <v>14827</v>
      </c>
      <c r="T2640" t="s">
        <v>14832</v>
      </c>
      <c r="U2640" t="s">
        <v>483</v>
      </c>
      <c r="V2640">
        <v>337</v>
      </c>
      <c r="W2640" t="s">
        <v>14859</v>
      </c>
      <c r="X2640" t="s">
        <v>14865</v>
      </c>
      <c r="Y2640" t="s">
        <v>14883</v>
      </c>
      <c r="Z2640" t="s">
        <v>17108</v>
      </c>
      <c r="AA2640" t="s">
        <v>19528</v>
      </c>
      <c r="AB2640" t="s">
        <v>22134</v>
      </c>
      <c r="AC2640">
        <v>16</v>
      </c>
      <c r="AD2640" t="s">
        <v>24595</v>
      </c>
      <c r="AE2640" t="s">
        <v>11459</v>
      </c>
      <c r="AF2640">
        <v>30</v>
      </c>
      <c r="AG2640">
        <v>1</v>
      </c>
      <c r="AH2640">
        <v>0</v>
      </c>
      <c r="AI2640">
        <v>77.44</v>
      </c>
      <c r="AL2640" t="s">
        <v>5011</v>
      </c>
      <c r="AM2640">
        <v>9672</v>
      </c>
      <c r="AP2640" t="s">
        <v>14755</v>
      </c>
      <c r="AR2640" t="s">
        <v>25025</v>
      </c>
      <c r="AS2640">
        <v>0.5</v>
      </c>
      <c r="AT2640" t="s">
        <v>483</v>
      </c>
      <c r="AU2640" t="s">
        <v>25277</v>
      </c>
      <c r="AV2640" t="s">
        <v>25335</v>
      </c>
      <c r="AW2640" t="s">
        <v>11447</v>
      </c>
    </row>
    <row r="2641" spans="1:49">
      <c r="A2641" s="1">
        <f>HYPERLINK("https://lsnyc.legalserver.org/matter/dynamic-profile/view/0743146","13-0743146")</f>
        <v>0</v>
      </c>
      <c r="B2641" t="s">
        <v>279</v>
      </c>
      <c r="C2641" t="s">
        <v>774</v>
      </c>
      <c r="D2641" t="s">
        <v>477</v>
      </c>
      <c r="E2641" t="s">
        <v>1068</v>
      </c>
      <c r="F2641" t="s">
        <v>4184</v>
      </c>
      <c r="G2641" t="s">
        <v>8142</v>
      </c>
      <c r="H2641" t="s">
        <v>10562</v>
      </c>
      <c r="I2641" t="s">
        <v>11385</v>
      </c>
      <c r="J2641">
        <v>11237</v>
      </c>
      <c r="K2641" t="s">
        <v>11448</v>
      </c>
      <c r="L2641" t="s">
        <v>12381</v>
      </c>
      <c r="O2641" t="s">
        <v>14788</v>
      </c>
      <c r="P2641" t="s">
        <v>14800</v>
      </c>
      <c r="S2641" t="s">
        <v>14827</v>
      </c>
      <c r="V2641">
        <v>0</v>
      </c>
      <c r="W2641" t="s">
        <v>14859</v>
      </c>
      <c r="X2641" t="s">
        <v>14868</v>
      </c>
      <c r="Y2641" t="s">
        <v>14894</v>
      </c>
      <c r="Z2641" t="s">
        <v>17109</v>
      </c>
      <c r="AA2641">
        <v>4022339</v>
      </c>
      <c r="AB2641" t="s">
        <v>22135</v>
      </c>
      <c r="AC2641">
        <v>0</v>
      </c>
      <c r="AF2641">
        <v>0</v>
      </c>
      <c r="AG2641">
        <v>2</v>
      </c>
      <c r="AH2641">
        <v>1</v>
      </c>
      <c r="AI2641">
        <v>20.63</v>
      </c>
      <c r="AL2641" t="s">
        <v>5011</v>
      </c>
      <c r="AM2641">
        <v>4030</v>
      </c>
      <c r="AS2641">
        <v>28.51</v>
      </c>
      <c r="AT2641" t="s">
        <v>845</v>
      </c>
      <c r="AU2641" t="s">
        <v>25289</v>
      </c>
      <c r="AW2641" t="s">
        <v>11447</v>
      </c>
    </row>
    <row r="2642" spans="1:49">
      <c r="A2642" s="1">
        <f>HYPERLINK("https://lsnyc.legalserver.org/matter/dynamic-profile/view/1888571","19-1888571")</f>
        <v>0</v>
      </c>
      <c r="B2642" t="s">
        <v>280</v>
      </c>
      <c r="C2642" t="s">
        <v>542</v>
      </c>
      <c r="D2642" t="s">
        <v>476</v>
      </c>
      <c r="E2642" t="s">
        <v>2407</v>
      </c>
      <c r="F2642" t="s">
        <v>4524</v>
      </c>
      <c r="G2642" t="s">
        <v>8143</v>
      </c>
      <c r="H2642" t="s">
        <v>11018</v>
      </c>
      <c r="I2642" t="s">
        <v>11385</v>
      </c>
      <c r="J2642">
        <v>11216</v>
      </c>
      <c r="K2642" t="s">
        <v>11447</v>
      </c>
      <c r="L2642" t="s">
        <v>12382</v>
      </c>
      <c r="M2642" t="s">
        <v>14744</v>
      </c>
      <c r="N2642" t="s">
        <v>14781</v>
      </c>
      <c r="O2642" t="s">
        <v>14788</v>
      </c>
      <c r="P2642" t="s">
        <v>14800</v>
      </c>
      <c r="S2642" t="s">
        <v>14827</v>
      </c>
      <c r="V2642">
        <v>1440.54</v>
      </c>
      <c r="W2642" t="s">
        <v>14859</v>
      </c>
      <c r="X2642" t="s">
        <v>14868</v>
      </c>
      <c r="Y2642" t="s">
        <v>14887</v>
      </c>
      <c r="Z2642" t="s">
        <v>17110</v>
      </c>
      <c r="AB2642" t="s">
        <v>22136</v>
      </c>
      <c r="AC2642">
        <v>70</v>
      </c>
      <c r="AD2642" t="s">
        <v>24595</v>
      </c>
      <c r="AE2642" t="s">
        <v>24613</v>
      </c>
      <c r="AF2642">
        <v>12</v>
      </c>
      <c r="AG2642">
        <v>1</v>
      </c>
      <c r="AH2642">
        <v>0</v>
      </c>
      <c r="AI2642">
        <v>148.34</v>
      </c>
      <c r="AL2642" t="s">
        <v>5011</v>
      </c>
      <c r="AM2642">
        <v>18528</v>
      </c>
      <c r="AS2642">
        <v>34.4</v>
      </c>
      <c r="AT2642" t="s">
        <v>332</v>
      </c>
      <c r="AU2642" t="s">
        <v>25275</v>
      </c>
      <c r="AW2642" t="s">
        <v>11448</v>
      </c>
    </row>
    <row r="2643" spans="1:49">
      <c r="A2643" s="1">
        <f>HYPERLINK("https://lsnyc.legalserver.org/matter/dynamic-profile/view/1914451","19-1914451")</f>
        <v>0</v>
      </c>
      <c r="B2643" t="s">
        <v>198</v>
      </c>
      <c r="C2643" t="s">
        <v>506</v>
      </c>
      <c r="D2643" t="s">
        <v>491</v>
      </c>
      <c r="E2643" t="s">
        <v>1216</v>
      </c>
      <c r="F2643" t="s">
        <v>2808</v>
      </c>
      <c r="G2643" t="s">
        <v>8144</v>
      </c>
      <c r="H2643" t="s">
        <v>10486</v>
      </c>
      <c r="I2643" t="s">
        <v>11385</v>
      </c>
      <c r="J2643">
        <v>11226</v>
      </c>
      <c r="K2643" t="s">
        <v>11446</v>
      </c>
      <c r="L2643" t="s">
        <v>12383</v>
      </c>
      <c r="N2643" t="s">
        <v>14782</v>
      </c>
      <c r="O2643" t="s">
        <v>14786</v>
      </c>
      <c r="P2643" t="s">
        <v>14800</v>
      </c>
      <c r="S2643" t="s">
        <v>14827</v>
      </c>
      <c r="U2643" t="s">
        <v>506</v>
      </c>
      <c r="V2643">
        <v>0</v>
      </c>
      <c r="W2643" t="s">
        <v>14859</v>
      </c>
      <c r="Y2643" t="s">
        <v>14883</v>
      </c>
      <c r="Z2643" t="s">
        <v>17111</v>
      </c>
      <c r="AB2643" t="s">
        <v>22137</v>
      </c>
      <c r="AC2643">
        <v>0</v>
      </c>
      <c r="AF2643">
        <v>11</v>
      </c>
      <c r="AG2643">
        <v>2</v>
      </c>
      <c r="AH2643">
        <v>0</v>
      </c>
      <c r="AI2643">
        <v>25.22</v>
      </c>
      <c r="AL2643" t="s">
        <v>5011</v>
      </c>
      <c r="AM2643">
        <v>4264</v>
      </c>
      <c r="AS2643">
        <v>1</v>
      </c>
      <c r="AT2643" t="s">
        <v>506</v>
      </c>
      <c r="AU2643" t="s">
        <v>25235</v>
      </c>
      <c r="AV2643" t="s">
        <v>25335</v>
      </c>
      <c r="AW2643" t="s">
        <v>11447</v>
      </c>
    </row>
    <row r="2644" spans="1:49">
      <c r="A2644" s="1">
        <f>HYPERLINK("https://lsnyc.legalserver.org/matter/dynamic-profile/view/1913691","19-1913691")</f>
        <v>0</v>
      </c>
      <c r="B2644" t="s">
        <v>151</v>
      </c>
      <c r="C2644" t="s">
        <v>476</v>
      </c>
      <c r="D2644" t="s">
        <v>592</v>
      </c>
      <c r="E2644" t="s">
        <v>1601</v>
      </c>
      <c r="F2644" t="s">
        <v>4776</v>
      </c>
      <c r="G2644" t="s">
        <v>8145</v>
      </c>
      <c r="H2644" t="s">
        <v>10485</v>
      </c>
      <c r="I2644" t="s">
        <v>11385</v>
      </c>
      <c r="J2644">
        <v>11224</v>
      </c>
      <c r="K2644" t="s">
        <v>11448</v>
      </c>
      <c r="M2644" t="s">
        <v>14744</v>
      </c>
      <c r="N2644" t="s">
        <v>14778</v>
      </c>
      <c r="O2644" t="s">
        <v>14786</v>
      </c>
      <c r="P2644" t="s">
        <v>14800</v>
      </c>
      <c r="S2644" t="s">
        <v>14828</v>
      </c>
      <c r="U2644" t="s">
        <v>476</v>
      </c>
      <c r="V2644">
        <v>889</v>
      </c>
      <c r="W2644" t="s">
        <v>14859</v>
      </c>
      <c r="X2644" t="s">
        <v>14864</v>
      </c>
      <c r="Y2644" t="s">
        <v>14883</v>
      </c>
      <c r="Z2644" t="s">
        <v>17112</v>
      </c>
      <c r="AB2644" t="s">
        <v>22138</v>
      </c>
      <c r="AC2644">
        <v>30</v>
      </c>
      <c r="AD2644" t="s">
        <v>24602</v>
      </c>
      <c r="AF2644">
        <v>38</v>
      </c>
      <c r="AG2644">
        <v>2</v>
      </c>
      <c r="AH2644">
        <v>2</v>
      </c>
      <c r="AI2644">
        <v>100.97</v>
      </c>
      <c r="AL2644" t="s">
        <v>5011</v>
      </c>
      <c r="AM2644">
        <v>26000</v>
      </c>
      <c r="AS2644">
        <v>0.3</v>
      </c>
      <c r="AT2644" t="s">
        <v>490</v>
      </c>
      <c r="AU2644" t="s">
        <v>25230</v>
      </c>
      <c r="AW2644" t="s">
        <v>11447</v>
      </c>
    </row>
    <row r="2645" spans="1:49">
      <c r="A2645" s="1">
        <f>HYPERLINK("https://lsnyc.legalserver.org/matter/dynamic-profile/view/1914435","19-1914435")</f>
        <v>0</v>
      </c>
      <c r="B2645" t="s">
        <v>151</v>
      </c>
      <c r="C2645" t="s">
        <v>506</v>
      </c>
      <c r="D2645" t="s">
        <v>592</v>
      </c>
      <c r="E2645" t="s">
        <v>2408</v>
      </c>
      <c r="F2645" t="s">
        <v>4980</v>
      </c>
      <c r="G2645" t="s">
        <v>8146</v>
      </c>
      <c r="H2645" t="s">
        <v>10496</v>
      </c>
      <c r="I2645" t="s">
        <v>11385</v>
      </c>
      <c r="J2645">
        <v>11230</v>
      </c>
      <c r="K2645" t="s">
        <v>11446</v>
      </c>
      <c r="L2645" t="s">
        <v>12384</v>
      </c>
      <c r="M2645" t="s">
        <v>14743</v>
      </c>
      <c r="N2645" t="s">
        <v>14778</v>
      </c>
      <c r="O2645" t="s">
        <v>14786</v>
      </c>
      <c r="P2645" t="s">
        <v>14800</v>
      </c>
      <c r="Q2645" t="s">
        <v>11448</v>
      </c>
      <c r="S2645" t="s">
        <v>14827</v>
      </c>
      <c r="U2645" t="s">
        <v>506</v>
      </c>
      <c r="V2645">
        <v>1400</v>
      </c>
      <c r="W2645" t="s">
        <v>14859</v>
      </c>
      <c r="X2645" t="s">
        <v>14865</v>
      </c>
      <c r="Y2645" t="s">
        <v>14883</v>
      </c>
      <c r="Z2645" t="s">
        <v>17113</v>
      </c>
      <c r="AB2645" t="s">
        <v>22139</v>
      </c>
      <c r="AC2645">
        <v>3</v>
      </c>
      <c r="AD2645" t="s">
        <v>24600</v>
      </c>
      <c r="AF2645">
        <v>11</v>
      </c>
      <c r="AG2645">
        <v>3</v>
      </c>
      <c r="AH2645">
        <v>0</v>
      </c>
      <c r="AI2645">
        <v>173.46</v>
      </c>
      <c r="AL2645" t="s">
        <v>24647</v>
      </c>
      <c r="AM2645">
        <v>37000</v>
      </c>
      <c r="AS2645">
        <v>0.2</v>
      </c>
      <c r="AT2645" t="s">
        <v>592</v>
      </c>
      <c r="AU2645" t="s">
        <v>25246</v>
      </c>
      <c r="AV2645" t="s">
        <v>25335</v>
      </c>
      <c r="AW2645" t="s">
        <v>11447</v>
      </c>
    </row>
    <row r="2646" spans="1:49">
      <c r="A2646" s="1">
        <f>HYPERLINK("https://lsnyc.legalserver.org/matter/dynamic-profile/view/1904888","19-1904888")</f>
        <v>0</v>
      </c>
      <c r="B2646" t="s">
        <v>77</v>
      </c>
      <c r="C2646" t="s">
        <v>345</v>
      </c>
      <c r="D2646" t="s">
        <v>516</v>
      </c>
      <c r="E2646" t="s">
        <v>2409</v>
      </c>
      <c r="F2646" t="s">
        <v>1395</v>
      </c>
      <c r="G2646" t="s">
        <v>8147</v>
      </c>
      <c r="H2646" t="s">
        <v>10460</v>
      </c>
      <c r="I2646" t="s">
        <v>11385</v>
      </c>
      <c r="J2646">
        <v>11213</v>
      </c>
      <c r="K2646" t="s">
        <v>11446</v>
      </c>
      <c r="L2646" t="s">
        <v>12385</v>
      </c>
      <c r="M2646" t="s">
        <v>14744</v>
      </c>
      <c r="N2646" t="s">
        <v>14781</v>
      </c>
      <c r="O2646" t="s">
        <v>14788</v>
      </c>
      <c r="P2646" t="s">
        <v>14800</v>
      </c>
      <c r="Q2646" t="s">
        <v>11448</v>
      </c>
      <c r="S2646" t="s">
        <v>14827</v>
      </c>
      <c r="U2646" t="s">
        <v>345</v>
      </c>
      <c r="V2646">
        <v>135</v>
      </c>
      <c r="W2646" t="s">
        <v>14859</v>
      </c>
      <c r="X2646" t="s">
        <v>14865</v>
      </c>
      <c r="Y2646" t="s">
        <v>14887</v>
      </c>
      <c r="Z2646" t="s">
        <v>17114</v>
      </c>
      <c r="AB2646" t="s">
        <v>22140</v>
      </c>
      <c r="AC2646">
        <v>11</v>
      </c>
      <c r="AF2646">
        <v>16</v>
      </c>
      <c r="AG2646">
        <v>1</v>
      </c>
      <c r="AH2646">
        <v>0</v>
      </c>
      <c r="AI2646">
        <v>33.31</v>
      </c>
      <c r="AM2646">
        <v>4160</v>
      </c>
      <c r="AP2646" t="s">
        <v>24942</v>
      </c>
      <c r="AQ2646" t="s">
        <v>24986</v>
      </c>
      <c r="AR2646" t="s">
        <v>25025</v>
      </c>
      <c r="AS2646">
        <v>16.25</v>
      </c>
      <c r="AT2646" t="s">
        <v>516</v>
      </c>
      <c r="AU2646" t="s">
        <v>91</v>
      </c>
      <c r="AV2646" t="s">
        <v>25335</v>
      </c>
      <c r="AW2646" t="s">
        <v>11447</v>
      </c>
    </row>
    <row r="2647" spans="1:49">
      <c r="A2647" s="1">
        <f>HYPERLINK("https://lsnyc.legalserver.org/matter/dynamic-profile/view/1909679","19-1909679")</f>
        <v>0</v>
      </c>
      <c r="B2647" t="s">
        <v>151</v>
      </c>
      <c r="C2647" t="s">
        <v>463</v>
      </c>
      <c r="D2647" t="s">
        <v>655</v>
      </c>
      <c r="E2647" t="s">
        <v>2410</v>
      </c>
      <c r="F2647" t="s">
        <v>4981</v>
      </c>
      <c r="G2647" t="s">
        <v>8148</v>
      </c>
      <c r="H2647" t="s">
        <v>10649</v>
      </c>
      <c r="I2647" t="s">
        <v>11385</v>
      </c>
      <c r="J2647">
        <v>11212</v>
      </c>
      <c r="K2647" t="s">
        <v>11446</v>
      </c>
      <c r="M2647" t="s">
        <v>14753</v>
      </c>
      <c r="O2647" t="s">
        <v>14786</v>
      </c>
      <c r="P2647" t="s">
        <v>14800</v>
      </c>
      <c r="S2647" t="s">
        <v>14827</v>
      </c>
      <c r="U2647" t="s">
        <v>604</v>
      </c>
      <c r="V2647">
        <v>0</v>
      </c>
      <c r="W2647" t="s">
        <v>14859</v>
      </c>
      <c r="Y2647" t="s">
        <v>14883</v>
      </c>
      <c r="Z2647" t="s">
        <v>17115</v>
      </c>
      <c r="AB2647" t="s">
        <v>22141</v>
      </c>
      <c r="AC2647">
        <v>0</v>
      </c>
      <c r="AF2647">
        <v>0</v>
      </c>
      <c r="AG2647">
        <v>6</v>
      </c>
      <c r="AH2647">
        <v>1</v>
      </c>
      <c r="AI2647">
        <v>157.34</v>
      </c>
      <c r="AL2647" t="s">
        <v>5011</v>
      </c>
      <c r="AM2647">
        <v>61380</v>
      </c>
      <c r="AS2647">
        <v>1.3</v>
      </c>
      <c r="AT2647" t="s">
        <v>592</v>
      </c>
      <c r="AU2647" t="s">
        <v>25286</v>
      </c>
      <c r="AW2647" t="s">
        <v>11447</v>
      </c>
    </row>
    <row r="2648" spans="1:49">
      <c r="A2648" s="1">
        <f>HYPERLINK("https://lsnyc.legalserver.org/matter/dynamic-profile/view/1902512","19-1902512")</f>
        <v>0</v>
      </c>
      <c r="B2648" t="s">
        <v>233</v>
      </c>
      <c r="C2648" t="s">
        <v>517</v>
      </c>
      <c r="D2648" t="s">
        <v>509</v>
      </c>
      <c r="E2648" t="s">
        <v>1181</v>
      </c>
      <c r="F2648" t="s">
        <v>4982</v>
      </c>
      <c r="G2648" t="s">
        <v>8149</v>
      </c>
      <c r="H2648" t="s">
        <v>11019</v>
      </c>
      <c r="I2648" t="s">
        <v>11385</v>
      </c>
      <c r="J2648">
        <v>11203</v>
      </c>
      <c r="K2648" t="s">
        <v>11446</v>
      </c>
      <c r="L2648" t="s">
        <v>12386</v>
      </c>
      <c r="M2648" t="s">
        <v>14744</v>
      </c>
      <c r="N2648" t="s">
        <v>14781</v>
      </c>
      <c r="O2648" t="s">
        <v>14788</v>
      </c>
      <c r="P2648" t="s">
        <v>14800</v>
      </c>
      <c r="Q2648" t="s">
        <v>11448</v>
      </c>
      <c r="S2648" t="s">
        <v>14827</v>
      </c>
      <c r="T2648" t="s">
        <v>14833</v>
      </c>
      <c r="U2648" t="s">
        <v>545</v>
      </c>
      <c r="V2648">
        <v>504</v>
      </c>
      <c r="W2648" t="s">
        <v>14859</v>
      </c>
      <c r="X2648" t="s">
        <v>14865</v>
      </c>
      <c r="Y2648" t="s">
        <v>14897</v>
      </c>
      <c r="Z2648" t="s">
        <v>17116</v>
      </c>
      <c r="AB2648" t="s">
        <v>22142</v>
      </c>
      <c r="AC2648">
        <v>0</v>
      </c>
      <c r="AD2648" t="s">
        <v>24601</v>
      </c>
      <c r="AE2648" t="s">
        <v>11459</v>
      </c>
      <c r="AF2648">
        <v>21</v>
      </c>
      <c r="AG2648">
        <v>1</v>
      </c>
      <c r="AH2648">
        <v>0</v>
      </c>
      <c r="AI2648">
        <v>80.22</v>
      </c>
      <c r="AL2648" t="s">
        <v>5011</v>
      </c>
      <c r="AM2648">
        <v>10020</v>
      </c>
      <c r="AS2648">
        <v>15.95</v>
      </c>
      <c r="AT2648" t="s">
        <v>578</v>
      </c>
      <c r="AU2648" t="s">
        <v>25275</v>
      </c>
      <c r="AV2648" t="s">
        <v>25335</v>
      </c>
      <c r="AW2648" t="s">
        <v>11447</v>
      </c>
    </row>
    <row r="2649" spans="1:49">
      <c r="A2649" s="1">
        <f>HYPERLINK("https://lsnyc.legalserver.org/matter/dynamic-profile/view/1906189","19-1906189")</f>
        <v>0</v>
      </c>
      <c r="B2649" t="s">
        <v>233</v>
      </c>
      <c r="C2649" t="s">
        <v>355</v>
      </c>
      <c r="D2649" t="s">
        <v>495</v>
      </c>
      <c r="E2649" t="s">
        <v>1726</v>
      </c>
      <c r="F2649" t="s">
        <v>4402</v>
      </c>
      <c r="G2649" t="s">
        <v>8150</v>
      </c>
      <c r="H2649" t="s">
        <v>10829</v>
      </c>
      <c r="I2649" t="s">
        <v>11385</v>
      </c>
      <c r="J2649">
        <v>11203</v>
      </c>
      <c r="K2649" t="s">
        <v>11446</v>
      </c>
      <c r="L2649" t="s">
        <v>12387</v>
      </c>
      <c r="M2649" t="s">
        <v>14743</v>
      </c>
      <c r="N2649" t="s">
        <v>14782</v>
      </c>
      <c r="O2649" t="s">
        <v>14786</v>
      </c>
      <c r="P2649" t="s">
        <v>14800</v>
      </c>
      <c r="S2649" t="s">
        <v>14827</v>
      </c>
      <c r="U2649" t="s">
        <v>355</v>
      </c>
      <c r="V2649">
        <v>514</v>
      </c>
      <c r="W2649" t="s">
        <v>14859</v>
      </c>
      <c r="X2649" t="s">
        <v>14865</v>
      </c>
      <c r="Y2649" t="s">
        <v>14883</v>
      </c>
      <c r="Z2649" t="s">
        <v>17117</v>
      </c>
      <c r="AB2649" t="s">
        <v>22143</v>
      </c>
      <c r="AC2649">
        <v>127</v>
      </c>
      <c r="AE2649" t="s">
        <v>11459</v>
      </c>
      <c r="AF2649">
        <v>31</v>
      </c>
      <c r="AG2649">
        <v>1</v>
      </c>
      <c r="AH2649">
        <v>0</v>
      </c>
      <c r="AI2649">
        <v>83.47</v>
      </c>
      <c r="AL2649" t="s">
        <v>5011</v>
      </c>
      <c r="AM2649">
        <v>10426</v>
      </c>
      <c r="AS2649">
        <v>1.3</v>
      </c>
      <c r="AT2649" t="s">
        <v>458</v>
      </c>
      <c r="AU2649" t="s">
        <v>25235</v>
      </c>
      <c r="AV2649" t="s">
        <v>25335</v>
      </c>
      <c r="AW2649" t="s">
        <v>11447</v>
      </c>
    </row>
    <row r="2650" spans="1:49">
      <c r="A2650" s="1">
        <f>HYPERLINK("https://lsnyc.legalserver.org/matter/dynamic-profile/view/1909585","19-1909585")</f>
        <v>0</v>
      </c>
      <c r="B2650" t="s">
        <v>240</v>
      </c>
      <c r="C2650" t="s">
        <v>488</v>
      </c>
      <c r="D2650" t="s">
        <v>495</v>
      </c>
      <c r="E2650" t="s">
        <v>1859</v>
      </c>
      <c r="F2650" t="s">
        <v>1839</v>
      </c>
      <c r="G2650" t="s">
        <v>8151</v>
      </c>
      <c r="H2650" t="s">
        <v>10552</v>
      </c>
      <c r="I2650" t="s">
        <v>11385</v>
      </c>
      <c r="J2650">
        <v>11230</v>
      </c>
      <c r="K2650" t="s">
        <v>11447</v>
      </c>
      <c r="L2650" t="s">
        <v>12388</v>
      </c>
      <c r="M2650" t="s">
        <v>14744</v>
      </c>
      <c r="N2650" t="s">
        <v>14781</v>
      </c>
      <c r="O2650" t="s">
        <v>14793</v>
      </c>
      <c r="P2650" t="s">
        <v>14800</v>
      </c>
      <c r="Q2650" t="s">
        <v>11448</v>
      </c>
      <c r="S2650" t="s">
        <v>14827</v>
      </c>
      <c r="T2650" t="s">
        <v>14837</v>
      </c>
      <c r="V2650">
        <v>1550</v>
      </c>
      <c r="W2650" t="s">
        <v>14859</v>
      </c>
      <c r="X2650" t="s">
        <v>14865</v>
      </c>
      <c r="Y2650" t="s">
        <v>14887</v>
      </c>
      <c r="Z2650" t="s">
        <v>17118</v>
      </c>
      <c r="AA2650" t="s">
        <v>19529</v>
      </c>
      <c r="AB2650" t="s">
        <v>22144</v>
      </c>
      <c r="AC2650">
        <v>0</v>
      </c>
      <c r="AD2650" t="s">
        <v>24595</v>
      </c>
      <c r="AF2650">
        <v>-1</v>
      </c>
      <c r="AG2650">
        <v>1</v>
      </c>
      <c r="AH2650">
        <v>1</v>
      </c>
      <c r="AI2650">
        <v>20.65</v>
      </c>
      <c r="AM2650">
        <v>3492</v>
      </c>
      <c r="AS2650">
        <v>49.1</v>
      </c>
      <c r="AT2650" t="s">
        <v>495</v>
      </c>
      <c r="AU2650" t="s">
        <v>316</v>
      </c>
      <c r="AV2650" t="s">
        <v>25334</v>
      </c>
      <c r="AW2650" t="s">
        <v>11447</v>
      </c>
    </row>
    <row r="2651" spans="1:49">
      <c r="A2651" s="1">
        <f>HYPERLINK("https://lsnyc.legalserver.org/matter/dynamic-profile/view/1902515","19-1902515")</f>
        <v>0</v>
      </c>
      <c r="B2651" t="s">
        <v>238</v>
      </c>
      <c r="C2651" t="s">
        <v>517</v>
      </c>
      <c r="E2651" t="s">
        <v>2411</v>
      </c>
      <c r="F2651" t="s">
        <v>4983</v>
      </c>
      <c r="G2651" t="s">
        <v>8152</v>
      </c>
      <c r="H2651" t="s">
        <v>10654</v>
      </c>
      <c r="I2651" t="s">
        <v>11385</v>
      </c>
      <c r="J2651">
        <v>11234</v>
      </c>
      <c r="K2651" t="s">
        <v>11446</v>
      </c>
      <c r="L2651" t="s">
        <v>12389</v>
      </c>
      <c r="M2651" t="s">
        <v>14743</v>
      </c>
      <c r="N2651" t="s">
        <v>14781</v>
      </c>
      <c r="P2651" t="s">
        <v>14800</v>
      </c>
      <c r="Q2651" t="s">
        <v>11448</v>
      </c>
      <c r="S2651" t="s">
        <v>14827</v>
      </c>
      <c r="T2651" t="s">
        <v>14832</v>
      </c>
      <c r="U2651" t="s">
        <v>545</v>
      </c>
      <c r="V2651">
        <v>2900</v>
      </c>
      <c r="W2651" t="s">
        <v>14859</v>
      </c>
      <c r="X2651" t="s">
        <v>14865</v>
      </c>
      <c r="Z2651" t="s">
        <v>17119</v>
      </c>
      <c r="AB2651" t="s">
        <v>22145</v>
      </c>
      <c r="AC2651">
        <v>2</v>
      </c>
      <c r="AD2651" t="s">
        <v>11479</v>
      </c>
      <c r="AE2651" t="s">
        <v>14755</v>
      </c>
      <c r="AF2651">
        <v>0</v>
      </c>
      <c r="AG2651">
        <v>1</v>
      </c>
      <c r="AH2651">
        <v>3</v>
      </c>
      <c r="AI2651">
        <v>0</v>
      </c>
      <c r="AL2651" t="s">
        <v>5011</v>
      </c>
      <c r="AM2651">
        <v>0</v>
      </c>
      <c r="AS2651">
        <v>23.15</v>
      </c>
      <c r="AT2651" t="s">
        <v>537</v>
      </c>
      <c r="AU2651" t="s">
        <v>25275</v>
      </c>
      <c r="AV2651" t="s">
        <v>25335</v>
      </c>
      <c r="AW2651" t="s">
        <v>11447</v>
      </c>
    </row>
    <row r="2652" spans="1:49">
      <c r="A2652" s="1">
        <f>HYPERLINK("https://lsnyc.legalserver.org/matter/dynamic-profile/view/1900593","19-1900593")</f>
        <v>0</v>
      </c>
      <c r="B2652" t="s">
        <v>150</v>
      </c>
      <c r="C2652" t="s">
        <v>336</v>
      </c>
      <c r="E2652" t="s">
        <v>2412</v>
      </c>
      <c r="F2652" t="s">
        <v>4984</v>
      </c>
      <c r="G2652" t="s">
        <v>8153</v>
      </c>
      <c r="H2652">
        <v>3</v>
      </c>
      <c r="I2652" t="s">
        <v>11385</v>
      </c>
      <c r="J2652">
        <v>11236</v>
      </c>
      <c r="K2652" t="s">
        <v>11446</v>
      </c>
      <c r="L2652" t="s">
        <v>12390</v>
      </c>
      <c r="M2652" t="s">
        <v>14743</v>
      </c>
      <c r="N2652" t="s">
        <v>14781</v>
      </c>
      <c r="P2652" t="s">
        <v>14800</v>
      </c>
      <c r="Q2652" t="s">
        <v>11448</v>
      </c>
      <c r="S2652" t="s">
        <v>14827</v>
      </c>
      <c r="T2652" t="s">
        <v>14832</v>
      </c>
      <c r="U2652" t="s">
        <v>545</v>
      </c>
      <c r="V2652">
        <v>1956</v>
      </c>
      <c r="W2652" t="s">
        <v>14859</v>
      </c>
      <c r="X2652" t="s">
        <v>14865</v>
      </c>
      <c r="Z2652" t="s">
        <v>17120</v>
      </c>
      <c r="AA2652" t="s">
        <v>19530</v>
      </c>
      <c r="AB2652" t="s">
        <v>22146</v>
      </c>
      <c r="AC2652">
        <v>2</v>
      </c>
      <c r="AD2652" t="s">
        <v>24600</v>
      </c>
      <c r="AE2652" t="s">
        <v>24617</v>
      </c>
      <c r="AF2652">
        <v>3</v>
      </c>
      <c r="AG2652">
        <v>1</v>
      </c>
      <c r="AH2652">
        <v>3</v>
      </c>
      <c r="AI2652">
        <v>25.24</v>
      </c>
      <c r="AL2652" t="s">
        <v>5011</v>
      </c>
      <c r="AM2652">
        <v>6500</v>
      </c>
      <c r="AO2652" t="s">
        <v>24930</v>
      </c>
      <c r="AP2652" t="s">
        <v>14755</v>
      </c>
      <c r="AQ2652" t="s">
        <v>24987</v>
      </c>
      <c r="AS2652">
        <v>16.8</v>
      </c>
      <c r="AT2652" t="s">
        <v>654</v>
      </c>
      <c r="AU2652" t="s">
        <v>25229</v>
      </c>
      <c r="AW2652" t="s">
        <v>11447</v>
      </c>
    </row>
    <row r="2653" spans="1:49">
      <c r="A2653" s="1">
        <f>HYPERLINK("https://lsnyc.legalserver.org/matter/dynamic-profile/view/1903167","19-1903167")</f>
        <v>0</v>
      </c>
      <c r="B2653" t="s">
        <v>281</v>
      </c>
      <c r="C2653" t="s">
        <v>346</v>
      </c>
      <c r="E2653" t="s">
        <v>1789</v>
      </c>
      <c r="F2653" t="s">
        <v>3769</v>
      </c>
      <c r="G2653" t="s">
        <v>8154</v>
      </c>
      <c r="H2653">
        <v>13</v>
      </c>
      <c r="I2653" t="s">
        <v>11385</v>
      </c>
      <c r="J2653">
        <v>11220</v>
      </c>
      <c r="K2653" t="s">
        <v>11446</v>
      </c>
      <c r="L2653" t="s">
        <v>12391</v>
      </c>
      <c r="M2653" t="s">
        <v>14743</v>
      </c>
      <c r="N2653" t="s">
        <v>14781</v>
      </c>
      <c r="P2653" t="s">
        <v>14800</v>
      </c>
      <c r="Q2653" t="s">
        <v>11448</v>
      </c>
      <c r="S2653" t="s">
        <v>14827</v>
      </c>
      <c r="U2653" t="s">
        <v>545</v>
      </c>
      <c r="V2653">
        <v>168</v>
      </c>
      <c r="W2653" t="s">
        <v>14859</v>
      </c>
      <c r="X2653" t="s">
        <v>14865</v>
      </c>
      <c r="Z2653" t="s">
        <v>17121</v>
      </c>
      <c r="AB2653" t="s">
        <v>22147</v>
      </c>
      <c r="AC2653">
        <v>12</v>
      </c>
      <c r="AD2653" t="s">
        <v>24595</v>
      </c>
      <c r="AE2653" t="s">
        <v>24610</v>
      </c>
      <c r="AF2653">
        <v>0</v>
      </c>
      <c r="AG2653">
        <v>1</v>
      </c>
      <c r="AH2653">
        <v>0</v>
      </c>
      <c r="AI2653">
        <v>82.43000000000001</v>
      </c>
      <c r="AL2653" t="s">
        <v>5011</v>
      </c>
      <c r="AM2653">
        <v>10296</v>
      </c>
      <c r="AS2653">
        <v>15.6</v>
      </c>
      <c r="AT2653" t="s">
        <v>509</v>
      </c>
      <c r="AU2653" t="s">
        <v>25235</v>
      </c>
      <c r="AV2653" t="s">
        <v>25335</v>
      </c>
      <c r="AW2653" t="s">
        <v>11447</v>
      </c>
    </row>
    <row r="2654" spans="1:49">
      <c r="A2654" s="1">
        <f>HYPERLINK("https://lsnyc.legalserver.org/matter/dynamic-profile/view/1900581","19-1900581")</f>
        <v>0</v>
      </c>
      <c r="B2654" t="s">
        <v>151</v>
      </c>
      <c r="C2654" t="s">
        <v>336</v>
      </c>
      <c r="E2654" t="s">
        <v>1610</v>
      </c>
      <c r="F2654" t="s">
        <v>3864</v>
      </c>
      <c r="G2654" t="s">
        <v>8155</v>
      </c>
      <c r="H2654" t="s">
        <v>10939</v>
      </c>
      <c r="I2654" t="s">
        <v>11385</v>
      </c>
      <c r="J2654">
        <v>11236</v>
      </c>
      <c r="K2654" t="s">
        <v>11446</v>
      </c>
      <c r="L2654" t="s">
        <v>12392</v>
      </c>
      <c r="M2654" t="s">
        <v>14744</v>
      </c>
      <c r="N2654" t="s">
        <v>14781</v>
      </c>
      <c r="P2654" t="s">
        <v>14800</v>
      </c>
      <c r="Q2654" t="s">
        <v>11448</v>
      </c>
      <c r="S2654" t="s">
        <v>14828</v>
      </c>
      <c r="T2654" t="s">
        <v>14832</v>
      </c>
      <c r="U2654" t="s">
        <v>545</v>
      </c>
      <c r="V2654">
        <v>414</v>
      </c>
      <c r="W2654" t="s">
        <v>14859</v>
      </c>
      <c r="X2654" t="s">
        <v>14863</v>
      </c>
      <c r="Z2654" t="s">
        <v>17122</v>
      </c>
      <c r="AA2654" t="s">
        <v>19531</v>
      </c>
      <c r="AB2654" t="s">
        <v>22148</v>
      </c>
      <c r="AC2654">
        <v>1610</v>
      </c>
      <c r="AD2654" t="s">
        <v>24597</v>
      </c>
      <c r="AE2654" t="s">
        <v>24610</v>
      </c>
      <c r="AF2654">
        <v>6</v>
      </c>
      <c r="AG2654">
        <v>1</v>
      </c>
      <c r="AH2654">
        <v>1</v>
      </c>
      <c r="AI2654">
        <v>82.81</v>
      </c>
      <c r="AL2654" t="s">
        <v>5011</v>
      </c>
      <c r="AM2654">
        <v>14004</v>
      </c>
      <c r="AS2654">
        <v>9.35</v>
      </c>
      <c r="AT2654" t="s">
        <v>508</v>
      </c>
      <c r="AU2654" t="s">
        <v>25229</v>
      </c>
      <c r="AV2654" t="s">
        <v>25335</v>
      </c>
      <c r="AW2654" t="s">
        <v>11447</v>
      </c>
    </row>
    <row r="2655" spans="1:49">
      <c r="A2655" s="1">
        <f>HYPERLINK("https://lsnyc.legalserver.org/matter/dynamic-profile/view/1902784","19-1902784")</f>
        <v>0</v>
      </c>
      <c r="B2655" t="s">
        <v>106</v>
      </c>
      <c r="C2655" t="s">
        <v>527</v>
      </c>
      <c r="E2655" t="s">
        <v>1170</v>
      </c>
      <c r="F2655" t="s">
        <v>4985</v>
      </c>
      <c r="G2655" t="s">
        <v>8156</v>
      </c>
      <c r="H2655" t="s">
        <v>11020</v>
      </c>
      <c r="I2655" t="s">
        <v>11385</v>
      </c>
      <c r="J2655">
        <v>11238</v>
      </c>
      <c r="K2655" t="s">
        <v>11446</v>
      </c>
      <c r="M2655" t="s">
        <v>14744</v>
      </c>
      <c r="N2655" t="s">
        <v>14781</v>
      </c>
      <c r="P2655" t="s">
        <v>14800</v>
      </c>
      <c r="Q2655" t="s">
        <v>11448</v>
      </c>
      <c r="S2655" t="s">
        <v>14828</v>
      </c>
      <c r="T2655" t="s">
        <v>14832</v>
      </c>
      <c r="U2655" t="s">
        <v>545</v>
      </c>
      <c r="V2655">
        <v>248</v>
      </c>
      <c r="W2655" t="s">
        <v>14859</v>
      </c>
      <c r="X2655" t="s">
        <v>14865</v>
      </c>
      <c r="Z2655" t="s">
        <v>17123</v>
      </c>
      <c r="AA2655" t="s">
        <v>19532</v>
      </c>
      <c r="AB2655" t="s">
        <v>22149</v>
      </c>
      <c r="AC2655">
        <v>310</v>
      </c>
      <c r="AD2655" t="s">
        <v>24597</v>
      </c>
      <c r="AE2655" t="s">
        <v>11459</v>
      </c>
      <c r="AF2655">
        <v>6</v>
      </c>
      <c r="AG2655">
        <v>1</v>
      </c>
      <c r="AH2655">
        <v>0</v>
      </c>
      <c r="AI2655">
        <v>94.16</v>
      </c>
      <c r="AL2655" t="s">
        <v>5011</v>
      </c>
      <c r="AM2655">
        <v>11760</v>
      </c>
      <c r="AS2655">
        <v>27.45</v>
      </c>
      <c r="AT2655" t="s">
        <v>495</v>
      </c>
      <c r="AU2655" t="s">
        <v>25275</v>
      </c>
      <c r="AV2655" t="s">
        <v>25335</v>
      </c>
      <c r="AW2655" t="s">
        <v>11447</v>
      </c>
    </row>
    <row r="2656" spans="1:49">
      <c r="A2656" s="1">
        <f>HYPERLINK("https://lsnyc.legalserver.org/matter/dynamic-profile/view/1901632","19-1901632")</f>
        <v>0</v>
      </c>
      <c r="B2656" t="s">
        <v>255</v>
      </c>
      <c r="C2656" t="s">
        <v>459</v>
      </c>
      <c r="E2656" t="s">
        <v>2413</v>
      </c>
      <c r="F2656" t="s">
        <v>4986</v>
      </c>
      <c r="G2656" t="s">
        <v>8157</v>
      </c>
      <c r="I2656" t="s">
        <v>11385</v>
      </c>
      <c r="J2656">
        <v>11216</v>
      </c>
      <c r="K2656" t="s">
        <v>11446</v>
      </c>
      <c r="M2656" t="s">
        <v>11601</v>
      </c>
      <c r="N2656" t="s">
        <v>14778</v>
      </c>
      <c r="P2656" t="s">
        <v>14800</v>
      </c>
      <c r="Q2656" t="s">
        <v>11448</v>
      </c>
      <c r="S2656" t="s">
        <v>14827</v>
      </c>
      <c r="U2656" t="s">
        <v>545</v>
      </c>
      <c r="V2656">
        <v>0</v>
      </c>
      <c r="W2656" t="s">
        <v>14859</v>
      </c>
      <c r="Z2656" t="s">
        <v>17124</v>
      </c>
      <c r="AC2656">
        <v>0</v>
      </c>
      <c r="AF2656">
        <v>0</v>
      </c>
      <c r="AG2656">
        <v>4</v>
      </c>
      <c r="AH2656">
        <v>0</v>
      </c>
      <c r="AI2656">
        <v>100.97</v>
      </c>
      <c r="AM2656">
        <v>26000</v>
      </c>
      <c r="AS2656">
        <v>2.3</v>
      </c>
      <c r="AT2656" t="s">
        <v>366</v>
      </c>
      <c r="AU2656" t="s">
        <v>25235</v>
      </c>
      <c r="AV2656" t="s">
        <v>25335</v>
      </c>
      <c r="AW2656" t="s">
        <v>11447</v>
      </c>
    </row>
    <row r="2657" spans="1:49">
      <c r="A2657" s="1">
        <f>HYPERLINK("https://lsnyc.legalserver.org/matter/dynamic-profile/view/1903192","19-1903192")</f>
        <v>0</v>
      </c>
      <c r="B2657" t="s">
        <v>255</v>
      </c>
      <c r="C2657" t="s">
        <v>346</v>
      </c>
      <c r="E2657" t="s">
        <v>2414</v>
      </c>
      <c r="F2657" t="s">
        <v>4987</v>
      </c>
      <c r="G2657" t="s">
        <v>8158</v>
      </c>
      <c r="H2657" t="s">
        <v>10484</v>
      </c>
      <c r="I2657" t="s">
        <v>11385</v>
      </c>
      <c r="J2657">
        <v>11218</v>
      </c>
      <c r="K2657" t="s">
        <v>11446</v>
      </c>
      <c r="L2657" t="s">
        <v>12393</v>
      </c>
      <c r="M2657" t="s">
        <v>14744</v>
      </c>
      <c r="N2657" t="s">
        <v>14781</v>
      </c>
      <c r="P2657" t="s">
        <v>14800</v>
      </c>
      <c r="S2657" t="s">
        <v>14827</v>
      </c>
      <c r="U2657" t="s">
        <v>545</v>
      </c>
      <c r="V2657">
        <v>1800</v>
      </c>
      <c r="W2657" t="s">
        <v>14859</v>
      </c>
      <c r="X2657" t="s">
        <v>14865</v>
      </c>
      <c r="Z2657" t="s">
        <v>17125</v>
      </c>
      <c r="AA2657" t="s">
        <v>19533</v>
      </c>
      <c r="AC2657">
        <v>6</v>
      </c>
      <c r="AE2657" t="s">
        <v>24610</v>
      </c>
      <c r="AF2657">
        <v>5</v>
      </c>
      <c r="AG2657">
        <v>2</v>
      </c>
      <c r="AH2657">
        <v>1</v>
      </c>
      <c r="AI2657">
        <v>109.7</v>
      </c>
      <c r="AL2657" t="s">
        <v>5011</v>
      </c>
      <c r="AM2657">
        <v>23400</v>
      </c>
      <c r="AS2657">
        <v>7.6</v>
      </c>
      <c r="AT2657" t="s">
        <v>620</v>
      </c>
      <c r="AU2657" t="s">
        <v>25235</v>
      </c>
      <c r="AV2657" t="s">
        <v>25335</v>
      </c>
      <c r="AW2657" t="s">
        <v>11447</v>
      </c>
    </row>
    <row r="2658" spans="1:49">
      <c r="A2658" s="1">
        <f>HYPERLINK("https://lsnyc.legalserver.org/matter/dynamic-profile/view/1902524","19-1902524")</f>
        <v>0</v>
      </c>
      <c r="B2658" t="s">
        <v>238</v>
      </c>
      <c r="C2658" t="s">
        <v>517</v>
      </c>
      <c r="E2658" t="s">
        <v>1033</v>
      </c>
      <c r="F2658" t="s">
        <v>4988</v>
      </c>
      <c r="G2658" t="s">
        <v>6954</v>
      </c>
      <c r="H2658" t="s">
        <v>11021</v>
      </c>
      <c r="I2658" t="s">
        <v>11385</v>
      </c>
      <c r="J2658">
        <v>11213</v>
      </c>
      <c r="K2658" t="s">
        <v>11446</v>
      </c>
      <c r="L2658" t="s">
        <v>12394</v>
      </c>
      <c r="M2658" t="s">
        <v>14743</v>
      </c>
      <c r="N2658" t="s">
        <v>14781</v>
      </c>
      <c r="P2658" t="s">
        <v>14800</v>
      </c>
      <c r="Q2658" t="s">
        <v>11448</v>
      </c>
      <c r="S2658" t="s">
        <v>14827</v>
      </c>
      <c r="U2658" t="s">
        <v>545</v>
      </c>
      <c r="V2658">
        <v>0</v>
      </c>
      <c r="W2658" t="s">
        <v>14859</v>
      </c>
      <c r="X2658" t="s">
        <v>14865</v>
      </c>
      <c r="Z2658" t="s">
        <v>17126</v>
      </c>
      <c r="AB2658" t="s">
        <v>22150</v>
      </c>
      <c r="AC2658">
        <v>23</v>
      </c>
      <c r="AD2658" t="s">
        <v>11479</v>
      </c>
      <c r="AE2658" t="s">
        <v>11459</v>
      </c>
      <c r="AF2658">
        <v>0</v>
      </c>
      <c r="AG2658">
        <v>3</v>
      </c>
      <c r="AH2658">
        <v>0</v>
      </c>
      <c r="AI2658">
        <v>168.78</v>
      </c>
      <c r="AL2658" t="s">
        <v>5011</v>
      </c>
      <c r="AM2658">
        <v>36000</v>
      </c>
      <c r="AS2658">
        <v>22.35</v>
      </c>
      <c r="AT2658" t="s">
        <v>477</v>
      </c>
      <c r="AU2658" t="s">
        <v>25275</v>
      </c>
      <c r="AV2658" t="s">
        <v>25335</v>
      </c>
      <c r="AW2658" t="s">
        <v>11447</v>
      </c>
    </row>
    <row r="2659" spans="1:49">
      <c r="A2659" s="1">
        <f>HYPERLINK("https://lsnyc.legalserver.org/matter/dynamic-profile/view/1904387","19-1904387")</f>
        <v>0</v>
      </c>
      <c r="B2659" t="s">
        <v>282</v>
      </c>
      <c r="C2659" t="s">
        <v>607</v>
      </c>
      <c r="E2659" t="s">
        <v>1309</v>
      </c>
      <c r="F2659" t="s">
        <v>4893</v>
      </c>
      <c r="G2659" t="s">
        <v>8159</v>
      </c>
      <c r="H2659" t="s">
        <v>10464</v>
      </c>
      <c r="I2659" t="s">
        <v>11385</v>
      </c>
      <c r="J2659">
        <v>11249</v>
      </c>
      <c r="K2659" t="s">
        <v>11446</v>
      </c>
      <c r="M2659" t="s">
        <v>11601</v>
      </c>
      <c r="N2659" t="s">
        <v>14778</v>
      </c>
      <c r="P2659" t="s">
        <v>14800</v>
      </c>
      <c r="S2659" t="s">
        <v>14827</v>
      </c>
      <c r="U2659" t="s">
        <v>607</v>
      </c>
      <c r="V2659">
        <v>1159</v>
      </c>
      <c r="W2659" t="s">
        <v>14859</v>
      </c>
      <c r="X2659" t="s">
        <v>14865</v>
      </c>
      <c r="Z2659" t="s">
        <v>17127</v>
      </c>
      <c r="AA2659" t="s">
        <v>19534</v>
      </c>
      <c r="AB2659" t="s">
        <v>22151</v>
      </c>
      <c r="AC2659">
        <v>83</v>
      </c>
      <c r="AD2659" t="s">
        <v>24601</v>
      </c>
      <c r="AF2659">
        <v>3</v>
      </c>
      <c r="AG2659">
        <v>1</v>
      </c>
      <c r="AH2659">
        <v>0</v>
      </c>
      <c r="AI2659">
        <v>58.9</v>
      </c>
      <c r="AL2659" t="s">
        <v>5011</v>
      </c>
      <c r="AM2659">
        <v>7356</v>
      </c>
      <c r="AS2659">
        <v>0.1</v>
      </c>
      <c r="AT2659" t="s">
        <v>511</v>
      </c>
      <c r="AU2659" t="s">
        <v>25230</v>
      </c>
      <c r="AV2659" t="s">
        <v>25335</v>
      </c>
      <c r="AW2659" t="s">
        <v>11447</v>
      </c>
    </row>
    <row r="2660" spans="1:49">
      <c r="A2660" s="1">
        <f>HYPERLINK("https://lsnyc.legalserver.org/matter/dynamic-profile/view/1904790","19-1904790")</f>
        <v>0</v>
      </c>
      <c r="B2660" t="s">
        <v>233</v>
      </c>
      <c r="C2660" t="s">
        <v>345</v>
      </c>
      <c r="E2660" t="s">
        <v>2415</v>
      </c>
      <c r="F2660" t="s">
        <v>4989</v>
      </c>
      <c r="G2660" t="s">
        <v>8160</v>
      </c>
      <c r="H2660" t="s">
        <v>10465</v>
      </c>
      <c r="I2660" t="s">
        <v>11385</v>
      </c>
      <c r="J2660">
        <v>11218</v>
      </c>
      <c r="K2660" t="s">
        <v>11446</v>
      </c>
      <c r="L2660" t="s">
        <v>12395</v>
      </c>
      <c r="M2660" t="s">
        <v>14744</v>
      </c>
      <c r="N2660" t="s">
        <v>14781</v>
      </c>
      <c r="P2660" t="s">
        <v>14800</v>
      </c>
      <c r="S2660" t="s">
        <v>14827</v>
      </c>
      <c r="U2660" t="s">
        <v>345</v>
      </c>
      <c r="V2660">
        <v>1500</v>
      </c>
      <c r="W2660" t="s">
        <v>14859</v>
      </c>
      <c r="X2660" t="s">
        <v>14865</v>
      </c>
      <c r="Z2660" t="s">
        <v>17128</v>
      </c>
      <c r="AB2660" t="s">
        <v>22152</v>
      </c>
      <c r="AC2660">
        <v>57</v>
      </c>
      <c r="AF2660">
        <v>13</v>
      </c>
      <c r="AG2660">
        <v>1</v>
      </c>
      <c r="AH2660">
        <v>0</v>
      </c>
      <c r="AI2660">
        <v>0</v>
      </c>
      <c r="AM2660">
        <v>0</v>
      </c>
      <c r="AS2660">
        <v>61.5</v>
      </c>
      <c r="AT2660" t="s">
        <v>495</v>
      </c>
      <c r="AU2660" t="s">
        <v>25235</v>
      </c>
      <c r="AV2660" t="s">
        <v>25335</v>
      </c>
      <c r="AW2660" t="s">
        <v>11447</v>
      </c>
    </row>
    <row r="2661" spans="1:49">
      <c r="A2661" s="1">
        <f>HYPERLINK("https://lsnyc.legalserver.org/matter/dynamic-profile/view/1904783","19-1904783")</f>
        <v>0</v>
      </c>
      <c r="B2661" t="s">
        <v>151</v>
      </c>
      <c r="C2661" t="s">
        <v>345</v>
      </c>
      <c r="E2661" t="s">
        <v>2145</v>
      </c>
      <c r="F2661" t="s">
        <v>4990</v>
      </c>
      <c r="G2661" t="s">
        <v>8161</v>
      </c>
      <c r="I2661" t="s">
        <v>11385</v>
      </c>
      <c r="J2661">
        <v>11209</v>
      </c>
      <c r="K2661" t="s">
        <v>11448</v>
      </c>
      <c r="M2661" t="s">
        <v>14743</v>
      </c>
      <c r="N2661" t="s">
        <v>14778</v>
      </c>
      <c r="P2661" t="s">
        <v>14800</v>
      </c>
      <c r="S2661" t="s">
        <v>14827</v>
      </c>
      <c r="U2661" t="s">
        <v>345</v>
      </c>
      <c r="V2661">
        <v>0</v>
      </c>
      <c r="W2661" t="s">
        <v>14859</v>
      </c>
      <c r="X2661" t="s">
        <v>14864</v>
      </c>
      <c r="Z2661" t="s">
        <v>17129</v>
      </c>
      <c r="AB2661" t="s">
        <v>22153</v>
      </c>
      <c r="AC2661">
        <v>3</v>
      </c>
      <c r="AD2661" t="s">
        <v>11479</v>
      </c>
      <c r="AE2661" t="s">
        <v>11459</v>
      </c>
      <c r="AF2661">
        <v>5</v>
      </c>
      <c r="AG2661">
        <v>1</v>
      </c>
      <c r="AH2661">
        <v>1</v>
      </c>
      <c r="AI2661">
        <v>47.31</v>
      </c>
      <c r="AL2661" t="s">
        <v>5011</v>
      </c>
      <c r="AM2661">
        <v>8000</v>
      </c>
      <c r="AS2661">
        <v>0.7</v>
      </c>
      <c r="AT2661" t="s">
        <v>480</v>
      </c>
      <c r="AU2661" t="s">
        <v>25230</v>
      </c>
      <c r="AW2661" t="s">
        <v>11447</v>
      </c>
    </row>
    <row r="2662" spans="1:49">
      <c r="A2662" s="1">
        <f>HYPERLINK("https://lsnyc.legalserver.org/matter/dynamic-profile/view/1905339","19-1905339")</f>
        <v>0</v>
      </c>
      <c r="B2662" t="s">
        <v>275</v>
      </c>
      <c r="C2662" t="s">
        <v>619</v>
      </c>
      <c r="E2662" t="s">
        <v>2416</v>
      </c>
      <c r="F2662" t="s">
        <v>4991</v>
      </c>
      <c r="G2662" t="s">
        <v>8162</v>
      </c>
      <c r="H2662" t="s">
        <v>10481</v>
      </c>
      <c r="I2662" t="s">
        <v>11385</v>
      </c>
      <c r="J2662">
        <v>11230</v>
      </c>
      <c r="K2662" t="s">
        <v>11446</v>
      </c>
      <c r="L2662" t="s">
        <v>12396</v>
      </c>
      <c r="M2662" t="s">
        <v>14744</v>
      </c>
      <c r="N2662" t="s">
        <v>14778</v>
      </c>
      <c r="P2662" t="s">
        <v>14800</v>
      </c>
      <c r="S2662" t="s">
        <v>14827</v>
      </c>
      <c r="U2662" t="s">
        <v>619</v>
      </c>
      <c r="V2662">
        <v>1050</v>
      </c>
      <c r="W2662" t="s">
        <v>14859</v>
      </c>
      <c r="X2662" t="s">
        <v>14865</v>
      </c>
      <c r="Z2662" t="s">
        <v>17130</v>
      </c>
      <c r="AA2662" t="s">
        <v>19535</v>
      </c>
      <c r="AB2662" t="s">
        <v>22154</v>
      </c>
      <c r="AC2662">
        <v>60</v>
      </c>
      <c r="AE2662" t="s">
        <v>24613</v>
      </c>
      <c r="AF2662">
        <v>29</v>
      </c>
      <c r="AG2662">
        <v>1</v>
      </c>
      <c r="AH2662">
        <v>0</v>
      </c>
      <c r="AI2662">
        <v>133.79</v>
      </c>
      <c r="AL2662" t="s">
        <v>5011</v>
      </c>
      <c r="AM2662">
        <v>16709.8</v>
      </c>
      <c r="AS2662">
        <v>0.2</v>
      </c>
      <c r="AT2662" t="s">
        <v>618</v>
      </c>
      <c r="AU2662" t="s">
        <v>25235</v>
      </c>
      <c r="AV2662" t="s">
        <v>25335</v>
      </c>
      <c r="AW2662" t="s">
        <v>11447</v>
      </c>
    </row>
    <row r="2663" spans="1:49">
      <c r="A2663" s="1">
        <f>HYPERLINK("https://lsnyc.legalserver.org/matter/dynamic-profile/view/1907629","19-1907629")</f>
        <v>0</v>
      </c>
      <c r="B2663" t="s">
        <v>106</v>
      </c>
      <c r="C2663" t="s">
        <v>555</v>
      </c>
      <c r="E2663" t="s">
        <v>2417</v>
      </c>
      <c r="F2663" t="s">
        <v>4992</v>
      </c>
      <c r="G2663" t="s">
        <v>8163</v>
      </c>
      <c r="H2663" t="s">
        <v>10689</v>
      </c>
      <c r="I2663" t="s">
        <v>11385</v>
      </c>
      <c r="J2663">
        <v>11208</v>
      </c>
      <c r="K2663" t="s">
        <v>11446</v>
      </c>
      <c r="N2663" t="s">
        <v>14784</v>
      </c>
      <c r="P2663" t="s">
        <v>14800</v>
      </c>
      <c r="S2663" t="s">
        <v>14828</v>
      </c>
      <c r="U2663" t="s">
        <v>555</v>
      </c>
      <c r="V2663">
        <v>0</v>
      </c>
      <c r="W2663" t="s">
        <v>14859</v>
      </c>
      <c r="Z2663" t="s">
        <v>17131</v>
      </c>
      <c r="AB2663" t="s">
        <v>22155</v>
      </c>
      <c r="AC2663">
        <v>0</v>
      </c>
      <c r="AF2663">
        <v>0</v>
      </c>
      <c r="AG2663">
        <v>3</v>
      </c>
      <c r="AH2663">
        <v>0</v>
      </c>
      <c r="AI2663">
        <v>32.41</v>
      </c>
      <c r="AL2663" t="s">
        <v>5011</v>
      </c>
      <c r="AM2663">
        <v>6914</v>
      </c>
      <c r="AS2663">
        <v>27</v>
      </c>
      <c r="AT2663" t="s">
        <v>516</v>
      </c>
      <c r="AU2663" t="s">
        <v>25277</v>
      </c>
      <c r="AV2663" t="s">
        <v>25335</v>
      </c>
      <c r="AW2663" t="s">
        <v>11447</v>
      </c>
    </row>
    <row r="2664" spans="1:49">
      <c r="A2664" s="1">
        <f>HYPERLINK("https://lsnyc.legalserver.org/matter/dynamic-profile/view/1906275","19-1906275")</f>
        <v>0</v>
      </c>
      <c r="B2664" t="s">
        <v>255</v>
      </c>
      <c r="C2664" t="s">
        <v>355</v>
      </c>
      <c r="E2664" t="s">
        <v>2418</v>
      </c>
      <c r="F2664" t="s">
        <v>4993</v>
      </c>
      <c r="G2664" t="s">
        <v>8164</v>
      </c>
      <c r="H2664">
        <v>525</v>
      </c>
      <c r="I2664" t="s">
        <v>11385</v>
      </c>
      <c r="J2664">
        <v>11249</v>
      </c>
      <c r="K2664" t="s">
        <v>11446</v>
      </c>
      <c r="L2664" t="s">
        <v>12397</v>
      </c>
      <c r="M2664" t="s">
        <v>14744</v>
      </c>
      <c r="N2664" t="s">
        <v>14781</v>
      </c>
      <c r="P2664" t="s">
        <v>14800</v>
      </c>
      <c r="Q2664" t="s">
        <v>11448</v>
      </c>
      <c r="S2664" t="s">
        <v>14827</v>
      </c>
      <c r="T2664" t="s">
        <v>14832</v>
      </c>
      <c r="U2664" t="s">
        <v>355</v>
      </c>
      <c r="V2664">
        <v>992</v>
      </c>
      <c r="W2664" t="s">
        <v>14859</v>
      </c>
      <c r="X2664" t="s">
        <v>14865</v>
      </c>
      <c r="Z2664" t="s">
        <v>17132</v>
      </c>
      <c r="AA2664" t="s">
        <v>19536</v>
      </c>
      <c r="AB2664" t="s">
        <v>22156</v>
      </c>
      <c r="AC2664">
        <v>0</v>
      </c>
      <c r="AD2664" t="s">
        <v>24595</v>
      </c>
      <c r="AE2664" t="s">
        <v>11459</v>
      </c>
      <c r="AF2664">
        <v>0</v>
      </c>
      <c r="AG2664">
        <v>1</v>
      </c>
      <c r="AH2664">
        <v>3</v>
      </c>
      <c r="AI2664">
        <v>77.65000000000001</v>
      </c>
      <c r="AL2664" t="s">
        <v>24655</v>
      </c>
      <c r="AM2664">
        <v>19994</v>
      </c>
      <c r="AS2664">
        <v>5.4</v>
      </c>
      <c r="AT2664" t="s">
        <v>476</v>
      </c>
      <c r="AU2664" t="s">
        <v>25235</v>
      </c>
      <c r="AW2664" t="s">
        <v>11447</v>
      </c>
    </row>
    <row r="2665" spans="1:49">
      <c r="A2665" s="1">
        <f>HYPERLINK("https://lsnyc.legalserver.org/matter/dynamic-profile/view/1906325","19-1906325")</f>
        <v>0</v>
      </c>
      <c r="B2665" t="s">
        <v>228</v>
      </c>
      <c r="C2665" t="s">
        <v>355</v>
      </c>
      <c r="E2665" t="s">
        <v>2145</v>
      </c>
      <c r="F2665" t="s">
        <v>4994</v>
      </c>
      <c r="G2665" t="s">
        <v>8165</v>
      </c>
      <c r="H2665" t="s">
        <v>10496</v>
      </c>
      <c r="I2665" t="s">
        <v>11385</v>
      </c>
      <c r="J2665">
        <v>11234</v>
      </c>
      <c r="K2665" t="s">
        <v>11446</v>
      </c>
      <c r="L2665" t="s">
        <v>12398</v>
      </c>
      <c r="M2665" t="s">
        <v>14743</v>
      </c>
      <c r="N2665" t="s">
        <v>14778</v>
      </c>
      <c r="P2665" t="s">
        <v>14800</v>
      </c>
      <c r="S2665" t="s">
        <v>14827</v>
      </c>
      <c r="U2665" t="s">
        <v>485</v>
      </c>
      <c r="V2665">
        <v>0</v>
      </c>
      <c r="W2665" t="s">
        <v>14859</v>
      </c>
      <c r="X2665" t="s">
        <v>14865</v>
      </c>
      <c r="Z2665" t="s">
        <v>17133</v>
      </c>
      <c r="AB2665" t="s">
        <v>22157</v>
      </c>
      <c r="AC2665">
        <v>0</v>
      </c>
      <c r="AF2665">
        <v>0</v>
      </c>
      <c r="AG2665">
        <v>2</v>
      </c>
      <c r="AH2665">
        <v>3</v>
      </c>
      <c r="AI2665">
        <v>0</v>
      </c>
      <c r="AL2665" t="s">
        <v>5011</v>
      </c>
      <c r="AM2665">
        <v>0</v>
      </c>
      <c r="AS2665">
        <v>0</v>
      </c>
      <c r="AU2665" t="s">
        <v>25277</v>
      </c>
      <c r="AV2665" t="s">
        <v>25335</v>
      </c>
      <c r="AW2665" t="s">
        <v>11447</v>
      </c>
    </row>
    <row r="2666" spans="1:49">
      <c r="A2666" s="1">
        <f>HYPERLINK("https://lsnyc.legalserver.org/matter/dynamic-profile/view/1906294","19-1906294")</f>
        <v>0</v>
      </c>
      <c r="B2666" t="s">
        <v>228</v>
      </c>
      <c r="C2666" t="s">
        <v>355</v>
      </c>
      <c r="E2666" t="s">
        <v>1025</v>
      </c>
      <c r="F2666" t="s">
        <v>3716</v>
      </c>
      <c r="G2666" t="s">
        <v>8166</v>
      </c>
      <c r="H2666" t="s">
        <v>10486</v>
      </c>
      <c r="I2666" t="s">
        <v>11385</v>
      </c>
      <c r="J2666">
        <v>11219</v>
      </c>
      <c r="K2666" t="s">
        <v>11446</v>
      </c>
      <c r="L2666" t="s">
        <v>12399</v>
      </c>
      <c r="M2666" t="s">
        <v>14743</v>
      </c>
      <c r="N2666" t="s">
        <v>14778</v>
      </c>
      <c r="P2666" t="s">
        <v>14800</v>
      </c>
      <c r="S2666" t="s">
        <v>14827</v>
      </c>
      <c r="U2666" t="s">
        <v>485</v>
      </c>
      <c r="V2666">
        <v>1200</v>
      </c>
      <c r="W2666" t="s">
        <v>14859</v>
      </c>
      <c r="Z2666" t="s">
        <v>17134</v>
      </c>
      <c r="AA2666" t="s">
        <v>19537</v>
      </c>
      <c r="AB2666" t="s">
        <v>22158</v>
      </c>
      <c r="AC2666">
        <v>0</v>
      </c>
      <c r="AE2666" t="s">
        <v>11459</v>
      </c>
      <c r="AF2666">
        <v>2</v>
      </c>
      <c r="AG2666">
        <v>1</v>
      </c>
      <c r="AH2666">
        <v>0</v>
      </c>
      <c r="AI2666">
        <v>0</v>
      </c>
      <c r="AL2666" t="s">
        <v>5011</v>
      </c>
      <c r="AM2666">
        <v>0</v>
      </c>
      <c r="AS2666">
        <v>0</v>
      </c>
      <c r="AU2666" t="s">
        <v>25277</v>
      </c>
      <c r="AV2666" t="s">
        <v>25335</v>
      </c>
      <c r="AW2666" t="s">
        <v>11447</v>
      </c>
    </row>
    <row r="2667" spans="1:49">
      <c r="A2667" s="1">
        <f>HYPERLINK("https://lsnyc.legalserver.org/matter/dynamic-profile/view/1897396","19-1897396")</f>
        <v>0</v>
      </c>
      <c r="B2667" t="s">
        <v>282</v>
      </c>
      <c r="C2667" t="s">
        <v>611</v>
      </c>
      <c r="E2667" t="s">
        <v>2419</v>
      </c>
      <c r="F2667" t="s">
        <v>3758</v>
      </c>
      <c r="G2667" t="s">
        <v>8167</v>
      </c>
      <c r="H2667" t="s">
        <v>11022</v>
      </c>
      <c r="I2667" t="s">
        <v>11385</v>
      </c>
      <c r="J2667">
        <v>11207</v>
      </c>
      <c r="K2667" t="s">
        <v>11446</v>
      </c>
      <c r="L2667" t="s">
        <v>12400</v>
      </c>
      <c r="M2667" t="s">
        <v>14750</v>
      </c>
      <c r="N2667" t="s">
        <v>14782</v>
      </c>
      <c r="P2667" t="s">
        <v>14800</v>
      </c>
      <c r="S2667" t="s">
        <v>14828</v>
      </c>
      <c r="U2667" t="s">
        <v>485</v>
      </c>
      <c r="V2667">
        <v>283</v>
      </c>
      <c r="W2667" t="s">
        <v>14859</v>
      </c>
      <c r="X2667" t="s">
        <v>14863</v>
      </c>
      <c r="Z2667" t="s">
        <v>17135</v>
      </c>
      <c r="AB2667" t="s">
        <v>22159</v>
      </c>
      <c r="AC2667">
        <v>16</v>
      </c>
      <c r="AD2667" t="s">
        <v>24602</v>
      </c>
      <c r="AF2667">
        <v>18</v>
      </c>
      <c r="AG2667">
        <v>1</v>
      </c>
      <c r="AH2667">
        <v>0</v>
      </c>
      <c r="AI2667">
        <v>0</v>
      </c>
      <c r="AL2667" t="s">
        <v>5011</v>
      </c>
      <c r="AM2667">
        <v>0</v>
      </c>
      <c r="AS2667">
        <v>0</v>
      </c>
      <c r="AU2667" t="s">
        <v>25230</v>
      </c>
      <c r="AW2667" t="s">
        <v>11446</v>
      </c>
    </row>
    <row r="2668" spans="1:49">
      <c r="A2668" s="1">
        <f>HYPERLINK("https://lsnyc.legalserver.org/matter/dynamic-profile/view/1906087","19-1906087")</f>
        <v>0</v>
      </c>
      <c r="B2668" t="s">
        <v>127</v>
      </c>
      <c r="C2668" t="s">
        <v>618</v>
      </c>
      <c r="E2668" t="s">
        <v>2420</v>
      </c>
      <c r="F2668" t="s">
        <v>4995</v>
      </c>
      <c r="G2668" t="s">
        <v>8168</v>
      </c>
      <c r="H2668">
        <v>3</v>
      </c>
      <c r="I2668" t="s">
        <v>11385</v>
      </c>
      <c r="J2668">
        <v>11204</v>
      </c>
      <c r="K2668" t="s">
        <v>11446</v>
      </c>
      <c r="L2668" t="s">
        <v>12401</v>
      </c>
      <c r="M2668" t="s">
        <v>14743</v>
      </c>
      <c r="N2668" t="s">
        <v>14782</v>
      </c>
      <c r="P2668" t="s">
        <v>14800</v>
      </c>
      <c r="Q2668" t="s">
        <v>11448</v>
      </c>
      <c r="S2668" t="s">
        <v>14827</v>
      </c>
      <c r="U2668" t="s">
        <v>485</v>
      </c>
      <c r="V2668">
        <v>0</v>
      </c>
      <c r="W2668" t="s">
        <v>14859</v>
      </c>
      <c r="Z2668" t="s">
        <v>17136</v>
      </c>
      <c r="AA2668" t="s">
        <v>19538</v>
      </c>
      <c r="AB2668" t="s">
        <v>22160</v>
      </c>
      <c r="AC2668">
        <v>0</v>
      </c>
      <c r="AF2668">
        <v>0</v>
      </c>
      <c r="AG2668">
        <v>2</v>
      </c>
      <c r="AH2668">
        <v>2</v>
      </c>
      <c r="AI2668">
        <v>17.67</v>
      </c>
      <c r="AL2668" t="s">
        <v>5011</v>
      </c>
      <c r="AM2668">
        <v>4550</v>
      </c>
      <c r="AS2668">
        <v>0</v>
      </c>
      <c r="AU2668" t="s">
        <v>25285</v>
      </c>
      <c r="AV2668" t="s">
        <v>25335</v>
      </c>
      <c r="AW2668" t="s">
        <v>11447</v>
      </c>
    </row>
    <row r="2669" spans="1:49">
      <c r="A2669" s="1">
        <f>HYPERLINK("https://lsnyc.legalserver.org/matter/dynamic-profile/view/1905990","19-1905990")</f>
        <v>0</v>
      </c>
      <c r="B2669" t="s">
        <v>150</v>
      </c>
      <c r="C2669" t="s">
        <v>461</v>
      </c>
      <c r="E2669" t="s">
        <v>1452</v>
      </c>
      <c r="F2669" t="s">
        <v>4996</v>
      </c>
      <c r="G2669" t="s">
        <v>8169</v>
      </c>
      <c r="I2669" t="s">
        <v>11385</v>
      </c>
      <c r="J2669">
        <v>11236</v>
      </c>
      <c r="K2669" t="s">
        <v>11446</v>
      </c>
      <c r="L2669" t="s">
        <v>12402</v>
      </c>
      <c r="M2669" t="s">
        <v>14743</v>
      </c>
      <c r="N2669" t="s">
        <v>14781</v>
      </c>
      <c r="P2669" t="s">
        <v>14800</v>
      </c>
      <c r="Q2669" t="s">
        <v>11448</v>
      </c>
      <c r="S2669" t="s">
        <v>14827</v>
      </c>
      <c r="T2669" t="s">
        <v>14832</v>
      </c>
      <c r="U2669" t="s">
        <v>485</v>
      </c>
      <c r="V2669">
        <v>1303</v>
      </c>
      <c r="W2669" t="s">
        <v>14859</v>
      </c>
      <c r="X2669" t="s">
        <v>14865</v>
      </c>
      <c r="Z2669" t="s">
        <v>17137</v>
      </c>
      <c r="AA2669" t="s">
        <v>19539</v>
      </c>
      <c r="AB2669" t="s">
        <v>22161</v>
      </c>
      <c r="AC2669">
        <v>3</v>
      </c>
      <c r="AD2669" t="s">
        <v>24600</v>
      </c>
      <c r="AE2669" t="s">
        <v>24615</v>
      </c>
      <c r="AF2669">
        <v>7</v>
      </c>
      <c r="AG2669">
        <v>1</v>
      </c>
      <c r="AH2669">
        <v>2</v>
      </c>
      <c r="AI2669">
        <v>20.14</v>
      </c>
      <c r="AL2669" t="s">
        <v>5011</v>
      </c>
      <c r="AM2669">
        <v>4296</v>
      </c>
      <c r="AO2669" t="s">
        <v>24930</v>
      </c>
      <c r="AP2669" t="s">
        <v>24962</v>
      </c>
      <c r="AQ2669" t="s">
        <v>24986</v>
      </c>
      <c r="AR2669" t="s">
        <v>25025</v>
      </c>
      <c r="AS2669">
        <v>15.3</v>
      </c>
      <c r="AT2669" t="s">
        <v>533</v>
      </c>
      <c r="AU2669" t="s">
        <v>25235</v>
      </c>
      <c r="AV2669" t="s">
        <v>25335</v>
      </c>
      <c r="AW2669" t="s">
        <v>11447</v>
      </c>
    </row>
    <row r="2670" spans="1:49">
      <c r="A2670" s="1">
        <f>HYPERLINK("https://lsnyc.legalserver.org/matter/dynamic-profile/view/1905325","19-1905325")</f>
        <v>0</v>
      </c>
      <c r="B2670" t="s">
        <v>262</v>
      </c>
      <c r="C2670" t="s">
        <v>619</v>
      </c>
      <c r="E2670" t="s">
        <v>2421</v>
      </c>
      <c r="F2670" t="s">
        <v>2515</v>
      </c>
      <c r="G2670" t="s">
        <v>8170</v>
      </c>
      <c r="H2670" t="s">
        <v>10501</v>
      </c>
      <c r="I2670" t="s">
        <v>11385</v>
      </c>
      <c r="J2670">
        <v>11236</v>
      </c>
      <c r="K2670" t="s">
        <v>11446</v>
      </c>
      <c r="L2670" t="s">
        <v>12403</v>
      </c>
      <c r="M2670" t="s">
        <v>14743</v>
      </c>
      <c r="N2670" t="s">
        <v>14781</v>
      </c>
      <c r="P2670" t="s">
        <v>14800</v>
      </c>
      <c r="Q2670" t="s">
        <v>11448</v>
      </c>
      <c r="S2670" t="s">
        <v>14827</v>
      </c>
      <c r="T2670" t="s">
        <v>14832</v>
      </c>
      <c r="U2670" t="s">
        <v>485</v>
      </c>
      <c r="V2670">
        <v>1550</v>
      </c>
      <c r="W2670" t="s">
        <v>14859</v>
      </c>
      <c r="X2670" t="s">
        <v>14863</v>
      </c>
      <c r="Z2670" t="s">
        <v>17138</v>
      </c>
      <c r="AA2670">
        <v>8673853</v>
      </c>
      <c r="AB2670" t="s">
        <v>22162</v>
      </c>
      <c r="AC2670">
        <v>5</v>
      </c>
      <c r="AD2670" t="s">
        <v>11479</v>
      </c>
      <c r="AE2670" t="s">
        <v>14755</v>
      </c>
      <c r="AF2670">
        <v>1</v>
      </c>
      <c r="AG2670">
        <v>2</v>
      </c>
      <c r="AH2670">
        <v>3</v>
      </c>
      <c r="AI2670">
        <v>21.54</v>
      </c>
      <c r="AL2670" t="s">
        <v>5011</v>
      </c>
      <c r="AM2670">
        <v>6500</v>
      </c>
      <c r="AS2670">
        <v>6.3</v>
      </c>
      <c r="AT2670" t="s">
        <v>521</v>
      </c>
      <c r="AU2670" t="s">
        <v>25235</v>
      </c>
      <c r="AV2670" t="s">
        <v>25335</v>
      </c>
      <c r="AW2670" t="s">
        <v>11447</v>
      </c>
    </row>
    <row r="2671" spans="1:49">
      <c r="A2671" s="1">
        <f>HYPERLINK("https://lsnyc.legalserver.org/matter/dynamic-profile/view/1902281","19-1902281")</f>
        <v>0</v>
      </c>
      <c r="B2671" t="s">
        <v>93</v>
      </c>
      <c r="C2671" t="s">
        <v>498</v>
      </c>
      <c r="E2671" t="s">
        <v>1153</v>
      </c>
      <c r="F2671" t="s">
        <v>3669</v>
      </c>
      <c r="G2671" t="s">
        <v>6419</v>
      </c>
      <c r="H2671" t="s">
        <v>10539</v>
      </c>
      <c r="I2671" t="s">
        <v>11385</v>
      </c>
      <c r="J2671">
        <v>11201</v>
      </c>
      <c r="K2671" t="s">
        <v>11446</v>
      </c>
      <c r="L2671" t="s">
        <v>12404</v>
      </c>
      <c r="M2671" t="s">
        <v>14766</v>
      </c>
      <c r="N2671" t="s">
        <v>14781</v>
      </c>
      <c r="P2671" t="s">
        <v>14800</v>
      </c>
      <c r="Q2671" t="s">
        <v>11448</v>
      </c>
      <c r="S2671" t="s">
        <v>14827</v>
      </c>
      <c r="T2671" t="s">
        <v>14832</v>
      </c>
      <c r="U2671" t="s">
        <v>485</v>
      </c>
      <c r="V2671">
        <v>281</v>
      </c>
      <c r="W2671" t="s">
        <v>14859</v>
      </c>
      <c r="X2671" t="s">
        <v>14868</v>
      </c>
      <c r="Z2671" t="s">
        <v>15045</v>
      </c>
      <c r="AA2671" t="s">
        <v>19540</v>
      </c>
      <c r="AB2671" t="s">
        <v>20215</v>
      </c>
      <c r="AC2671">
        <v>30</v>
      </c>
      <c r="AD2671" t="s">
        <v>24602</v>
      </c>
      <c r="AE2671" t="s">
        <v>11459</v>
      </c>
      <c r="AF2671">
        <v>47</v>
      </c>
      <c r="AG2671">
        <v>1</v>
      </c>
      <c r="AH2671">
        <v>0</v>
      </c>
      <c r="AI2671">
        <v>38.24</v>
      </c>
      <c r="AL2671" t="s">
        <v>5011</v>
      </c>
      <c r="AM2671">
        <v>4776</v>
      </c>
      <c r="AS2671">
        <v>43.55</v>
      </c>
      <c r="AT2671" t="s">
        <v>516</v>
      </c>
      <c r="AU2671" t="s">
        <v>25235</v>
      </c>
      <c r="AV2671" t="s">
        <v>25335</v>
      </c>
      <c r="AW2671" t="s">
        <v>11447</v>
      </c>
    </row>
    <row r="2672" spans="1:49">
      <c r="A2672" s="1">
        <f>HYPERLINK("https://lsnyc.legalserver.org/matter/dynamic-profile/view/1908997","19-1908997")</f>
        <v>0</v>
      </c>
      <c r="B2672" t="s">
        <v>278</v>
      </c>
      <c r="C2672" t="s">
        <v>641</v>
      </c>
      <c r="E2672" t="s">
        <v>1144</v>
      </c>
      <c r="F2672" t="s">
        <v>4997</v>
      </c>
      <c r="G2672" t="s">
        <v>8171</v>
      </c>
      <c r="H2672" t="s">
        <v>10450</v>
      </c>
      <c r="I2672" t="s">
        <v>11385</v>
      </c>
      <c r="J2672">
        <v>11233</v>
      </c>
      <c r="K2672" t="s">
        <v>11446</v>
      </c>
      <c r="L2672" t="s">
        <v>12405</v>
      </c>
      <c r="M2672" t="s">
        <v>14743</v>
      </c>
      <c r="N2672" t="s">
        <v>14781</v>
      </c>
      <c r="P2672" t="s">
        <v>14800</v>
      </c>
      <c r="S2672" t="s">
        <v>14827</v>
      </c>
      <c r="U2672" t="s">
        <v>485</v>
      </c>
      <c r="V2672">
        <v>176</v>
      </c>
      <c r="W2672" t="s">
        <v>14859</v>
      </c>
      <c r="X2672" t="s">
        <v>14865</v>
      </c>
      <c r="Z2672" t="s">
        <v>17139</v>
      </c>
      <c r="AB2672" t="s">
        <v>22163</v>
      </c>
      <c r="AC2672">
        <v>8</v>
      </c>
      <c r="AF2672">
        <v>0</v>
      </c>
      <c r="AG2672">
        <v>1</v>
      </c>
      <c r="AH2672">
        <v>2</v>
      </c>
      <c r="AI2672">
        <v>43.38</v>
      </c>
      <c r="AL2672" t="s">
        <v>5011</v>
      </c>
      <c r="AM2672">
        <v>9252</v>
      </c>
      <c r="AS2672">
        <v>9.5</v>
      </c>
      <c r="AT2672" t="s">
        <v>483</v>
      </c>
      <c r="AU2672" t="s">
        <v>25275</v>
      </c>
      <c r="AV2672" t="s">
        <v>25335</v>
      </c>
      <c r="AW2672" t="s">
        <v>11447</v>
      </c>
    </row>
    <row r="2673" spans="1:49">
      <c r="A2673" s="1">
        <f>HYPERLINK("https://lsnyc.legalserver.org/matter/dynamic-profile/view/1906181","19-1906181")</f>
        <v>0</v>
      </c>
      <c r="B2673" t="s">
        <v>228</v>
      </c>
      <c r="C2673" t="s">
        <v>553</v>
      </c>
      <c r="E2673" t="s">
        <v>1025</v>
      </c>
      <c r="F2673" t="s">
        <v>4998</v>
      </c>
      <c r="G2673" t="s">
        <v>8172</v>
      </c>
      <c r="H2673" t="s">
        <v>10637</v>
      </c>
      <c r="I2673" t="s">
        <v>11385</v>
      </c>
      <c r="J2673">
        <v>11214</v>
      </c>
      <c r="K2673" t="s">
        <v>11446</v>
      </c>
      <c r="L2673" t="s">
        <v>12406</v>
      </c>
      <c r="M2673" t="s">
        <v>14743</v>
      </c>
      <c r="N2673" t="s">
        <v>14778</v>
      </c>
      <c r="P2673" t="s">
        <v>14800</v>
      </c>
      <c r="Q2673" t="s">
        <v>11448</v>
      </c>
      <c r="S2673" t="s">
        <v>14827</v>
      </c>
      <c r="T2673" t="s">
        <v>14832</v>
      </c>
      <c r="U2673" t="s">
        <v>485</v>
      </c>
      <c r="V2673">
        <v>1600</v>
      </c>
      <c r="W2673" t="s">
        <v>14859</v>
      </c>
      <c r="X2673" t="s">
        <v>14865</v>
      </c>
      <c r="Z2673" t="s">
        <v>17140</v>
      </c>
      <c r="AA2673" t="s">
        <v>19541</v>
      </c>
      <c r="AB2673" t="s">
        <v>22164</v>
      </c>
      <c r="AC2673">
        <v>3</v>
      </c>
      <c r="AD2673" t="s">
        <v>11479</v>
      </c>
      <c r="AE2673" t="s">
        <v>11459</v>
      </c>
      <c r="AF2673">
        <v>10</v>
      </c>
      <c r="AG2673">
        <v>4</v>
      </c>
      <c r="AH2673">
        <v>1</v>
      </c>
      <c r="AI2673">
        <v>55.84</v>
      </c>
      <c r="AL2673" t="s">
        <v>5011</v>
      </c>
      <c r="AM2673">
        <v>16848</v>
      </c>
      <c r="AS2673">
        <v>0.2</v>
      </c>
      <c r="AT2673" t="s">
        <v>539</v>
      </c>
      <c r="AU2673" t="s">
        <v>25277</v>
      </c>
      <c r="AV2673" t="s">
        <v>25335</v>
      </c>
      <c r="AW2673" t="s">
        <v>11447</v>
      </c>
    </row>
    <row r="2674" spans="1:49">
      <c r="A2674" s="1">
        <f>HYPERLINK("https://lsnyc.legalserver.org/matter/dynamic-profile/view/1905960","19-1905960")</f>
        <v>0</v>
      </c>
      <c r="B2674" t="s">
        <v>127</v>
      </c>
      <c r="C2674" t="s">
        <v>461</v>
      </c>
      <c r="E2674" t="s">
        <v>1233</v>
      </c>
      <c r="F2674" t="s">
        <v>3734</v>
      </c>
      <c r="G2674" t="s">
        <v>6508</v>
      </c>
      <c r="H2674" t="s">
        <v>11023</v>
      </c>
      <c r="I2674" t="s">
        <v>11385</v>
      </c>
      <c r="J2674">
        <v>11210</v>
      </c>
      <c r="K2674" t="s">
        <v>11446</v>
      </c>
      <c r="L2674" t="s">
        <v>11512</v>
      </c>
      <c r="M2674" t="s">
        <v>14743</v>
      </c>
      <c r="N2674" t="s">
        <v>14781</v>
      </c>
      <c r="P2674" t="s">
        <v>14800</v>
      </c>
      <c r="S2674" t="s">
        <v>14827</v>
      </c>
      <c r="U2674" t="s">
        <v>485</v>
      </c>
      <c r="V2674">
        <v>1350</v>
      </c>
      <c r="W2674" t="s">
        <v>14859</v>
      </c>
      <c r="X2674" t="s">
        <v>14865</v>
      </c>
      <c r="Z2674" t="s">
        <v>15132</v>
      </c>
      <c r="AB2674" t="s">
        <v>20294</v>
      </c>
      <c r="AC2674">
        <v>0</v>
      </c>
      <c r="AF2674">
        <v>5</v>
      </c>
      <c r="AG2674">
        <v>1</v>
      </c>
      <c r="AH2674">
        <v>0</v>
      </c>
      <c r="AI2674">
        <v>111.93</v>
      </c>
      <c r="AL2674" t="s">
        <v>5011</v>
      </c>
      <c r="AM2674">
        <v>13980</v>
      </c>
      <c r="AS2674">
        <v>25.5</v>
      </c>
      <c r="AT2674" t="s">
        <v>521</v>
      </c>
      <c r="AU2674" t="s">
        <v>25275</v>
      </c>
      <c r="AV2674" t="s">
        <v>25335</v>
      </c>
      <c r="AW2674" t="s">
        <v>11447</v>
      </c>
    </row>
    <row r="2675" spans="1:49">
      <c r="A2675" s="1">
        <f>HYPERLINK("https://lsnyc.legalserver.org/matter/dynamic-profile/view/1906260","19-1906260")</f>
        <v>0</v>
      </c>
      <c r="B2675" t="s">
        <v>228</v>
      </c>
      <c r="C2675" t="s">
        <v>355</v>
      </c>
      <c r="E2675" t="s">
        <v>1045</v>
      </c>
      <c r="F2675" t="s">
        <v>4999</v>
      </c>
      <c r="G2675" t="s">
        <v>8173</v>
      </c>
      <c r="H2675" t="s">
        <v>10509</v>
      </c>
      <c r="I2675" t="s">
        <v>11385</v>
      </c>
      <c r="J2675">
        <v>11208</v>
      </c>
      <c r="K2675" t="s">
        <v>11446</v>
      </c>
      <c r="L2675" t="s">
        <v>12407</v>
      </c>
      <c r="M2675" t="s">
        <v>14744</v>
      </c>
      <c r="N2675" t="s">
        <v>14778</v>
      </c>
      <c r="P2675" t="s">
        <v>14800</v>
      </c>
      <c r="S2675" t="s">
        <v>14827</v>
      </c>
      <c r="U2675" t="s">
        <v>485</v>
      </c>
      <c r="V2675">
        <v>305.6</v>
      </c>
      <c r="W2675" t="s">
        <v>14859</v>
      </c>
      <c r="X2675" t="s">
        <v>14865</v>
      </c>
      <c r="Z2675" t="s">
        <v>17141</v>
      </c>
      <c r="AA2675" t="s">
        <v>19542</v>
      </c>
      <c r="AB2675" t="s">
        <v>22165</v>
      </c>
      <c r="AC2675">
        <v>0</v>
      </c>
      <c r="AD2675" t="s">
        <v>24597</v>
      </c>
      <c r="AE2675" t="s">
        <v>11459</v>
      </c>
      <c r="AF2675">
        <v>14</v>
      </c>
      <c r="AG2675">
        <v>1</v>
      </c>
      <c r="AH2675">
        <v>0</v>
      </c>
      <c r="AI2675">
        <v>134.99</v>
      </c>
      <c r="AL2675" t="s">
        <v>5011</v>
      </c>
      <c r="AM2675">
        <v>16860</v>
      </c>
      <c r="AS2675">
        <v>0</v>
      </c>
      <c r="AU2675" t="s">
        <v>25277</v>
      </c>
      <c r="AW2675" t="s">
        <v>11447</v>
      </c>
    </row>
    <row r="2676" spans="1:49">
      <c r="A2676" s="1">
        <f>HYPERLINK("https://lsnyc.legalserver.org/matter/dynamic-profile/view/1901974","19-1901974")</f>
        <v>0</v>
      </c>
      <c r="B2676" t="s">
        <v>282</v>
      </c>
      <c r="C2676" t="s">
        <v>349</v>
      </c>
      <c r="E2676" t="s">
        <v>2422</v>
      </c>
      <c r="F2676" t="s">
        <v>3603</v>
      </c>
      <c r="G2676" t="s">
        <v>8174</v>
      </c>
      <c r="H2676" t="s">
        <v>11024</v>
      </c>
      <c r="I2676" t="s">
        <v>11385</v>
      </c>
      <c r="J2676">
        <v>11212</v>
      </c>
      <c r="K2676" t="s">
        <v>11446</v>
      </c>
      <c r="L2676" t="s">
        <v>12408</v>
      </c>
      <c r="M2676" t="s">
        <v>14743</v>
      </c>
      <c r="N2676" t="s">
        <v>14779</v>
      </c>
      <c r="P2676" t="s">
        <v>14800</v>
      </c>
      <c r="Q2676" t="s">
        <v>11448</v>
      </c>
      <c r="S2676" t="s">
        <v>14828</v>
      </c>
      <c r="U2676" t="s">
        <v>485</v>
      </c>
      <c r="V2676">
        <v>426</v>
      </c>
      <c r="W2676" t="s">
        <v>14859</v>
      </c>
      <c r="X2676" t="s">
        <v>14865</v>
      </c>
      <c r="Z2676" t="s">
        <v>17142</v>
      </c>
      <c r="AB2676" t="s">
        <v>22166</v>
      </c>
      <c r="AC2676">
        <v>64</v>
      </c>
      <c r="AD2676" t="s">
        <v>24597</v>
      </c>
      <c r="AF2676">
        <v>8</v>
      </c>
      <c r="AG2676">
        <v>1</v>
      </c>
      <c r="AH2676">
        <v>0</v>
      </c>
      <c r="AI2676">
        <v>151.96</v>
      </c>
      <c r="AL2676" t="s">
        <v>5011</v>
      </c>
      <c r="AM2676">
        <v>18980</v>
      </c>
      <c r="AS2676">
        <v>5.5</v>
      </c>
      <c r="AT2676" t="s">
        <v>654</v>
      </c>
      <c r="AU2676" t="s">
        <v>25235</v>
      </c>
      <c r="AV2676" t="s">
        <v>25335</v>
      </c>
      <c r="AW2676" t="s">
        <v>11447</v>
      </c>
    </row>
    <row r="2677" spans="1:49">
      <c r="A2677" s="1">
        <f>HYPERLINK("https://lsnyc.legalserver.org/matter/dynamic-profile/view/1906484","19-1906484")</f>
        <v>0</v>
      </c>
      <c r="B2677" t="s">
        <v>228</v>
      </c>
      <c r="C2677" t="s">
        <v>380</v>
      </c>
      <c r="E2677" t="s">
        <v>1069</v>
      </c>
      <c r="F2677" t="s">
        <v>2002</v>
      </c>
      <c r="G2677" t="s">
        <v>8175</v>
      </c>
      <c r="H2677" t="s">
        <v>10464</v>
      </c>
      <c r="I2677" t="s">
        <v>11385</v>
      </c>
      <c r="J2677">
        <v>11208</v>
      </c>
      <c r="K2677" t="s">
        <v>11446</v>
      </c>
      <c r="L2677" t="s">
        <v>12409</v>
      </c>
      <c r="M2677" t="s">
        <v>14743</v>
      </c>
      <c r="N2677" t="s">
        <v>14782</v>
      </c>
      <c r="P2677" t="s">
        <v>14800</v>
      </c>
      <c r="S2677" t="s">
        <v>14827</v>
      </c>
      <c r="U2677" t="s">
        <v>380</v>
      </c>
      <c r="V2677">
        <v>1800</v>
      </c>
      <c r="W2677" t="s">
        <v>14859</v>
      </c>
      <c r="X2677" t="s">
        <v>14865</v>
      </c>
      <c r="Z2677" t="s">
        <v>17143</v>
      </c>
      <c r="AB2677" t="s">
        <v>22167</v>
      </c>
      <c r="AC2677">
        <v>0</v>
      </c>
      <c r="AD2677" t="s">
        <v>24595</v>
      </c>
      <c r="AE2677" t="s">
        <v>24610</v>
      </c>
      <c r="AF2677">
        <v>11</v>
      </c>
      <c r="AG2677">
        <v>1</v>
      </c>
      <c r="AH2677">
        <v>1</v>
      </c>
      <c r="AI2677">
        <v>18.45</v>
      </c>
      <c r="AL2677" t="s">
        <v>5011</v>
      </c>
      <c r="AM2677">
        <v>3120</v>
      </c>
      <c r="AS2677">
        <v>0</v>
      </c>
      <c r="AU2677" t="s">
        <v>25277</v>
      </c>
      <c r="AV2677" t="s">
        <v>25335</v>
      </c>
      <c r="AW2677" t="s">
        <v>11447</v>
      </c>
    </row>
    <row r="2678" spans="1:49">
      <c r="A2678" s="1">
        <f>HYPERLINK("https://lsnyc.legalserver.org/matter/dynamic-profile/view/1906555","19-1906555")</f>
        <v>0</v>
      </c>
      <c r="B2678" t="s">
        <v>141</v>
      </c>
      <c r="C2678" t="s">
        <v>380</v>
      </c>
      <c r="E2678" t="s">
        <v>2423</v>
      </c>
      <c r="F2678" t="s">
        <v>5000</v>
      </c>
      <c r="G2678" t="s">
        <v>8176</v>
      </c>
      <c r="H2678" t="s">
        <v>10569</v>
      </c>
      <c r="I2678" t="s">
        <v>11385</v>
      </c>
      <c r="J2678">
        <v>11236</v>
      </c>
      <c r="K2678" t="s">
        <v>11446</v>
      </c>
      <c r="L2678" t="s">
        <v>12410</v>
      </c>
      <c r="M2678" t="s">
        <v>14744</v>
      </c>
      <c r="N2678" t="s">
        <v>14781</v>
      </c>
      <c r="P2678" t="s">
        <v>14800</v>
      </c>
      <c r="S2678" t="s">
        <v>14828</v>
      </c>
      <c r="U2678" t="s">
        <v>380</v>
      </c>
      <c r="V2678">
        <v>880</v>
      </c>
      <c r="W2678" t="s">
        <v>14859</v>
      </c>
      <c r="X2678" t="s">
        <v>14865</v>
      </c>
      <c r="Z2678" t="s">
        <v>17144</v>
      </c>
      <c r="AB2678" t="s">
        <v>22168</v>
      </c>
      <c r="AC2678">
        <v>0</v>
      </c>
      <c r="AD2678" t="s">
        <v>24597</v>
      </c>
      <c r="AE2678" t="s">
        <v>11459</v>
      </c>
      <c r="AF2678">
        <v>27</v>
      </c>
      <c r="AG2678">
        <v>4</v>
      </c>
      <c r="AH2678">
        <v>0</v>
      </c>
      <c r="AI2678">
        <v>135.92</v>
      </c>
      <c r="AL2678" t="s">
        <v>5011</v>
      </c>
      <c r="AM2678">
        <v>35000</v>
      </c>
      <c r="AS2678">
        <v>20.7</v>
      </c>
      <c r="AT2678" t="s">
        <v>478</v>
      </c>
      <c r="AU2678" t="s">
        <v>25235</v>
      </c>
      <c r="AV2678" t="s">
        <v>25335</v>
      </c>
      <c r="AW2678" t="s">
        <v>11447</v>
      </c>
    </row>
    <row r="2679" spans="1:49">
      <c r="A2679" s="1">
        <f>HYPERLINK("https://lsnyc.legalserver.org/matter/dynamic-profile/view/1906599","19-1906599")</f>
        <v>0</v>
      </c>
      <c r="B2679" t="s">
        <v>275</v>
      </c>
      <c r="C2679" t="s">
        <v>373</v>
      </c>
      <c r="E2679" t="s">
        <v>1374</v>
      </c>
      <c r="F2679" t="s">
        <v>5001</v>
      </c>
      <c r="G2679" t="s">
        <v>8177</v>
      </c>
      <c r="H2679" t="s">
        <v>10486</v>
      </c>
      <c r="I2679" t="s">
        <v>11385</v>
      </c>
      <c r="J2679">
        <v>11233</v>
      </c>
      <c r="K2679" t="s">
        <v>11446</v>
      </c>
      <c r="L2679" t="s">
        <v>12411</v>
      </c>
      <c r="M2679" t="s">
        <v>14743</v>
      </c>
      <c r="N2679" t="s">
        <v>14778</v>
      </c>
      <c r="P2679" t="s">
        <v>14800</v>
      </c>
      <c r="S2679" t="s">
        <v>14827</v>
      </c>
      <c r="U2679" t="s">
        <v>373</v>
      </c>
      <c r="V2679">
        <v>0</v>
      </c>
      <c r="W2679" t="s">
        <v>14859</v>
      </c>
      <c r="X2679" t="s">
        <v>14865</v>
      </c>
      <c r="Z2679" t="s">
        <v>17145</v>
      </c>
      <c r="AB2679" t="s">
        <v>22169</v>
      </c>
      <c r="AC2679">
        <v>2</v>
      </c>
      <c r="AF2679">
        <v>0</v>
      </c>
      <c r="AG2679">
        <v>1</v>
      </c>
      <c r="AH2679">
        <v>0</v>
      </c>
      <c r="AI2679">
        <v>17.58</v>
      </c>
      <c r="AL2679" t="s">
        <v>24632</v>
      </c>
      <c r="AM2679">
        <v>2196</v>
      </c>
      <c r="AS2679">
        <v>0.6</v>
      </c>
      <c r="AT2679" t="s">
        <v>373</v>
      </c>
      <c r="AU2679" t="s">
        <v>25235</v>
      </c>
      <c r="AV2679" t="s">
        <v>25335</v>
      </c>
      <c r="AW2679" t="s">
        <v>11447</v>
      </c>
    </row>
    <row r="2680" spans="1:49">
      <c r="A2680" s="1">
        <f>HYPERLINK("https://lsnyc.legalserver.org/matter/dynamic-profile/view/1906693","19-1906693")</f>
        <v>0</v>
      </c>
      <c r="B2680" t="s">
        <v>228</v>
      </c>
      <c r="C2680" t="s">
        <v>373</v>
      </c>
      <c r="E2680" t="s">
        <v>1025</v>
      </c>
      <c r="F2680" t="s">
        <v>3662</v>
      </c>
      <c r="G2680" t="s">
        <v>8178</v>
      </c>
      <c r="H2680" t="s">
        <v>11025</v>
      </c>
      <c r="I2680" t="s">
        <v>11385</v>
      </c>
      <c r="J2680">
        <v>11208</v>
      </c>
      <c r="K2680" t="s">
        <v>11446</v>
      </c>
      <c r="L2680" t="s">
        <v>12412</v>
      </c>
      <c r="M2680" t="s">
        <v>14746</v>
      </c>
      <c r="N2680" t="s">
        <v>14782</v>
      </c>
      <c r="P2680" t="s">
        <v>14800</v>
      </c>
      <c r="S2680" t="s">
        <v>14827</v>
      </c>
      <c r="U2680" t="s">
        <v>373</v>
      </c>
      <c r="V2680">
        <v>1850</v>
      </c>
      <c r="W2680" t="s">
        <v>14859</v>
      </c>
      <c r="Z2680" t="s">
        <v>17146</v>
      </c>
      <c r="AB2680" t="s">
        <v>22170</v>
      </c>
      <c r="AC2680">
        <v>0</v>
      </c>
      <c r="AD2680" t="s">
        <v>24606</v>
      </c>
      <c r="AE2680" t="s">
        <v>14755</v>
      </c>
      <c r="AF2680">
        <v>4</v>
      </c>
      <c r="AG2680">
        <v>2</v>
      </c>
      <c r="AH2680">
        <v>3</v>
      </c>
      <c r="AI2680">
        <v>19.89</v>
      </c>
      <c r="AL2680" t="s">
        <v>5011</v>
      </c>
      <c r="AM2680">
        <v>6000</v>
      </c>
      <c r="AS2680">
        <v>0</v>
      </c>
      <c r="AU2680" t="s">
        <v>25277</v>
      </c>
      <c r="AV2680" t="s">
        <v>25335</v>
      </c>
      <c r="AW2680" t="s">
        <v>11447</v>
      </c>
    </row>
    <row r="2681" spans="1:49">
      <c r="A2681" s="1">
        <f>HYPERLINK("https://lsnyc.legalserver.org/matter/dynamic-profile/view/1906642","19-1906642")</f>
        <v>0</v>
      </c>
      <c r="B2681" t="s">
        <v>133</v>
      </c>
      <c r="C2681" t="s">
        <v>373</v>
      </c>
      <c r="E2681" t="s">
        <v>2072</v>
      </c>
      <c r="F2681" t="s">
        <v>1839</v>
      </c>
      <c r="G2681" t="s">
        <v>8179</v>
      </c>
      <c r="H2681" t="s">
        <v>10541</v>
      </c>
      <c r="I2681" t="s">
        <v>11385</v>
      </c>
      <c r="J2681">
        <v>11207</v>
      </c>
      <c r="K2681" t="s">
        <v>11446</v>
      </c>
      <c r="L2681" t="s">
        <v>12413</v>
      </c>
      <c r="M2681" t="s">
        <v>14744</v>
      </c>
      <c r="N2681" t="s">
        <v>14781</v>
      </c>
      <c r="P2681" t="s">
        <v>14800</v>
      </c>
      <c r="Q2681" t="s">
        <v>11448</v>
      </c>
      <c r="S2681" t="s">
        <v>14827</v>
      </c>
      <c r="T2681" t="s">
        <v>14837</v>
      </c>
      <c r="U2681" t="s">
        <v>373</v>
      </c>
      <c r="V2681">
        <v>614</v>
      </c>
      <c r="W2681" t="s">
        <v>14859</v>
      </c>
      <c r="X2681" t="s">
        <v>14865</v>
      </c>
      <c r="Z2681" t="s">
        <v>17147</v>
      </c>
      <c r="AA2681" t="s">
        <v>19543</v>
      </c>
      <c r="AB2681" t="s">
        <v>22171</v>
      </c>
      <c r="AC2681">
        <v>0</v>
      </c>
      <c r="AD2681" t="s">
        <v>24597</v>
      </c>
      <c r="AE2681" t="s">
        <v>11459</v>
      </c>
      <c r="AF2681">
        <v>13</v>
      </c>
      <c r="AG2681">
        <v>1</v>
      </c>
      <c r="AH2681">
        <v>3</v>
      </c>
      <c r="AI2681">
        <v>27.96</v>
      </c>
      <c r="AL2681" t="s">
        <v>5011</v>
      </c>
      <c r="AM2681">
        <v>7200</v>
      </c>
      <c r="AS2681">
        <v>4.8</v>
      </c>
      <c r="AT2681" t="s">
        <v>574</v>
      </c>
      <c r="AU2681" t="s">
        <v>25277</v>
      </c>
      <c r="AV2681" t="s">
        <v>25334</v>
      </c>
      <c r="AW2681" t="s">
        <v>11447</v>
      </c>
    </row>
    <row r="2682" spans="1:49">
      <c r="A2682" s="1">
        <f>HYPERLINK("https://lsnyc.legalserver.org/matter/dynamic-profile/view/1906572","19-1906572")</f>
        <v>0</v>
      </c>
      <c r="B2682" t="s">
        <v>228</v>
      </c>
      <c r="C2682" t="s">
        <v>373</v>
      </c>
      <c r="E2682" t="s">
        <v>1218</v>
      </c>
      <c r="F2682" t="s">
        <v>2559</v>
      </c>
      <c r="G2682" t="s">
        <v>8180</v>
      </c>
      <c r="H2682" t="s">
        <v>10494</v>
      </c>
      <c r="I2682" t="s">
        <v>11385</v>
      </c>
      <c r="J2682">
        <v>11208</v>
      </c>
      <c r="K2682" t="s">
        <v>11446</v>
      </c>
      <c r="L2682" t="s">
        <v>12414</v>
      </c>
      <c r="M2682" t="s">
        <v>14743</v>
      </c>
      <c r="N2682" t="s">
        <v>14778</v>
      </c>
      <c r="P2682" t="s">
        <v>14800</v>
      </c>
      <c r="S2682" t="s">
        <v>14827</v>
      </c>
      <c r="U2682" t="s">
        <v>373</v>
      </c>
      <c r="V2682">
        <v>1500</v>
      </c>
      <c r="W2682" t="s">
        <v>14859</v>
      </c>
      <c r="Z2682" t="s">
        <v>17148</v>
      </c>
      <c r="AB2682" t="s">
        <v>22172</v>
      </c>
      <c r="AC2682">
        <v>0</v>
      </c>
      <c r="AE2682" t="s">
        <v>11459</v>
      </c>
      <c r="AF2682">
        <v>13</v>
      </c>
      <c r="AG2682">
        <v>3</v>
      </c>
      <c r="AH2682">
        <v>1</v>
      </c>
      <c r="AI2682">
        <v>155.34</v>
      </c>
      <c r="AL2682" t="s">
        <v>5011</v>
      </c>
      <c r="AM2682">
        <v>40000</v>
      </c>
      <c r="AS2682">
        <v>0</v>
      </c>
      <c r="AU2682" t="s">
        <v>25277</v>
      </c>
      <c r="AW2682" t="s">
        <v>11447</v>
      </c>
    </row>
    <row r="2683" spans="1:49">
      <c r="A2683" s="1">
        <f>HYPERLINK("https://lsnyc.legalserver.org/matter/dynamic-profile/view/1906716","19-1906716")</f>
        <v>0</v>
      </c>
      <c r="B2683" t="s">
        <v>275</v>
      </c>
      <c r="C2683" t="s">
        <v>620</v>
      </c>
      <c r="E2683" t="s">
        <v>2424</v>
      </c>
      <c r="F2683" t="s">
        <v>5002</v>
      </c>
      <c r="G2683" t="s">
        <v>8181</v>
      </c>
      <c r="H2683" t="s">
        <v>10598</v>
      </c>
      <c r="I2683" t="s">
        <v>11385</v>
      </c>
      <c r="J2683">
        <v>11206</v>
      </c>
      <c r="K2683" t="s">
        <v>11446</v>
      </c>
      <c r="L2683" t="s">
        <v>12415</v>
      </c>
      <c r="M2683" t="s">
        <v>14744</v>
      </c>
      <c r="N2683" t="s">
        <v>14778</v>
      </c>
      <c r="P2683" t="s">
        <v>14800</v>
      </c>
      <c r="S2683" t="s">
        <v>14828</v>
      </c>
      <c r="U2683" t="s">
        <v>620</v>
      </c>
      <c r="V2683">
        <v>0</v>
      </c>
      <c r="W2683" t="s">
        <v>14859</v>
      </c>
      <c r="X2683" t="s">
        <v>14865</v>
      </c>
      <c r="Z2683" t="s">
        <v>17149</v>
      </c>
      <c r="AC2683">
        <v>0</v>
      </c>
      <c r="AF2683">
        <v>0</v>
      </c>
      <c r="AG2683">
        <v>1</v>
      </c>
      <c r="AH2683">
        <v>0</v>
      </c>
      <c r="AI2683">
        <v>66.58</v>
      </c>
      <c r="AL2683" t="s">
        <v>5011</v>
      </c>
      <c r="AM2683">
        <v>8316</v>
      </c>
      <c r="AS2683">
        <v>0</v>
      </c>
      <c r="AU2683" t="s">
        <v>25285</v>
      </c>
      <c r="AV2683" t="s">
        <v>25335</v>
      </c>
      <c r="AW2683" t="s">
        <v>11447</v>
      </c>
    </row>
    <row r="2684" spans="1:49">
      <c r="A2684" s="1">
        <f>HYPERLINK("https://lsnyc.legalserver.org/matter/dynamic-profile/view/1906979","19-1906979")</f>
        <v>0</v>
      </c>
      <c r="B2684" t="s">
        <v>240</v>
      </c>
      <c r="C2684" t="s">
        <v>354</v>
      </c>
      <c r="E2684" t="s">
        <v>2425</v>
      </c>
      <c r="F2684" t="s">
        <v>1395</v>
      </c>
      <c r="G2684" t="s">
        <v>8182</v>
      </c>
      <c r="H2684" t="s">
        <v>11026</v>
      </c>
      <c r="I2684" t="s">
        <v>11385</v>
      </c>
      <c r="J2684">
        <v>11206</v>
      </c>
      <c r="K2684" t="s">
        <v>11446</v>
      </c>
      <c r="L2684" t="s">
        <v>12416</v>
      </c>
      <c r="M2684" t="s">
        <v>14744</v>
      </c>
      <c r="N2684" t="s">
        <v>14781</v>
      </c>
      <c r="P2684" t="s">
        <v>14800</v>
      </c>
      <c r="S2684" t="s">
        <v>14828</v>
      </c>
      <c r="U2684" t="s">
        <v>354</v>
      </c>
      <c r="V2684">
        <v>287</v>
      </c>
      <c r="W2684" t="s">
        <v>14859</v>
      </c>
      <c r="X2684" t="s">
        <v>14865</v>
      </c>
      <c r="Z2684" t="s">
        <v>17150</v>
      </c>
      <c r="AA2684" t="s">
        <v>19544</v>
      </c>
      <c r="AB2684" t="s">
        <v>22173</v>
      </c>
      <c r="AC2684">
        <v>0</v>
      </c>
      <c r="AF2684">
        <v>0</v>
      </c>
      <c r="AG2684">
        <v>1</v>
      </c>
      <c r="AH2684">
        <v>1</v>
      </c>
      <c r="AI2684">
        <v>12.92</v>
      </c>
      <c r="AL2684" t="s">
        <v>5011</v>
      </c>
      <c r="AM2684">
        <v>2184</v>
      </c>
      <c r="AS2684">
        <v>8.949999999999999</v>
      </c>
      <c r="AT2684" t="s">
        <v>490</v>
      </c>
      <c r="AU2684" t="s">
        <v>25275</v>
      </c>
      <c r="AV2684" t="s">
        <v>25335</v>
      </c>
      <c r="AW2684" t="s">
        <v>11447</v>
      </c>
    </row>
    <row r="2685" spans="1:49">
      <c r="A2685" s="1">
        <f>HYPERLINK("https://lsnyc.legalserver.org/matter/dynamic-profile/view/1907106","19-1907106")</f>
        <v>0</v>
      </c>
      <c r="B2685" t="s">
        <v>106</v>
      </c>
      <c r="C2685" t="s">
        <v>626</v>
      </c>
      <c r="E2685" t="s">
        <v>2426</v>
      </c>
      <c r="F2685" t="s">
        <v>5003</v>
      </c>
      <c r="G2685" t="s">
        <v>8162</v>
      </c>
      <c r="H2685" t="s">
        <v>11017</v>
      </c>
      <c r="I2685" t="s">
        <v>11385</v>
      </c>
      <c r="J2685">
        <v>11230</v>
      </c>
      <c r="K2685" t="s">
        <v>11446</v>
      </c>
      <c r="L2685" t="s">
        <v>12417</v>
      </c>
      <c r="N2685" t="s">
        <v>14781</v>
      </c>
      <c r="P2685" t="s">
        <v>14800</v>
      </c>
      <c r="S2685" t="s">
        <v>14827</v>
      </c>
      <c r="U2685" t="s">
        <v>626</v>
      </c>
      <c r="V2685">
        <v>852.52</v>
      </c>
      <c r="W2685" t="s">
        <v>14859</v>
      </c>
      <c r="X2685" t="s">
        <v>14868</v>
      </c>
      <c r="Z2685" t="s">
        <v>17151</v>
      </c>
      <c r="AB2685" t="s">
        <v>22174</v>
      </c>
      <c r="AC2685">
        <v>60</v>
      </c>
      <c r="AD2685" t="s">
        <v>24595</v>
      </c>
      <c r="AE2685" t="s">
        <v>11459</v>
      </c>
      <c r="AF2685">
        <v>29</v>
      </c>
      <c r="AG2685">
        <v>3</v>
      </c>
      <c r="AH2685">
        <v>0</v>
      </c>
      <c r="AI2685">
        <v>80.23</v>
      </c>
      <c r="AL2685" t="s">
        <v>5011</v>
      </c>
      <c r="AM2685">
        <v>17113.94</v>
      </c>
      <c r="AS2685">
        <v>17</v>
      </c>
      <c r="AT2685" t="s">
        <v>516</v>
      </c>
      <c r="AU2685" t="s">
        <v>25235</v>
      </c>
      <c r="AW2685" t="s">
        <v>11447</v>
      </c>
    </row>
    <row r="2686" spans="1:49">
      <c r="A2686" s="1">
        <f>HYPERLINK("https://lsnyc.legalserver.org/matter/dynamic-profile/view/1907588","19-1907588")</f>
        <v>0</v>
      </c>
      <c r="B2686" t="s">
        <v>106</v>
      </c>
      <c r="C2686" t="s">
        <v>630</v>
      </c>
      <c r="E2686" t="s">
        <v>2427</v>
      </c>
      <c r="F2686" t="s">
        <v>5004</v>
      </c>
      <c r="G2686" t="s">
        <v>8183</v>
      </c>
      <c r="H2686" t="s">
        <v>10676</v>
      </c>
      <c r="I2686" t="s">
        <v>11385</v>
      </c>
      <c r="J2686">
        <v>11204</v>
      </c>
      <c r="K2686" t="s">
        <v>11446</v>
      </c>
      <c r="L2686" t="s">
        <v>12418</v>
      </c>
      <c r="M2686" t="s">
        <v>14744</v>
      </c>
      <c r="N2686" t="s">
        <v>14781</v>
      </c>
      <c r="P2686" t="s">
        <v>14800</v>
      </c>
      <c r="Q2686" t="s">
        <v>11448</v>
      </c>
      <c r="S2686" t="s">
        <v>14827</v>
      </c>
      <c r="U2686" t="s">
        <v>630</v>
      </c>
      <c r="V2686">
        <v>1400</v>
      </c>
      <c r="W2686" t="s">
        <v>14859</v>
      </c>
      <c r="Z2686" t="s">
        <v>16060</v>
      </c>
      <c r="AA2686" t="s">
        <v>19545</v>
      </c>
      <c r="AB2686" t="s">
        <v>22175</v>
      </c>
      <c r="AC2686">
        <v>0</v>
      </c>
      <c r="AD2686" t="s">
        <v>24595</v>
      </c>
      <c r="AF2686">
        <v>0</v>
      </c>
      <c r="AG2686">
        <v>1</v>
      </c>
      <c r="AH2686">
        <v>2</v>
      </c>
      <c r="AI2686">
        <v>84.31999999999999</v>
      </c>
      <c r="AL2686" t="s">
        <v>5011</v>
      </c>
      <c r="AM2686">
        <v>17986.2</v>
      </c>
      <c r="AS2686">
        <v>16.6</v>
      </c>
      <c r="AT2686" t="s">
        <v>516</v>
      </c>
      <c r="AU2686" t="s">
        <v>25277</v>
      </c>
      <c r="AV2686" t="s">
        <v>25335</v>
      </c>
      <c r="AW2686" t="s">
        <v>11447</v>
      </c>
    </row>
    <row r="2687" spans="1:49">
      <c r="A2687" s="1">
        <f>HYPERLINK("https://lsnyc.legalserver.org/matter/dynamic-profile/view/1907671","19-1907671")</f>
        <v>0</v>
      </c>
      <c r="B2687" t="s">
        <v>185</v>
      </c>
      <c r="C2687" t="s">
        <v>633</v>
      </c>
      <c r="E2687" t="s">
        <v>2428</v>
      </c>
      <c r="F2687" t="s">
        <v>5005</v>
      </c>
      <c r="G2687" t="s">
        <v>8184</v>
      </c>
      <c r="H2687" t="s">
        <v>10729</v>
      </c>
      <c r="I2687" t="s">
        <v>11385</v>
      </c>
      <c r="J2687">
        <v>11212</v>
      </c>
      <c r="K2687" t="s">
        <v>11446</v>
      </c>
      <c r="L2687" t="s">
        <v>12419</v>
      </c>
      <c r="M2687" t="s">
        <v>14744</v>
      </c>
      <c r="N2687" t="s">
        <v>14781</v>
      </c>
      <c r="P2687" t="s">
        <v>14800</v>
      </c>
      <c r="S2687" t="s">
        <v>14828</v>
      </c>
      <c r="T2687" t="s">
        <v>14833</v>
      </c>
      <c r="U2687" t="s">
        <v>633</v>
      </c>
      <c r="V2687">
        <v>120</v>
      </c>
      <c r="W2687" t="s">
        <v>14859</v>
      </c>
      <c r="Z2687" t="s">
        <v>17152</v>
      </c>
      <c r="AB2687" t="s">
        <v>22176</v>
      </c>
      <c r="AC2687">
        <v>0</v>
      </c>
      <c r="AD2687" t="s">
        <v>24602</v>
      </c>
      <c r="AF2687">
        <v>0</v>
      </c>
      <c r="AG2687">
        <v>1</v>
      </c>
      <c r="AH2687">
        <v>2</v>
      </c>
      <c r="AI2687">
        <v>90.01000000000001</v>
      </c>
      <c r="AL2687" t="s">
        <v>5011</v>
      </c>
      <c r="AM2687">
        <v>19200</v>
      </c>
      <c r="AS2687">
        <v>4.8</v>
      </c>
      <c r="AT2687" t="s">
        <v>578</v>
      </c>
      <c r="AU2687" t="s">
        <v>185</v>
      </c>
      <c r="AV2687" t="s">
        <v>25335</v>
      </c>
      <c r="AW2687" t="s">
        <v>11447</v>
      </c>
    </row>
    <row r="2688" spans="1:49">
      <c r="A2688" s="1">
        <f>HYPERLINK("https://lsnyc.legalserver.org/matter/dynamic-profile/view/1907782","19-1907782")</f>
        <v>0</v>
      </c>
      <c r="B2688" t="s">
        <v>198</v>
      </c>
      <c r="C2688" t="s">
        <v>377</v>
      </c>
      <c r="E2688" t="s">
        <v>1245</v>
      </c>
      <c r="F2688" t="s">
        <v>5006</v>
      </c>
      <c r="G2688" t="s">
        <v>8185</v>
      </c>
      <c r="H2688" t="s">
        <v>10557</v>
      </c>
      <c r="I2688" t="s">
        <v>11385</v>
      </c>
      <c r="J2688">
        <v>11201</v>
      </c>
      <c r="K2688" t="s">
        <v>11446</v>
      </c>
      <c r="L2688" t="s">
        <v>12420</v>
      </c>
      <c r="M2688" t="s">
        <v>14744</v>
      </c>
      <c r="N2688" t="s">
        <v>14778</v>
      </c>
      <c r="P2688" t="s">
        <v>14800</v>
      </c>
      <c r="S2688" t="s">
        <v>14827</v>
      </c>
      <c r="U2688" t="s">
        <v>377</v>
      </c>
      <c r="V2688">
        <v>3600</v>
      </c>
      <c r="W2688" t="s">
        <v>14859</v>
      </c>
      <c r="Z2688" t="s">
        <v>17153</v>
      </c>
      <c r="AB2688" t="s">
        <v>22177</v>
      </c>
      <c r="AC2688">
        <v>0</v>
      </c>
      <c r="AF2688">
        <v>0</v>
      </c>
      <c r="AG2688">
        <v>1</v>
      </c>
      <c r="AH2688">
        <v>0</v>
      </c>
      <c r="AI2688">
        <v>0</v>
      </c>
      <c r="AL2688" t="s">
        <v>5011</v>
      </c>
      <c r="AM2688">
        <v>0</v>
      </c>
      <c r="AS2688">
        <v>1</v>
      </c>
      <c r="AT2688" t="s">
        <v>465</v>
      </c>
      <c r="AU2688" t="s">
        <v>25277</v>
      </c>
      <c r="AV2688" t="s">
        <v>25335</v>
      </c>
      <c r="AW2688" t="s">
        <v>11447</v>
      </c>
    </row>
    <row r="2689" spans="1:49">
      <c r="A2689" s="1">
        <f>HYPERLINK("https://lsnyc.legalserver.org/matter/dynamic-profile/view/1905975","19-1905975")</f>
        <v>0</v>
      </c>
      <c r="B2689" t="s">
        <v>183</v>
      </c>
      <c r="C2689" t="s">
        <v>461</v>
      </c>
      <c r="E2689" t="s">
        <v>2429</v>
      </c>
      <c r="F2689" t="s">
        <v>3710</v>
      </c>
      <c r="G2689" t="s">
        <v>8186</v>
      </c>
      <c r="H2689" t="s">
        <v>11027</v>
      </c>
      <c r="I2689" t="s">
        <v>11385</v>
      </c>
      <c r="J2689">
        <v>11212</v>
      </c>
      <c r="K2689" t="s">
        <v>11446</v>
      </c>
      <c r="L2689" t="s">
        <v>12421</v>
      </c>
      <c r="M2689" t="s">
        <v>14744</v>
      </c>
      <c r="N2689" t="s">
        <v>14781</v>
      </c>
      <c r="P2689" t="s">
        <v>14800</v>
      </c>
      <c r="Q2689" t="s">
        <v>11448</v>
      </c>
      <c r="S2689" t="s">
        <v>14827</v>
      </c>
      <c r="T2689" t="s">
        <v>14832</v>
      </c>
      <c r="U2689" t="s">
        <v>377</v>
      </c>
      <c r="V2689">
        <v>482</v>
      </c>
      <c r="W2689" t="s">
        <v>14859</v>
      </c>
      <c r="X2689" t="s">
        <v>14865</v>
      </c>
      <c r="Z2689" t="s">
        <v>16877</v>
      </c>
      <c r="AC2689">
        <v>0</v>
      </c>
      <c r="AD2689" t="s">
        <v>24603</v>
      </c>
      <c r="AF2689">
        <v>0</v>
      </c>
      <c r="AG2689">
        <v>1</v>
      </c>
      <c r="AH2689">
        <v>0</v>
      </c>
      <c r="AI2689">
        <v>124.9</v>
      </c>
      <c r="AL2689" t="s">
        <v>5011</v>
      </c>
      <c r="AM2689">
        <v>15600</v>
      </c>
      <c r="AS2689">
        <v>2.6</v>
      </c>
      <c r="AT2689" t="s">
        <v>464</v>
      </c>
      <c r="AU2689" t="s">
        <v>25275</v>
      </c>
      <c r="AV2689" t="s">
        <v>25335</v>
      </c>
      <c r="AW2689" t="s">
        <v>11447</v>
      </c>
    </row>
    <row r="2690" spans="1:49">
      <c r="A2690" s="1">
        <f>HYPERLINK("https://lsnyc.legalserver.org/matter/dynamic-profile/view/1907828","19-1907828")</f>
        <v>0</v>
      </c>
      <c r="B2690" t="s">
        <v>198</v>
      </c>
      <c r="C2690" t="s">
        <v>524</v>
      </c>
      <c r="E2690" t="s">
        <v>2430</v>
      </c>
      <c r="F2690" t="s">
        <v>5007</v>
      </c>
      <c r="G2690" t="s">
        <v>8187</v>
      </c>
      <c r="H2690" t="s">
        <v>11028</v>
      </c>
      <c r="I2690" t="s">
        <v>11385</v>
      </c>
      <c r="J2690">
        <v>11249</v>
      </c>
      <c r="K2690" t="s">
        <v>11446</v>
      </c>
      <c r="L2690" t="s">
        <v>12422</v>
      </c>
      <c r="M2690" t="s">
        <v>14744</v>
      </c>
      <c r="N2690" t="s">
        <v>14778</v>
      </c>
      <c r="P2690" t="s">
        <v>14800</v>
      </c>
      <c r="S2690" t="s">
        <v>14827</v>
      </c>
      <c r="U2690" t="s">
        <v>524</v>
      </c>
      <c r="V2690">
        <v>803</v>
      </c>
      <c r="W2690" t="s">
        <v>14859</v>
      </c>
      <c r="Z2690" t="s">
        <v>17154</v>
      </c>
      <c r="AA2690" t="s">
        <v>19546</v>
      </c>
      <c r="AB2690" t="s">
        <v>22178</v>
      </c>
      <c r="AC2690">
        <v>0</v>
      </c>
      <c r="AF2690">
        <v>1</v>
      </c>
      <c r="AG2690">
        <v>1</v>
      </c>
      <c r="AH2690">
        <v>0</v>
      </c>
      <c r="AI2690">
        <v>0</v>
      </c>
      <c r="AL2690" t="s">
        <v>5011</v>
      </c>
      <c r="AM2690">
        <v>0</v>
      </c>
      <c r="AS2690">
        <v>0</v>
      </c>
      <c r="AU2690" t="s">
        <v>25277</v>
      </c>
      <c r="AV2690" t="s">
        <v>25335</v>
      </c>
      <c r="AW2690" t="s">
        <v>11447</v>
      </c>
    </row>
    <row r="2691" spans="1:49">
      <c r="A2691" s="1">
        <f>HYPERLINK("https://lsnyc.legalserver.org/matter/dynamic-profile/view/1908255","19-1908255")</f>
        <v>0</v>
      </c>
      <c r="B2691" t="s">
        <v>228</v>
      </c>
      <c r="C2691" t="s">
        <v>375</v>
      </c>
      <c r="E2691" t="s">
        <v>2431</v>
      </c>
      <c r="F2691" t="s">
        <v>5008</v>
      </c>
      <c r="G2691" t="s">
        <v>8188</v>
      </c>
      <c r="H2691" t="s">
        <v>10465</v>
      </c>
      <c r="I2691" t="s">
        <v>11385</v>
      </c>
      <c r="J2691">
        <v>11213</v>
      </c>
      <c r="K2691" t="s">
        <v>11446</v>
      </c>
      <c r="L2691" t="s">
        <v>12423</v>
      </c>
      <c r="M2691" t="s">
        <v>14743</v>
      </c>
      <c r="N2691" t="s">
        <v>14778</v>
      </c>
      <c r="P2691" t="s">
        <v>14800</v>
      </c>
      <c r="S2691" t="s">
        <v>14827</v>
      </c>
      <c r="U2691" t="s">
        <v>375</v>
      </c>
      <c r="V2691">
        <v>0</v>
      </c>
      <c r="W2691" t="s">
        <v>14859</v>
      </c>
      <c r="X2691" t="s">
        <v>14865</v>
      </c>
      <c r="Z2691" t="s">
        <v>17155</v>
      </c>
      <c r="AB2691" t="s">
        <v>22179</v>
      </c>
      <c r="AC2691">
        <v>0</v>
      </c>
      <c r="AF2691">
        <v>0</v>
      </c>
      <c r="AG2691">
        <v>2</v>
      </c>
      <c r="AH2691">
        <v>0</v>
      </c>
      <c r="AI2691">
        <v>106.45</v>
      </c>
      <c r="AL2691" t="s">
        <v>5011</v>
      </c>
      <c r="AM2691">
        <v>18000</v>
      </c>
      <c r="AS2691">
        <v>0</v>
      </c>
      <c r="AU2691" t="s">
        <v>25277</v>
      </c>
      <c r="AV2691" t="s">
        <v>25335</v>
      </c>
      <c r="AW2691" t="s">
        <v>11447</v>
      </c>
    </row>
    <row r="2692" spans="1:49">
      <c r="A2692" s="1">
        <f>HYPERLINK("https://lsnyc.legalserver.org/matter/dynamic-profile/view/1905952","19-1905952")</f>
        <v>0</v>
      </c>
      <c r="B2692" t="s">
        <v>127</v>
      </c>
      <c r="C2692" t="s">
        <v>461</v>
      </c>
      <c r="E2692" t="s">
        <v>1915</v>
      </c>
      <c r="F2692" t="s">
        <v>1036</v>
      </c>
      <c r="G2692" t="s">
        <v>8189</v>
      </c>
      <c r="H2692" t="s">
        <v>11029</v>
      </c>
      <c r="I2692" t="s">
        <v>11385</v>
      </c>
      <c r="J2692">
        <v>11213</v>
      </c>
      <c r="K2692" t="s">
        <v>11446</v>
      </c>
      <c r="L2692" t="s">
        <v>12424</v>
      </c>
      <c r="M2692" t="s">
        <v>14744</v>
      </c>
      <c r="N2692" t="s">
        <v>14781</v>
      </c>
      <c r="P2692" t="s">
        <v>14800</v>
      </c>
      <c r="S2692" t="s">
        <v>14827</v>
      </c>
      <c r="U2692" t="s">
        <v>14839</v>
      </c>
      <c r="V2692">
        <v>450</v>
      </c>
      <c r="W2692" t="s">
        <v>14859</v>
      </c>
      <c r="Z2692" t="s">
        <v>17156</v>
      </c>
      <c r="AB2692" t="s">
        <v>22180</v>
      </c>
      <c r="AC2692">
        <v>18</v>
      </c>
      <c r="AE2692" t="s">
        <v>24610</v>
      </c>
      <c r="AF2692">
        <v>2</v>
      </c>
      <c r="AG2692">
        <v>1</v>
      </c>
      <c r="AH2692">
        <v>1</v>
      </c>
      <c r="AI2692">
        <v>80.26000000000001</v>
      </c>
      <c r="AL2692" t="s">
        <v>5011</v>
      </c>
      <c r="AM2692">
        <v>13572</v>
      </c>
      <c r="AS2692">
        <v>20.7</v>
      </c>
      <c r="AT2692" t="s">
        <v>495</v>
      </c>
      <c r="AU2692" t="s">
        <v>25275</v>
      </c>
      <c r="AV2692" t="s">
        <v>25335</v>
      </c>
      <c r="AW2692" t="s">
        <v>11447</v>
      </c>
    </row>
    <row r="2693" spans="1:49">
      <c r="A2693" s="1">
        <f>HYPERLINK("https://lsnyc.legalserver.org/matter/dynamic-profile/view/1908691","19-1908691")</f>
        <v>0</v>
      </c>
      <c r="B2693" t="s">
        <v>228</v>
      </c>
      <c r="C2693" t="s">
        <v>410</v>
      </c>
      <c r="E2693" t="s">
        <v>1243</v>
      </c>
      <c r="F2693" t="s">
        <v>5009</v>
      </c>
      <c r="G2693" t="s">
        <v>8190</v>
      </c>
      <c r="H2693" t="s">
        <v>10996</v>
      </c>
      <c r="I2693" t="s">
        <v>11385</v>
      </c>
      <c r="J2693">
        <v>11223</v>
      </c>
      <c r="K2693" t="s">
        <v>11446</v>
      </c>
      <c r="L2693" t="s">
        <v>12425</v>
      </c>
      <c r="M2693" t="s">
        <v>14744</v>
      </c>
      <c r="N2693" t="s">
        <v>14782</v>
      </c>
      <c r="P2693" t="s">
        <v>14800</v>
      </c>
      <c r="S2693" t="s">
        <v>14827</v>
      </c>
      <c r="U2693" t="s">
        <v>410</v>
      </c>
      <c r="V2693">
        <v>1252</v>
      </c>
      <c r="W2693" t="s">
        <v>14859</v>
      </c>
      <c r="Z2693" t="s">
        <v>17157</v>
      </c>
      <c r="AA2693" t="s">
        <v>19547</v>
      </c>
      <c r="AB2693" t="s">
        <v>22181</v>
      </c>
      <c r="AC2693">
        <v>0</v>
      </c>
      <c r="AF2693">
        <v>12</v>
      </c>
      <c r="AG2693">
        <v>1</v>
      </c>
      <c r="AH2693">
        <v>1</v>
      </c>
      <c r="AI2693">
        <v>83.45</v>
      </c>
      <c r="AL2693" t="s">
        <v>5011</v>
      </c>
      <c r="AM2693">
        <v>14112</v>
      </c>
      <c r="AS2693">
        <v>0.1</v>
      </c>
      <c r="AT2693" t="s">
        <v>641</v>
      </c>
      <c r="AU2693" t="s">
        <v>25277</v>
      </c>
      <c r="AV2693" t="s">
        <v>25335</v>
      </c>
      <c r="AW2693" t="s">
        <v>11447</v>
      </c>
    </row>
    <row r="2694" spans="1:49">
      <c r="A2694" s="1">
        <f>HYPERLINK("https://lsnyc.legalserver.org/matter/dynamic-profile/view/1908819","19-1908819")</f>
        <v>0</v>
      </c>
      <c r="B2694" t="s">
        <v>275</v>
      </c>
      <c r="C2694" t="s">
        <v>585</v>
      </c>
      <c r="E2694" t="s">
        <v>2432</v>
      </c>
      <c r="F2694" t="s">
        <v>5010</v>
      </c>
      <c r="G2694" t="s">
        <v>8191</v>
      </c>
      <c r="H2694" t="s">
        <v>11030</v>
      </c>
      <c r="I2694" t="s">
        <v>11385</v>
      </c>
      <c r="J2694">
        <v>11208</v>
      </c>
      <c r="K2694" t="s">
        <v>11446</v>
      </c>
      <c r="L2694" t="s">
        <v>12426</v>
      </c>
      <c r="M2694" t="s">
        <v>14744</v>
      </c>
      <c r="N2694" t="s">
        <v>14781</v>
      </c>
      <c r="P2694" t="s">
        <v>14800</v>
      </c>
      <c r="S2694" t="s">
        <v>14827</v>
      </c>
      <c r="U2694" t="s">
        <v>585</v>
      </c>
      <c r="V2694">
        <v>800</v>
      </c>
      <c r="W2694" t="s">
        <v>14859</v>
      </c>
      <c r="X2694" t="s">
        <v>14865</v>
      </c>
      <c r="Z2694" t="s">
        <v>17158</v>
      </c>
      <c r="AA2694" t="s">
        <v>19548</v>
      </c>
      <c r="AB2694" t="s">
        <v>22182</v>
      </c>
      <c r="AC2694">
        <v>0</v>
      </c>
      <c r="AF2694">
        <v>0</v>
      </c>
      <c r="AG2694">
        <v>1</v>
      </c>
      <c r="AH2694">
        <v>0</v>
      </c>
      <c r="AI2694">
        <v>20.66</v>
      </c>
      <c r="AL2694" t="s">
        <v>5011</v>
      </c>
      <c r="AM2694">
        <v>2580</v>
      </c>
      <c r="AS2694">
        <v>17.3</v>
      </c>
      <c r="AT2694" t="s">
        <v>654</v>
      </c>
      <c r="AU2694" t="s">
        <v>25230</v>
      </c>
      <c r="AV2694" t="s">
        <v>25335</v>
      </c>
      <c r="AW2694" t="s">
        <v>11447</v>
      </c>
    </row>
    <row r="2695" spans="1:49">
      <c r="A2695" s="1">
        <f>HYPERLINK("https://lsnyc.legalserver.org/matter/dynamic-profile/view/1909297","19-1909297")</f>
        <v>0</v>
      </c>
      <c r="B2695" t="s">
        <v>278</v>
      </c>
      <c r="C2695" t="s">
        <v>589</v>
      </c>
      <c r="E2695" t="s">
        <v>2433</v>
      </c>
      <c r="F2695" t="s">
        <v>5011</v>
      </c>
      <c r="G2695" t="s">
        <v>8192</v>
      </c>
      <c r="H2695" t="s">
        <v>10474</v>
      </c>
      <c r="I2695" t="s">
        <v>11385</v>
      </c>
      <c r="J2695">
        <v>11233</v>
      </c>
      <c r="K2695" t="s">
        <v>11446</v>
      </c>
      <c r="L2695" t="s">
        <v>12427</v>
      </c>
      <c r="M2695" t="s">
        <v>14744</v>
      </c>
      <c r="N2695" t="s">
        <v>14781</v>
      </c>
      <c r="P2695" t="s">
        <v>14800</v>
      </c>
      <c r="Q2695" t="s">
        <v>11448</v>
      </c>
      <c r="S2695" t="s">
        <v>14827</v>
      </c>
      <c r="T2695" t="s">
        <v>14832</v>
      </c>
      <c r="U2695" t="s">
        <v>640</v>
      </c>
      <c r="V2695">
        <v>1162.47</v>
      </c>
      <c r="W2695" t="s">
        <v>14859</v>
      </c>
      <c r="X2695" t="s">
        <v>14865</v>
      </c>
      <c r="Z2695" t="s">
        <v>17159</v>
      </c>
      <c r="AA2695" t="s">
        <v>19549</v>
      </c>
      <c r="AB2695" t="s">
        <v>22183</v>
      </c>
      <c r="AC2695">
        <v>37</v>
      </c>
      <c r="AD2695" t="s">
        <v>24595</v>
      </c>
      <c r="AE2695" t="s">
        <v>24610</v>
      </c>
      <c r="AF2695">
        <v>0</v>
      </c>
      <c r="AG2695">
        <v>1</v>
      </c>
      <c r="AH2695">
        <v>1</v>
      </c>
      <c r="AI2695">
        <v>0</v>
      </c>
      <c r="AL2695" t="s">
        <v>5011</v>
      </c>
      <c r="AM2695">
        <v>0</v>
      </c>
      <c r="AS2695">
        <v>8.800000000000001</v>
      </c>
      <c r="AT2695" t="s">
        <v>470</v>
      </c>
      <c r="AU2695" t="s">
        <v>25277</v>
      </c>
      <c r="AV2695" t="s">
        <v>25335</v>
      </c>
      <c r="AW2695" t="s">
        <v>11447</v>
      </c>
    </row>
    <row r="2696" spans="1:49">
      <c r="A2696" s="1">
        <f>HYPERLINK("https://lsnyc.legalserver.org/matter/dynamic-profile/view/1908908","19-1908908")</f>
        <v>0</v>
      </c>
      <c r="B2696" t="s">
        <v>152</v>
      </c>
      <c r="C2696" t="s">
        <v>640</v>
      </c>
      <c r="E2696" t="s">
        <v>1070</v>
      </c>
      <c r="F2696" t="s">
        <v>5012</v>
      </c>
      <c r="G2696" t="s">
        <v>8193</v>
      </c>
      <c r="H2696" t="s">
        <v>10513</v>
      </c>
      <c r="I2696" t="s">
        <v>11385</v>
      </c>
      <c r="J2696">
        <v>11213</v>
      </c>
      <c r="K2696" t="s">
        <v>11446</v>
      </c>
      <c r="L2696" t="s">
        <v>12428</v>
      </c>
      <c r="M2696" t="s">
        <v>14744</v>
      </c>
      <c r="N2696" t="s">
        <v>14781</v>
      </c>
      <c r="P2696" t="s">
        <v>14800</v>
      </c>
      <c r="S2696" t="s">
        <v>14827</v>
      </c>
      <c r="U2696" t="s">
        <v>640</v>
      </c>
      <c r="V2696">
        <v>1100</v>
      </c>
      <c r="W2696" t="s">
        <v>14859</v>
      </c>
      <c r="X2696" t="s">
        <v>14865</v>
      </c>
      <c r="Z2696" t="s">
        <v>17160</v>
      </c>
      <c r="AB2696" t="s">
        <v>22184</v>
      </c>
      <c r="AC2696">
        <v>0</v>
      </c>
      <c r="AF2696">
        <v>0</v>
      </c>
      <c r="AG2696">
        <v>1</v>
      </c>
      <c r="AH2696">
        <v>1</v>
      </c>
      <c r="AI2696">
        <v>113.54</v>
      </c>
      <c r="AM2696">
        <v>19200</v>
      </c>
      <c r="AS2696">
        <v>6.05</v>
      </c>
      <c r="AT2696" t="s">
        <v>663</v>
      </c>
      <c r="AU2696" t="s">
        <v>25275</v>
      </c>
      <c r="AV2696" t="s">
        <v>25335</v>
      </c>
      <c r="AW2696" t="s">
        <v>11447</v>
      </c>
    </row>
    <row r="2697" spans="1:49">
      <c r="A2697" s="1">
        <f>HYPERLINK("https://lsnyc.legalserver.org/matter/dynamic-profile/view/1909643","19-1909643")</f>
        <v>0</v>
      </c>
      <c r="B2697" t="s">
        <v>106</v>
      </c>
      <c r="C2697" t="s">
        <v>640</v>
      </c>
      <c r="E2697" t="s">
        <v>2276</v>
      </c>
      <c r="F2697" t="s">
        <v>1574</v>
      </c>
      <c r="G2697" t="s">
        <v>8194</v>
      </c>
      <c r="I2697" t="s">
        <v>11385</v>
      </c>
      <c r="J2697">
        <v>11239</v>
      </c>
      <c r="K2697" t="s">
        <v>11446</v>
      </c>
      <c r="L2697" t="s">
        <v>12429</v>
      </c>
      <c r="M2697" t="s">
        <v>14744</v>
      </c>
      <c r="N2697" t="s">
        <v>14778</v>
      </c>
      <c r="P2697" t="s">
        <v>14800</v>
      </c>
      <c r="S2697" t="s">
        <v>14827</v>
      </c>
      <c r="U2697" t="s">
        <v>640</v>
      </c>
      <c r="V2697">
        <v>0</v>
      </c>
      <c r="W2697" t="s">
        <v>14859</v>
      </c>
      <c r="X2697" t="s">
        <v>14865</v>
      </c>
      <c r="Z2697" t="s">
        <v>16153</v>
      </c>
      <c r="AB2697" t="s">
        <v>22185</v>
      </c>
      <c r="AC2697">
        <v>0</v>
      </c>
      <c r="AF2697">
        <v>0</v>
      </c>
      <c r="AG2697">
        <v>2</v>
      </c>
      <c r="AH2697">
        <v>1</v>
      </c>
      <c r="AI2697">
        <v>187.53</v>
      </c>
      <c r="AL2697" t="s">
        <v>5011</v>
      </c>
      <c r="AM2697">
        <v>40000</v>
      </c>
      <c r="AS2697">
        <v>4.5</v>
      </c>
      <c r="AT2697" t="s">
        <v>470</v>
      </c>
      <c r="AU2697" t="s">
        <v>25235</v>
      </c>
      <c r="AV2697" t="s">
        <v>25335</v>
      </c>
      <c r="AW2697" t="s">
        <v>11447</v>
      </c>
    </row>
    <row r="2698" spans="1:49">
      <c r="A2698" s="1">
        <f>HYPERLINK("https://lsnyc.legalserver.org/matter/dynamic-profile/view/1909072","19-1909072")</f>
        <v>0</v>
      </c>
      <c r="B2698" t="s">
        <v>228</v>
      </c>
      <c r="C2698" t="s">
        <v>641</v>
      </c>
      <c r="E2698" t="s">
        <v>2434</v>
      </c>
      <c r="F2698" t="s">
        <v>2906</v>
      </c>
      <c r="G2698" t="s">
        <v>8195</v>
      </c>
      <c r="H2698" t="s">
        <v>10450</v>
      </c>
      <c r="I2698" t="s">
        <v>11385</v>
      </c>
      <c r="J2698">
        <v>11205</v>
      </c>
      <c r="K2698" t="s">
        <v>11446</v>
      </c>
      <c r="L2698" t="s">
        <v>12425</v>
      </c>
      <c r="M2698" t="s">
        <v>14744</v>
      </c>
      <c r="N2698" t="s">
        <v>14778</v>
      </c>
      <c r="P2698" t="s">
        <v>14800</v>
      </c>
      <c r="S2698" t="s">
        <v>14828</v>
      </c>
      <c r="U2698" t="s">
        <v>641</v>
      </c>
      <c r="V2698">
        <v>879</v>
      </c>
      <c r="W2698" t="s">
        <v>14859</v>
      </c>
      <c r="Z2698" t="s">
        <v>17161</v>
      </c>
      <c r="AA2698" t="s">
        <v>19550</v>
      </c>
      <c r="AC2698">
        <v>0</v>
      </c>
      <c r="AF2698">
        <v>0</v>
      </c>
      <c r="AG2698">
        <v>1</v>
      </c>
      <c r="AH2698">
        <v>0</v>
      </c>
      <c r="AI2698">
        <v>6.92</v>
      </c>
      <c r="AL2698" t="s">
        <v>5011</v>
      </c>
      <c r="AM2698">
        <v>864</v>
      </c>
      <c r="AS2698">
        <v>0</v>
      </c>
      <c r="AU2698" t="s">
        <v>25277</v>
      </c>
      <c r="AV2698" t="s">
        <v>25335</v>
      </c>
      <c r="AW2698" t="s">
        <v>11447</v>
      </c>
    </row>
    <row r="2699" spans="1:49">
      <c r="A2699" s="1">
        <f>HYPERLINK("https://lsnyc.legalserver.org/matter/dynamic-profile/view/1909028","19-1909028")</f>
        <v>0</v>
      </c>
      <c r="B2699" t="s">
        <v>228</v>
      </c>
      <c r="C2699" t="s">
        <v>641</v>
      </c>
      <c r="E2699" t="s">
        <v>2435</v>
      </c>
      <c r="F2699" t="s">
        <v>5013</v>
      </c>
      <c r="G2699" t="s">
        <v>8196</v>
      </c>
      <c r="H2699" t="s">
        <v>10559</v>
      </c>
      <c r="I2699" t="s">
        <v>11385</v>
      </c>
      <c r="J2699">
        <v>11213</v>
      </c>
      <c r="K2699" t="s">
        <v>11446</v>
      </c>
      <c r="L2699" t="s">
        <v>12430</v>
      </c>
      <c r="M2699" t="s">
        <v>14743</v>
      </c>
      <c r="N2699" t="s">
        <v>14778</v>
      </c>
      <c r="P2699" t="s">
        <v>14800</v>
      </c>
      <c r="S2699" t="s">
        <v>14827</v>
      </c>
      <c r="U2699" t="s">
        <v>641</v>
      </c>
      <c r="V2699">
        <v>0</v>
      </c>
      <c r="W2699" t="s">
        <v>14859</v>
      </c>
      <c r="Z2699" t="s">
        <v>17162</v>
      </c>
      <c r="AA2699" t="s">
        <v>19551</v>
      </c>
      <c r="AB2699" t="s">
        <v>22186</v>
      </c>
      <c r="AC2699">
        <v>0</v>
      </c>
      <c r="AF2699">
        <v>0</v>
      </c>
      <c r="AG2699">
        <v>4</v>
      </c>
      <c r="AH2699">
        <v>0</v>
      </c>
      <c r="AI2699">
        <v>17.9</v>
      </c>
      <c r="AL2699" t="s">
        <v>5011</v>
      </c>
      <c r="AM2699">
        <v>4608</v>
      </c>
      <c r="AS2699">
        <v>0</v>
      </c>
      <c r="AU2699" t="s">
        <v>25277</v>
      </c>
      <c r="AW2699" t="s">
        <v>11447</v>
      </c>
    </row>
    <row r="2700" spans="1:49">
      <c r="A2700" s="1">
        <f>HYPERLINK("https://lsnyc.legalserver.org/matter/dynamic-profile/view/1909081","19-1909081")</f>
        <v>0</v>
      </c>
      <c r="B2700" t="s">
        <v>233</v>
      </c>
      <c r="C2700" t="s">
        <v>641</v>
      </c>
      <c r="E2700" t="s">
        <v>2436</v>
      </c>
      <c r="F2700" t="s">
        <v>1093</v>
      </c>
      <c r="G2700" t="s">
        <v>8197</v>
      </c>
      <c r="H2700" t="s">
        <v>10562</v>
      </c>
      <c r="I2700" t="s">
        <v>11385</v>
      </c>
      <c r="J2700">
        <v>11220</v>
      </c>
      <c r="K2700" t="s">
        <v>11446</v>
      </c>
      <c r="L2700" t="s">
        <v>12427</v>
      </c>
      <c r="M2700" t="s">
        <v>14744</v>
      </c>
      <c r="N2700" t="s">
        <v>14782</v>
      </c>
      <c r="P2700" t="s">
        <v>14800</v>
      </c>
      <c r="S2700" t="s">
        <v>14827</v>
      </c>
      <c r="U2700" t="s">
        <v>641</v>
      </c>
      <c r="V2700">
        <v>1770</v>
      </c>
      <c r="W2700" t="s">
        <v>14859</v>
      </c>
      <c r="Z2700" t="s">
        <v>16383</v>
      </c>
      <c r="AA2700" t="s">
        <v>19552</v>
      </c>
      <c r="AB2700" t="s">
        <v>22187</v>
      </c>
      <c r="AC2700">
        <v>0</v>
      </c>
      <c r="AF2700">
        <v>0</v>
      </c>
      <c r="AG2700">
        <v>3</v>
      </c>
      <c r="AH2700">
        <v>2</v>
      </c>
      <c r="AI2700">
        <v>20.56</v>
      </c>
      <c r="AL2700" t="s">
        <v>5011</v>
      </c>
      <c r="AM2700">
        <v>6204</v>
      </c>
      <c r="AS2700">
        <v>4.6</v>
      </c>
      <c r="AT2700" t="s">
        <v>586</v>
      </c>
      <c r="AU2700" t="s">
        <v>25277</v>
      </c>
      <c r="AV2700" t="s">
        <v>25335</v>
      </c>
      <c r="AW2700" t="s">
        <v>11447</v>
      </c>
    </row>
    <row r="2701" spans="1:49">
      <c r="A2701" s="1">
        <f>HYPERLINK("https://lsnyc.legalserver.org/matter/dynamic-profile/view/1909052","19-1909052")</f>
        <v>0</v>
      </c>
      <c r="B2701" t="s">
        <v>228</v>
      </c>
      <c r="C2701" t="s">
        <v>641</v>
      </c>
      <c r="E2701" t="s">
        <v>2437</v>
      </c>
      <c r="F2701" t="s">
        <v>5014</v>
      </c>
      <c r="G2701" t="s">
        <v>8066</v>
      </c>
      <c r="H2701" t="s">
        <v>10462</v>
      </c>
      <c r="I2701" t="s">
        <v>11385</v>
      </c>
      <c r="J2701">
        <v>11224</v>
      </c>
      <c r="K2701" t="s">
        <v>11446</v>
      </c>
      <c r="L2701" t="s">
        <v>12431</v>
      </c>
      <c r="M2701" t="s">
        <v>14743</v>
      </c>
      <c r="N2701" t="s">
        <v>14778</v>
      </c>
      <c r="P2701" t="s">
        <v>14800</v>
      </c>
      <c r="S2701" t="s">
        <v>14828</v>
      </c>
      <c r="U2701" t="s">
        <v>641</v>
      </c>
      <c r="V2701">
        <v>0</v>
      </c>
      <c r="W2701" t="s">
        <v>14859</v>
      </c>
      <c r="X2701" t="s">
        <v>14865</v>
      </c>
      <c r="Z2701" t="s">
        <v>17163</v>
      </c>
      <c r="AB2701" t="s">
        <v>22188</v>
      </c>
      <c r="AC2701">
        <v>0</v>
      </c>
      <c r="AF2701">
        <v>0</v>
      </c>
      <c r="AG2701">
        <v>1</v>
      </c>
      <c r="AH2701">
        <v>0</v>
      </c>
      <c r="AI2701">
        <v>90.55</v>
      </c>
      <c r="AL2701" t="s">
        <v>24636</v>
      </c>
      <c r="AM2701">
        <v>11310</v>
      </c>
      <c r="AS2701">
        <v>0</v>
      </c>
      <c r="AU2701" t="s">
        <v>25275</v>
      </c>
      <c r="AV2701" t="s">
        <v>25335</v>
      </c>
      <c r="AW2701" t="s">
        <v>11447</v>
      </c>
    </row>
    <row r="2702" spans="1:49">
      <c r="A2702" s="1">
        <f>HYPERLINK("https://lsnyc.legalserver.org/matter/dynamic-profile/view/1909617","19-1909617")</f>
        <v>0</v>
      </c>
      <c r="B2702" t="s">
        <v>255</v>
      </c>
      <c r="C2702" t="s">
        <v>463</v>
      </c>
      <c r="E2702" t="s">
        <v>2438</v>
      </c>
      <c r="F2702" t="s">
        <v>5015</v>
      </c>
      <c r="G2702" t="s">
        <v>8198</v>
      </c>
      <c r="H2702" t="s">
        <v>11031</v>
      </c>
      <c r="I2702" t="s">
        <v>11385</v>
      </c>
      <c r="J2702">
        <v>11229</v>
      </c>
      <c r="K2702" t="s">
        <v>11446</v>
      </c>
      <c r="L2702" t="s">
        <v>12432</v>
      </c>
      <c r="M2702" t="s">
        <v>14744</v>
      </c>
      <c r="N2702" t="s">
        <v>14781</v>
      </c>
      <c r="P2702" t="s">
        <v>14800</v>
      </c>
      <c r="Q2702" t="s">
        <v>11448</v>
      </c>
      <c r="S2702" t="s">
        <v>14827</v>
      </c>
      <c r="U2702" t="s">
        <v>14855</v>
      </c>
      <c r="V2702">
        <v>0</v>
      </c>
      <c r="W2702" t="s">
        <v>14859</v>
      </c>
      <c r="X2702" t="s">
        <v>14865</v>
      </c>
      <c r="Z2702" t="s">
        <v>17164</v>
      </c>
      <c r="AA2702" t="s">
        <v>19553</v>
      </c>
      <c r="AB2702" t="s">
        <v>22189</v>
      </c>
      <c r="AC2702">
        <v>0</v>
      </c>
      <c r="AE2702" t="s">
        <v>24615</v>
      </c>
      <c r="AF2702">
        <v>0</v>
      </c>
      <c r="AG2702">
        <v>1</v>
      </c>
      <c r="AH2702">
        <v>2</v>
      </c>
      <c r="AI2702">
        <v>0</v>
      </c>
      <c r="AL2702" t="s">
        <v>24656</v>
      </c>
      <c r="AM2702">
        <v>0</v>
      </c>
      <c r="AS2702">
        <v>9.5</v>
      </c>
      <c r="AT2702" t="s">
        <v>14845</v>
      </c>
      <c r="AU2702" t="s">
        <v>25277</v>
      </c>
      <c r="AV2702" t="s">
        <v>25335</v>
      </c>
      <c r="AW2702" t="s">
        <v>11447</v>
      </c>
    </row>
    <row r="2703" spans="1:49">
      <c r="A2703" s="1">
        <f>HYPERLINK("https://lsnyc.legalserver.org/matter/dynamic-profile/view/1909114","19-1909114")</f>
        <v>0</v>
      </c>
      <c r="B2703" t="s">
        <v>233</v>
      </c>
      <c r="C2703" t="s">
        <v>462</v>
      </c>
      <c r="E2703" t="s">
        <v>2439</v>
      </c>
      <c r="F2703" t="s">
        <v>4037</v>
      </c>
      <c r="G2703" t="s">
        <v>8199</v>
      </c>
      <c r="H2703" t="s">
        <v>10557</v>
      </c>
      <c r="I2703" t="s">
        <v>11385</v>
      </c>
      <c r="J2703">
        <v>11205</v>
      </c>
      <c r="K2703" t="s">
        <v>11446</v>
      </c>
      <c r="L2703" t="s">
        <v>12433</v>
      </c>
      <c r="M2703" t="s">
        <v>14744</v>
      </c>
      <c r="N2703" t="s">
        <v>14782</v>
      </c>
      <c r="P2703" t="s">
        <v>14800</v>
      </c>
      <c r="S2703" t="s">
        <v>14827</v>
      </c>
      <c r="U2703" t="s">
        <v>462</v>
      </c>
      <c r="V2703">
        <v>924</v>
      </c>
      <c r="W2703" t="s">
        <v>14859</v>
      </c>
      <c r="Z2703" t="s">
        <v>17165</v>
      </c>
      <c r="AA2703">
        <v>41361711</v>
      </c>
      <c r="AB2703" t="s">
        <v>22190</v>
      </c>
      <c r="AC2703">
        <v>0</v>
      </c>
      <c r="AF2703">
        <v>0</v>
      </c>
      <c r="AG2703">
        <v>1</v>
      </c>
      <c r="AH2703">
        <v>1</v>
      </c>
      <c r="AI2703">
        <v>53.22</v>
      </c>
      <c r="AL2703" t="s">
        <v>5011</v>
      </c>
      <c r="AM2703">
        <v>9000</v>
      </c>
      <c r="AS2703">
        <v>4.2</v>
      </c>
      <c r="AT2703" t="s">
        <v>586</v>
      </c>
      <c r="AU2703" t="s">
        <v>25277</v>
      </c>
      <c r="AV2703" t="s">
        <v>25335</v>
      </c>
      <c r="AW2703" t="s">
        <v>11447</v>
      </c>
    </row>
    <row r="2704" spans="1:49">
      <c r="A2704" s="1">
        <f>HYPERLINK("https://lsnyc.legalserver.org/matter/dynamic-profile/view/1909215","19-1909215")</f>
        <v>0</v>
      </c>
      <c r="B2704" t="s">
        <v>191</v>
      </c>
      <c r="C2704" t="s">
        <v>462</v>
      </c>
      <c r="E2704" t="s">
        <v>2440</v>
      </c>
      <c r="F2704" t="s">
        <v>5016</v>
      </c>
      <c r="G2704" t="s">
        <v>8200</v>
      </c>
      <c r="H2704" t="s">
        <v>10575</v>
      </c>
      <c r="I2704" t="s">
        <v>11385</v>
      </c>
      <c r="J2704">
        <v>11213</v>
      </c>
      <c r="K2704" t="s">
        <v>11446</v>
      </c>
      <c r="L2704" t="s">
        <v>12434</v>
      </c>
      <c r="M2704" t="s">
        <v>14744</v>
      </c>
      <c r="N2704" t="s">
        <v>14781</v>
      </c>
      <c r="P2704" t="s">
        <v>14800</v>
      </c>
      <c r="Q2704" t="s">
        <v>11448</v>
      </c>
      <c r="S2704" t="s">
        <v>14827</v>
      </c>
      <c r="U2704" t="s">
        <v>462</v>
      </c>
      <c r="V2704">
        <v>2070</v>
      </c>
      <c r="W2704" t="s">
        <v>14859</v>
      </c>
      <c r="Z2704" t="s">
        <v>17166</v>
      </c>
      <c r="AA2704" t="s">
        <v>19554</v>
      </c>
      <c r="AB2704" t="s">
        <v>22191</v>
      </c>
      <c r="AC2704">
        <v>13</v>
      </c>
      <c r="AD2704" t="s">
        <v>24595</v>
      </c>
      <c r="AE2704" t="s">
        <v>11459</v>
      </c>
      <c r="AF2704">
        <v>10</v>
      </c>
      <c r="AG2704">
        <v>3</v>
      </c>
      <c r="AH2704">
        <v>1</v>
      </c>
      <c r="AI2704">
        <v>105.79</v>
      </c>
      <c r="AL2704" t="s">
        <v>5011</v>
      </c>
      <c r="AM2704">
        <v>27240</v>
      </c>
      <c r="AS2704">
        <v>8.9</v>
      </c>
      <c r="AT2704" t="s">
        <v>533</v>
      </c>
      <c r="AU2704" t="s">
        <v>25277</v>
      </c>
      <c r="AV2704" t="s">
        <v>25335</v>
      </c>
      <c r="AW2704" t="s">
        <v>11447</v>
      </c>
    </row>
    <row r="2705" spans="1:49">
      <c r="A2705" s="1">
        <f>HYPERLINK("https://lsnyc.legalserver.org/matter/dynamic-profile/view/1909159","19-1909159")</f>
        <v>0</v>
      </c>
      <c r="B2705" t="s">
        <v>72</v>
      </c>
      <c r="C2705" t="s">
        <v>462</v>
      </c>
      <c r="E2705" t="s">
        <v>1168</v>
      </c>
      <c r="F2705" t="s">
        <v>5017</v>
      </c>
      <c r="G2705" t="s">
        <v>8201</v>
      </c>
      <c r="H2705" t="s">
        <v>11032</v>
      </c>
      <c r="I2705" t="s">
        <v>11385</v>
      </c>
      <c r="J2705">
        <v>11235</v>
      </c>
      <c r="K2705" t="s">
        <v>11446</v>
      </c>
      <c r="L2705" t="s">
        <v>12435</v>
      </c>
      <c r="M2705" t="s">
        <v>14743</v>
      </c>
      <c r="N2705" t="s">
        <v>14781</v>
      </c>
      <c r="P2705" t="s">
        <v>14800</v>
      </c>
      <c r="S2705" t="s">
        <v>14827</v>
      </c>
      <c r="U2705" t="s">
        <v>462</v>
      </c>
      <c r="V2705">
        <v>0</v>
      </c>
      <c r="W2705" t="s">
        <v>14859</v>
      </c>
      <c r="Z2705" t="s">
        <v>16357</v>
      </c>
      <c r="AA2705" t="s">
        <v>19555</v>
      </c>
      <c r="AB2705" t="s">
        <v>22192</v>
      </c>
      <c r="AC2705">
        <v>0</v>
      </c>
      <c r="AF2705">
        <v>0</v>
      </c>
      <c r="AG2705">
        <v>1</v>
      </c>
      <c r="AH2705">
        <v>0</v>
      </c>
      <c r="AI2705">
        <v>123.55</v>
      </c>
      <c r="AL2705" t="s">
        <v>5011</v>
      </c>
      <c r="AM2705">
        <v>15432</v>
      </c>
      <c r="AS2705">
        <v>49.3</v>
      </c>
      <c r="AT2705" t="s">
        <v>506</v>
      </c>
      <c r="AU2705" t="s">
        <v>25277</v>
      </c>
      <c r="AV2705" t="s">
        <v>25335</v>
      </c>
      <c r="AW2705" t="s">
        <v>11447</v>
      </c>
    </row>
    <row r="2706" spans="1:49">
      <c r="A2706" s="1">
        <f>HYPERLINK("https://lsnyc.legalserver.org/matter/dynamic-profile/view/1909682","19-1909682")</f>
        <v>0</v>
      </c>
      <c r="B2706" t="s">
        <v>275</v>
      </c>
      <c r="C2706" t="s">
        <v>463</v>
      </c>
      <c r="E2706" t="s">
        <v>2173</v>
      </c>
      <c r="F2706" t="s">
        <v>5018</v>
      </c>
      <c r="G2706">
        <v>109</v>
      </c>
      <c r="H2706" t="s">
        <v>11033</v>
      </c>
      <c r="I2706" t="s">
        <v>11385</v>
      </c>
      <c r="J2706">
        <v>11206</v>
      </c>
      <c r="K2706" t="s">
        <v>11446</v>
      </c>
      <c r="L2706" t="s">
        <v>12436</v>
      </c>
      <c r="M2706" t="s">
        <v>14744</v>
      </c>
      <c r="N2706" t="s">
        <v>14780</v>
      </c>
      <c r="P2706" t="s">
        <v>14800</v>
      </c>
      <c r="S2706" t="s">
        <v>14828</v>
      </c>
      <c r="U2706" t="s">
        <v>463</v>
      </c>
      <c r="V2706">
        <v>0</v>
      </c>
      <c r="W2706" t="s">
        <v>14859</v>
      </c>
      <c r="Z2706" t="s">
        <v>17167</v>
      </c>
      <c r="AA2706" t="s">
        <v>19556</v>
      </c>
      <c r="AB2706" t="s">
        <v>22193</v>
      </c>
      <c r="AC2706">
        <v>0</v>
      </c>
      <c r="AF2706">
        <v>0</v>
      </c>
      <c r="AG2706">
        <v>2</v>
      </c>
      <c r="AH2706">
        <v>2</v>
      </c>
      <c r="AI2706">
        <v>20.19</v>
      </c>
      <c r="AL2706" t="s">
        <v>5011</v>
      </c>
      <c r="AM2706">
        <v>5200</v>
      </c>
      <c r="AS2706">
        <v>0</v>
      </c>
      <c r="AU2706" t="s">
        <v>25277</v>
      </c>
      <c r="AV2706" t="s">
        <v>25335</v>
      </c>
      <c r="AW2706" t="s">
        <v>11447</v>
      </c>
    </row>
    <row r="2707" spans="1:49">
      <c r="A2707" s="1">
        <f>HYPERLINK("https://lsnyc.legalserver.org/matter/dynamic-profile/view/1909587","19-1909587")</f>
        <v>0</v>
      </c>
      <c r="B2707" t="s">
        <v>275</v>
      </c>
      <c r="C2707" t="s">
        <v>463</v>
      </c>
      <c r="E2707" t="s">
        <v>1856</v>
      </c>
      <c r="F2707" t="s">
        <v>3823</v>
      </c>
      <c r="G2707" t="s">
        <v>8202</v>
      </c>
      <c r="I2707" t="s">
        <v>11385</v>
      </c>
      <c r="J2707">
        <v>11215</v>
      </c>
      <c r="K2707" t="s">
        <v>11446</v>
      </c>
      <c r="L2707" t="s">
        <v>12437</v>
      </c>
      <c r="M2707" t="s">
        <v>14743</v>
      </c>
      <c r="N2707" t="s">
        <v>14778</v>
      </c>
      <c r="P2707" t="s">
        <v>14800</v>
      </c>
      <c r="S2707" t="s">
        <v>14827</v>
      </c>
      <c r="U2707" t="s">
        <v>463</v>
      </c>
      <c r="V2707">
        <v>0</v>
      </c>
      <c r="W2707" t="s">
        <v>14859</v>
      </c>
      <c r="X2707" t="s">
        <v>14865</v>
      </c>
      <c r="Z2707" t="s">
        <v>17168</v>
      </c>
      <c r="AB2707" t="s">
        <v>22194</v>
      </c>
      <c r="AC2707">
        <v>0</v>
      </c>
      <c r="AF2707">
        <v>0</v>
      </c>
      <c r="AG2707">
        <v>2</v>
      </c>
      <c r="AH2707">
        <v>2</v>
      </c>
      <c r="AI2707">
        <v>81.55</v>
      </c>
      <c r="AL2707" t="s">
        <v>5011</v>
      </c>
      <c r="AM2707">
        <v>21000</v>
      </c>
      <c r="AS2707">
        <v>0</v>
      </c>
      <c r="AU2707" t="s">
        <v>25275</v>
      </c>
      <c r="AV2707" t="s">
        <v>25335</v>
      </c>
      <c r="AW2707" t="s">
        <v>11447</v>
      </c>
    </row>
    <row r="2708" spans="1:49">
      <c r="A2708" s="1">
        <f>HYPERLINK("https://lsnyc.legalserver.org/matter/dynamic-profile/view/1909661","19-1909661")</f>
        <v>0</v>
      </c>
      <c r="B2708" t="s">
        <v>275</v>
      </c>
      <c r="C2708" t="s">
        <v>463</v>
      </c>
      <c r="E2708" t="s">
        <v>1150</v>
      </c>
      <c r="F2708" t="s">
        <v>3262</v>
      </c>
      <c r="G2708" t="s">
        <v>7405</v>
      </c>
      <c r="H2708" t="s">
        <v>10509</v>
      </c>
      <c r="I2708" t="s">
        <v>11385</v>
      </c>
      <c r="J2708">
        <v>11212</v>
      </c>
      <c r="K2708" t="s">
        <v>11446</v>
      </c>
      <c r="L2708" t="s">
        <v>12438</v>
      </c>
      <c r="M2708" t="s">
        <v>14744</v>
      </c>
      <c r="N2708" t="s">
        <v>14778</v>
      </c>
      <c r="P2708" t="s">
        <v>14800</v>
      </c>
      <c r="S2708" t="s">
        <v>14828</v>
      </c>
      <c r="U2708" t="s">
        <v>463</v>
      </c>
      <c r="V2708">
        <v>923</v>
      </c>
      <c r="W2708" t="s">
        <v>14859</v>
      </c>
      <c r="Z2708" t="s">
        <v>17169</v>
      </c>
      <c r="AA2708" t="s">
        <v>19557</v>
      </c>
      <c r="AB2708" t="s">
        <v>22195</v>
      </c>
      <c r="AC2708">
        <v>0</v>
      </c>
      <c r="AD2708" t="s">
        <v>24597</v>
      </c>
      <c r="AF2708">
        <v>4</v>
      </c>
      <c r="AG2708">
        <v>2</v>
      </c>
      <c r="AH2708">
        <v>2</v>
      </c>
      <c r="AI2708">
        <v>90.87</v>
      </c>
      <c r="AL2708" t="s">
        <v>5011</v>
      </c>
      <c r="AM2708">
        <v>23400</v>
      </c>
      <c r="AS2708">
        <v>0</v>
      </c>
      <c r="AU2708" t="s">
        <v>25277</v>
      </c>
      <c r="AV2708" t="s">
        <v>25335</v>
      </c>
      <c r="AW2708" t="s">
        <v>11447</v>
      </c>
    </row>
    <row r="2709" spans="1:49">
      <c r="A2709" s="1">
        <f>HYPERLINK("https://lsnyc.legalserver.org/matter/dynamic-profile/view/1909591","19-1909591")</f>
        <v>0</v>
      </c>
      <c r="B2709" t="s">
        <v>275</v>
      </c>
      <c r="C2709" t="s">
        <v>463</v>
      </c>
      <c r="E2709" t="s">
        <v>1425</v>
      </c>
      <c r="F2709" t="s">
        <v>5019</v>
      </c>
      <c r="G2709" t="s">
        <v>8203</v>
      </c>
      <c r="I2709" t="s">
        <v>11385</v>
      </c>
      <c r="J2709">
        <v>11213</v>
      </c>
      <c r="K2709" t="s">
        <v>11446</v>
      </c>
      <c r="L2709" t="s">
        <v>12439</v>
      </c>
      <c r="M2709" t="s">
        <v>14744</v>
      </c>
      <c r="N2709" t="s">
        <v>14778</v>
      </c>
      <c r="P2709" t="s">
        <v>14800</v>
      </c>
      <c r="S2709" t="s">
        <v>14827</v>
      </c>
      <c r="U2709" t="s">
        <v>463</v>
      </c>
      <c r="V2709">
        <v>1347</v>
      </c>
      <c r="W2709" t="s">
        <v>14859</v>
      </c>
      <c r="X2709" t="s">
        <v>14865</v>
      </c>
      <c r="Z2709" t="s">
        <v>17170</v>
      </c>
      <c r="AB2709" t="s">
        <v>22196</v>
      </c>
      <c r="AC2709">
        <v>0</v>
      </c>
      <c r="AF2709">
        <v>0</v>
      </c>
      <c r="AG2709">
        <v>2</v>
      </c>
      <c r="AH2709">
        <v>0</v>
      </c>
      <c r="AI2709">
        <v>156.12</v>
      </c>
      <c r="AL2709" t="s">
        <v>5011</v>
      </c>
      <c r="AM2709">
        <v>26400</v>
      </c>
      <c r="AS2709">
        <v>0</v>
      </c>
      <c r="AU2709" t="s">
        <v>25275</v>
      </c>
      <c r="AV2709" t="s">
        <v>25335</v>
      </c>
      <c r="AW2709" t="s">
        <v>11447</v>
      </c>
    </row>
    <row r="2710" spans="1:49">
      <c r="A2710" s="1">
        <f>HYPERLINK("https://lsnyc.legalserver.org/matter/dynamic-profile/view/1909586","19-1909586")</f>
        <v>0</v>
      </c>
      <c r="B2710" t="s">
        <v>275</v>
      </c>
      <c r="C2710" t="s">
        <v>463</v>
      </c>
      <c r="E2710" t="s">
        <v>2441</v>
      </c>
      <c r="F2710" t="s">
        <v>5020</v>
      </c>
      <c r="G2710" t="s">
        <v>8204</v>
      </c>
      <c r="I2710" t="s">
        <v>11385</v>
      </c>
      <c r="J2710">
        <v>11210</v>
      </c>
      <c r="K2710" t="s">
        <v>11446</v>
      </c>
      <c r="L2710" t="s">
        <v>12440</v>
      </c>
      <c r="M2710" t="s">
        <v>14744</v>
      </c>
      <c r="N2710" t="s">
        <v>14778</v>
      </c>
      <c r="P2710" t="s">
        <v>14800</v>
      </c>
      <c r="S2710" t="s">
        <v>14827</v>
      </c>
      <c r="U2710" t="s">
        <v>463</v>
      </c>
      <c r="V2710">
        <v>1378</v>
      </c>
      <c r="W2710" t="s">
        <v>14859</v>
      </c>
      <c r="X2710" t="s">
        <v>14865</v>
      </c>
      <c r="Z2710" t="s">
        <v>17171</v>
      </c>
      <c r="AB2710" t="s">
        <v>22197</v>
      </c>
      <c r="AC2710">
        <v>0</v>
      </c>
      <c r="AF2710">
        <v>0</v>
      </c>
      <c r="AG2710">
        <v>1</v>
      </c>
      <c r="AH2710">
        <v>0</v>
      </c>
      <c r="AI2710">
        <v>157.09</v>
      </c>
      <c r="AL2710" t="s">
        <v>5011</v>
      </c>
      <c r="AM2710">
        <v>19620</v>
      </c>
      <c r="AS2710">
        <v>0</v>
      </c>
      <c r="AU2710" t="s">
        <v>25275</v>
      </c>
      <c r="AV2710" t="s">
        <v>25335</v>
      </c>
      <c r="AW2710" t="s">
        <v>11447</v>
      </c>
    </row>
    <row r="2711" spans="1:49">
      <c r="A2711" s="1">
        <f>HYPERLINK("https://lsnyc.legalserver.org/matter/dynamic-profile/view/1910120","19-1910120")</f>
        <v>0</v>
      </c>
      <c r="B2711" t="s">
        <v>146</v>
      </c>
      <c r="C2711" t="s">
        <v>471</v>
      </c>
      <c r="E2711" t="s">
        <v>1273</v>
      </c>
      <c r="F2711" t="s">
        <v>3510</v>
      </c>
      <c r="G2711" t="s">
        <v>8205</v>
      </c>
      <c r="I2711" t="s">
        <v>11385</v>
      </c>
      <c r="J2711">
        <v>11226</v>
      </c>
      <c r="K2711" t="s">
        <v>11448</v>
      </c>
      <c r="N2711" t="s">
        <v>14779</v>
      </c>
      <c r="P2711" t="s">
        <v>14800</v>
      </c>
      <c r="S2711" t="s">
        <v>14827</v>
      </c>
      <c r="U2711" t="s">
        <v>471</v>
      </c>
      <c r="V2711">
        <v>153</v>
      </c>
      <c r="W2711" t="s">
        <v>14859</v>
      </c>
      <c r="X2711" t="s">
        <v>14868</v>
      </c>
      <c r="Z2711" t="s">
        <v>17172</v>
      </c>
      <c r="AB2711" t="s">
        <v>22198</v>
      </c>
      <c r="AC2711">
        <v>50</v>
      </c>
      <c r="AD2711" t="s">
        <v>24595</v>
      </c>
      <c r="AE2711" t="s">
        <v>24610</v>
      </c>
      <c r="AF2711">
        <v>14</v>
      </c>
      <c r="AG2711">
        <v>2</v>
      </c>
      <c r="AH2711">
        <v>0</v>
      </c>
      <c r="AI2711">
        <v>58.05</v>
      </c>
      <c r="AL2711" t="s">
        <v>5011</v>
      </c>
      <c r="AM2711">
        <v>9816</v>
      </c>
      <c r="AS2711">
        <v>0.9</v>
      </c>
      <c r="AT2711" t="s">
        <v>559</v>
      </c>
      <c r="AU2711" t="s">
        <v>25230</v>
      </c>
      <c r="AW2711" t="s">
        <v>11447</v>
      </c>
    </row>
    <row r="2712" spans="1:49">
      <c r="A2712" s="1">
        <f>HYPERLINK("https://lsnyc.legalserver.org/matter/dynamic-profile/view/1910240","19-1910240")</f>
        <v>0</v>
      </c>
      <c r="B2712" t="s">
        <v>267</v>
      </c>
      <c r="C2712" t="s">
        <v>528</v>
      </c>
      <c r="E2712" t="s">
        <v>1241</v>
      </c>
      <c r="F2712" t="s">
        <v>5021</v>
      </c>
      <c r="G2712" t="s">
        <v>8206</v>
      </c>
      <c r="H2712" t="s">
        <v>11034</v>
      </c>
      <c r="I2712" t="s">
        <v>11385</v>
      </c>
      <c r="J2712">
        <v>11204</v>
      </c>
      <c r="K2712" t="s">
        <v>11446</v>
      </c>
      <c r="L2712" t="s">
        <v>12441</v>
      </c>
      <c r="M2712" t="s">
        <v>14743</v>
      </c>
      <c r="N2712" t="s">
        <v>14781</v>
      </c>
      <c r="P2712" t="s">
        <v>14800</v>
      </c>
      <c r="S2712" t="s">
        <v>14827</v>
      </c>
      <c r="U2712" t="s">
        <v>528</v>
      </c>
      <c r="V2712">
        <v>0</v>
      </c>
      <c r="W2712" t="s">
        <v>14859</v>
      </c>
      <c r="X2712" t="s">
        <v>14865</v>
      </c>
      <c r="Z2712" t="s">
        <v>17173</v>
      </c>
      <c r="AB2712" t="s">
        <v>22199</v>
      </c>
      <c r="AC2712">
        <v>0</v>
      </c>
      <c r="AF2712">
        <v>0</v>
      </c>
      <c r="AG2712">
        <v>1</v>
      </c>
      <c r="AH2712">
        <v>0</v>
      </c>
      <c r="AI2712">
        <v>161.02</v>
      </c>
      <c r="AL2712" t="s">
        <v>5011</v>
      </c>
      <c r="AM2712">
        <v>20112</v>
      </c>
      <c r="AS2712">
        <v>7.6</v>
      </c>
      <c r="AT2712" t="s">
        <v>586</v>
      </c>
      <c r="AU2712" t="s">
        <v>25235</v>
      </c>
      <c r="AV2712" t="s">
        <v>25335</v>
      </c>
      <c r="AW2712" t="s">
        <v>11447</v>
      </c>
    </row>
    <row r="2713" spans="1:49">
      <c r="A2713" s="1">
        <f>HYPERLINK("https://lsnyc.legalserver.org/matter/dynamic-profile/view/1910320","19-1910320")</f>
        <v>0</v>
      </c>
      <c r="B2713" t="s">
        <v>127</v>
      </c>
      <c r="C2713" t="s">
        <v>540</v>
      </c>
      <c r="E2713" t="s">
        <v>2442</v>
      </c>
      <c r="F2713" t="s">
        <v>5022</v>
      </c>
      <c r="G2713" t="s">
        <v>8207</v>
      </c>
      <c r="H2713" t="s">
        <v>10506</v>
      </c>
      <c r="I2713" t="s">
        <v>11385</v>
      </c>
      <c r="J2713">
        <v>11203</v>
      </c>
      <c r="K2713" t="s">
        <v>11446</v>
      </c>
      <c r="L2713" t="s">
        <v>12442</v>
      </c>
      <c r="M2713" t="s">
        <v>14743</v>
      </c>
      <c r="N2713" t="s">
        <v>14781</v>
      </c>
      <c r="P2713" t="s">
        <v>14800</v>
      </c>
      <c r="Q2713" t="s">
        <v>11448</v>
      </c>
      <c r="S2713" t="s">
        <v>14827</v>
      </c>
      <c r="T2713" t="s">
        <v>14837</v>
      </c>
      <c r="U2713" t="s">
        <v>540</v>
      </c>
      <c r="V2713">
        <v>1956</v>
      </c>
      <c r="W2713" t="s">
        <v>14859</v>
      </c>
      <c r="X2713" t="s">
        <v>14863</v>
      </c>
      <c r="Z2713" t="s">
        <v>17174</v>
      </c>
      <c r="AB2713" t="s">
        <v>22200</v>
      </c>
      <c r="AC2713">
        <v>7</v>
      </c>
      <c r="AD2713" t="s">
        <v>24595</v>
      </c>
      <c r="AE2713" t="s">
        <v>24615</v>
      </c>
      <c r="AF2713">
        <v>4</v>
      </c>
      <c r="AG2713">
        <v>1</v>
      </c>
      <c r="AH2713">
        <v>4</v>
      </c>
      <c r="AI2713">
        <v>5.97</v>
      </c>
      <c r="AL2713" t="s">
        <v>5011</v>
      </c>
      <c r="AM2713">
        <v>1800</v>
      </c>
      <c r="AS2713">
        <v>23.8</v>
      </c>
      <c r="AT2713" t="s">
        <v>476</v>
      </c>
      <c r="AU2713" t="s">
        <v>127</v>
      </c>
      <c r="AW2713" t="s">
        <v>11447</v>
      </c>
    </row>
    <row r="2714" spans="1:49">
      <c r="A2714" s="1">
        <f>HYPERLINK("https://lsnyc.legalserver.org/matter/dynamic-profile/view/1910370","19-1910370")</f>
        <v>0</v>
      </c>
      <c r="B2714" t="s">
        <v>267</v>
      </c>
      <c r="C2714" t="s">
        <v>540</v>
      </c>
      <c r="E2714" t="s">
        <v>2443</v>
      </c>
      <c r="F2714" t="s">
        <v>5023</v>
      </c>
      <c r="G2714" t="s">
        <v>8208</v>
      </c>
      <c r="H2714" t="s">
        <v>11035</v>
      </c>
      <c r="I2714" t="s">
        <v>11385</v>
      </c>
      <c r="J2714">
        <v>11230</v>
      </c>
      <c r="K2714" t="s">
        <v>11446</v>
      </c>
      <c r="L2714" t="s">
        <v>12443</v>
      </c>
      <c r="M2714" t="s">
        <v>14743</v>
      </c>
      <c r="P2714" t="s">
        <v>14800</v>
      </c>
      <c r="S2714" t="s">
        <v>14827</v>
      </c>
      <c r="U2714" t="s">
        <v>540</v>
      </c>
      <c r="V2714">
        <v>867</v>
      </c>
      <c r="W2714" t="s">
        <v>14859</v>
      </c>
      <c r="X2714" t="s">
        <v>14865</v>
      </c>
      <c r="Z2714" t="s">
        <v>17175</v>
      </c>
      <c r="AB2714" t="s">
        <v>22201</v>
      </c>
      <c r="AC2714">
        <v>0</v>
      </c>
      <c r="AF2714">
        <v>0</v>
      </c>
      <c r="AG2714">
        <v>1</v>
      </c>
      <c r="AH2714">
        <v>0</v>
      </c>
      <c r="AI2714">
        <v>136.11</v>
      </c>
      <c r="AM2714">
        <v>17000</v>
      </c>
      <c r="AS2714">
        <v>2</v>
      </c>
      <c r="AT2714" t="s">
        <v>559</v>
      </c>
      <c r="AU2714" t="s">
        <v>25277</v>
      </c>
      <c r="AV2714" t="s">
        <v>25335</v>
      </c>
      <c r="AW2714" t="s">
        <v>11447</v>
      </c>
    </row>
    <row r="2715" spans="1:49">
      <c r="A2715" s="1">
        <f>HYPERLINK("https://lsnyc.legalserver.org/matter/dynamic-profile/view/1910683","19-1910683")</f>
        <v>0</v>
      </c>
      <c r="B2715" t="s">
        <v>99</v>
      </c>
      <c r="C2715" t="s">
        <v>644</v>
      </c>
      <c r="E2715" t="s">
        <v>1319</v>
      </c>
      <c r="F2715" t="s">
        <v>4526</v>
      </c>
      <c r="G2715" t="s">
        <v>7520</v>
      </c>
      <c r="I2715" t="s">
        <v>11399</v>
      </c>
      <c r="J2715">
        <v>11421</v>
      </c>
      <c r="K2715" t="s">
        <v>11446</v>
      </c>
      <c r="L2715" t="s">
        <v>12444</v>
      </c>
      <c r="M2715" t="s">
        <v>14743</v>
      </c>
      <c r="P2715" t="s">
        <v>14800</v>
      </c>
      <c r="R2715" t="s">
        <v>14800</v>
      </c>
      <c r="S2715" t="s">
        <v>14827</v>
      </c>
      <c r="T2715" t="s">
        <v>14837</v>
      </c>
      <c r="U2715" t="s">
        <v>508</v>
      </c>
      <c r="V2715">
        <v>2400</v>
      </c>
      <c r="W2715" t="s">
        <v>14859</v>
      </c>
      <c r="X2715" t="s">
        <v>14865</v>
      </c>
      <c r="Y2715" t="s">
        <v>14883</v>
      </c>
      <c r="Z2715" t="s">
        <v>16349</v>
      </c>
      <c r="AC2715">
        <v>2</v>
      </c>
      <c r="AD2715" t="s">
        <v>24600</v>
      </c>
      <c r="AF2715">
        <v>1</v>
      </c>
      <c r="AG2715">
        <v>2</v>
      </c>
      <c r="AH2715">
        <v>3</v>
      </c>
      <c r="AI2715">
        <v>28.64</v>
      </c>
      <c r="AL2715" t="s">
        <v>24632</v>
      </c>
      <c r="AM2715">
        <v>8640</v>
      </c>
      <c r="AS2715">
        <v>1.3</v>
      </c>
      <c r="AT2715" t="s">
        <v>506</v>
      </c>
      <c r="AU2715" t="s">
        <v>66</v>
      </c>
      <c r="AV2715" t="s">
        <v>25335</v>
      </c>
      <c r="AW2715" t="s">
        <v>11447</v>
      </c>
    </row>
    <row r="2716" spans="1:49">
      <c r="A2716" s="1">
        <f>HYPERLINK("https://lsnyc.legalserver.org/matter/dynamic-profile/view/1910507","19-1910507")</f>
        <v>0</v>
      </c>
      <c r="B2716" t="s">
        <v>275</v>
      </c>
      <c r="C2716" t="s">
        <v>508</v>
      </c>
      <c r="E2716" t="s">
        <v>1359</v>
      </c>
      <c r="F2716" t="s">
        <v>5024</v>
      </c>
      <c r="G2716" t="s">
        <v>8209</v>
      </c>
      <c r="H2716" t="s">
        <v>10595</v>
      </c>
      <c r="I2716" t="s">
        <v>11385</v>
      </c>
      <c r="J2716">
        <v>11224</v>
      </c>
      <c r="K2716" t="s">
        <v>11446</v>
      </c>
      <c r="L2716" t="s">
        <v>12445</v>
      </c>
      <c r="M2716" t="s">
        <v>14744</v>
      </c>
      <c r="N2716" t="s">
        <v>14778</v>
      </c>
      <c r="P2716" t="s">
        <v>14800</v>
      </c>
      <c r="S2716" t="s">
        <v>14827</v>
      </c>
      <c r="U2716" t="s">
        <v>508</v>
      </c>
      <c r="V2716">
        <v>597</v>
      </c>
      <c r="W2716" t="s">
        <v>14859</v>
      </c>
      <c r="X2716" t="s">
        <v>14865</v>
      </c>
      <c r="Z2716" t="s">
        <v>16622</v>
      </c>
      <c r="AA2716" t="s">
        <v>19558</v>
      </c>
      <c r="AB2716" t="s">
        <v>22202</v>
      </c>
      <c r="AC2716">
        <v>0</v>
      </c>
      <c r="AF2716">
        <v>0</v>
      </c>
      <c r="AG2716">
        <v>1</v>
      </c>
      <c r="AH2716">
        <v>2</v>
      </c>
      <c r="AI2716">
        <v>108.47</v>
      </c>
      <c r="AL2716" t="s">
        <v>5011</v>
      </c>
      <c r="AM2716">
        <v>23136</v>
      </c>
      <c r="AS2716">
        <v>0</v>
      </c>
      <c r="AU2716" t="s">
        <v>25277</v>
      </c>
      <c r="AV2716" t="s">
        <v>25335</v>
      </c>
      <c r="AW2716" t="s">
        <v>11447</v>
      </c>
    </row>
    <row r="2717" spans="1:49">
      <c r="A2717" s="1">
        <f>HYPERLINK("https://lsnyc.legalserver.org/matter/dynamic-profile/view/1910537","19-1910537")</f>
        <v>0</v>
      </c>
      <c r="B2717" t="s">
        <v>198</v>
      </c>
      <c r="C2717" t="s">
        <v>602</v>
      </c>
      <c r="E2717" t="s">
        <v>2444</v>
      </c>
      <c r="F2717" t="s">
        <v>5025</v>
      </c>
      <c r="G2717" t="s">
        <v>8210</v>
      </c>
      <c r="H2717" t="s">
        <v>11036</v>
      </c>
      <c r="I2717" t="s">
        <v>11385</v>
      </c>
      <c r="J2717">
        <v>11223</v>
      </c>
      <c r="K2717" t="s">
        <v>11446</v>
      </c>
      <c r="L2717" t="s">
        <v>12446</v>
      </c>
      <c r="M2717" t="s">
        <v>14746</v>
      </c>
      <c r="N2717" t="s">
        <v>14778</v>
      </c>
      <c r="P2717" t="s">
        <v>14800</v>
      </c>
      <c r="S2717" t="s">
        <v>14827</v>
      </c>
      <c r="U2717" t="s">
        <v>602</v>
      </c>
      <c r="V2717">
        <v>1665</v>
      </c>
      <c r="W2717" t="s">
        <v>14859</v>
      </c>
      <c r="Z2717" t="s">
        <v>16122</v>
      </c>
      <c r="AB2717" t="s">
        <v>22203</v>
      </c>
      <c r="AC2717">
        <v>0</v>
      </c>
      <c r="AF2717">
        <v>0</v>
      </c>
      <c r="AG2717">
        <v>3</v>
      </c>
      <c r="AH2717">
        <v>0</v>
      </c>
      <c r="AI2717">
        <v>106.89</v>
      </c>
      <c r="AL2717" t="s">
        <v>24636</v>
      </c>
      <c r="AM2717">
        <v>22800</v>
      </c>
      <c r="AS2717">
        <v>0</v>
      </c>
      <c r="AU2717" t="s">
        <v>25277</v>
      </c>
      <c r="AW2717" t="s">
        <v>11447</v>
      </c>
    </row>
    <row r="2718" spans="1:49">
      <c r="A2718" s="1">
        <f>HYPERLINK("https://lsnyc.legalserver.org/matter/dynamic-profile/view/1909647","19-1909647")</f>
        <v>0</v>
      </c>
      <c r="B2718" t="s">
        <v>262</v>
      </c>
      <c r="C2718" t="s">
        <v>463</v>
      </c>
      <c r="E2718" t="s">
        <v>1808</v>
      </c>
      <c r="F2718" t="s">
        <v>3730</v>
      </c>
      <c r="G2718" t="s">
        <v>8211</v>
      </c>
      <c r="H2718" t="s">
        <v>10611</v>
      </c>
      <c r="I2718" t="s">
        <v>11385</v>
      </c>
      <c r="J2718">
        <v>11220</v>
      </c>
      <c r="K2718" t="s">
        <v>11446</v>
      </c>
      <c r="L2718" t="s">
        <v>12447</v>
      </c>
      <c r="M2718" t="s">
        <v>14744</v>
      </c>
      <c r="N2718" t="s">
        <v>14781</v>
      </c>
      <c r="P2718" t="s">
        <v>14800</v>
      </c>
      <c r="Q2718" t="s">
        <v>11448</v>
      </c>
      <c r="S2718" t="s">
        <v>14827</v>
      </c>
      <c r="T2718" t="s">
        <v>14832</v>
      </c>
      <c r="U2718" t="s">
        <v>601</v>
      </c>
      <c r="V2718">
        <v>2000</v>
      </c>
      <c r="W2718" t="s">
        <v>14859</v>
      </c>
      <c r="X2718" t="s">
        <v>14865</v>
      </c>
      <c r="Z2718" t="s">
        <v>17176</v>
      </c>
      <c r="AB2718" t="s">
        <v>22204</v>
      </c>
      <c r="AC2718">
        <v>11</v>
      </c>
      <c r="AD2718" t="s">
        <v>24595</v>
      </c>
      <c r="AF2718">
        <v>0</v>
      </c>
      <c r="AG2718">
        <v>3</v>
      </c>
      <c r="AH2718">
        <v>0</v>
      </c>
      <c r="AI2718">
        <v>141.88</v>
      </c>
      <c r="AL2718" t="s">
        <v>5011</v>
      </c>
      <c r="AM2718">
        <v>30264</v>
      </c>
      <c r="AS2718">
        <v>34.85</v>
      </c>
      <c r="AT2718" t="s">
        <v>495</v>
      </c>
      <c r="AU2718" t="s">
        <v>25277</v>
      </c>
      <c r="AV2718" t="s">
        <v>25335</v>
      </c>
      <c r="AW2718" t="s">
        <v>11447</v>
      </c>
    </row>
    <row r="2719" spans="1:49">
      <c r="A2719" s="1">
        <f>HYPERLINK("https://lsnyc.legalserver.org/matter/dynamic-profile/view/1908048","19-1908048")</f>
        <v>0</v>
      </c>
      <c r="B2719" t="s">
        <v>127</v>
      </c>
      <c r="C2719" t="s">
        <v>455</v>
      </c>
      <c r="E2719" t="s">
        <v>2445</v>
      </c>
      <c r="F2719" t="s">
        <v>5026</v>
      </c>
      <c r="G2719" t="s">
        <v>8212</v>
      </c>
      <c r="H2719" t="s">
        <v>10465</v>
      </c>
      <c r="I2719" t="s">
        <v>11385</v>
      </c>
      <c r="J2719">
        <v>11236</v>
      </c>
      <c r="K2719" t="s">
        <v>11446</v>
      </c>
      <c r="L2719" t="s">
        <v>12448</v>
      </c>
      <c r="M2719" t="s">
        <v>14743</v>
      </c>
      <c r="N2719" t="s">
        <v>14781</v>
      </c>
      <c r="P2719" t="s">
        <v>14800</v>
      </c>
      <c r="S2719" t="s">
        <v>14827</v>
      </c>
      <c r="U2719" t="s">
        <v>604</v>
      </c>
      <c r="V2719">
        <v>1557</v>
      </c>
      <c r="W2719" t="s">
        <v>14859</v>
      </c>
      <c r="X2719" t="s">
        <v>14865</v>
      </c>
      <c r="Z2719" t="s">
        <v>17177</v>
      </c>
      <c r="AA2719" t="s">
        <v>19559</v>
      </c>
      <c r="AB2719" t="s">
        <v>22205</v>
      </c>
      <c r="AC2719">
        <v>0</v>
      </c>
      <c r="AE2719" t="s">
        <v>24616</v>
      </c>
      <c r="AF2719">
        <v>0</v>
      </c>
      <c r="AG2719">
        <v>1</v>
      </c>
      <c r="AH2719">
        <v>2</v>
      </c>
      <c r="AI2719">
        <v>21.83</v>
      </c>
      <c r="AL2719" t="s">
        <v>5011</v>
      </c>
      <c r="AM2719">
        <v>4656</v>
      </c>
      <c r="AS2719">
        <v>18</v>
      </c>
      <c r="AT2719" t="s">
        <v>580</v>
      </c>
      <c r="AU2719" t="s">
        <v>25277</v>
      </c>
      <c r="AW2719" t="s">
        <v>11447</v>
      </c>
    </row>
    <row r="2720" spans="1:49">
      <c r="A2720" s="1">
        <f>HYPERLINK("https://lsnyc.legalserver.org/matter/dynamic-profile/view/1909696","19-1909696")</f>
        <v>0</v>
      </c>
      <c r="B2720" t="s">
        <v>283</v>
      </c>
      <c r="C2720" t="s">
        <v>519</v>
      </c>
      <c r="E2720" t="s">
        <v>2145</v>
      </c>
      <c r="F2720" t="s">
        <v>4741</v>
      </c>
      <c r="G2720" t="s">
        <v>8213</v>
      </c>
      <c r="I2720" t="s">
        <v>11385</v>
      </c>
      <c r="J2720">
        <v>11223</v>
      </c>
      <c r="K2720" t="s">
        <v>11446</v>
      </c>
      <c r="L2720" t="s">
        <v>12449</v>
      </c>
      <c r="M2720" t="s">
        <v>14744</v>
      </c>
      <c r="N2720" t="s">
        <v>14778</v>
      </c>
      <c r="P2720" t="s">
        <v>14800</v>
      </c>
      <c r="Q2720" t="s">
        <v>11448</v>
      </c>
      <c r="S2720" t="s">
        <v>14827</v>
      </c>
      <c r="T2720" t="s">
        <v>14832</v>
      </c>
      <c r="U2720" t="s">
        <v>604</v>
      </c>
      <c r="V2720">
        <v>0</v>
      </c>
      <c r="W2720" t="s">
        <v>14859</v>
      </c>
      <c r="X2720" t="s">
        <v>14865</v>
      </c>
      <c r="Z2720" t="s">
        <v>17178</v>
      </c>
      <c r="AB2720" t="s">
        <v>22206</v>
      </c>
      <c r="AC2720">
        <v>0</v>
      </c>
      <c r="AF2720">
        <v>2</v>
      </c>
      <c r="AG2720">
        <v>2</v>
      </c>
      <c r="AH2720">
        <v>0</v>
      </c>
      <c r="AI2720">
        <v>36.9</v>
      </c>
      <c r="AL2720" t="s">
        <v>24632</v>
      </c>
      <c r="AM2720">
        <v>6240</v>
      </c>
      <c r="AS2720">
        <v>31.9</v>
      </c>
      <c r="AT2720" t="s">
        <v>505</v>
      </c>
      <c r="AU2720" t="s">
        <v>25235</v>
      </c>
      <c r="AV2720" t="s">
        <v>25335</v>
      </c>
      <c r="AW2720" t="s">
        <v>11447</v>
      </c>
    </row>
    <row r="2721" spans="1:49">
      <c r="A2721" s="1">
        <f>HYPERLINK("https://lsnyc.legalserver.org/matter/dynamic-profile/view/1909544","19-1909544")</f>
        <v>0</v>
      </c>
      <c r="B2721" t="s">
        <v>284</v>
      </c>
      <c r="C2721" t="s">
        <v>463</v>
      </c>
      <c r="E2721" t="s">
        <v>1650</v>
      </c>
      <c r="F2721" t="s">
        <v>5027</v>
      </c>
      <c r="G2721" t="s">
        <v>8214</v>
      </c>
      <c r="H2721" t="s">
        <v>11037</v>
      </c>
      <c r="I2721" t="s">
        <v>11385</v>
      </c>
      <c r="J2721">
        <v>11211</v>
      </c>
      <c r="K2721" t="s">
        <v>11446</v>
      </c>
      <c r="M2721" t="s">
        <v>14750</v>
      </c>
      <c r="N2721" t="s">
        <v>14783</v>
      </c>
      <c r="P2721" t="s">
        <v>14800</v>
      </c>
      <c r="S2721" t="s">
        <v>14828</v>
      </c>
      <c r="U2721" t="s">
        <v>604</v>
      </c>
      <c r="V2721">
        <v>0</v>
      </c>
      <c r="W2721" t="s">
        <v>14859</v>
      </c>
      <c r="Z2721" t="s">
        <v>17179</v>
      </c>
      <c r="AB2721" t="s">
        <v>22207</v>
      </c>
      <c r="AC2721">
        <v>0</v>
      </c>
      <c r="AF2721">
        <v>0</v>
      </c>
      <c r="AG2721">
        <v>1</v>
      </c>
      <c r="AH2721">
        <v>0</v>
      </c>
      <c r="AI2721">
        <v>51.88</v>
      </c>
      <c r="AL2721" t="s">
        <v>24632</v>
      </c>
      <c r="AM2721">
        <v>6480</v>
      </c>
      <c r="AS2721">
        <v>53.25</v>
      </c>
      <c r="AT2721" t="s">
        <v>495</v>
      </c>
      <c r="AU2721" t="s">
        <v>25286</v>
      </c>
      <c r="AW2721" t="s">
        <v>11447</v>
      </c>
    </row>
    <row r="2722" spans="1:49">
      <c r="A2722" s="1">
        <f>HYPERLINK("https://lsnyc.legalserver.org/matter/dynamic-profile/view/1900585","19-1900585")</f>
        <v>0</v>
      </c>
      <c r="B2722" t="s">
        <v>127</v>
      </c>
      <c r="C2722" t="s">
        <v>336</v>
      </c>
      <c r="E2722" t="s">
        <v>1719</v>
      </c>
      <c r="F2722" t="s">
        <v>5028</v>
      </c>
      <c r="G2722" t="s">
        <v>8156</v>
      </c>
      <c r="H2722" t="s">
        <v>11038</v>
      </c>
      <c r="I2722" t="s">
        <v>11385</v>
      </c>
      <c r="J2722">
        <v>11238</v>
      </c>
      <c r="K2722" t="s">
        <v>11446</v>
      </c>
      <c r="L2722" t="s">
        <v>12450</v>
      </c>
      <c r="M2722" t="s">
        <v>14744</v>
      </c>
      <c r="N2722" t="s">
        <v>14781</v>
      </c>
      <c r="P2722" t="s">
        <v>14800</v>
      </c>
      <c r="S2722" t="s">
        <v>14828</v>
      </c>
      <c r="U2722" t="s">
        <v>604</v>
      </c>
      <c r="V2722">
        <v>0</v>
      </c>
      <c r="W2722" t="s">
        <v>14859</v>
      </c>
      <c r="Z2722" t="s">
        <v>17180</v>
      </c>
      <c r="AB2722" t="s">
        <v>22208</v>
      </c>
      <c r="AC2722">
        <v>0</v>
      </c>
      <c r="AF2722">
        <v>7</v>
      </c>
      <c r="AG2722">
        <v>1</v>
      </c>
      <c r="AH2722">
        <v>0</v>
      </c>
      <c r="AI2722">
        <v>76.86</v>
      </c>
      <c r="AL2722" t="s">
        <v>5011</v>
      </c>
      <c r="AM2722">
        <v>9600</v>
      </c>
      <c r="AS2722">
        <v>19.4</v>
      </c>
      <c r="AT2722" t="s">
        <v>509</v>
      </c>
      <c r="AU2722" t="s">
        <v>25227</v>
      </c>
      <c r="AW2722" t="s">
        <v>11447</v>
      </c>
    </row>
    <row r="2723" spans="1:49">
      <c r="A2723" s="1">
        <f>HYPERLINK("https://lsnyc.legalserver.org/matter/dynamic-profile/view/1911016","19-1911016")</f>
        <v>0</v>
      </c>
      <c r="B2723" t="s">
        <v>283</v>
      </c>
      <c r="C2723" t="s">
        <v>460</v>
      </c>
      <c r="E2723" t="s">
        <v>2446</v>
      </c>
      <c r="F2723" t="s">
        <v>5029</v>
      </c>
      <c r="G2723" t="s">
        <v>8215</v>
      </c>
      <c r="H2723" t="s">
        <v>10496</v>
      </c>
      <c r="I2723" t="s">
        <v>11385</v>
      </c>
      <c r="J2723">
        <v>11219</v>
      </c>
      <c r="K2723" t="s">
        <v>11446</v>
      </c>
      <c r="L2723" t="s">
        <v>12451</v>
      </c>
      <c r="M2723" t="s">
        <v>14744</v>
      </c>
      <c r="N2723" t="s">
        <v>14778</v>
      </c>
      <c r="P2723" t="s">
        <v>14800</v>
      </c>
      <c r="S2723" t="s">
        <v>14827</v>
      </c>
      <c r="U2723" t="s">
        <v>604</v>
      </c>
      <c r="V2723">
        <v>2067</v>
      </c>
      <c r="W2723" t="s">
        <v>14859</v>
      </c>
      <c r="X2723" t="s">
        <v>14865</v>
      </c>
      <c r="Z2723" t="s">
        <v>17181</v>
      </c>
      <c r="AA2723" t="s">
        <v>19560</v>
      </c>
      <c r="AB2723" t="s">
        <v>22209</v>
      </c>
      <c r="AC2723">
        <v>0</v>
      </c>
      <c r="AF2723">
        <v>0</v>
      </c>
      <c r="AG2723">
        <v>2</v>
      </c>
      <c r="AH2723">
        <v>2</v>
      </c>
      <c r="AI2723">
        <v>102.46</v>
      </c>
      <c r="AL2723" t="s">
        <v>24639</v>
      </c>
      <c r="AM2723">
        <v>26384</v>
      </c>
      <c r="AS2723">
        <v>81.90000000000001</v>
      </c>
      <c r="AT2723" t="s">
        <v>654</v>
      </c>
      <c r="AU2723" t="s">
        <v>25277</v>
      </c>
      <c r="AW2723" t="s">
        <v>11447</v>
      </c>
    </row>
    <row r="2724" spans="1:49">
      <c r="A2724" s="1">
        <f>HYPERLINK("https://lsnyc.legalserver.org/matter/dynamic-profile/view/1910447","19-1910447")</f>
        <v>0</v>
      </c>
      <c r="B2724" t="s">
        <v>262</v>
      </c>
      <c r="C2724" t="s">
        <v>508</v>
      </c>
      <c r="E2724" t="s">
        <v>1516</v>
      </c>
      <c r="F2724" t="s">
        <v>5030</v>
      </c>
      <c r="G2724" t="s">
        <v>8216</v>
      </c>
      <c r="H2724" t="s">
        <v>10553</v>
      </c>
      <c r="I2724" t="s">
        <v>11385</v>
      </c>
      <c r="J2724">
        <v>11230</v>
      </c>
      <c r="K2724" t="s">
        <v>11446</v>
      </c>
      <c r="L2724" t="s">
        <v>12452</v>
      </c>
      <c r="M2724" t="s">
        <v>14762</v>
      </c>
      <c r="N2724" t="s">
        <v>14779</v>
      </c>
      <c r="P2724" t="s">
        <v>14800</v>
      </c>
      <c r="Q2724" t="s">
        <v>11448</v>
      </c>
      <c r="S2724" t="s">
        <v>14827</v>
      </c>
      <c r="U2724" t="s">
        <v>604</v>
      </c>
      <c r="V2724">
        <v>1560.52</v>
      </c>
      <c r="W2724" t="s">
        <v>14859</v>
      </c>
      <c r="X2724" t="s">
        <v>14865</v>
      </c>
      <c r="Z2724" t="s">
        <v>17182</v>
      </c>
      <c r="AB2724" t="s">
        <v>22210</v>
      </c>
      <c r="AC2724">
        <v>0</v>
      </c>
      <c r="AD2724" t="s">
        <v>24600</v>
      </c>
      <c r="AF2724">
        <v>5</v>
      </c>
      <c r="AG2724">
        <v>3</v>
      </c>
      <c r="AH2724">
        <v>0</v>
      </c>
      <c r="AI2724">
        <v>114.86</v>
      </c>
      <c r="AL2724" t="s">
        <v>5011</v>
      </c>
      <c r="AM2724">
        <v>24500</v>
      </c>
      <c r="AS2724">
        <v>0</v>
      </c>
      <c r="AU2724" t="s">
        <v>25230</v>
      </c>
      <c r="AV2724" t="s">
        <v>25335</v>
      </c>
      <c r="AW2724" t="s">
        <v>11447</v>
      </c>
    </row>
    <row r="2725" spans="1:49">
      <c r="A2725" s="1">
        <f>HYPERLINK("https://lsnyc.legalserver.org/matter/dynamic-profile/view/1910880","19-1910880")</f>
        <v>0</v>
      </c>
      <c r="B2725" t="s">
        <v>284</v>
      </c>
      <c r="C2725" t="s">
        <v>604</v>
      </c>
      <c r="E2725" t="s">
        <v>2447</v>
      </c>
      <c r="F2725" t="s">
        <v>5031</v>
      </c>
      <c r="G2725" t="s">
        <v>8217</v>
      </c>
      <c r="H2725" t="s">
        <v>10730</v>
      </c>
      <c r="I2725" t="s">
        <v>11385</v>
      </c>
      <c r="J2725">
        <v>11203</v>
      </c>
      <c r="K2725" t="s">
        <v>11446</v>
      </c>
      <c r="L2725" t="s">
        <v>12453</v>
      </c>
      <c r="M2725" t="s">
        <v>14744</v>
      </c>
      <c r="N2725" t="s">
        <v>14781</v>
      </c>
      <c r="P2725" t="s">
        <v>14800</v>
      </c>
      <c r="Q2725" t="s">
        <v>11448</v>
      </c>
      <c r="S2725" t="s">
        <v>14827</v>
      </c>
      <c r="U2725" t="s">
        <v>604</v>
      </c>
      <c r="V2725">
        <v>0</v>
      </c>
      <c r="W2725" t="s">
        <v>14859</v>
      </c>
      <c r="X2725" t="s">
        <v>14865</v>
      </c>
      <c r="Z2725" t="s">
        <v>17057</v>
      </c>
      <c r="AB2725" t="s">
        <v>22211</v>
      </c>
      <c r="AC2725">
        <v>0</v>
      </c>
      <c r="AF2725">
        <v>0</v>
      </c>
      <c r="AG2725">
        <v>1</v>
      </c>
      <c r="AH2725">
        <v>0</v>
      </c>
      <c r="AI2725">
        <v>172.94</v>
      </c>
      <c r="AL2725" t="s">
        <v>5011</v>
      </c>
      <c r="AM2725">
        <v>21600</v>
      </c>
      <c r="AS2725">
        <v>75.40000000000001</v>
      </c>
      <c r="AT2725" t="s">
        <v>654</v>
      </c>
      <c r="AU2725" t="s">
        <v>25285</v>
      </c>
      <c r="AV2725" t="s">
        <v>25335</v>
      </c>
      <c r="AW2725" t="s">
        <v>11447</v>
      </c>
    </row>
    <row r="2726" spans="1:49">
      <c r="A2726" s="1">
        <f>HYPERLINK("https://lsnyc.legalserver.org/matter/dynamic-profile/view/1909507","19-1909507")</f>
        <v>0</v>
      </c>
      <c r="B2726" t="s">
        <v>285</v>
      </c>
      <c r="C2726" t="s">
        <v>463</v>
      </c>
      <c r="E2726" t="s">
        <v>1068</v>
      </c>
      <c r="F2726" t="s">
        <v>5032</v>
      </c>
      <c r="G2726" t="s">
        <v>8218</v>
      </c>
      <c r="H2726" t="s">
        <v>10467</v>
      </c>
      <c r="I2726" t="s">
        <v>11385</v>
      </c>
      <c r="J2726">
        <v>11206</v>
      </c>
      <c r="K2726" t="s">
        <v>11446</v>
      </c>
      <c r="M2726" t="s">
        <v>14750</v>
      </c>
      <c r="N2726" t="s">
        <v>14783</v>
      </c>
      <c r="P2726" t="s">
        <v>14800</v>
      </c>
      <c r="R2726" t="s">
        <v>14804</v>
      </c>
      <c r="S2726" t="s">
        <v>14828</v>
      </c>
      <c r="U2726" t="s">
        <v>604</v>
      </c>
      <c r="V2726">
        <v>0</v>
      </c>
      <c r="W2726" t="s">
        <v>14859</v>
      </c>
      <c r="Z2726" t="s">
        <v>17183</v>
      </c>
      <c r="AB2726" t="s">
        <v>22212</v>
      </c>
      <c r="AC2726">
        <v>0</v>
      </c>
      <c r="AF2726">
        <v>0</v>
      </c>
      <c r="AG2726">
        <v>1</v>
      </c>
      <c r="AH2726">
        <v>0</v>
      </c>
      <c r="AI2726">
        <v>180.62</v>
      </c>
      <c r="AL2726" t="s">
        <v>5011</v>
      </c>
      <c r="AM2726">
        <v>22560</v>
      </c>
      <c r="AS2726">
        <v>50</v>
      </c>
      <c r="AT2726" t="s">
        <v>516</v>
      </c>
      <c r="AU2726" t="s">
        <v>25286</v>
      </c>
      <c r="AW2726" t="s">
        <v>11447</v>
      </c>
    </row>
    <row r="2727" spans="1:49">
      <c r="A2727" s="1">
        <f>HYPERLINK("https://lsnyc.legalserver.org/matter/dynamic-profile/view/1909007","19-1909007")</f>
        <v>0</v>
      </c>
      <c r="B2727" t="s">
        <v>228</v>
      </c>
      <c r="C2727" t="s">
        <v>641</v>
      </c>
      <c r="E2727" t="s">
        <v>2448</v>
      </c>
      <c r="F2727" t="s">
        <v>3709</v>
      </c>
      <c r="G2727" t="s">
        <v>8219</v>
      </c>
      <c r="H2727" t="s">
        <v>11039</v>
      </c>
      <c r="I2727" t="s">
        <v>11385</v>
      </c>
      <c r="J2727">
        <v>11234</v>
      </c>
      <c r="K2727" t="s">
        <v>11446</v>
      </c>
      <c r="L2727" t="s">
        <v>12454</v>
      </c>
      <c r="M2727" t="s">
        <v>14743</v>
      </c>
      <c r="N2727" t="s">
        <v>14778</v>
      </c>
      <c r="P2727" t="s">
        <v>14800</v>
      </c>
      <c r="S2727" t="s">
        <v>14827</v>
      </c>
      <c r="U2727" t="s">
        <v>604</v>
      </c>
      <c r="V2727">
        <v>0</v>
      </c>
      <c r="W2727" t="s">
        <v>14859</v>
      </c>
      <c r="X2727" t="s">
        <v>14865</v>
      </c>
      <c r="Z2727" t="s">
        <v>17184</v>
      </c>
      <c r="AB2727" t="s">
        <v>22213</v>
      </c>
      <c r="AC2727">
        <v>0</v>
      </c>
      <c r="AF2727">
        <v>0</v>
      </c>
      <c r="AG2727">
        <v>1</v>
      </c>
      <c r="AH2727">
        <v>1</v>
      </c>
      <c r="AI2727">
        <v>195.15</v>
      </c>
      <c r="AL2727" t="s">
        <v>5011</v>
      </c>
      <c r="AM2727">
        <v>33000</v>
      </c>
      <c r="AS2727">
        <v>0</v>
      </c>
      <c r="AU2727" t="s">
        <v>25275</v>
      </c>
      <c r="AV2727" t="s">
        <v>25335</v>
      </c>
      <c r="AW2727" t="s">
        <v>11447</v>
      </c>
    </row>
    <row r="2728" spans="1:49">
      <c r="A2728" s="1">
        <f>HYPERLINK("https://lsnyc.legalserver.org/matter/dynamic-profile/view/1910585","19-1910585")</f>
        <v>0</v>
      </c>
      <c r="B2728" t="s">
        <v>262</v>
      </c>
      <c r="C2728" t="s">
        <v>644</v>
      </c>
      <c r="E2728" t="s">
        <v>1374</v>
      </c>
      <c r="F2728" t="s">
        <v>5033</v>
      </c>
      <c r="G2728" t="s">
        <v>8209</v>
      </c>
      <c r="H2728" t="s">
        <v>11040</v>
      </c>
      <c r="I2728" t="s">
        <v>11385</v>
      </c>
      <c r="J2728">
        <v>11224</v>
      </c>
      <c r="K2728" t="s">
        <v>11446</v>
      </c>
      <c r="M2728" t="s">
        <v>14745</v>
      </c>
      <c r="N2728" t="s">
        <v>14780</v>
      </c>
      <c r="P2728" t="s">
        <v>14800</v>
      </c>
      <c r="S2728" t="s">
        <v>14827</v>
      </c>
      <c r="U2728" t="s">
        <v>604</v>
      </c>
      <c r="V2728">
        <v>0</v>
      </c>
      <c r="W2728" t="s">
        <v>14859</v>
      </c>
      <c r="Z2728" t="s">
        <v>17185</v>
      </c>
      <c r="AB2728" t="s">
        <v>22214</v>
      </c>
      <c r="AC2728">
        <v>0</v>
      </c>
      <c r="AF2728">
        <v>0</v>
      </c>
      <c r="AG2728">
        <v>2</v>
      </c>
      <c r="AH2728">
        <v>0</v>
      </c>
      <c r="AI2728">
        <v>238.96</v>
      </c>
      <c r="AL2728" t="s">
        <v>5011</v>
      </c>
      <c r="AM2728">
        <v>40408.8</v>
      </c>
      <c r="AS2728">
        <v>4.85</v>
      </c>
      <c r="AT2728" t="s">
        <v>460</v>
      </c>
      <c r="AU2728" t="s">
        <v>25230</v>
      </c>
      <c r="AV2728" t="s">
        <v>25335</v>
      </c>
      <c r="AW2728" t="s">
        <v>11447</v>
      </c>
    </row>
    <row r="2729" spans="1:49">
      <c r="A2729" s="1">
        <f>HYPERLINK("https://lsnyc.legalserver.org/matter/dynamic-profile/view/1911954","19-1911954")</f>
        <v>0</v>
      </c>
      <c r="B2729" t="s">
        <v>255</v>
      </c>
      <c r="C2729" t="s">
        <v>586</v>
      </c>
      <c r="E2729" t="s">
        <v>1276</v>
      </c>
      <c r="F2729" t="s">
        <v>5034</v>
      </c>
      <c r="G2729" t="s">
        <v>7635</v>
      </c>
      <c r="H2729">
        <v>2310</v>
      </c>
      <c r="I2729" t="s">
        <v>11385</v>
      </c>
      <c r="J2729">
        <v>11224</v>
      </c>
      <c r="K2729" t="s">
        <v>11446</v>
      </c>
      <c r="L2729" t="s">
        <v>12455</v>
      </c>
      <c r="M2729" t="s">
        <v>14743</v>
      </c>
      <c r="N2729" t="s">
        <v>14781</v>
      </c>
      <c r="P2729" t="s">
        <v>14800</v>
      </c>
      <c r="Q2729" t="s">
        <v>11448</v>
      </c>
      <c r="S2729" t="s">
        <v>14827</v>
      </c>
      <c r="T2729" t="s">
        <v>14832</v>
      </c>
      <c r="U2729" t="s">
        <v>604</v>
      </c>
      <c r="V2729">
        <v>625</v>
      </c>
      <c r="W2729" t="s">
        <v>14859</v>
      </c>
      <c r="X2729" t="s">
        <v>14863</v>
      </c>
      <c r="Z2729" t="s">
        <v>17186</v>
      </c>
      <c r="AB2729" t="s">
        <v>22215</v>
      </c>
      <c r="AC2729">
        <v>128</v>
      </c>
      <c r="AD2729" t="s">
        <v>24604</v>
      </c>
      <c r="AE2729" t="s">
        <v>11459</v>
      </c>
      <c r="AF2729">
        <v>5</v>
      </c>
      <c r="AG2729">
        <v>2</v>
      </c>
      <c r="AH2729">
        <v>0</v>
      </c>
      <c r="AI2729">
        <v>260.2</v>
      </c>
      <c r="AL2729" t="s">
        <v>5011</v>
      </c>
      <c r="AM2729">
        <v>44000</v>
      </c>
      <c r="AS2729">
        <v>4.5</v>
      </c>
      <c r="AT2729" t="s">
        <v>654</v>
      </c>
      <c r="AU2729" t="s">
        <v>25235</v>
      </c>
      <c r="AV2729" t="s">
        <v>25335</v>
      </c>
      <c r="AW2729" t="s">
        <v>11447</v>
      </c>
    </row>
    <row r="2730" spans="1:49">
      <c r="A2730" s="1">
        <f>HYPERLINK("https://lsnyc.legalserver.org/matter/dynamic-profile/view/1911479","19-1911479")</f>
        <v>0</v>
      </c>
      <c r="B2730" t="s">
        <v>198</v>
      </c>
      <c r="C2730" t="s">
        <v>486</v>
      </c>
      <c r="E2730" t="s">
        <v>1181</v>
      </c>
      <c r="F2730" t="s">
        <v>4519</v>
      </c>
      <c r="G2730" t="s">
        <v>8220</v>
      </c>
      <c r="H2730" t="s">
        <v>11041</v>
      </c>
      <c r="I2730" t="s">
        <v>11385</v>
      </c>
      <c r="J2730">
        <v>11213</v>
      </c>
      <c r="K2730" t="s">
        <v>11446</v>
      </c>
      <c r="L2730" t="s">
        <v>12456</v>
      </c>
      <c r="M2730" t="s">
        <v>14744</v>
      </c>
      <c r="P2730" t="s">
        <v>14800</v>
      </c>
      <c r="S2730" t="s">
        <v>14828</v>
      </c>
      <c r="U2730" t="s">
        <v>486</v>
      </c>
      <c r="V2730">
        <v>650</v>
      </c>
      <c r="W2730" t="s">
        <v>14859</v>
      </c>
      <c r="X2730" t="s">
        <v>14865</v>
      </c>
      <c r="Z2730" t="s">
        <v>17187</v>
      </c>
      <c r="AB2730" t="s">
        <v>22216</v>
      </c>
      <c r="AC2730">
        <v>0</v>
      </c>
      <c r="AF2730">
        <v>0</v>
      </c>
      <c r="AG2730">
        <v>3</v>
      </c>
      <c r="AH2730">
        <v>2</v>
      </c>
      <c r="AI2730">
        <v>0</v>
      </c>
      <c r="AL2730" t="s">
        <v>5011</v>
      </c>
      <c r="AM2730">
        <v>0</v>
      </c>
      <c r="AS2730">
        <v>0</v>
      </c>
      <c r="AU2730" t="s">
        <v>25275</v>
      </c>
      <c r="AV2730" t="s">
        <v>25335</v>
      </c>
      <c r="AW2730" t="s">
        <v>11447</v>
      </c>
    </row>
    <row r="2731" spans="1:49">
      <c r="A2731" s="1">
        <f>HYPERLINK("https://lsnyc.legalserver.org/matter/dynamic-profile/view/1911460","19-1911460")</f>
        <v>0</v>
      </c>
      <c r="B2731" t="s">
        <v>106</v>
      </c>
      <c r="C2731" t="s">
        <v>486</v>
      </c>
      <c r="E2731" t="s">
        <v>2449</v>
      </c>
      <c r="F2731" t="s">
        <v>5035</v>
      </c>
      <c r="G2731" t="s">
        <v>8221</v>
      </c>
      <c r="H2731" t="s">
        <v>10676</v>
      </c>
      <c r="I2731" t="s">
        <v>11385</v>
      </c>
      <c r="J2731">
        <v>11230</v>
      </c>
      <c r="K2731" t="s">
        <v>11446</v>
      </c>
      <c r="L2731" t="s">
        <v>12457</v>
      </c>
      <c r="M2731" t="s">
        <v>14743</v>
      </c>
      <c r="P2731" t="s">
        <v>14800</v>
      </c>
      <c r="S2731" t="s">
        <v>14827</v>
      </c>
      <c r="U2731" t="s">
        <v>486</v>
      </c>
      <c r="V2731">
        <v>0</v>
      </c>
      <c r="W2731" t="s">
        <v>14859</v>
      </c>
      <c r="X2731" t="s">
        <v>14865</v>
      </c>
      <c r="Z2731" t="s">
        <v>17188</v>
      </c>
      <c r="AB2731" t="s">
        <v>22217</v>
      </c>
      <c r="AC2731">
        <v>0</v>
      </c>
      <c r="AF2731">
        <v>0</v>
      </c>
      <c r="AG2731">
        <v>3</v>
      </c>
      <c r="AH2731">
        <v>2</v>
      </c>
      <c r="AI2731">
        <v>15.91</v>
      </c>
      <c r="AL2731" t="s">
        <v>5011</v>
      </c>
      <c r="AM2731">
        <v>4800</v>
      </c>
      <c r="AS2731">
        <v>3.15</v>
      </c>
      <c r="AT2731" t="s">
        <v>491</v>
      </c>
      <c r="AU2731" t="s">
        <v>25275</v>
      </c>
      <c r="AV2731" t="s">
        <v>25335</v>
      </c>
      <c r="AW2731" t="s">
        <v>11447</v>
      </c>
    </row>
    <row r="2732" spans="1:49">
      <c r="A2732" s="1">
        <f>HYPERLINK("https://lsnyc.legalserver.org/matter/dynamic-profile/view/1911487","19-1911487")</f>
        <v>0</v>
      </c>
      <c r="B2732" t="s">
        <v>275</v>
      </c>
      <c r="C2732" t="s">
        <v>486</v>
      </c>
      <c r="E2732" t="s">
        <v>1245</v>
      </c>
      <c r="F2732" t="s">
        <v>5036</v>
      </c>
      <c r="G2732" t="s">
        <v>8222</v>
      </c>
      <c r="H2732" t="s">
        <v>10468</v>
      </c>
      <c r="I2732" t="s">
        <v>11385</v>
      </c>
      <c r="J2732">
        <v>11224</v>
      </c>
      <c r="K2732" t="s">
        <v>11446</v>
      </c>
      <c r="L2732" t="s">
        <v>12458</v>
      </c>
      <c r="M2732" t="s">
        <v>14744</v>
      </c>
      <c r="N2732" t="s">
        <v>14778</v>
      </c>
      <c r="P2732" t="s">
        <v>14800</v>
      </c>
      <c r="S2732" t="s">
        <v>14827</v>
      </c>
      <c r="U2732" t="s">
        <v>486</v>
      </c>
      <c r="V2732">
        <v>1299.99</v>
      </c>
      <c r="W2732" t="s">
        <v>14859</v>
      </c>
      <c r="X2732" t="s">
        <v>14865</v>
      </c>
      <c r="Z2732" t="s">
        <v>17189</v>
      </c>
      <c r="AA2732" t="s">
        <v>19561</v>
      </c>
      <c r="AB2732" t="s">
        <v>22218</v>
      </c>
      <c r="AC2732">
        <v>0</v>
      </c>
      <c r="AF2732">
        <v>0</v>
      </c>
      <c r="AG2732">
        <v>1</v>
      </c>
      <c r="AH2732">
        <v>3</v>
      </c>
      <c r="AI2732">
        <v>20.4</v>
      </c>
      <c r="AL2732" t="s">
        <v>5011</v>
      </c>
      <c r="AM2732">
        <v>5252</v>
      </c>
      <c r="AS2732">
        <v>0</v>
      </c>
      <c r="AU2732" t="s">
        <v>25275</v>
      </c>
      <c r="AV2732" t="s">
        <v>25335</v>
      </c>
      <c r="AW2732" t="s">
        <v>11447</v>
      </c>
    </row>
    <row r="2733" spans="1:49">
      <c r="A2733" s="1">
        <f>HYPERLINK("https://lsnyc.legalserver.org/matter/dynamic-profile/view/1911502","19-1911502")</f>
        <v>0</v>
      </c>
      <c r="B2733" t="s">
        <v>275</v>
      </c>
      <c r="C2733" t="s">
        <v>486</v>
      </c>
      <c r="E2733" t="s">
        <v>1601</v>
      </c>
      <c r="F2733" t="s">
        <v>3547</v>
      </c>
      <c r="G2733" t="s">
        <v>8223</v>
      </c>
      <c r="H2733" t="s">
        <v>11042</v>
      </c>
      <c r="I2733" t="s">
        <v>11385</v>
      </c>
      <c r="J2733">
        <v>11211</v>
      </c>
      <c r="K2733" t="s">
        <v>11446</v>
      </c>
      <c r="L2733" t="s">
        <v>12459</v>
      </c>
      <c r="M2733" t="s">
        <v>14746</v>
      </c>
      <c r="N2733" t="s">
        <v>14778</v>
      </c>
      <c r="P2733" t="s">
        <v>14800</v>
      </c>
      <c r="S2733" t="s">
        <v>14827</v>
      </c>
      <c r="U2733" t="s">
        <v>486</v>
      </c>
      <c r="V2733">
        <v>0</v>
      </c>
      <c r="W2733" t="s">
        <v>14859</v>
      </c>
      <c r="X2733" t="s">
        <v>14865</v>
      </c>
      <c r="Z2733" t="s">
        <v>17190</v>
      </c>
      <c r="AB2733" t="s">
        <v>22154</v>
      </c>
      <c r="AC2733">
        <v>0</v>
      </c>
      <c r="AF2733">
        <v>0</v>
      </c>
      <c r="AG2733">
        <v>1</v>
      </c>
      <c r="AH2733">
        <v>0</v>
      </c>
      <c r="AI2733">
        <v>76.86</v>
      </c>
      <c r="AL2733" t="s">
        <v>5011</v>
      </c>
      <c r="AM2733">
        <v>9600</v>
      </c>
      <c r="AS2733">
        <v>0</v>
      </c>
      <c r="AU2733" t="s">
        <v>25275</v>
      </c>
      <c r="AV2733" t="s">
        <v>25335</v>
      </c>
      <c r="AW2733" t="s">
        <v>11447</v>
      </c>
    </row>
    <row r="2734" spans="1:49">
      <c r="A2734" s="1">
        <f>HYPERLINK("https://lsnyc.legalserver.org/matter/dynamic-profile/view/1911544","19-1911544")</f>
        <v>0</v>
      </c>
      <c r="B2734" t="s">
        <v>275</v>
      </c>
      <c r="C2734" t="s">
        <v>486</v>
      </c>
      <c r="E2734" t="s">
        <v>2450</v>
      </c>
      <c r="F2734" t="s">
        <v>3674</v>
      </c>
      <c r="G2734" t="s">
        <v>8224</v>
      </c>
      <c r="H2734" t="s">
        <v>10787</v>
      </c>
      <c r="I2734" t="s">
        <v>11385</v>
      </c>
      <c r="J2734">
        <v>11249</v>
      </c>
      <c r="K2734" t="s">
        <v>11446</v>
      </c>
      <c r="L2734" t="s">
        <v>12460</v>
      </c>
      <c r="M2734" t="s">
        <v>14744</v>
      </c>
      <c r="N2734" t="s">
        <v>14778</v>
      </c>
      <c r="P2734" t="s">
        <v>14800</v>
      </c>
      <c r="S2734" t="s">
        <v>14827</v>
      </c>
      <c r="U2734" t="s">
        <v>486</v>
      </c>
      <c r="V2734">
        <v>0</v>
      </c>
      <c r="W2734" t="s">
        <v>14859</v>
      </c>
      <c r="Z2734" t="s">
        <v>17191</v>
      </c>
      <c r="AC2734">
        <v>0</v>
      </c>
      <c r="AF2734">
        <v>0</v>
      </c>
      <c r="AG2734">
        <v>2</v>
      </c>
      <c r="AH2734">
        <v>7</v>
      </c>
      <c r="AI2734">
        <v>86.94</v>
      </c>
      <c r="AL2734" t="s">
        <v>5011</v>
      </c>
      <c r="AM2734">
        <v>41600</v>
      </c>
      <c r="AS2734">
        <v>0</v>
      </c>
      <c r="AU2734" t="s">
        <v>25277</v>
      </c>
      <c r="AV2734" t="s">
        <v>25335</v>
      </c>
      <c r="AW2734" t="s">
        <v>11447</v>
      </c>
    </row>
    <row r="2735" spans="1:49">
      <c r="A2735" s="1">
        <f>HYPERLINK("https://lsnyc.legalserver.org/matter/dynamic-profile/view/1911563","19-1911563")</f>
        <v>0</v>
      </c>
      <c r="B2735" t="s">
        <v>152</v>
      </c>
      <c r="C2735" t="s">
        <v>526</v>
      </c>
      <c r="E2735" t="s">
        <v>1041</v>
      </c>
      <c r="F2735" t="s">
        <v>5037</v>
      </c>
      <c r="G2735" t="s">
        <v>8225</v>
      </c>
      <c r="H2735" t="s">
        <v>10698</v>
      </c>
      <c r="I2735" t="s">
        <v>11385</v>
      </c>
      <c r="J2735">
        <v>11236</v>
      </c>
      <c r="K2735" t="s">
        <v>11446</v>
      </c>
      <c r="L2735" t="s">
        <v>12461</v>
      </c>
      <c r="M2735" t="s">
        <v>14743</v>
      </c>
      <c r="N2735" t="s">
        <v>14782</v>
      </c>
      <c r="P2735" t="s">
        <v>14800</v>
      </c>
      <c r="S2735" t="s">
        <v>14827</v>
      </c>
      <c r="U2735" t="s">
        <v>526</v>
      </c>
      <c r="V2735">
        <v>0</v>
      </c>
      <c r="W2735" t="s">
        <v>14859</v>
      </c>
      <c r="X2735" t="s">
        <v>14865</v>
      </c>
      <c r="Z2735" t="s">
        <v>15042</v>
      </c>
      <c r="AB2735" t="s">
        <v>22219</v>
      </c>
      <c r="AC2735">
        <v>0</v>
      </c>
      <c r="AF2735">
        <v>0</v>
      </c>
      <c r="AG2735">
        <v>1</v>
      </c>
      <c r="AH2735">
        <v>1</v>
      </c>
      <c r="AI2735">
        <v>99.94</v>
      </c>
      <c r="AL2735" t="s">
        <v>5011</v>
      </c>
      <c r="AM2735">
        <v>16900</v>
      </c>
      <c r="AS2735">
        <v>2.75</v>
      </c>
      <c r="AT2735" t="s">
        <v>592</v>
      </c>
      <c r="AU2735" t="s">
        <v>25235</v>
      </c>
      <c r="AV2735" t="s">
        <v>25335</v>
      </c>
      <c r="AW2735" t="s">
        <v>11447</v>
      </c>
    </row>
    <row r="2736" spans="1:49">
      <c r="A2736" s="1">
        <f>HYPERLINK("https://lsnyc.legalserver.org/matter/dynamic-profile/view/1911562","19-1911562")</f>
        <v>0</v>
      </c>
      <c r="B2736" t="s">
        <v>198</v>
      </c>
      <c r="C2736" t="s">
        <v>526</v>
      </c>
      <c r="E2736" t="s">
        <v>2451</v>
      </c>
      <c r="F2736" t="s">
        <v>4638</v>
      </c>
      <c r="G2736" t="s">
        <v>8226</v>
      </c>
      <c r="H2736" t="s">
        <v>10594</v>
      </c>
      <c r="I2736" t="s">
        <v>11385</v>
      </c>
      <c r="J2736">
        <v>11224</v>
      </c>
      <c r="K2736" t="s">
        <v>11446</v>
      </c>
      <c r="L2736" t="s">
        <v>12462</v>
      </c>
      <c r="M2736" t="s">
        <v>14743</v>
      </c>
      <c r="N2736" t="s">
        <v>14778</v>
      </c>
      <c r="P2736" t="s">
        <v>14800</v>
      </c>
      <c r="Q2736" t="s">
        <v>11448</v>
      </c>
      <c r="S2736" t="s">
        <v>14828</v>
      </c>
      <c r="U2736" t="s">
        <v>526</v>
      </c>
      <c r="V2736">
        <v>0</v>
      </c>
      <c r="W2736" t="s">
        <v>14859</v>
      </c>
      <c r="X2736" t="s">
        <v>14865</v>
      </c>
      <c r="Z2736" t="s">
        <v>17192</v>
      </c>
      <c r="AB2736" t="s">
        <v>22220</v>
      </c>
      <c r="AC2736">
        <v>0</v>
      </c>
      <c r="AF2736">
        <v>0</v>
      </c>
      <c r="AG2736">
        <v>1</v>
      </c>
      <c r="AH2736">
        <v>0</v>
      </c>
      <c r="AI2736">
        <v>133.16</v>
      </c>
      <c r="AL2736" t="s">
        <v>5011</v>
      </c>
      <c r="AM2736">
        <v>16632</v>
      </c>
      <c r="AS2736">
        <v>0</v>
      </c>
      <c r="AU2736" t="s">
        <v>25285</v>
      </c>
      <c r="AV2736" t="s">
        <v>25335</v>
      </c>
      <c r="AW2736" t="s">
        <v>11447</v>
      </c>
    </row>
    <row r="2737" spans="1:49">
      <c r="A2737" s="1">
        <f>HYPERLINK("https://lsnyc.legalserver.org/matter/dynamic-profile/view/1911739","19-1911739")</f>
        <v>0</v>
      </c>
      <c r="B2737" t="s">
        <v>281</v>
      </c>
      <c r="C2737" t="s">
        <v>505</v>
      </c>
      <c r="E2737" t="s">
        <v>1249</v>
      </c>
      <c r="F2737" t="s">
        <v>1178</v>
      </c>
      <c r="G2737" t="s">
        <v>8227</v>
      </c>
      <c r="H2737">
        <v>316</v>
      </c>
      <c r="I2737" t="s">
        <v>11385</v>
      </c>
      <c r="J2737">
        <v>11224</v>
      </c>
      <c r="K2737" t="s">
        <v>11446</v>
      </c>
      <c r="L2737" t="s">
        <v>12463</v>
      </c>
      <c r="M2737" t="s">
        <v>14744</v>
      </c>
      <c r="N2737" t="s">
        <v>14781</v>
      </c>
      <c r="P2737" t="s">
        <v>14800</v>
      </c>
      <c r="S2737" t="s">
        <v>14827</v>
      </c>
      <c r="U2737" t="s">
        <v>505</v>
      </c>
      <c r="V2737">
        <v>2336</v>
      </c>
      <c r="W2737" t="s">
        <v>14859</v>
      </c>
      <c r="X2737" t="s">
        <v>14865</v>
      </c>
      <c r="Z2737" t="s">
        <v>17193</v>
      </c>
      <c r="AB2737" t="s">
        <v>22221</v>
      </c>
      <c r="AC2737">
        <v>0</v>
      </c>
      <c r="AE2737" t="s">
        <v>14755</v>
      </c>
      <c r="AF2737">
        <v>3</v>
      </c>
      <c r="AG2737">
        <v>2</v>
      </c>
      <c r="AH2737">
        <v>3</v>
      </c>
      <c r="AI2737">
        <v>134.08</v>
      </c>
      <c r="AL2737" t="s">
        <v>5011</v>
      </c>
      <c r="AM2737">
        <v>40452</v>
      </c>
      <c r="AS2737">
        <v>4</v>
      </c>
      <c r="AT2737" t="s">
        <v>495</v>
      </c>
      <c r="AU2737" t="s">
        <v>25275</v>
      </c>
      <c r="AV2737" t="s">
        <v>25335</v>
      </c>
      <c r="AW2737" t="s">
        <v>11447</v>
      </c>
    </row>
    <row r="2738" spans="1:49">
      <c r="A2738" s="1">
        <f>HYPERLINK("https://lsnyc.legalserver.org/matter/dynamic-profile/view/1912053","19-1912053")</f>
        <v>0</v>
      </c>
      <c r="B2738" t="s">
        <v>151</v>
      </c>
      <c r="C2738" t="s">
        <v>551</v>
      </c>
      <c r="E2738" t="s">
        <v>2452</v>
      </c>
      <c r="F2738" t="s">
        <v>5038</v>
      </c>
      <c r="G2738" t="s">
        <v>7230</v>
      </c>
      <c r="H2738">
        <v>31</v>
      </c>
      <c r="I2738" t="s">
        <v>11385</v>
      </c>
      <c r="J2738">
        <v>11218</v>
      </c>
      <c r="K2738" t="s">
        <v>11446</v>
      </c>
      <c r="L2738" t="s">
        <v>12464</v>
      </c>
      <c r="M2738" t="s">
        <v>14744</v>
      </c>
      <c r="N2738" t="s">
        <v>14778</v>
      </c>
      <c r="P2738" t="s">
        <v>14800</v>
      </c>
      <c r="Q2738" t="s">
        <v>11448</v>
      </c>
      <c r="S2738" t="s">
        <v>14827</v>
      </c>
      <c r="U2738" t="s">
        <v>551</v>
      </c>
      <c r="V2738">
        <v>0</v>
      </c>
      <c r="W2738" t="s">
        <v>14859</v>
      </c>
      <c r="X2738" t="s">
        <v>14865</v>
      </c>
      <c r="Z2738" t="s">
        <v>17194</v>
      </c>
      <c r="AB2738" t="s">
        <v>22222</v>
      </c>
      <c r="AC2738">
        <v>0</v>
      </c>
      <c r="AF2738">
        <v>0</v>
      </c>
      <c r="AG2738">
        <v>1</v>
      </c>
      <c r="AH2738">
        <v>0</v>
      </c>
      <c r="AI2738">
        <v>19.15</v>
      </c>
      <c r="AL2738" t="s">
        <v>5011</v>
      </c>
      <c r="AM2738">
        <v>2392</v>
      </c>
      <c r="AS2738">
        <v>0</v>
      </c>
      <c r="AU2738" t="s">
        <v>25285</v>
      </c>
      <c r="AV2738" t="s">
        <v>25335</v>
      </c>
      <c r="AW2738" t="s">
        <v>11447</v>
      </c>
    </row>
    <row r="2739" spans="1:49">
      <c r="A2739" s="1">
        <f>HYPERLINK("https://lsnyc.legalserver.org/matter/dynamic-profile/view/1912108","19-1912108")</f>
        <v>0</v>
      </c>
      <c r="B2739" t="s">
        <v>198</v>
      </c>
      <c r="C2739" t="s">
        <v>551</v>
      </c>
      <c r="E2739" t="s">
        <v>1692</v>
      </c>
      <c r="F2739" t="s">
        <v>2906</v>
      </c>
      <c r="G2739" t="s">
        <v>8228</v>
      </c>
      <c r="H2739" t="s">
        <v>10730</v>
      </c>
      <c r="I2739" t="s">
        <v>11385</v>
      </c>
      <c r="J2739">
        <v>11238</v>
      </c>
      <c r="K2739" t="s">
        <v>11446</v>
      </c>
      <c r="L2739" t="s">
        <v>12465</v>
      </c>
      <c r="M2739" t="s">
        <v>14744</v>
      </c>
      <c r="N2739" t="s">
        <v>14778</v>
      </c>
      <c r="P2739" t="s">
        <v>14800</v>
      </c>
      <c r="S2739" t="s">
        <v>14827</v>
      </c>
      <c r="U2739" t="s">
        <v>551</v>
      </c>
      <c r="V2739">
        <v>0</v>
      </c>
      <c r="W2739" t="s">
        <v>14859</v>
      </c>
      <c r="Z2739" t="s">
        <v>17195</v>
      </c>
      <c r="AB2739" t="s">
        <v>22223</v>
      </c>
      <c r="AC2739">
        <v>0</v>
      </c>
      <c r="AF2739">
        <v>0</v>
      </c>
      <c r="AG2739">
        <v>3</v>
      </c>
      <c r="AH2739">
        <v>1</v>
      </c>
      <c r="AI2739">
        <v>108.74</v>
      </c>
      <c r="AL2739" t="s">
        <v>5011</v>
      </c>
      <c r="AM2739">
        <v>28000</v>
      </c>
      <c r="AS2739">
        <v>0</v>
      </c>
      <c r="AU2739" t="s">
        <v>25277</v>
      </c>
      <c r="AV2739" t="s">
        <v>25335</v>
      </c>
      <c r="AW2739" t="s">
        <v>11447</v>
      </c>
    </row>
    <row r="2740" spans="1:49">
      <c r="A2740" s="1">
        <f>HYPERLINK("https://lsnyc.legalserver.org/matter/dynamic-profile/view/1912196","19-1912196")</f>
        <v>0</v>
      </c>
      <c r="B2740" t="s">
        <v>275</v>
      </c>
      <c r="C2740" t="s">
        <v>559</v>
      </c>
      <c r="E2740" t="s">
        <v>1462</v>
      </c>
      <c r="F2740" t="s">
        <v>5039</v>
      </c>
      <c r="G2740" t="s">
        <v>8229</v>
      </c>
      <c r="H2740">
        <v>7</v>
      </c>
      <c r="I2740" t="s">
        <v>11385</v>
      </c>
      <c r="J2740">
        <v>11238</v>
      </c>
      <c r="K2740" t="s">
        <v>11446</v>
      </c>
      <c r="L2740" t="s">
        <v>12466</v>
      </c>
      <c r="M2740" t="s">
        <v>14744</v>
      </c>
      <c r="N2740" t="s">
        <v>14782</v>
      </c>
      <c r="P2740" t="s">
        <v>14800</v>
      </c>
      <c r="S2740" t="s">
        <v>14827</v>
      </c>
      <c r="U2740" t="s">
        <v>559</v>
      </c>
      <c r="V2740">
        <v>1099.9</v>
      </c>
      <c r="W2740" t="s">
        <v>14859</v>
      </c>
      <c r="X2740" t="s">
        <v>14865</v>
      </c>
      <c r="Z2740" t="s">
        <v>15329</v>
      </c>
      <c r="AB2740" t="s">
        <v>22224</v>
      </c>
      <c r="AC2740">
        <v>0</v>
      </c>
      <c r="AE2740" t="s">
        <v>11459</v>
      </c>
      <c r="AF2740">
        <v>10</v>
      </c>
      <c r="AG2740">
        <v>1</v>
      </c>
      <c r="AH2740">
        <v>0</v>
      </c>
      <c r="AI2740">
        <v>80.06</v>
      </c>
      <c r="AM2740">
        <v>10000</v>
      </c>
      <c r="AS2740">
        <v>0</v>
      </c>
      <c r="AU2740" t="s">
        <v>25235</v>
      </c>
      <c r="AV2740" t="s">
        <v>25335</v>
      </c>
      <c r="AW2740" t="s">
        <v>11447</v>
      </c>
    </row>
    <row r="2741" spans="1:49">
      <c r="A2741" s="1">
        <f>HYPERLINK("https://lsnyc.legalserver.org/matter/dynamic-profile/view/1912264","19-1912264")</f>
        <v>0</v>
      </c>
      <c r="B2741" t="s">
        <v>267</v>
      </c>
      <c r="C2741" t="s">
        <v>559</v>
      </c>
      <c r="E2741" t="s">
        <v>1801</v>
      </c>
      <c r="F2741" t="s">
        <v>3748</v>
      </c>
      <c r="G2741" t="s">
        <v>8230</v>
      </c>
      <c r="H2741" t="s">
        <v>10648</v>
      </c>
      <c r="I2741" t="s">
        <v>11385</v>
      </c>
      <c r="J2741">
        <v>11223</v>
      </c>
      <c r="K2741" t="s">
        <v>11446</v>
      </c>
      <c r="L2741" t="s">
        <v>12467</v>
      </c>
      <c r="M2741" t="s">
        <v>14743</v>
      </c>
      <c r="N2741" t="s">
        <v>14782</v>
      </c>
      <c r="P2741" t="s">
        <v>14800</v>
      </c>
      <c r="S2741" t="s">
        <v>14827</v>
      </c>
      <c r="U2741" t="s">
        <v>559</v>
      </c>
      <c r="V2741">
        <v>950</v>
      </c>
      <c r="W2741" t="s">
        <v>14859</v>
      </c>
      <c r="X2741" t="s">
        <v>14865</v>
      </c>
      <c r="Z2741" t="s">
        <v>17196</v>
      </c>
      <c r="AB2741" t="s">
        <v>22225</v>
      </c>
      <c r="AC2741">
        <v>0</v>
      </c>
      <c r="AF2741">
        <v>4</v>
      </c>
      <c r="AG2741">
        <v>1</v>
      </c>
      <c r="AH2741">
        <v>0</v>
      </c>
      <c r="AI2741">
        <v>124.9</v>
      </c>
      <c r="AL2741" t="s">
        <v>24657</v>
      </c>
      <c r="AM2741">
        <v>15600</v>
      </c>
      <c r="AS2741">
        <v>2.2</v>
      </c>
      <c r="AT2741" t="s">
        <v>472</v>
      </c>
      <c r="AU2741" t="s">
        <v>25235</v>
      </c>
      <c r="AV2741" t="s">
        <v>25335</v>
      </c>
      <c r="AW2741" t="s">
        <v>11447</v>
      </c>
    </row>
    <row r="2742" spans="1:49">
      <c r="A2742" s="1">
        <f>HYPERLINK("https://lsnyc.legalserver.org/matter/dynamic-profile/view/1912759","19-1912759")</f>
        <v>0</v>
      </c>
      <c r="B2742" t="s">
        <v>275</v>
      </c>
      <c r="C2742" t="s">
        <v>578</v>
      </c>
      <c r="E2742" t="s">
        <v>2453</v>
      </c>
      <c r="F2742" t="s">
        <v>3552</v>
      </c>
      <c r="G2742" t="s">
        <v>8231</v>
      </c>
      <c r="H2742" t="s">
        <v>10569</v>
      </c>
      <c r="I2742" t="s">
        <v>11385</v>
      </c>
      <c r="J2742">
        <v>11220</v>
      </c>
      <c r="K2742" t="s">
        <v>11446</v>
      </c>
      <c r="L2742" t="s">
        <v>12468</v>
      </c>
      <c r="M2742" t="s">
        <v>14744</v>
      </c>
      <c r="N2742" t="s">
        <v>14778</v>
      </c>
      <c r="P2742" t="s">
        <v>14800</v>
      </c>
      <c r="S2742" t="s">
        <v>14827</v>
      </c>
      <c r="U2742" t="s">
        <v>578</v>
      </c>
      <c r="V2742">
        <v>0</v>
      </c>
      <c r="W2742" t="s">
        <v>14859</v>
      </c>
      <c r="X2742" t="s">
        <v>14865</v>
      </c>
      <c r="Z2742" t="s">
        <v>17197</v>
      </c>
      <c r="AB2742" t="s">
        <v>22226</v>
      </c>
      <c r="AC2742">
        <v>0</v>
      </c>
      <c r="AF2742">
        <v>0</v>
      </c>
      <c r="AG2742">
        <v>2</v>
      </c>
      <c r="AH2742">
        <v>1</v>
      </c>
      <c r="AI2742">
        <v>60.95</v>
      </c>
      <c r="AL2742" t="s">
        <v>24632</v>
      </c>
      <c r="AM2742">
        <v>13000</v>
      </c>
      <c r="AS2742">
        <v>0.6</v>
      </c>
      <c r="AT2742" t="s">
        <v>578</v>
      </c>
      <c r="AU2742" t="s">
        <v>25235</v>
      </c>
      <c r="AV2742" t="s">
        <v>25335</v>
      </c>
      <c r="AW2742" t="s">
        <v>11447</v>
      </c>
    </row>
    <row r="2743" spans="1:49">
      <c r="A2743" s="1">
        <f>HYPERLINK("https://lsnyc.legalserver.org/matter/dynamic-profile/view/1912685","19-1912685")</f>
        <v>0</v>
      </c>
      <c r="B2743" t="s">
        <v>267</v>
      </c>
      <c r="C2743" t="s">
        <v>578</v>
      </c>
      <c r="E2743" t="s">
        <v>1249</v>
      </c>
      <c r="F2743" t="s">
        <v>4252</v>
      </c>
      <c r="G2743" t="s">
        <v>8232</v>
      </c>
      <c r="H2743" t="s">
        <v>10541</v>
      </c>
      <c r="I2743" t="s">
        <v>11385</v>
      </c>
      <c r="J2743">
        <v>11238</v>
      </c>
      <c r="K2743" t="s">
        <v>11446</v>
      </c>
      <c r="L2743" t="s">
        <v>12469</v>
      </c>
      <c r="M2743" t="s">
        <v>14743</v>
      </c>
      <c r="N2743" t="s">
        <v>14781</v>
      </c>
      <c r="P2743" t="s">
        <v>14800</v>
      </c>
      <c r="S2743" t="s">
        <v>14827</v>
      </c>
      <c r="U2743" t="s">
        <v>578</v>
      </c>
      <c r="V2743">
        <v>0</v>
      </c>
      <c r="W2743" t="s">
        <v>14859</v>
      </c>
      <c r="X2743" t="s">
        <v>14865</v>
      </c>
      <c r="Z2743" t="s">
        <v>17198</v>
      </c>
      <c r="AA2743" t="s">
        <v>19562</v>
      </c>
      <c r="AB2743" t="s">
        <v>22227</v>
      </c>
      <c r="AC2743">
        <v>0</v>
      </c>
      <c r="AF2743">
        <v>0</v>
      </c>
      <c r="AG2743">
        <v>1</v>
      </c>
      <c r="AH2743">
        <v>2</v>
      </c>
      <c r="AI2743">
        <v>65.64</v>
      </c>
      <c r="AL2743" t="s">
        <v>24632</v>
      </c>
      <c r="AM2743">
        <v>14000</v>
      </c>
      <c r="AS2743">
        <v>0.9</v>
      </c>
      <c r="AT2743" t="s">
        <v>574</v>
      </c>
      <c r="AU2743" t="s">
        <v>25285</v>
      </c>
      <c r="AV2743" t="s">
        <v>25335</v>
      </c>
      <c r="AW2743" t="s">
        <v>11447</v>
      </c>
    </row>
    <row r="2744" spans="1:49">
      <c r="A2744" s="1">
        <f>HYPERLINK("https://lsnyc.legalserver.org/matter/dynamic-profile/view/1912891","19-1912891")</f>
        <v>0</v>
      </c>
      <c r="B2744" t="s">
        <v>151</v>
      </c>
      <c r="C2744" t="s">
        <v>574</v>
      </c>
      <c r="E2744" t="s">
        <v>2454</v>
      </c>
      <c r="F2744" t="s">
        <v>3814</v>
      </c>
      <c r="I2744" t="s">
        <v>11385</v>
      </c>
      <c r="J2744">
        <v>11234</v>
      </c>
      <c r="K2744" t="s">
        <v>11446</v>
      </c>
      <c r="L2744" t="s">
        <v>12470</v>
      </c>
      <c r="M2744" t="s">
        <v>14743</v>
      </c>
      <c r="P2744" t="s">
        <v>14800</v>
      </c>
      <c r="S2744" t="s">
        <v>14827</v>
      </c>
      <c r="U2744" t="s">
        <v>574</v>
      </c>
      <c r="V2744">
        <v>0</v>
      </c>
      <c r="W2744" t="s">
        <v>14859</v>
      </c>
      <c r="Z2744" t="s">
        <v>17199</v>
      </c>
      <c r="AB2744" t="s">
        <v>22228</v>
      </c>
      <c r="AC2744">
        <v>0</v>
      </c>
      <c r="AF2744">
        <v>0</v>
      </c>
      <c r="AG2744">
        <v>2</v>
      </c>
      <c r="AH2744">
        <v>4</v>
      </c>
      <c r="AI2744">
        <v>0</v>
      </c>
      <c r="AL2744" t="s">
        <v>5011</v>
      </c>
      <c r="AM2744">
        <v>0</v>
      </c>
      <c r="AS2744">
        <v>0</v>
      </c>
      <c r="AU2744" t="s">
        <v>25275</v>
      </c>
      <c r="AV2744" t="s">
        <v>25335</v>
      </c>
      <c r="AW2744" t="s">
        <v>11447</v>
      </c>
    </row>
    <row r="2745" spans="1:49">
      <c r="A2745" s="1">
        <f>HYPERLINK("https://lsnyc.legalserver.org/matter/dynamic-profile/view/1912760","19-1912760")</f>
        <v>0</v>
      </c>
      <c r="B2745" t="s">
        <v>238</v>
      </c>
      <c r="C2745" t="s">
        <v>574</v>
      </c>
      <c r="E2745" t="s">
        <v>2455</v>
      </c>
      <c r="F2745" t="s">
        <v>3623</v>
      </c>
      <c r="G2745" t="s">
        <v>8233</v>
      </c>
      <c r="H2745" t="s">
        <v>10486</v>
      </c>
      <c r="I2745" t="s">
        <v>11385</v>
      </c>
      <c r="J2745">
        <v>11220</v>
      </c>
      <c r="K2745" t="s">
        <v>11446</v>
      </c>
      <c r="M2745" t="s">
        <v>14746</v>
      </c>
      <c r="P2745" t="s">
        <v>14800</v>
      </c>
      <c r="S2745" t="s">
        <v>14829</v>
      </c>
      <c r="U2745" t="s">
        <v>574</v>
      </c>
      <c r="V2745">
        <v>0</v>
      </c>
      <c r="W2745" t="s">
        <v>14859</v>
      </c>
      <c r="Z2745" t="s">
        <v>17200</v>
      </c>
      <c r="AB2745" t="s">
        <v>22229</v>
      </c>
      <c r="AC2745">
        <v>0</v>
      </c>
      <c r="AF2745">
        <v>0</v>
      </c>
      <c r="AG2745">
        <v>2</v>
      </c>
      <c r="AH2745">
        <v>4</v>
      </c>
      <c r="AI2745">
        <v>41.21</v>
      </c>
      <c r="AL2745" t="s">
        <v>24632</v>
      </c>
      <c r="AM2745">
        <v>14256</v>
      </c>
      <c r="AS2745">
        <v>0</v>
      </c>
      <c r="AU2745" t="s">
        <v>25275</v>
      </c>
      <c r="AV2745" t="s">
        <v>25335</v>
      </c>
      <c r="AW2745" t="s">
        <v>11447</v>
      </c>
    </row>
    <row r="2746" spans="1:49">
      <c r="A2746" s="1">
        <f>HYPERLINK("https://lsnyc.legalserver.org/matter/dynamic-profile/view/1912899","19-1912899")</f>
        <v>0</v>
      </c>
      <c r="B2746" t="s">
        <v>275</v>
      </c>
      <c r="C2746" t="s">
        <v>574</v>
      </c>
      <c r="E2746" t="s">
        <v>2456</v>
      </c>
      <c r="F2746" t="s">
        <v>5040</v>
      </c>
      <c r="G2746" t="s">
        <v>8220</v>
      </c>
      <c r="H2746" t="s">
        <v>10509</v>
      </c>
      <c r="I2746" t="s">
        <v>11385</v>
      </c>
      <c r="J2746">
        <v>11213</v>
      </c>
      <c r="K2746" t="s">
        <v>11446</v>
      </c>
      <c r="L2746" t="s">
        <v>12471</v>
      </c>
      <c r="M2746" t="s">
        <v>14744</v>
      </c>
      <c r="N2746" t="s">
        <v>14778</v>
      </c>
      <c r="P2746" t="s">
        <v>14800</v>
      </c>
      <c r="S2746" t="s">
        <v>14828</v>
      </c>
      <c r="U2746" t="s">
        <v>574</v>
      </c>
      <c r="V2746">
        <v>452</v>
      </c>
      <c r="W2746" t="s">
        <v>14859</v>
      </c>
      <c r="Z2746" t="s">
        <v>17201</v>
      </c>
      <c r="AA2746" t="s">
        <v>19563</v>
      </c>
      <c r="AB2746" t="s">
        <v>22230</v>
      </c>
      <c r="AC2746">
        <v>0</v>
      </c>
      <c r="AF2746">
        <v>0</v>
      </c>
      <c r="AG2746">
        <v>2</v>
      </c>
      <c r="AH2746">
        <v>3</v>
      </c>
      <c r="AI2746">
        <v>48.42</v>
      </c>
      <c r="AL2746" t="s">
        <v>5011</v>
      </c>
      <c r="AM2746">
        <v>14608</v>
      </c>
      <c r="AS2746">
        <v>0</v>
      </c>
      <c r="AU2746" t="s">
        <v>25277</v>
      </c>
      <c r="AV2746" t="s">
        <v>25335</v>
      </c>
      <c r="AW2746" t="s">
        <v>11447</v>
      </c>
    </row>
    <row r="2747" spans="1:49">
      <c r="A2747" s="1">
        <f>HYPERLINK("https://lsnyc.legalserver.org/matter/dynamic-profile/view/1912984","19-1912984")</f>
        <v>0</v>
      </c>
      <c r="B2747" t="s">
        <v>106</v>
      </c>
      <c r="C2747" t="s">
        <v>574</v>
      </c>
      <c r="E2747" t="s">
        <v>2457</v>
      </c>
      <c r="F2747" t="s">
        <v>5041</v>
      </c>
      <c r="G2747" t="s">
        <v>8221</v>
      </c>
      <c r="H2747" t="s">
        <v>10868</v>
      </c>
      <c r="I2747" t="s">
        <v>11385</v>
      </c>
      <c r="J2747">
        <v>11230</v>
      </c>
      <c r="K2747" t="s">
        <v>11446</v>
      </c>
      <c r="L2747" t="s">
        <v>12457</v>
      </c>
      <c r="M2747" t="s">
        <v>14743</v>
      </c>
      <c r="N2747" t="s">
        <v>14778</v>
      </c>
      <c r="P2747" t="s">
        <v>14800</v>
      </c>
      <c r="S2747" t="s">
        <v>14827</v>
      </c>
      <c r="U2747" t="s">
        <v>574</v>
      </c>
      <c r="V2747">
        <v>0</v>
      </c>
      <c r="W2747" t="s">
        <v>14859</v>
      </c>
      <c r="Z2747" t="s">
        <v>17202</v>
      </c>
      <c r="AB2747" t="s">
        <v>22231</v>
      </c>
      <c r="AC2747">
        <v>0</v>
      </c>
      <c r="AF2747">
        <v>0</v>
      </c>
      <c r="AG2747">
        <v>4</v>
      </c>
      <c r="AH2747">
        <v>2</v>
      </c>
      <c r="AI2747">
        <v>64.19</v>
      </c>
      <c r="AL2747" t="s">
        <v>5011</v>
      </c>
      <c r="AM2747">
        <v>22204</v>
      </c>
      <c r="AS2747">
        <v>3.05</v>
      </c>
      <c r="AT2747" t="s">
        <v>491</v>
      </c>
      <c r="AU2747" t="s">
        <v>25277</v>
      </c>
      <c r="AV2747" t="s">
        <v>25335</v>
      </c>
      <c r="AW2747" t="s">
        <v>11447</v>
      </c>
    </row>
    <row r="2748" spans="1:49">
      <c r="A2748" s="1">
        <f>HYPERLINK("https://lsnyc.legalserver.org/matter/dynamic-profile/view/1908162","19-1908162")</f>
        <v>0</v>
      </c>
      <c r="B2748" t="s">
        <v>61</v>
      </c>
      <c r="C2748" t="s">
        <v>372</v>
      </c>
      <c r="E2748" t="s">
        <v>1399</v>
      </c>
      <c r="F2748" t="s">
        <v>4230</v>
      </c>
      <c r="G2748" t="s">
        <v>8234</v>
      </c>
      <c r="H2748" t="s">
        <v>10575</v>
      </c>
      <c r="I2748" t="s">
        <v>11385</v>
      </c>
      <c r="J2748">
        <v>11221</v>
      </c>
      <c r="K2748" t="s">
        <v>11446</v>
      </c>
      <c r="M2748" t="s">
        <v>14761</v>
      </c>
      <c r="N2748" t="s">
        <v>14780</v>
      </c>
      <c r="P2748" t="s">
        <v>14800</v>
      </c>
      <c r="Q2748" t="s">
        <v>11446</v>
      </c>
      <c r="R2748" t="s">
        <v>14820</v>
      </c>
      <c r="S2748" t="s">
        <v>14828</v>
      </c>
      <c r="T2748" t="s">
        <v>14832</v>
      </c>
      <c r="U2748" t="s">
        <v>571</v>
      </c>
      <c r="V2748">
        <v>428</v>
      </c>
      <c r="W2748" t="s">
        <v>14859</v>
      </c>
      <c r="X2748" t="s">
        <v>14868</v>
      </c>
      <c r="Y2748" t="s">
        <v>14885</v>
      </c>
      <c r="Z2748" t="s">
        <v>17203</v>
      </c>
      <c r="AB2748" t="s">
        <v>22232</v>
      </c>
      <c r="AC2748">
        <v>94</v>
      </c>
      <c r="AD2748" t="s">
        <v>24597</v>
      </c>
      <c r="AE2748" t="s">
        <v>11459</v>
      </c>
      <c r="AF2748">
        <v>46</v>
      </c>
      <c r="AG2748">
        <v>2</v>
      </c>
      <c r="AH2748">
        <v>1</v>
      </c>
      <c r="AI2748">
        <v>87.43000000000001</v>
      </c>
      <c r="AL2748" t="s">
        <v>5011</v>
      </c>
      <c r="AM2748">
        <v>18648</v>
      </c>
      <c r="AS2748">
        <v>3.05</v>
      </c>
      <c r="AT2748" t="s">
        <v>476</v>
      </c>
      <c r="AU2748" t="s">
        <v>25235</v>
      </c>
      <c r="AV2748" t="s">
        <v>25335</v>
      </c>
      <c r="AW2748" t="s">
        <v>11447</v>
      </c>
    </row>
    <row r="2749" spans="1:49">
      <c r="A2749" s="1">
        <f>HYPERLINK("https://lsnyc.legalserver.org/matter/dynamic-profile/view/1913230","19-1913230")</f>
        <v>0</v>
      </c>
      <c r="B2749" t="s">
        <v>152</v>
      </c>
      <c r="C2749" t="s">
        <v>515</v>
      </c>
      <c r="E2749" t="s">
        <v>2458</v>
      </c>
      <c r="F2749" t="s">
        <v>5042</v>
      </c>
      <c r="G2749" t="s">
        <v>8235</v>
      </c>
      <c r="H2749" t="s">
        <v>10464</v>
      </c>
      <c r="I2749" t="s">
        <v>11385</v>
      </c>
      <c r="J2749">
        <v>11217</v>
      </c>
      <c r="K2749" t="s">
        <v>11446</v>
      </c>
      <c r="L2749" t="s">
        <v>12472</v>
      </c>
      <c r="M2749" t="s">
        <v>14743</v>
      </c>
      <c r="N2749" t="s">
        <v>14782</v>
      </c>
      <c r="P2749" t="s">
        <v>14800</v>
      </c>
      <c r="S2749" t="s">
        <v>14827</v>
      </c>
      <c r="U2749" t="s">
        <v>483</v>
      </c>
      <c r="V2749">
        <v>0</v>
      </c>
      <c r="W2749" t="s">
        <v>14859</v>
      </c>
      <c r="X2749" t="s">
        <v>14865</v>
      </c>
      <c r="Z2749" t="s">
        <v>16016</v>
      </c>
      <c r="AB2749" t="s">
        <v>22233</v>
      </c>
      <c r="AC2749">
        <v>0</v>
      </c>
      <c r="AE2749" t="s">
        <v>24616</v>
      </c>
      <c r="AF2749">
        <v>0</v>
      </c>
      <c r="AG2749">
        <v>1</v>
      </c>
      <c r="AH2749">
        <v>4</v>
      </c>
      <c r="AI2749">
        <v>26.63</v>
      </c>
      <c r="AL2749" t="s">
        <v>5011</v>
      </c>
      <c r="AM2749">
        <v>8034</v>
      </c>
      <c r="AS2749">
        <v>0.9</v>
      </c>
      <c r="AT2749" t="s">
        <v>537</v>
      </c>
      <c r="AU2749" t="s">
        <v>25235</v>
      </c>
      <c r="AV2749" t="s">
        <v>25335</v>
      </c>
      <c r="AW2749" t="s">
        <v>11447</v>
      </c>
    </row>
    <row r="2750" spans="1:49">
      <c r="A2750" s="1">
        <f>HYPERLINK("https://lsnyc.legalserver.org/matter/dynamic-profile/view/1911823","19-1911823")</f>
        <v>0</v>
      </c>
      <c r="B2750" t="s">
        <v>146</v>
      </c>
      <c r="C2750" t="s">
        <v>645</v>
      </c>
      <c r="E2750" t="s">
        <v>2459</v>
      </c>
      <c r="F2750" t="s">
        <v>1265</v>
      </c>
      <c r="G2750" t="s">
        <v>8236</v>
      </c>
      <c r="H2750" t="s">
        <v>10850</v>
      </c>
      <c r="I2750" t="s">
        <v>11385</v>
      </c>
      <c r="J2750">
        <v>11208</v>
      </c>
      <c r="K2750" t="s">
        <v>11446</v>
      </c>
      <c r="M2750" t="s">
        <v>14750</v>
      </c>
      <c r="P2750" t="s">
        <v>14800</v>
      </c>
      <c r="Q2750" t="s">
        <v>11448</v>
      </c>
      <c r="S2750" t="s">
        <v>14828</v>
      </c>
      <c r="U2750" t="s">
        <v>484</v>
      </c>
      <c r="V2750">
        <v>0</v>
      </c>
      <c r="W2750" t="s">
        <v>14859</v>
      </c>
      <c r="X2750" t="s">
        <v>14865</v>
      </c>
      <c r="Z2750" t="s">
        <v>17204</v>
      </c>
      <c r="AB2750" t="s">
        <v>22234</v>
      </c>
      <c r="AC2750">
        <v>0</v>
      </c>
      <c r="AD2750" t="s">
        <v>24597</v>
      </c>
      <c r="AF2750">
        <v>0</v>
      </c>
      <c r="AG2750">
        <v>2</v>
      </c>
      <c r="AH2750">
        <v>0</v>
      </c>
      <c r="AI2750">
        <v>35.48</v>
      </c>
      <c r="AL2750" t="s">
        <v>5011</v>
      </c>
      <c r="AM2750">
        <v>6000</v>
      </c>
      <c r="AS2750">
        <v>9.5</v>
      </c>
      <c r="AT2750" t="s">
        <v>592</v>
      </c>
      <c r="AU2750" t="s">
        <v>145</v>
      </c>
      <c r="AV2750" t="s">
        <v>25335</v>
      </c>
      <c r="AW2750" t="s">
        <v>11447</v>
      </c>
    </row>
    <row r="2751" spans="1:49">
      <c r="A2751" s="1">
        <f>HYPERLINK("https://lsnyc.legalserver.org/matter/dynamic-profile/view/1911817","19-1911817")</f>
        <v>0</v>
      </c>
      <c r="B2751" t="s">
        <v>286</v>
      </c>
      <c r="C2751" t="s">
        <v>645</v>
      </c>
      <c r="E2751" t="s">
        <v>1329</v>
      </c>
      <c r="F2751" t="s">
        <v>3799</v>
      </c>
      <c r="G2751" t="s">
        <v>8237</v>
      </c>
      <c r="H2751" t="s">
        <v>10541</v>
      </c>
      <c r="I2751" t="s">
        <v>11385</v>
      </c>
      <c r="J2751">
        <v>11206</v>
      </c>
      <c r="K2751" t="s">
        <v>11446</v>
      </c>
      <c r="M2751" t="s">
        <v>14750</v>
      </c>
      <c r="P2751" t="s">
        <v>14800</v>
      </c>
      <c r="Q2751" t="s">
        <v>11448</v>
      </c>
      <c r="S2751" t="s">
        <v>14828</v>
      </c>
      <c r="U2751" t="s">
        <v>484</v>
      </c>
      <c r="V2751">
        <v>0</v>
      </c>
      <c r="W2751" t="s">
        <v>14859</v>
      </c>
      <c r="Z2751" t="s">
        <v>16531</v>
      </c>
      <c r="AB2751" t="s">
        <v>22235</v>
      </c>
      <c r="AC2751">
        <v>0</v>
      </c>
      <c r="AD2751" t="s">
        <v>24597</v>
      </c>
      <c r="AF2751">
        <v>0</v>
      </c>
      <c r="AG2751">
        <v>2</v>
      </c>
      <c r="AH2751">
        <v>0</v>
      </c>
      <c r="AI2751">
        <v>49.67</v>
      </c>
      <c r="AL2751" t="s">
        <v>5011</v>
      </c>
      <c r="AM2751">
        <v>8400</v>
      </c>
      <c r="AS2751">
        <v>25.8</v>
      </c>
      <c r="AT2751" t="s">
        <v>495</v>
      </c>
      <c r="AU2751" t="s">
        <v>145</v>
      </c>
      <c r="AV2751" t="s">
        <v>25335</v>
      </c>
      <c r="AW2751" t="s">
        <v>11447</v>
      </c>
    </row>
    <row r="2752" spans="1:49">
      <c r="A2752" s="1">
        <f>HYPERLINK("https://lsnyc.legalserver.org/matter/dynamic-profile/view/1911726","19-1911726")</f>
        <v>0</v>
      </c>
      <c r="B2752" t="s">
        <v>283</v>
      </c>
      <c r="C2752" t="s">
        <v>505</v>
      </c>
      <c r="E2752" t="s">
        <v>1390</v>
      </c>
      <c r="F2752" t="s">
        <v>2515</v>
      </c>
      <c r="G2752" t="s">
        <v>8238</v>
      </c>
      <c r="H2752" t="s">
        <v>11043</v>
      </c>
      <c r="I2752" t="s">
        <v>11385</v>
      </c>
      <c r="J2752">
        <v>11205</v>
      </c>
      <c r="K2752" t="s">
        <v>11446</v>
      </c>
      <c r="M2752" t="s">
        <v>14750</v>
      </c>
      <c r="N2752" t="s">
        <v>14783</v>
      </c>
      <c r="P2752" t="s">
        <v>14800</v>
      </c>
      <c r="Q2752" t="s">
        <v>11448</v>
      </c>
      <c r="S2752" t="s">
        <v>14828</v>
      </c>
      <c r="U2752" t="s">
        <v>484</v>
      </c>
      <c r="V2752">
        <v>0</v>
      </c>
      <c r="W2752" t="s">
        <v>14859</v>
      </c>
      <c r="X2752" t="s">
        <v>14865</v>
      </c>
      <c r="Z2752" t="s">
        <v>17205</v>
      </c>
      <c r="AB2752" t="s">
        <v>22236</v>
      </c>
      <c r="AC2752">
        <v>0</v>
      </c>
      <c r="AF2752">
        <v>0</v>
      </c>
      <c r="AG2752">
        <v>2</v>
      </c>
      <c r="AH2752">
        <v>0</v>
      </c>
      <c r="AI2752">
        <v>54.71</v>
      </c>
      <c r="AL2752" t="s">
        <v>5011</v>
      </c>
      <c r="AM2752">
        <v>9252</v>
      </c>
      <c r="AS2752">
        <v>6.2</v>
      </c>
      <c r="AT2752" t="s">
        <v>495</v>
      </c>
      <c r="AU2752" t="s">
        <v>145</v>
      </c>
      <c r="AV2752" t="s">
        <v>25335</v>
      </c>
      <c r="AW2752" t="s">
        <v>11447</v>
      </c>
    </row>
    <row r="2753" spans="1:49">
      <c r="A2753" s="1">
        <f>HYPERLINK("https://lsnyc.legalserver.org/matter/dynamic-profile/view/1911860","19-1911860")</f>
        <v>0</v>
      </c>
      <c r="B2753" t="s">
        <v>278</v>
      </c>
      <c r="C2753" t="s">
        <v>645</v>
      </c>
      <c r="E2753" t="s">
        <v>2460</v>
      </c>
      <c r="F2753" t="s">
        <v>5043</v>
      </c>
      <c r="I2753" t="s">
        <v>11385</v>
      </c>
      <c r="J2753">
        <v>11201</v>
      </c>
      <c r="K2753" t="s">
        <v>11446</v>
      </c>
      <c r="M2753" t="s">
        <v>14750</v>
      </c>
      <c r="P2753" t="s">
        <v>14800</v>
      </c>
      <c r="Q2753" t="s">
        <v>11448</v>
      </c>
      <c r="S2753" t="s">
        <v>14828</v>
      </c>
      <c r="U2753" t="s">
        <v>484</v>
      </c>
      <c r="V2753">
        <v>0</v>
      </c>
      <c r="W2753" t="s">
        <v>14859</v>
      </c>
      <c r="X2753" t="s">
        <v>14865</v>
      </c>
      <c r="Z2753" t="s">
        <v>17206</v>
      </c>
      <c r="AB2753" t="s">
        <v>22237</v>
      </c>
      <c r="AC2753">
        <v>0</v>
      </c>
      <c r="AD2753" t="s">
        <v>24597</v>
      </c>
      <c r="AF2753">
        <v>0</v>
      </c>
      <c r="AG2753">
        <v>2</v>
      </c>
      <c r="AH2753">
        <v>0</v>
      </c>
      <c r="AI2753">
        <v>56.56</v>
      </c>
      <c r="AL2753" t="s">
        <v>24632</v>
      </c>
      <c r="AM2753">
        <v>9564</v>
      </c>
      <c r="AS2753">
        <v>0</v>
      </c>
      <c r="AU2753" t="s">
        <v>145</v>
      </c>
      <c r="AV2753" t="s">
        <v>25335</v>
      </c>
      <c r="AW2753" t="s">
        <v>11447</v>
      </c>
    </row>
    <row r="2754" spans="1:49">
      <c r="A2754" s="1">
        <f>HYPERLINK("https://lsnyc.legalserver.org/matter/dynamic-profile/view/1911858","19-1911858")</f>
        <v>0</v>
      </c>
      <c r="B2754" t="s">
        <v>127</v>
      </c>
      <c r="C2754" t="s">
        <v>645</v>
      </c>
      <c r="E2754" t="s">
        <v>1218</v>
      </c>
      <c r="F2754" t="s">
        <v>5044</v>
      </c>
      <c r="G2754" t="s">
        <v>8239</v>
      </c>
      <c r="H2754" t="s">
        <v>11044</v>
      </c>
      <c r="I2754" t="s">
        <v>11385</v>
      </c>
      <c r="J2754">
        <v>11212</v>
      </c>
      <c r="K2754" t="s">
        <v>11446</v>
      </c>
      <c r="M2754" t="s">
        <v>14750</v>
      </c>
      <c r="N2754" t="s">
        <v>14783</v>
      </c>
      <c r="P2754" t="s">
        <v>14800</v>
      </c>
      <c r="Q2754" t="s">
        <v>11448</v>
      </c>
      <c r="S2754" t="s">
        <v>14828</v>
      </c>
      <c r="U2754" t="s">
        <v>484</v>
      </c>
      <c r="V2754">
        <v>0</v>
      </c>
      <c r="W2754" t="s">
        <v>14859</v>
      </c>
      <c r="X2754" t="s">
        <v>14865</v>
      </c>
      <c r="Z2754" t="s">
        <v>17207</v>
      </c>
      <c r="AB2754" t="s">
        <v>22238</v>
      </c>
      <c r="AC2754">
        <v>0</v>
      </c>
      <c r="AD2754" t="s">
        <v>24597</v>
      </c>
      <c r="AF2754">
        <v>50</v>
      </c>
      <c r="AG2754">
        <v>2</v>
      </c>
      <c r="AH2754">
        <v>2</v>
      </c>
      <c r="AI2754">
        <v>65.37</v>
      </c>
      <c r="AL2754" t="s">
        <v>5011</v>
      </c>
      <c r="AM2754">
        <v>16832</v>
      </c>
      <c r="AS2754">
        <v>4.4</v>
      </c>
      <c r="AT2754" t="s">
        <v>580</v>
      </c>
      <c r="AU2754" t="s">
        <v>145</v>
      </c>
      <c r="AV2754" t="s">
        <v>25335</v>
      </c>
      <c r="AW2754" t="s">
        <v>11447</v>
      </c>
    </row>
    <row r="2755" spans="1:49">
      <c r="A2755" s="1">
        <f>HYPERLINK("https://lsnyc.legalserver.org/matter/dynamic-profile/view/1911812","19-1911812")</f>
        <v>0</v>
      </c>
      <c r="B2755" t="s">
        <v>133</v>
      </c>
      <c r="C2755" t="s">
        <v>645</v>
      </c>
      <c r="E2755" t="s">
        <v>2461</v>
      </c>
      <c r="F2755" t="s">
        <v>3580</v>
      </c>
      <c r="G2755" t="s">
        <v>7916</v>
      </c>
      <c r="H2755" t="s">
        <v>10557</v>
      </c>
      <c r="I2755" t="s">
        <v>11385</v>
      </c>
      <c r="J2755">
        <v>11213</v>
      </c>
      <c r="K2755" t="s">
        <v>11446</v>
      </c>
      <c r="M2755" t="s">
        <v>14750</v>
      </c>
      <c r="N2755" t="s">
        <v>14783</v>
      </c>
      <c r="P2755" t="s">
        <v>14800</v>
      </c>
      <c r="Q2755" t="s">
        <v>11448</v>
      </c>
      <c r="S2755" t="s">
        <v>14828</v>
      </c>
      <c r="T2755" t="s">
        <v>14835</v>
      </c>
      <c r="U2755" t="s">
        <v>484</v>
      </c>
      <c r="V2755">
        <v>275</v>
      </c>
      <c r="W2755" t="s">
        <v>14859</v>
      </c>
      <c r="Z2755" t="s">
        <v>17208</v>
      </c>
      <c r="AC2755">
        <v>0</v>
      </c>
      <c r="AD2755" t="s">
        <v>24597</v>
      </c>
      <c r="AF2755">
        <v>30</v>
      </c>
      <c r="AG2755">
        <v>1</v>
      </c>
      <c r="AH2755">
        <v>0</v>
      </c>
      <c r="AI2755">
        <v>67.25</v>
      </c>
      <c r="AL2755" t="s">
        <v>5011</v>
      </c>
      <c r="AM2755">
        <v>8400</v>
      </c>
      <c r="AS2755">
        <v>0.3</v>
      </c>
      <c r="AT2755" t="s">
        <v>539</v>
      </c>
      <c r="AU2755" t="s">
        <v>145</v>
      </c>
      <c r="AV2755" t="s">
        <v>25335</v>
      </c>
      <c r="AW2755" t="s">
        <v>11447</v>
      </c>
    </row>
    <row r="2756" spans="1:49">
      <c r="A2756" s="1">
        <f>HYPERLINK("https://lsnyc.legalserver.org/matter/dynamic-profile/view/1913677","19-1913677")</f>
        <v>0</v>
      </c>
      <c r="B2756" t="s">
        <v>278</v>
      </c>
      <c r="C2756" t="s">
        <v>476</v>
      </c>
      <c r="E2756" t="s">
        <v>1359</v>
      </c>
      <c r="F2756" t="s">
        <v>5045</v>
      </c>
      <c r="G2756" t="s">
        <v>8240</v>
      </c>
      <c r="H2756">
        <v>2</v>
      </c>
      <c r="I2756" t="s">
        <v>11385</v>
      </c>
      <c r="J2756">
        <v>11210</v>
      </c>
      <c r="K2756" t="s">
        <v>11446</v>
      </c>
      <c r="L2756" t="s">
        <v>12473</v>
      </c>
      <c r="M2756" t="s">
        <v>14743</v>
      </c>
      <c r="P2756" t="s">
        <v>14800</v>
      </c>
      <c r="Q2756" t="s">
        <v>11448</v>
      </c>
      <c r="S2756" t="s">
        <v>14827</v>
      </c>
      <c r="U2756" t="s">
        <v>476</v>
      </c>
      <c r="V2756">
        <v>0</v>
      </c>
      <c r="W2756" t="s">
        <v>14859</v>
      </c>
      <c r="X2756" t="s">
        <v>14865</v>
      </c>
      <c r="Z2756" t="s">
        <v>17209</v>
      </c>
      <c r="AB2756" t="s">
        <v>22239</v>
      </c>
      <c r="AC2756">
        <v>0</v>
      </c>
      <c r="AF2756">
        <v>0</v>
      </c>
      <c r="AG2756">
        <v>1</v>
      </c>
      <c r="AH2756">
        <v>0</v>
      </c>
      <c r="AI2756">
        <v>37.26</v>
      </c>
      <c r="AL2756" t="s">
        <v>5011</v>
      </c>
      <c r="AM2756">
        <v>4654</v>
      </c>
      <c r="AS2756">
        <v>0</v>
      </c>
      <c r="AU2756" t="s">
        <v>25285</v>
      </c>
      <c r="AV2756" t="s">
        <v>25335</v>
      </c>
      <c r="AW2756" t="s">
        <v>11447</v>
      </c>
    </row>
    <row r="2757" spans="1:49">
      <c r="A2757" s="1">
        <f>HYPERLINK("https://lsnyc.legalserver.org/matter/dynamic-profile/view/1913684","19-1913684")</f>
        <v>0</v>
      </c>
      <c r="B2757" t="s">
        <v>151</v>
      </c>
      <c r="C2757" t="s">
        <v>476</v>
      </c>
      <c r="E2757" t="s">
        <v>2462</v>
      </c>
      <c r="F2757" t="s">
        <v>5046</v>
      </c>
      <c r="G2757" t="s">
        <v>8241</v>
      </c>
      <c r="H2757" t="s">
        <v>10522</v>
      </c>
      <c r="I2757" t="s">
        <v>11385</v>
      </c>
      <c r="J2757">
        <v>11238</v>
      </c>
      <c r="K2757" t="s">
        <v>11446</v>
      </c>
      <c r="L2757" t="s">
        <v>12474</v>
      </c>
      <c r="M2757" t="s">
        <v>14744</v>
      </c>
      <c r="N2757" t="s">
        <v>14782</v>
      </c>
      <c r="P2757" t="s">
        <v>14800</v>
      </c>
      <c r="Q2757" t="s">
        <v>11448</v>
      </c>
      <c r="S2757" t="s">
        <v>14827</v>
      </c>
      <c r="U2757" t="s">
        <v>476</v>
      </c>
      <c r="V2757">
        <v>1000</v>
      </c>
      <c r="W2757" t="s">
        <v>14859</v>
      </c>
      <c r="X2757" t="s">
        <v>14755</v>
      </c>
      <c r="Z2757" t="s">
        <v>17210</v>
      </c>
      <c r="AA2757" t="s">
        <v>11459</v>
      </c>
      <c r="AB2757" t="s">
        <v>22240</v>
      </c>
      <c r="AC2757">
        <v>8</v>
      </c>
      <c r="AD2757" t="s">
        <v>24595</v>
      </c>
      <c r="AE2757" t="s">
        <v>11459</v>
      </c>
      <c r="AF2757">
        <v>8</v>
      </c>
      <c r="AG2757">
        <v>2</v>
      </c>
      <c r="AH2757">
        <v>1</v>
      </c>
      <c r="AI2757">
        <v>112.52</v>
      </c>
      <c r="AL2757" t="s">
        <v>5011</v>
      </c>
      <c r="AM2757">
        <v>24000</v>
      </c>
      <c r="AS2757">
        <v>0.1</v>
      </c>
      <c r="AT2757" t="s">
        <v>490</v>
      </c>
      <c r="AU2757" t="s">
        <v>120</v>
      </c>
      <c r="AV2757" t="s">
        <v>25335</v>
      </c>
      <c r="AW2757" t="s">
        <v>11447</v>
      </c>
    </row>
    <row r="2758" spans="1:49">
      <c r="A2758" s="1">
        <f>HYPERLINK("https://lsnyc.legalserver.org/matter/dynamic-profile/view/1913734","19-1913734")</f>
        <v>0</v>
      </c>
      <c r="B2758" t="s">
        <v>240</v>
      </c>
      <c r="C2758" t="s">
        <v>476</v>
      </c>
      <c r="E2758" t="s">
        <v>2463</v>
      </c>
      <c r="F2758" t="s">
        <v>5047</v>
      </c>
      <c r="G2758" t="s">
        <v>8242</v>
      </c>
      <c r="H2758" t="s">
        <v>11039</v>
      </c>
      <c r="I2758" t="s">
        <v>11385</v>
      </c>
      <c r="J2758">
        <v>11236</v>
      </c>
      <c r="K2758" t="s">
        <v>11446</v>
      </c>
      <c r="L2758" t="s">
        <v>12475</v>
      </c>
      <c r="M2758" t="s">
        <v>14744</v>
      </c>
      <c r="N2758" t="s">
        <v>14781</v>
      </c>
      <c r="P2758" t="s">
        <v>14800</v>
      </c>
      <c r="S2758" t="s">
        <v>14827</v>
      </c>
      <c r="U2758" t="s">
        <v>476</v>
      </c>
      <c r="V2758">
        <v>0</v>
      </c>
      <c r="W2758" t="s">
        <v>14859</v>
      </c>
      <c r="X2758" t="s">
        <v>14868</v>
      </c>
      <c r="Z2758" t="s">
        <v>17211</v>
      </c>
      <c r="AB2758" t="s">
        <v>22241</v>
      </c>
      <c r="AC2758">
        <v>0</v>
      </c>
      <c r="AF2758">
        <v>0</v>
      </c>
      <c r="AG2758">
        <v>3</v>
      </c>
      <c r="AH2758">
        <v>0</v>
      </c>
      <c r="AI2758">
        <v>117.21</v>
      </c>
      <c r="AL2758" t="s">
        <v>5011</v>
      </c>
      <c r="AM2758">
        <v>25000</v>
      </c>
      <c r="AS2758">
        <v>3.5</v>
      </c>
      <c r="AT2758" t="s">
        <v>580</v>
      </c>
      <c r="AU2758" t="s">
        <v>25230</v>
      </c>
      <c r="AV2758" t="s">
        <v>25335</v>
      </c>
      <c r="AW2758" t="s">
        <v>11447</v>
      </c>
    </row>
    <row r="2759" spans="1:49">
      <c r="A2759" s="1">
        <f>HYPERLINK("https://lsnyc.legalserver.org/matter/dynamic-profile/view/1913843","19-1913843")</f>
        <v>0</v>
      </c>
      <c r="B2759" t="s">
        <v>238</v>
      </c>
      <c r="C2759" t="s">
        <v>533</v>
      </c>
      <c r="E2759" t="s">
        <v>2464</v>
      </c>
      <c r="F2759" t="s">
        <v>1395</v>
      </c>
      <c r="G2759" t="s">
        <v>8243</v>
      </c>
      <c r="H2759" t="s">
        <v>10501</v>
      </c>
      <c r="I2759" t="s">
        <v>11385</v>
      </c>
      <c r="J2759">
        <v>11236</v>
      </c>
      <c r="K2759" t="s">
        <v>11446</v>
      </c>
      <c r="L2759" t="s">
        <v>12476</v>
      </c>
      <c r="M2759" t="s">
        <v>14743</v>
      </c>
      <c r="N2759" t="s">
        <v>14778</v>
      </c>
      <c r="P2759" t="s">
        <v>14800</v>
      </c>
      <c r="Q2759" t="s">
        <v>11448</v>
      </c>
      <c r="S2759" t="s">
        <v>14827</v>
      </c>
      <c r="U2759" t="s">
        <v>533</v>
      </c>
      <c r="V2759">
        <v>0</v>
      </c>
      <c r="W2759" t="s">
        <v>14859</v>
      </c>
      <c r="X2759" t="s">
        <v>14865</v>
      </c>
      <c r="Z2759" t="s">
        <v>17212</v>
      </c>
      <c r="AB2759" t="s">
        <v>22242</v>
      </c>
      <c r="AC2759">
        <v>0</v>
      </c>
      <c r="AF2759">
        <v>0</v>
      </c>
      <c r="AG2759">
        <v>2</v>
      </c>
      <c r="AH2759">
        <v>0</v>
      </c>
      <c r="AI2759">
        <v>11.99</v>
      </c>
      <c r="AL2759" t="s">
        <v>5011</v>
      </c>
      <c r="AM2759">
        <v>2028</v>
      </c>
      <c r="AS2759">
        <v>0.1</v>
      </c>
      <c r="AT2759" t="s">
        <v>537</v>
      </c>
      <c r="AU2759" t="s">
        <v>25285</v>
      </c>
      <c r="AV2759" t="s">
        <v>25335</v>
      </c>
      <c r="AW2759" t="s">
        <v>11447</v>
      </c>
    </row>
    <row r="2760" spans="1:49">
      <c r="A2760" s="1">
        <f>HYPERLINK("https://lsnyc.legalserver.org/matter/dynamic-profile/view/1913781","19-1913781")</f>
        <v>0</v>
      </c>
      <c r="B2760" t="s">
        <v>238</v>
      </c>
      <c r="C2760" t="s">
        <v>533</v>
      </c>
      <c r="E2760" t="s">
        <v>1739</v>
      </c>
      <c r="F2760" t="s">
        <v>4828</v>
      </c>
      <c r="G2760" t="s">
        <v>8244</v>
      </c>
      <c r="H2760" t="s">
        <v>10569</v>
      </c>
      <c r="I2760" t="s">
        <v>11385</v>
      </c>
      <c r="J2760">
        <v>11233</v>
      </c>
      <c r="K2760" t="s">
        <v>11446</v>
      </c>
      <c r="L2760" t="s">
        <v>12477</v>
      </c>
      <c r="M2760" t="s">
        <v>14750</v>
      </c>
      <c r="N2760" t="s">
        <v>14783</v>
      </c>
      <c r="P2760" t="s">
        <v>14800</v>
      </c>
      <c r="Q2760" t="s">
        <v>11448</v>
      </c>
      <c r="S2760" t="s">
        <v>14828</v>
      </c>
      <c r="U2760" t="s">
        <v>533</v>
      </c>
      <c r="V2760">
        <v>254</v>
      </c>
      <c r="W2760" t="s">
        <v>14859</v>
      </c>
      <c r="Z2760" t="s">
        <v>17213</v>
      </c>
      <c r="AB2760" t="s">
        <v>22243</v>
      </c>
      <c r="AC2760">
        <v>0</v>
      </c>
      <c r="AF2760">
        <v>22</v>
      </c>
      <c r="AG2760">
        <v>1</v>
      </c>
      <c r="AH2760">
        <v>0</v>
      </c>
      <c r="AI2760">
        <v>81.67</v>
      </c>
      <c r="AL2760" t="s">
        <v>5011</v>
      </c>
      <c r="AM2760">
        <v>10200</v>
      </c>
      <c r="AS2760">
        <v>0.5</v>
      </c>
      <c r="AT2760" t="s">
        <v>537</v>
      </c>
      <c r="AU2760" t="s">
        <v>221</v>
      </c>
      <c r="AW2760" t="s">
        <v>11447</v>
      </c>
    </row>
    <row r="2761" spans="1:49">
      <c r="A2761" s="1">
        <f>HYPERLINK("https://lsnyc.legalserver.org/matter/dynamic-profile/view/1913970","19-1913970")</f>
        <v>0</v>
      </c>
      <c r="B2761" t="s">
        <v>262</v>
      </c>
      <c r="C2761" t="s">
        <v>490</v>
      </c>
      <c r="E2761" t="s">
        <v>1243</v>
      </c>
      <c r="F2761" t="s">
        <v>5048</v>
      </c>
      <c r="G2761" t="s">
        <v>8245</v>
      </c>
      <c r="H2761" t="s">
        <v>10541</v>
      </c>
      <c r="I2761" t="s">
        <v>11385</v>
      </c>
      <c r="J2761">
        <v>11223</v>
      </c>
      <c r="K2761" t="s">
        <v>11446</v>
      </c>
      <c r="L2761" t="s">
        <v>12478</v>
      </c>
      <c r="M2761" t="s">
        <v>14746</v>
      </c>
      <c r="P2761" t="s">
        <v>14800</v>
      </c>
      <c r="S2761" t="s">
        <v>14827</v>
      </c>
      <c r="U2761" t="s">
        <v>490</v>
      </c>
      <c r="V2761">
        <v>354</v>
      </c>
      <c r="W2761" t="s">
        <v>14859</v>
      </c>
      <c r="X2761" t="s">
        <v>14865</v>
      </c>
      <c r="Z2761" t="s">
        <v>17214</v>
      </c>
      <c r="AB2761" t="s">
        <v>22244</v>
      </c>
      <c r="AC2761">
        <v>0</v>
      </c>
      <c r="AD2761" t="s">
        <v>24597</v>
      </c>
      <c r="AF2761">
        <v>10</v>
      </c>
      <c r="AG2761">
        <v>1</v>
      </c>
      <c r="AH2761">
        <v>1</v>
      </c>
      <c r="AI2761">
        <v>70.38</v>
      </c>
      <c r="AL2761" t="s">
        <v>5011</v>
      </c>
      <c r="AM2761">
        <v>11900.5</v>
      </c>
      <c r="AS2761">
        <v>1</v>
      </c>
      <c r="AT2761" t="s">
        <v>506</v>
      </c>
      <c r="AU2761" t="s">
        <v>25285</v>
      </c>
      <c r="AV2761" t="s">
        <v>25335</v>
      </c>
      <c r="AW2761" t="s">
        <v>11447</v>
      </c>
    </row>
    <row r="2762" spans="1:49">
      <c r="A2762" s="1">
        <f>HYPERLINK("https://lsnyc.legalserver.org/matter/dynamic-profile/view/1914188","19-1914188")</f>
        <v>0</v>
      </c>
      <c r="B2762" t="s">
        <v>275</v>
      </c>
      <c r="C2762" t="s">
        <v>580</v>
      </c>
      <c r="E2762" t="s">
        <v>2465</v>
      </c>
      <c r="F2762" t="s">
        <v>3718</v>
      </c>
      <c r="G2762" t="s">
        <v>8246</v>
      </c>
      <c r="H2762" t="s">
        <v>11045</v>
      </c>
      <c r="I2762" t="s">
        <v>11385</v>
      </c>
      <c r="J2762">
        <v>11236</v>
      </c>
      <c r="K2762" t="s">
        <v>11446</v>
      </c>
      <c r="L2762" t="s">
        <v>12479</v>
      </c>
      <c r="M2762" t="s">
        <v>14743</v>
      </c>
      <c r="N2762" t="s">
        <v>14778</v>
      </c>
      <c r="P2762" t="s">
        <v>14800</v>
      </c>
      <c r="S2762" t="s">
        <v>14827</v>
      </c>
      <c r="U2762" t="s">
        <v>580</v>
      </c>
      <c r="V2762">
        <v>1200</v>
      </c>
      <c r="W2762" t="s">
        <v>14859</v>
      </c>
      <c r="X2762" t="s">
        <v>14865</v>
      </c>
      <c r="Z2762" t="s">
        <v>17215</v>
      </c>
      <c r="AB2762" t="s">
        <v>22245</v>
      </c>
      <c r="AC2762">
        <v>0</v>
      </c>
      <c r="AF2762">
        <v>3</v>
      </c>
      <c r="AG2762">
        <v>1</v>
      </c>
      <c r="AH2762">
        <v>0</v>
      </c>
      <c r="AI2762">
        <v>120.1</v>
      </c>
      <c r="AL2762" t="s">
        <v>5011</v>
      </c>
      <c r="AM2762">
        <v>15000</v>
      </c>
      <c r="AS2762">
        <v>0.6</v>
      </c>
      <c r="AT2762" t="s">
        <v>580</v>
      </c>
      <c r="AU2762" t="s">
        <v>25235</v>
      </c>
      <c r="AV2762" t="s">
        <v>25335</v>
      </c>
      <c r="AW2762" t="s">
        <v>11447</v>
      </c>
    </row>
    <row r="2763" spans="1:49">
      <c r="A2763" s="1">
        <f>HYPERLINK("https://lsnyc.legalserver.org/matter/dynamic-profile/view/1914311","19-1914311")</f>
        <v>0</v>
      </c>
      <c r="B2763" t="s">
        <v>127</v>
      </c>
      <c r="C2763" t="s">
        <v>539</v>
      </c>
      <c r="E2763" t="s">
        <v>2466</v>
      </c>
      <c r="F2763" t="s">
        <v>5049</v>
      </c>
      <c r="G2763" t="s">
        <v>8247</v>
      </c>
      <c r="H2763" t="s">
        <v>10482</v>
      </c>
      <c r="I2763" t="s">
        <v>11385</v>
      </c>
      <c r="J2763">
        <v>11214</v>
      </c>
      <c r="K2763" t="s">
        <v>11446</v>
      </c>
      <c r="L2763" t="s">
        <v>12480</v>
      </c>
      <c r="M2763" t="s">
        <v>14744</v>
      </c>
      <c r="N2763" t="s">
        <v>14778</v>
      </c>
      <c r="P2763" t="s">
        <v>14800</v>
      </c>
      <c r="S2763" t="s">
        <v>14827</v>
      </c>
      <c r="U2763" t="s">
        <v>539</v>
      </c>
      <c r="V2763">
        <v>1700</v>
      </c>
      <c r="W2763" t="s">
        <v>14859</v>
      </c>
      <c r="X2763" t="s">
        <v>14865</v>
      </c>
      <c r="Z2763" t="s">
        <v>17216</v>
      </c>
      <c r="AB2763" t="s">
        <v>22246</v>
      </c>
      <c r="AC2763">
        <v>0</v>
      </c>
      <c r="AF2763">
        <v>0</v>
      </c>
      <c r="AG2763">
        <v>1</v>
      </c>
      <c r="AH2763">
        <v>0</v>
      </c>
      <c r="AI2763">
        <v>13.74</v>
      </c>
      <c r="AL2763" t="s">
        <v>5011</v>
      </c>
      <c r="AM2763">
        <v>1716</v>
      </c>
      <c r="AS2763">
        <v>1.7</v>
      </c>
      <c r="AT2763" t="s">
        <v>521</v>
      </c>
      <c r="AU2763" t="s">
        <v>25277</v>
      </c>
      <c r="AV2763" t="s">
        <v>25335</v>
      </c>
      <c r="AW2763" t="s">
        <v>11447</v>
      </c>
    </row>
    <row r="2764" spans="1:49">
      <c r="A2764" s="1">
        <f>HYPERLINK("https://lsnyc.legalserver.org/matter/dynamic-profile/view/1914249","19-1914249")</f>
        <v>0</v>
      </c>
      <c r="B2764" t="s">
        <v>72</v>
      </c>
      <c r="C2764" t="s">
        <v>539</v>
      </c>
      <c r="E2764" t="s">
        <v>2467</v>
      </c>
      <c r="F2764" t="s">
        <v>3262</v>
      </c>
      <c r="G2764" t="s">
        <v>8248</v>
      </c>
      <c r="H2764" t="s">
        <v>10662</v>
      </c>
      <c r="I2764" t="s">
        <v>11385</v>
      </c>
      <c r="J2764">
        <v>11205</v>
      </c>
      <c r="K2764" t="s">
        <v>11446</v>
      </c>
      <c r="L2764" t="s">
        <v>12481</v>
      </c>
      <c r="M2764" t="s">
        <v>14743</v>
      </c>
      <c r="N2764" t="s">
        <v>14778</v>
      </c>
      <c r="P2764" t="s">
        <v>14800</v>
      </c>
      <c r="R2764" t="s">
        <v>14800</v>
      </c>
      <c r="S2764" t="s">
        <v>14828</v>
      </c>
      <c r="U2764" t="s">
        <v>539</v>
      </c>
      <c r="V2764">
        <v>334</v>
      </c>
      <c r="W2764" t="s">
        <v>14859</v>
      </c>
      <c r="X2764" t="s">
        <v>14865</v>
      </c>
      <c r="Z2764" t="s">
        <v>17217</v>
      </c>
      <c r="AB2764" t="s">
        <v>22247</v>
      </c>
      <c r="AC2764">
        <v>0</v>
      </c>
      <c r="AF2764">
        <v>0</v>
      </c>
      <c r="AG2764">
        <v>2</v>
      </c>
      <c r="AH2764">
        <v>0</v>
      </c>
      <c r="AI2764">
        <v>221.47</v>
      </c>
      <c r="AL2764" t="s">
        <v>5011</v>
      </c>
      <c r="AM2764">
        <v>37450.4</v>
      </c>
      <c r="AS2764">
        <v>0.2</v>
      </c>
      <c r="AT2764" t="s">
        <v>537</v>
      </c>
      <c r="AU2764" t="s">
        <v>25277</v>
      </c>
      <c r="AV2764" t="s">
        <v>25335</v>
      </c>
      <c r="AW2764" t="s">
        <v>11447</v>
      </c>
    </row>
    <row r="2765" spans="1:49">
      <c r="A2765" s="1">
        <f>HYPERLINK("https://lsnyc.legalserver.org/matter/dynamic-profile/view/1914438","19-1914438")</f>
        <v>0</v>
      </c>
      <c r="B2765" t="s">
        <v>262</v>
      </c>
      <c r="C2765" t="s">
        <v>506</v>
      </c>
      <c r="E2765" t="s">
        <v>1051</v>
      </c>
      <c r="F2765" t="s">
        <v>5050</v>
      </c>
      <c r="G2765" t="s">
        <v>7981</v>
      </c>
      <c r="H2765" t="s">
        <v>10489</v>
      </c>
      <c r="I2765" t="s">
        <v>11385</v>
      </c>
      <c r="J2765">
        <v>11226</v>
      </c>
      <c r="K2765" t="s">
        <v>11446</v>
      </c>
      <c r="L2765" t="s">
        <v>12482</v>
      </c>
      <c r="M2765" t="s">
        <v>14744</v>
      </c>
      <c r="N2765" t="s">
        <v>14782</v>
      </c>
      <c r="P2765" t="s">
        <v>14800</v>
      </c>
      <c r="S2765" t="s">
        <v>14827</v>
      </c>
      <c r="U2765" t="s">
        <v>506</v>
      </c>
      <c r="V2765">
        <v>1076.4</v>
      </c>
      <c r="W2765" t="s">
        <v>14859</v>
      </c>
      <c r="Z2765" t="s">
        <v>17218</v>
      </c>
      <c r="AB2765" t="s">
        <v>22248</v>
      </c>
      <c r="AC2765">
        <v>0</v>
      </c>
      <c r="AF2765">
        <v>9</v>
      </c>
      <c r="AG2765">
        <v>1</v>
      </c>
      <c r="AH2765">
        <v>1</v>
      </c>
      <c r="AI2765">
        <v>38.04</v>
      </c>
      <c r="AL2765" t="s">
        <v>5011</v>
      </c>
      <c r="AM2765">
        <v>6432.8</v>
      </c>
      <c r="AS2765">
        <v>6.3</v>
      </c>
      <c r="AT2765" t="s">
        <v>521</v>
      </c>
      <c r="AU2765" t="s">
        <v>25235</v>
      </c>
      <c r="AV2765" t="s">
        <v>25335</v>
      </c>
      <c r="AW2765" t="s">
        <v>11447</v>
      </c>
    </row>
    <row r="2766" spans="1:49">
      <c r="A2766" s="1">
        <f>HYPERLINK("https://lsnyc.legalserver.org/matter/dynamic-profile/view/1914465","19-1914465")</f>
        <v>0</v>
      </c>
      <c r="B2766" t="s">
        <v>228</v>
      </c>
      <c r="C2766" t="s">
        <v>506</v>
      </c>
      <c r="E2766" t="s">
        <v>2468</v>
      </c>
      <c r="F2766" t="s">
        <v>1178</v>
      </c>
      <c r="G2766" t="s">
        <v>8249</v>
      </c>
      <c r="H2766">
        <v>1</v>
      </c>
      <c r="I2766" t="s">
        <v>11385</v>
      </c>
      <c r="J2766">
        <v>11236</v>
      </c>
      <c r="K2766" t="s">
        <v>11446</v>
      </c>
      <c r="L2766" t="s">
        <v>12483</v>
      </c>
      <c r="M2766" t="s">
        <v>14744</v>
      </c>
      <c r="N2766" t="s">
        <v>14782</v>
      </c>
      <c r="P2766" t="s">
        <v>14800</v>
      </c>
      <c r="Q2766" t="s">
        <v>11448</v>
      </c>
      <c r="S2766" t="s">
        <v>14827</v>
      </c>
      <c r="U2766" t="s">
        <v>506</v>
      </c>
      <c r="V2766">
        <v>2197</v>
      </c>
      <c r="W2766" t="s">
        <v>14859</v>
      </c>
      <c r="X2766" t="s">
        <v>14863</v>
      </c>
      <c r="Z2766" t="s">
        <v>16460</v>
      </c>
      <c r="AA2766" t="s">
        <v>19564</v>
      </c>
      <c r="AB2766" t="s">
        <v>22249</v>
      </c>
      <c r="AC2766">
        <v>2</v>
      </c>
      <c r="AD2766" t="s">
        <v>24600</v>
      </c>
      <c r="AF2766">
        <v>3</v>
      </c>
      <c r="AG2766">
        <v>1</v>
      </c>
      <c r="AH2766">
        <v>5</v>
      </c>
      <c r="AI2766">
        <v>56.37</v>
      </c>
      <c r="AL2766" t="s">
        <v>5011</v>
      </c>
      <c r="AM2766">
        <v>19500</v>
      </c>
      <c r="AS2766">
        <v>0</v>
      </c>
      <c r="AU2766" t="s">
        <v>25246</v>
      </c>
      <c r="AV2766" t="s">
        <v>25335</v>
      </c>
      <c r="AW2766" t="s">
        <v>11447</v>
      </c>
    </row>
    <row r="2767" spans="1:49">
      <c r="A2767" s="1">
        <f>HYPERLINK("https://lsnyc.legalserver.org/matter/dynamic-profile/view/1914519","19-1914519")</f>
        <v>0</v>
      </c>
      <c r="B2767" t="s">
        <v>228</v>
      </c>
      <c r="C2767" t="s">
        <v>478</v>
      </c>
      <c r="E2767" t="s">
        <v>1032</v>
      </c>
      <c r="F2767" t="s">
        <v>3686</v>
      </c>
      <c r="G2767" t="s">
        <v>8250</v>
      </c>
      <c r="H2767" t="s">
        <v>10496</v>
      </c>
      <c r="I2767" t="s">
        <v>11385</v>
      </c>
      <c r="J2767">
        <v>11231</v>
      </c>
      <c r="K2767" t="s">
        <v>11446</v>
      </c>
      <c r="L2767" t="s">
        <v>12484</v>
      </c>
      <c r="M2767" t="s">
        <v>14743</v>
      </c>
      <c r="N2767" t="s">
        <v>14778</v>
      </c>
      <c r="P2767" t="s">
        <v>14800</v>
      </c>
      <c r="S2767" t="s">
        <v>14827</v>
      </c>
      <c r="U2767" t="s">
        <v>478</v>
      </c>
      <c r="V2767">
        <v>0</v>
      </c>
      <c r="W2767" t="s">
        <v>14859</v>
      </c>
      <c r="Z2767" t="s">
        <v>17131</v>
      </c>
      <c r="AB2767" t="s">
        <v>22250</v>
      </c>
      <c r="AC2767">
        <v>0</v>
      </c>
      <c r="AF2767">
        <v>0</v>
      </c>
      <c r="AG2767">
        <v>1</v>
      </c>
      <c r="AH2767">
        <v>0</v>
      </c>
      <c r="AI2767">
        <v>48.04</v>
      </c>
      <c r="AL2767" t="s">
        <v>5011</v>
      </c>
      <c r="AM2767">
        <v>6000</v>
      </c>
      <c r="AS2767">
        <v>0</v>
      </c>
      <c r="AU2767" t="s">
        <v>25277</v>
      </c>
      <c r="AV2767" t="s">
        <v>25335</v>
      </c>
      <c r="AW2767" t="s">
        <v>11447</v>
      </c>
    </row>
    <row r="2768" spans="1:49">
      <c r="A2768" s="1">
        <f>HYPERLINK("https://lsnyc.legalserver.org/matter/dynamic-profile/view/1914509","19-1914509")</f>
        <v>0</v>
      </c>
      <c r="B2768" t="s">
        <v>133</v>
      </c>
      <c r="C2768" t="s">
        <v>478</v>
      </c>
      <c r="E2768" t="s">
        <v>1404</v>
      </c>
      <c r="F2768" t="s">
        <v>4565</v>
      </c>
      <c r="G2768" t="s">
        <v>8251</v>
      </c>
      <c r="H2768" t="s">
        <v>10522</v>
      </c>
      <c r="I2768" t="s">
        <v>11385</v>
      </c>
      <c r="J2768">
        <v>11221</v>
      </c>
      <c r="K2768" t="s">
        <v>11446</v>
      </c>
      <c r="L2768" t="s">
        <v>12485</v>
      </c>
      <c r="N2768" t="s">
        <v>14782</v>
      </c>
      <c r="P2768" t="s">
        <v>14800</v>
      </c>
      <c r="S2768" t="s">
        <v>14829</v>
      </c>
      <c r="U2768" t="s">
        <v>478</v>
      </c>
      <c r="V2768">
        <v>1757.69</v>
      </c>
      <c r="W2768" t="s">
        <v>14859</v>
      </c>
      <c r="X2768" t="s">
        <v>14868</v>
      </c>
      <c r="Z2768" t="s">
        <v>17219</v>
      </c>
      <c r="AB2768" t="s">
        <v>22251</v>
      </c>
      <c r="AC2768">
        <v>0</v>
      </c>
      <c r="AD2768" t="s">
        <v>24595</v>
      </c>
      <c r="AF2768">
        <v>7</v>
      </c>
      <c r="AG2768">
        <v>2</v>
      </c>
      <c r="AH2768">
        <v>2</v>
      </c>
      <c r="AI2768">
        <v>177.71</v>
      </c>
      <c r="AL2768" t="s">
        <v>5011</v>
      </c>
      <c r="AM2768">
        <v>45760</v>
      </c>
      <c r="AS2768">
        <v>0</v>
      </c>
      <c r="AU2768" t="s">
        <v>25235</v>
      </c>
      <c r="AV2768" t="s">
        <v>25335</v>
      </c>
      <c r="AW2768" t="s">
        <v>11447</v>
      </c>
    </row>
    <row r="2769" spans="1:49">
      <c r="A2769" s="1">
        <f>HYPERLINK("https://lsnyc.legalserver.org/matter/dynamic-profile/view/1914580","19-1914580")</f>
        <v>0</v>
      </c>
      <c r="B2769" t="s">
        <v>228</v>
      </c>
      <c r="C2769" t="s">
        <v>491</v>
      </c>
      <c r="E2769" t="s">
        <v>2469</v>
      </c>
      <c r="F2769" t="s">
        <v>3670</v>
      </c>
      <c r="G2769" t="s">
        <v>7533</v>
      </c>
      <c r="H2769" t="s">
        <v>10569</v>
      </c>
      <c r="I2769" t="s">
        <v>11385</v>
      </c>
      <c r="J2769">
        <v>11236</v>
      </c>
      <c r="K2769" t="s">
        <v>11446</v>
      </c>
      <c r="L2769" t="s">
        <v>12486</v>
      </c>
      <c r="M2769" t="s">
        <v>14743</v>
      </c>
      <c r="N2769" t="s">
        <v>14778</v>
      </c>
      <c r="P2769" t="s">
        <v>14800</v>
      </c>
      <c r="S2769" t="s">
        <v>14828</v>
      </c>
      <c r="U2769" t="s">
        <v>491</v>
      </c>
      <c r="V2769">
        <v>0</v>
      </c>
      <c r="W2769" t="s">
        <v>14859</v>
      </c>
      <c r="Z2769" t="s">
        <v>17220</v>
      </c>
      <c r="AB2769" t="s">
        <v>22252</v>
      </c>
      <c r="AC2769">
        <v>0</v>
      </c>
      <c r="AF2769">
        <v>0</v>
      </c>
      <c r="AG2769">
        <v>4</v>
      </c>
      <c r="AH2769">
        <v>0</v>
      </c>
      <c r="AI2769">
        <v>13.98</v>
      </c>
      <c r="AL2769" t="s">
        <v>24632</v>
      </c>
      <c r="AM2769">
        <v>3600</v>
      </c>
      <c r="AS2769">
        <v>0</v>
      </c>
      <c r="AU2769" t="s">
        <v>25277</v>
      </c>
      <c r="AV2769" t="s">
        <v>25335</v>
      </c>
      <c r="AW2769" t="s">
        <v>11447</v>
      </c>
    </row>
    <row r="2770" spans="1:49">
      <c r="A2770" s="1">
        <f>HYPERLINK("https://lsnyc.legalserver.org/matter/dynamic-profile/view/1914684","19-1914684")</f>
        <v>0</v>
      </c>
      <c r="B2770" t="s">
        <v>228</v>
      </c>
      <c r="C2770" t="s">
        <v>491</v>
      </c>
      <c r="E2770" t="s">
        <v>2470</v>
      </c>
      <c r="F2770" t="s">
        <v>5051</v>
      </c>
      <c r="G2770" t="s">
        <v>8252</v>
      </c>
      <c r="H2770" t="s">
        <v>10490</v>
      </c>
      <c r="I2770" t="s">
        <v>11385</v>
      </c>
      <c r="J2770">
        <v>11219</v>
      </c>
      <c r="K2770" t="s">
        <v>11446</v>
      </c>
      <c r="L2770" t="s">
        <v>12487</v>
      </c>
      <c r="M2770" t="s">
        <v>14743</v>
      </c>
      <c r="N2770" t="s">
        <v>14778</v>
      </c>
      <c r="P2770" t="s">
        <v>14800</v>
      </c>
      <c r="S2770" t="s">
        <v>14827</v>
      </c>
      <c r="U2770" t="s">
        <v>491</v>
      </c>
      <c r="V2770">
        <v>2200</v>
      </c>
      <c r="W2770" t="s">
        <v>14859</v>
      </c>
      <c r="X2770" t="s">
        <v>14865</v>
      </c>
      <c r="Z2770" t="s">
        <v>17221</v>
      </c>
      <c r="AB2770" t="s">
        <v>22253</v>
      </c>
      <c r="AC2770">
        <v>0</v>
      </c>
      <c r="AF2770">
        <v>0</v>
      </c>
      <c r="AG2770">
        <v>3</v>
      </c>
      <c r="AH2770">
        <v>1</v>
      </c>
      <c r="AI2770">
        <v>74.56</v>
      </c>
      <c r="AL2770" t="s">
        <v>24658</v>
      </c>
      <c r="AM2770">
        <v>19200</v>
      </c>
      <c r="AS2770">
        <v>1</v>
      </c>
      <c r="AT2770" t="s">
        <v>521</v>
      </c>
      <c r="AU2770" t="s">
        <v>25277</v>
      </c>
      <c r="AV2770" t="s">
        <v>25335</v>
      </c>
      <c r="AW2770" t="s">
        <v>11447</v>
      </c>
    </row>
    <row r="2771" spans="1:49">
      <c r="A2771" s="1">
        <f>HYPERLINK("https://lsnyc.legalserver.org/matter/dynamic-profile/view/1914609","19-1914609")</f>
        <v>0</v>
      </c>
      <c r="B2771" t="s">
        <v>228</v>
      </c>
      <c r="C2771" t="s">
        <v>491</v>
      </c>
      <c r="E2771" t="s">
        <v>2471</v>
      </c>
      <c r="F2771" t="s">
        <v>5052</v>
      </c>
      <c r="G2771" t="s">
        <v>8253</v>
      </c>
      <c r="H2771" t="s">
        <v>10996</v>
      </c>
      <c r="I2771" t="s">
        <v>11385</v>
      </c>
      <c r="J2771">
        <v>11238</v>
      </c>
      <c r="K2771" t="s">
        <v>11446</v>
      </c>
      <c r="L2771" t="s">
        <v>12488</v>
      </c>
      <c r="M2771" t="s">
        <v>14743</v>
      </c>
      <c r="N2771" t="s">
        <v>14778</v>
      </c>
      <c r="P2771" t="s">
        <v>14800</v>
      </c>
      <c r="S2771" t="s">
        <v>14827</v>
      </c>
      <c r="U2771" t="s">
        <v>491</v>
      </c>
      <c r="V2771">
        <v>0</v>
      </c>
      <c r="W2771" t="s">
        <v>14859</v>
      </c>
      <c r="Z2771" t="s">
        <v>16776</v>
      </c>
      <c r="AB2771" t="s">
        <v>22254</v>
      </c>
      <c r="AC2771">
        <v>0</v>
      </c>
      <c r="AF2771">
        <v>0</v>
      </c>
      <c r="AG2771">
        <v>1</v>
      </c>
      <c r="AH2771">
        <v>0</v>
      </c>
      <c r="AI2771">
        <v>86.47</v>
      </c>
      <c r="AL2771" t="s">
        <v>5011</v>
      </c>
      <c r="AM2771">
        <v>10800</v>
      </c>
      <c r="AS2771">
        <v>0</v>
      </c>
      <c r="AU2771" t="s">
        <v>25277</v>
      </c>
      <c r="AV2771" t="s">
        <v>25335</v>
      </c>
      <c r="AW2771" t="s">
        <v>11447</v>
      </c>
    </row>
    <row r="2772" spans="1:49">
      <c r="A2772" s="1">
        <f>HYPERLINK("https://lsnyc.legalserver.org/matter/dynamic-profile/view/1914731","19-1914731")</f>
        <v>0</v>
      </c>
      <c r="B2772" t="s">
        <v>151</v>
      </c>
      <c r="C2772" t="s">
        <v>592</v>
      </c>
      <c r="E2772" t="s">
        <v>1081</v>
      </c>
      <c r="F2772" t="s">
        <v>3966</v>
      </c>
      <c r="G2772" t="s">
        <v>8254</v>
      </c>
      <c r="H2772" t="s">
        <v>11046</v>
      </c>
      <c r="I2772" t="s">
        <v>11385</v>
      </c>
      <c r="J2772">
        <v>11223</v>
      </c>
      <c r="K2772" t="s">
        <v>11446</v>
      </c>
      <c r="L2772" t="s">
        <v>12489</v>
      </c>
      <c r="M2772" t="s">
        <v>14744</v>
      </c>
      <c r="N2772" t="s">
        <v>14782</v>
      </c>
      <c r="P2772" t="s">
        <v>14800</v>
      </c>
      <c r="S2772" t="s">
        <v>14827</v>
      </c>
      <c r="U2772" t="s">
        <v>592</v>
      </c>
      <c r="V2772">
        <v>1852.72</v>
      </c>
      <c r="W2772" t="s">
        <v>14859</v>
      </c>
      <c r="X2772" t="s">
        <v>14865</v>
      </c>
      <c r="Z2772" t="s">
        <v>17222</v>
      </c>
      <c r="AB2772" t="s">
        <v>22255</v>
      </c>
      <c r="AC2772">
        <v>75</v>
      </c>
      <c r="AF2772">
        <v>-3</v>
      </c>
      <c r="AG2772">
        <v>1</v>
      </c>
      <c r="AH2772">
        <v>1</v>
      </c>
      <c r="AI2772">
        <v>67.47</v>
      </c>
      <c r="AL2772" t="s">
        <v>5011</v>
      </c>
      <c r="AM2772">
        <v>11410</v>
      </c>
      <c r="AS2772">
        <v>0</v>
      </c>
      <c r="AU2772" t="s">
        <v>25235</v>
      </c>
      <c r="AV2772" t="s">
        <v>25335</v>
      </c>
      <c r="AW2772" t="s">
        <v>11447</v>
      </c>
    </row>
    <row r="2773" spans="1:49">
      <c r="A2773" s="1">
        <f>HYPERLINK("https://lsnyc.legalserver.org/matter/dynamic-profile/view/1914653","19-1914653")</f>
        <v>0</v>
      </c>
      <c r="B2773" t="s">
        <v>146</v>
      </c>
      <c r="C2773" t="s">
        <v>491</v>
      </c>
      <c r="E2773" t="s">
        <v>1258</v>
      </c>
      <c r="F2773" t="s">
        <v>5053</v>
      </c>
      <c r="G2773" t="s">
        <v>8255</v>
      </c>
      <c r="I2773" t="s">
        <v>11385</v>
      </c>
      <c r="J2773">
        <v>11210</v>
      </c>
      <c r="K2773" t="s">
        <v>11446</v>
      </c>
      <c r="L2773" t="s">
        <v>12490</v>
      </c>
      <c r="M2773" t="s">
        <v>14743</v>
      </c>
      <c r="N2773" t="s">
        <v>14782</v>
      </c>
      <c r="P2773" t="s">
        <v>14800</v>
      </c>
      <c r="S2773" t="s">
        <v>14827</v>
      </c>
      <c r="U2773" t="s">
        <v>521</v>
      </c>
      <c r="V2773">
        <v>0</v>
      </c>
      <c r="W2773" t="s">
        <v>14859</v>
      </c>
      <c r="X2773" t="s">
        <v>14865</v>
      </c>
      <c r="Z2773" t="s">
        <v>17223</v>
      </c>
      <c r="AB2773" t="s">
        <v>22256</v>
      </c>
      <c r="AC2773">
        <v>0</v>
      </c>
      <c r="AF2773">
        <v>0</v>
      </c>
      <c r="AG2773">
        <v>5</v>
      </c>
      <c r="AH2773">
        <v>4</v>
      </c>
      <c r="AI2773">
        <v>42.42</v>
      </c>
      <c r="AM2773">
        <v>20300</v>
      </c>
      <c r="AS2773">
        <v>0</v>
      </c>
      <c r="AU2773" t="s">
        <v>25235</v>
      </c>
      <c r="AW2773" t="s">
        <v>11447</v>
      </c>
    </row>
    <row r="2774" spans="1:49">
      <c r="A2774" s="1">
        <f>HYPERLINK("https://lsnyc.legalserver.org/matter/dynamic-profile/view/1915161","19-1915161")</f>
        <v>0</v>
      </c>
      <c r="B2774" t="s">
        <v>228</v>
      </c>
      <c r="C2774" t="s">
        <v>516</v>
      </c>
      <c r="E2774" t="s">
        <v>2472</v>
      </c>
      <c r="F2774" t="s">
        <v>5054</v>
      </c>
      <c r="I2774" t="s">
        <v>11385</v>
      </c>
      <c r="J2774">
        <v>11235</v>
      </c>
      <c r="K2774" t="s">
        <v>11446</v>
      </c>
      <c r="L2774" t="s">
        <v>12491</v>
      </c>
      <c r="M2774" t="s">
        <v>14743</v>
      </c>
      <c r="N2774" t="s">
        <v>14778</v>
      </c>
      <c r="P2774" t="s">
        <v>14800</v>
      </c>
      <c r="S2774" t="s">
        <v>14827</v>
      </c>
      <c r="U2774" t="s">
        <v>516</v>
      </c>
      <c r="V2774">
        <v>1400</v>
      </c>
      <c r="W2774" t="s">
        <v>14859</v>
      </c>
      <c r="X2774" t="s">
        <v>14865</v>
      </c>
      <c r="Z2774" t="s">
        <v>17224</v>
      </c>
      <c r="AB2774" t="s">
        <v>20417</v>
      </c>
      <c r="AC2774">
        <v>0</v>
      </c>
      <c r="AF2774">
        <v>0</v>
      </c>
      <c r="AG2774">
        <v>1</v>
      </c>
      <c r="AH2774">
        <v>0</v>
      </c>
      <c r="AI2774">
        <v>166.53</v>
      </c>
      <c r="AL2774" t="s">
        <v>5011</v>
      </c>
      <c r="AM2774">
        <v>20800</v>
      </c>
      <c r="AS2774">
        <v>0</v>
      </c>
      <c r="AU2774" t="s">
        <v>25277</v>
      </c>
      <c r="AV2774" t="s">
        <v>25335</v>
      </c>
      <c r="AW2774" t="s">
        <v>11447</v>
      </c>
    </row>
    <row r="2775" spans="1:49">
      <c r="A2775" s="1">
        <f>HYPERLINK("https://lsnyc.legalserver.org/matter/dynamic-profile/view/1915173","19-1915173")</f>
        <v>0</v>
      </c>
      <c r="B2775" t="s">
        <v>282</v>
      </c>
      <c r="C2775" t="s">
        <v>516</v>
      </c>
      <c r="E2775" t="s">
        <v>2473</v>
      </c>
      <c r="F2775" t="s">
        <v>3580</v>
      </c>
      <c r="G2775" t="s">
        <v>8256</v>
      </c>
      <c r="H2775" t="s">
        <v>10450</v>
      </c>
      <c r="I2775" t="s">
        <v>11385</v>
      </c>
      <c r="J2775">
        <v>11219</v>
      </c>
      <c r="K2775" t="s">
        <v>11446</v>
      </c>
      <c r="L2775" t="s">
        <v>12492</v>
      </c>
      <c r="M2775" t="s">
        <v>14744</v>
      </c>
      <c r="N2775" t="s">
        <v>14778</v>
      </c>
      <c r="P2775" t="s">
        <v>14800</v>
      </c>
      <c r="S2775" t="s">
        <v>14827</v>
      </c>
      <c r="U2775" t="s">
        <v>516</v>
      </c>
      <c r="V2775">
        <v>1224</v>
      </c>
      <c r="W2775" t="s">
        <v>14859</v>
      </c>
      <c r="X2775" t="s">
        <v>14865</v>
      </c>
      <c r="Z2775" t="s">
        <v>17225</v>
      </c>
      <c r="AB2775" t="s">
        <v>22257</v>
      </c>
      <c r="AC2775">
        <v>0</v>
      </c>
      <c r="AF2775">
        <v>0</v>
      </c>
      <c r="AG2775">
        <v>2</v>
      </c>
      <c r="AH2775">
        <v>0</v>
      </c>
      <c r="AI2775">
        <v>209.57</v>
      </c>
      <c r="AL2775" t="s">
        <v>5011</v>
      </c>
      <c r="AM2775">
        <v>35438</v>
      </c>
      <c r="AS2775">
        <v>0</v>
      </c>
      <c r="AU2775" t="s">
        <v>25277</v>
      </c>
      <c r="AV2775" t="s">
        <v>25335</v>
      </c>
      <c r="AW2775" t="s">
        <v>11447</v>
      </c>
    </row>
    <row r="2776" spans="1:49">
      <c r="A2776" s="1">
        <f>HYPERLINK("https://lsnyc.legalserver.org/matter/dynamic-profile/view/1913039","19-1913039")</f>
        <v>0</v>
      </c>
      <c r="B2776" t="s">
        <v>286</v>
      </c>
      <c r="C2776" t="s">
        <v>603</v>
      </c>
      <c r="E2776" t="s">
        <v>1644</v>
      </c>
      <c r="F2776" t="s">
        <v>5055</v>
      </c>
      <c r="G2776" t="s">
        <v>8257</v>
      </c>
      <c r="H2776" t="s">
        <v>11047</v>
      </c>
      <c r="I2776" t="s">
        <v>11385</v>
      </c>
      <c r="J2776">
        <v>11236</v>
      </c>
      <c r="K2776" t="s">
        <v>11448</v>
      </c>
      <c r="M2776" t="s">
        <v>14743</v>
      </c>
      <c r="N2776" t="s">
        <v>14778</v>
      </c>
      <c r="P2776" t="s">
        <v>14800</v>
      </c>
      <c r="S2776" t="s">
        <v>14827</v>
      </c>
      <c r="V2776">
        <v>0</v>
      </c>
      <c r="W2776" t="s">
        <v>14859</v>
      </c>
      <c r="Z2776" t="s">
        <v>17226</v>
      </c>
      <c r="AB2776" t="s">
        <v>22258</v>
      </c>
      <c r="AC2776">
        <v>6</v>
      </c>
      <c r="AF2776">
        <v>1</v>
      </c>
      <c r="AG2776">
        <v>1</v>
      </c>
      <c r="AH2776">
        <v>0</v>
      </c>
      <c r="AI2776">
        <v>0</v>
      </c>
      <c r="AL2776" t="s">
        <v>5011</v>
      </c>
      <c r="AM2776">
        <v>0</v>
      </c>
      <c r="AS2776">
        <v>2.5</v>
      </c>
      <c r="AT2776" t="s">
        <v>509</v>
      </c>
      <c r="AU2776" t="s">
        <v>25230</v>
      </c>
      <c r="AW2776" t="s">
        <v>11447</v>
      </c>
    </row>
    <row r="2777" spans="1:49">
      <c r="A2777" s="1">
        <f>HYPERLINK("https://lsnyc.legalserver.org/matter/dynamic-profile/view/1911321","19-1911321")</f>
        <v>0</v>
      </c>
      <c r="B2777" t="s">
        <v>198</v>
      </c>
      <c r="C2777" t="s">
        <v>467</v>
      </c>
      <c r="E2777" t="s">
        <v>2474</v>
      </c>
      <c r="F2777" t="s">
        <v>5056</v>
      </c>
      <c r="G2777" t="s">
        <v>8258</v>
      </c>
      <c r="H2777" t="s">
        <v>10500</v>
      </c>
      <c r="I2777" t="s">
        <v>11385</v>
      </c>
      <c r="J2777">
        <v>11233</v>
      </c>
      <c r="K2777" t="s">
        <v>11446</v>
      </c>
      <c r="L2777" t="s">
        <v>12493</v>
      </c>
      <c r="M2777" t="s">
        <v>14744</v>
      </c>
      <c r="N2777" t="s">
        <v>14782</v>
      </c>
      <c r="P2777" t="s">
        <v>14800</v>
      </c>
      <c r="S2777" t="s">
        <v>14827</v>
      </c>
      <c r="V2777">
        <v>0</v>
      </c>
      <c r="W2777" t="s">
        <v>14859</v>
      </c>
      <c r="X2777" t="s">
        <v>14865</v>
      </c>
      <c r="Z2777" t="s">
        <v>17227</v>
      </c>
      <c r="AB2777" t="s">
        <v>22259</v>
      </c>
      <c r="AC2777">
        <v>0</v>
      </c>
      <c r="AF2777">
        <v>0</v>
      </c>
      <c r="AG2777">
        <v>2</v>
      </c>
      <c r="AH2777">
        <v>5</v>
      </c>
      <c r="AI2777">
        <v>0</v>
      </c>
      <c r="AL2777" t="s">
        <v>5011</v>
      </c>
      <c r="AM2777">
        <v>0</v>
      </c>
      <c r="AS2777">
        <v>1</v>
      </c>
      <c r="AT2777" t="s">
        <v>559</v>
      </c>
      <c r="AU2777" t="s">
        <v>25235</v>
      </c>
      <c r="AV2777" t="s">
        <v>25335</v>
      </c>
      <c r="AW2777" t="s">
        <v>11447</v>
      </c>
    </row>
    <row r="2778" spans="1:49">
      <c r="A2778" s="1">
        <f>HYPERLINK("https://lsnyc.legalserver.org/matter/dynamic-profile/view/1891803","19-1891803")</f>
        <v>0</v>
      </c>
      <c r="B2778" t="s">
        <v>233</v>
      </c>
      <c r="C2778" t="s">
        <v>769</v>
      </c>
      <c r="E2778" t="s">
        <v>1565</v>
      </c>
      <c r="F2778" t="s">
        <v>5057</v>
      </c>
      <c r="G2778" t="s">
        <v>8259</v>
      </c>
      <c r="H2778" t="s">
        <v>11035</v>
      </c>
      <c r="I2778" t="s">
        <v>11385</v>
      </c>
      <c r="J2778">
        <v>11230</v>
      </c>
      <c r="K2778" t="s">
        <v>11447</v>
      </c>
      <c r="L2778" t="s">
        <v>12494</v>
      </c>
      <c r="M2778" t="s">
        <v>14744</v>
      </c>
      <c r="N2778" t="s">
        <v>14781</v>
      </c>
      <c r="P2778" t="s">
        <v>14800</v>
      </c>
      <c r="S2778" t="s">
        <v>14827</v>
      </c>
      <c r="V2778">
        <v>1150</v>
      </c>
      <c r="W2778" t="s">
        <v>14859</v>
      </c>
      <c r="X2778" t="s">
        <v>14865</v>
      </c>
      <c r="Z2778" t="s">
        <v>17228</v>
      </c>
      <c r="AB2778" t="s">
        <v>22260</v>
      </c>
      <c r="AC2778">
        <v>43</v>
      </c>
      <c r="AF2778">
        <v>18</v>
      </c>
      <c r="AG2778">
        <v>2</v>
      </c>
      <c r="AH2778">
        <v>2</v>
      </c>
      <c r="AI2778">
        <v>0</v>
      </c>
      <c r="AL2778" t="s">
        <v>24647</v>
      </c>
      <c r="AM2778">
        <v>0</v>
      </c>
      <c r="AS2778">
        <v>9.5</v>
      </c>
      <c r="AT2778" t="s">
        <v>343</v>
      </c>
      <c r="AU2778" t="s">
        <v>25235</v>
      </c>
      <c r="AW2778" t="s">
        <v>11447</v>
      </c>
    </row>
    <row r="2779" spans="1:49">
      <c r="A2779" s="1">
        <f>HYPERLINK("https://lsnyc.legalserver.org/matter/dynamic-profile/view/1860037","18-1860037")</f>
        <v>0</v>
      </c>
      <c r="B2779" t="s">
        <v>210</v>
      </c>
      <c r="C2779" t="s">
        <v>653</v>
      </c>
      <c r="E2779" t="s">
        <v>1717</v>
      </c>
      <c r="F2779" t="s">
        <v>3765</v>
      </c>
      <c r="G2779" t="s">
        <v>7915</v>
      </c>
      <c r="H2779" t="s">
        <v>11048</v>
      </c>
      <c r="I2779" t="s">
        <v>11385</v>
      </c>
      <c r="J2779">
        <v>11226</v>
      </c>
      <c r="K2779" t="s">
        <v>11448</v>
      </c>
      <c r="L2779" t="s">
        <v>12290</v>
      </c>
      <c r="M2779" t="s">
        <v>14766</v>
      </c>
      <c r="N2779" t="s">
        <v>14781</v>
      </c>
      <c r="P2779" t="s">
        <v>14800</v>
      </c>
      <c r="Q2779" t="s">
        <v>11446</v>
      </c>
      <c r="R2779" t="s">
        <v>14820</v>
      </c>
      <c r="S2779" t="s">
        <v>14827</v>
      </c>
      <c r="V2779">
        <v>0</v>
      </c>
      <c r="W2779" t="s">
        <v>14859</v>
      </c>
      <c r="X2779" t="s">
        <v>14864</v>
      </c>
      <c r="Z2779" t="s">
        <v>17229</v>
      </c>
      <c r="AC2779">
        <v>61</v>
      </c>
      <c r="AD2779" t="s">
        <v>24595</v>
      </c>
      <c r="AE2779" t="s">
        <v>11459</v>
      </c>
      <c r="AF2779">
        <v>14</v>
      </c>
      <c r="AG2779">
        <v>2</v>
      </c>
      <c r="AH2779">
        <v>0</v>
      </c>
      <c r="AI2779">
        <v>0</v>
      </c>
      <c r="AL2779" t="s">
        <v>5011</v>
      </c>
      <c r="AM2779">
        <v>0</v>
      </c>
      <c r="AS2779">
        <v>0.8</v>
      </c>
      <c r="AT2779" t="s">
        <v>653</v>
      </c>
      <c r="AU2779" t="s">
        <v>263</v>
      </c>
      <c r="AW2779" t="s">
        <v>11447</v>
      </c>
    </row>
    <row r="2780" spans="1:49">
      <c r="A2780" s="1">
        <f>HYPERLINK("https://lsnyc.legalserver.org/matter/dynamic-profile/view/1887480","19-1887480")</f>
        <v>0</v>
      </c>
      <c r="B2780" t="s">
        <v>267</v>
      </c>
      <c r="C2780" t="s">
        <v>772</v>
      </c>
      <c r="E2780" t="s">
        <v>1584</v>
      </c>
      <c r="F2780" t="s">
        <v>1316</v>
      </c>
      <c r="G2780" t="s">
        <v>8260</v>
      </c>
      <c r="H2780" t="s">
        <v>10677</v>
      </c>
      <c r="I2780" t="s">
        <v>11385</v>
      </c>
      <c r="J2780">
        <v>11226</v>
      </c>
      <c r="K2780" t="s">
        <v>11447</v>
      </c>
      <c r="L2780" t="s">
        <v>12495</v>
      </c>
      <c r="M2780" t="s">
        <v>14743</v>
      </c>
      <c r="N2780" t="s">
        <v>14781</v>
      </c>
      <c r="P2780" t="s">
        <v>14800</v>
      </c>
      <c r="S2780" t="s">
        <v>14827</v>
      </c>
      <c r="T2780" t="s">
        <v>14832</v>
      </c>
      <c r="V2780">
        <v>0</v>
      </c>
      <c r="W2780" t="s">
        <v>14859</v>
      </c>
      <c r="X2780" t="s">
        <v>14868</v>
      </c>
      <c r="Z2780" t="s">
        <v>17230</v>
      </c>
      <c r="AB2780" t="s">
        <v>22261</v>
      </c>
      <c r="AC2780">
        <v>52</v>
      </c>
      <c r="AF2780">
        <v>0</v>
      </c>
      <c r="AG2780">
        <v>2</v>
      </c>
      <c r="AH2780">
        <v>1</v>
      </c>
      <c r="AI2780">
        <v>0</v>
      </c>
      <c r="AL2780" t="s">
        <v>24643</v>
      </c>
      <c r="AM2780">
        <v>0</v>
      </c>
      <c r="AS2780">
        <v>35.5</v>
      </c>
      <c r="AT2780" t="s">
        <v>486</v>
      </c>
      <c r="AU2780" t="s">
        <v>53</v>
      </c>
      <c r="AW2780" t="s">
        <v>11447</v>
      </c>
    </row>
    <row r="2781" spans="1:49">
      <c r="A2781" s="1">
        <f>HYPERLINK("https://lsnyc.legalserver.org/matter/dynamic-profile/view/0822503","16-0822503")</f>
        <v>0</v>
      </c>
      <c r="B2781" t="s">
        <v>255</v>
      </c>
      <c r="C2781" t="s">
        <v>775</v>
      </c>
      <c r="E2781" t="s">
        <v>2475</v>
      </c>
      <c r="F2781" t="s">
        <v>5058</v>
      </c>
      <c r="G2781" t="s">
        <v>8261</v>
      </c>
      <c r="I2781" t="s">
        <v>11385</v>
      </c>
      <c r="J2781">
        <v>11224</v>
      </c>
      <c r="K2781" t="s">
        <v>11448</v>
      </c>
      <c r="L2781" t="s">
        <v>12496</v>
      </c>
      <c r="M2781" t="s">
        <v>14744</v>
      </c>
      <c r="N2781" t="s">
        <v>14781</v>
      </c>
      <c r="P2781" t="s">
        <v>14800</v>
      </c>
      <c r="Q2781" t="s">
        <v>11448</v>
      </c>
      <c r="S2781" t="s">
        <v>14828</v>
      </c>
      <c r="V2781">
        <v>1348</v>
      </c>
      <c r="W2781" t="s">
        <v>14859</v>
      </c>
      <c r="X2781" t="s">
        <v>14864</v>
      </c>
      <c r="Z2781" t="s">
        <v>17231</v>
      </c>
      <c r="AB2781" t="s">
        <v>22262</v>
      </c>
      <c r="AC2781">
        <v>0</v>
      </c>
      <c r="AD2781" t="s">
        <v>24602</v>
      </c>
      <c r="AE2781" t="s">
        <v>11459</v>
      </c>
      <c r="AF2781">
        <v>1</v>
      </c>
      <c r="AG2781">
        <v>1</v>
      </c>
      <c r="AH2781">
        <v>4</v>
      </c>
      <c r="AI2781">
        <v>0</v>
      </c>
      <c r="AL2781" t="s">
        <v>5011</v>
      </c>
      <c r="AM2781">
        <v>0</v>
      </c>
      <c r="AS2781">
        <v>13.5</v>
      </c>
      <c r="AT2781" t="s">
        <v>615</v>
      </c>
      <c r="AU2781" t="s">
        <v>25305</v>
      </c>
      <c r="AW2781" t="s">
        <v>11447</v>
      </c>
    </row>
    <row r="2782" spans="1:49">
      <c r="A2782" s="1">
        <f>HYPERLINK("https://lsnyc.legalserver.org/matter/dynamic-profile/view/1911495","19-1911495")</f>
        <v>0</v>
      </c>
      <c r="B2782" t="s">
        <v>151</v>
      </c>
      <c r="C2782" t="s">
        <v>486</v>
      </c>
      <c r="E2782" t="s">
        <v>1557</v>
      </c>
      <c r="F2782" t="s">
        <v>5059</v>
      </c>
      <c r="G2782" t="s">
        <v>8262</v>
      </c>
      <c r="H2782" t="s">
        <v>10542</v>
      </c>
      <c r="I2782" t="s">
        <v>11385</v>
      </c>
      <c r="J2782">
        <v>11213</v>
      </c>
      <c r="K2782" t="s">
        <v>11448</v>
      </c>
      <c r="L2782" t="s">
        <v>12497</v>
      </c>
      <c r="M2782" t="s">
        <v>14743</v>
      </c>
      <c r="N2782" t="s">
        <v>14778</v>
      </c>
      <c r="P2782" t="s">
        <v>14800</v>
      </c>
      <c r="S2782" t="s">
        <v>14827</v>
      </c>
      <c r="V2782">
        <v>0</v>
      </c>
      <c r="W2782" t="s">
        <v>14859</v>
      </c>
      <c r="Z2782" t="s">
        <v>17232</v>
      </c>
      <c r="AB2782" t="s">
        <v>22263</v>
      </c>
      <c r="AC2782">
        <v>0</v>
      </c>
      <c r="AF2782">
        <v>0</v>
      </c>
      <c r="AG2782">
        <v>1</v>
      </c>
      <c r="AH2782">
        <v>0</v>
      </c>
      <c r="AI2782">
        <v>0</v>
      </c>
      <c r="AL2782" t="s">
        <v>5011</v>
      </c>
      <c r="AM2782">
        <v>0</v>
      </c>
      <c r="AS2782">
        <v>0.8</v>
      </c>
      <c r="AT2782" t="s">
        <v>473</v>
      </c>
      <c r="AU2782" t="s">
        <v>25277</v>
      </c>
      <c r="AV2782" t="s">
        <v>25335</v>
      </c>
      <c r="AW2782" t="s">
        <v>11447</v>
      </c>
    </row>
    <row r="2783" spans="1:49">
      <c r="A2783" s="1">
        <f>HYPERLINK("https://lsnyc.legalserver.org/matter/dynamic-profile/view/1907840","19-1907840")</f>
        <v>0</v>
      </c>
      <c r="B2783" t="s">
        <v>262</v>
      </c>
      <c r="C2783" t="s">
        <v>524</v>
      </c>
      <c r="E2783" t="s">
        <v>1781</v>
      </c>
      <c r="F2783" t="s">
        <v>1210</v>
      </c>
      <c r="G2783" t="s">
        <v>8263</v>
      </c>
      <c r="H2783" t="s">
        <v>10575</v>
      </c>
      <c r="I2783" t="s">
        <v>11385</v>
      </c>
      <c r="J2783">
        <v>11212</v>
      </c>
      <c r="K2783" t="s">
        <v>11447</v>
      </c>
      <c r="L2783" t="s">
        <v>12498</v>
      </c>
      <c r="M2783" t="s">
        <v>14744</v>
      </c>
      <c r="N2783" t="s">
        <v>14778</v>
      </c>
      <c r="P2783" t="s">
        <v>14800</v>
      </c>
      <c r="S2783" t="s">
        <v>14828</v>
      </c>
      <c r="V2783">
        <v>0</v>
      </c>
      <c r="W2783" t="s">
        <v>14859</v>
      </c>
      <c r="X2783" t="s">
        <v>14868</v>
      </c>
      <c r="Z2783" t="s">
        <v>17233</v>
      </c>
      <c r="AB2783" t="s">
        <v>22264</v>
      </c>
      <c r="AC2783">
        <v>0</v>
      </c>
      <c r="AD2783" t="s">
        <v>24597</v>
      </c>
      <c r="AF2783">
        <v>0</v>
      </c>
      <c r="AG2783">
        <v>2</v>
      </c>
      <c r="AH2783">
        <v>3</v>
      </c>
      <c r="AI2783">
        <v>0</v>
      </c>
      <c r="AL2783" t="s">
        <v>5011</v>
      </c>
      <c r="AM2783">
        <v>0</v>
      </c>
      <c r="AS2783">
        <v>0</v>
      </c>
      <c r="AU2783" t="s">
        <v>25230</v>
      </c>
      <c r="AW2783" t="s">
        <v>11447</v>
      </c>
    </row>
    <row r="2784" spans="1:49">
      <c r="A2784" s="1">
        <f>HYPERLINK("https://lsnyc.legalserver.org/matter/dynamic-profile/view/1841670","17-1841670")</f>
        <v>0</v>
      </c>
      <c r="B2784" t="s">
        <v>280</v>
      </c>
      <c r="C2784" t="s">
        <v>776</v>
      </c>
      <c r="E2784" t="s">
        <v>1114</v>
      </c>
      <c r="F2784" t="s">
        <v>4456</v>
      </c>
      <c r="G2784" t="s">
        <v>8264</v>
      </c>
      <c r="H2784" t="s">
        <v>11049</v>
      </c>
      <c r="I2784" t="s">
        <v>11385</v>
      </c>
      <c r="J2784">
        <v>11208</v>
      </c>
      <c r="K2784" t="s">
        <v>11448</v>
      </c>
      <c r="M2784" t="s">
        <v>14752</v>
      </c>
      <c r="N2784" t="s">
        <v>14781</v>
      </c>
      <c r="P2784" t="s">
        <v>14800</v>
      </c>
      <c r="S2784" t="s">
        <v>14828</v>
      </c>
      <c r="V2784">
        <v>236</v>
      </c>
      <c r="W2784" t="s">
        <v>14859</v>
      </c>
      <c r="X2784" t="s">
        <v>14870</v>
      </c>
      <c r="Z2784" t="s">
        <v>17234</v>
      </c>
      <c r="AA2784" t="s">
        <v>19565</v>
      </c>
      <c r="AB2784" t="s">
        <v>22265</v>
      </c>
      <c r="AC2784">
        <v>42</v>
      </c>
      <c r="AD2784" t="s">
        <v>24602</v>
      </c>
      <c r="AE2784" t="s">
        <v>11459</v>
      </c>
      <c r="AF2784">
        <v>13</v>
      </c>
      <c r="AG2784">
        <v>1</v>
      </c>
      <c r="AH2784">
        <v>0</v>
      </c>
      <c r="AI2784">
        <v>0</v>
      </c>
      <c r="AL2784" t="s">
        <v>5011</v>
      </c>
      <c r="AM2784">
        <v>0</v>
      </c>
      <c r="AS2784">
        <v>102.7</v>
      </c>
      <c r="AT2784" t="s">
        <v>495</v>
      </c>
      <c r="AU2784" t="s">
        <v>25275</v>
      </c>
      <c r="AW2784" t="s">
        <v>11447</v>
      </c>
    </row>
    <row r="2785" spans="1:49">
      <c r="A2785" s="1">
        <f>HYPERLINK("https://lsnyc.legalserver.org/matter/dynamic-profile/view/1913178","19-1913178")</f>
        <v>0</v>
      </c>
      <c r="B2785" t="s">
        <v>72</v>
      </c>
      <c r="C2785" t="s">
        <v>571</v>
      </c>
      <c r="E2785" t="s">
        <v>2476</v>
      </c>
      <c r="F2785" t="s">
        <v>3547</v>
      </c>
      <c r="G2785" t="s">
        <v>8265</v>
      </c>
      <c r="H2785" t="s">
        <v>10575</v>
      </c>
      <c r="I2785" t="s">
        <v>11385</v>
      </c>
      <c r="J2785">
        <v>11206</v>
      </c>
      <c r="K2785" t="s">
        <v>11447</v>
      </c>
      <c r="M2785" t="s">
        <v>14752</v>
      </c>
      <c r="P2785" t="s">
        <v>14800</v>
      </c>
      <c r="S2785" t="s">
        <v>14829</v>
      </c>
      <c r="V2785">
        <v>261</v>
      </c>
      <c r="W2785" t="s">
        <v>14859</v>
      </c>
      <c r="Z2785" t="s">
        <v>17235</v>
      </c>
      <c r="AB2785" t="s">
        <v>22266</v>
      </c>
      <c r="AC2785">
        <v>488</v>
      </c>
      <c r="AE2785" t="s">
        <v>11459</v>
      </c>
      <c r="AF2785">
        <v>20</v>
      </c>
      <c r="AG2785">
        <v>1</v>
      </c>
      <c r="AH2785">
        <v>0</v>
      </c>
      <c r="AI2785">
        <v>0</v>
      </c>
      <c r="AL2785" t="s">
        <v>5011</v>
      </c>
      <c r="AM2785">
        <v>0</v>
      </c>
      <c r="AS2785">
        <v>5.2</v>
      </c>
      <c r="AT2785" t="s">
        <v>490</v>
      </c>
      <c r="AU2785" t="s">
        <v>25275</v>
      </c>
      <c r="AW2785" t="s">
        <v>11447</v>
      </c>
    </row>
    <row r="2786" spans="1:49">
      <c r="A2786" s="1">
        <f>HYPERLINK("https://lsnyc.legalserver.org/matter/dynamic-profile/view/1907405","19-1907405")</f>
        <v>0</v>
      </c>
      <c r="B2786" t="s">
        <v>282</v>
      </c>
      <c r="C2786" t="s">
        <v>368</v>
      </c>
      <c r="E2786" t="s">
        <v>1025</v>
      </c>
      <c r="F2786" t="s">
        <v>4380</v>
      </c>
      <c r="G2786" t="s">
        <v>8266</v>
      </c>
      <c r="H2786" t="s">
        <v>10648</v>
      </c>
      <c r="I2786" t="s">
        <v>11385</v>
      </c>
      <c r="J2786">
        <v>11204</v>
      </c>
      <c r="K2786" t="s">
        <v>11447</v>
      </c>
      <c r="M2786" t="s">
        <v>14743</v>
      </c>
      <c r="N2786" t="s">
        <v>14778</v>
      </c>
      <c r="P2786" t="s">
        <v>14800</v>
      </c>
      <c r="S2786" t="s">
        <v>14827</v>
      </c>
      <c r="V2786">
        <v>1900</v>
      </c>
      <c r="W2786" t="s">
        <v>14859</v>
      </c>
      <c r="X2786" t="s">
        <v>14864</v>
      </c>
      <c r="Z2786" t="s">
        <v>15084</v>
      </c>
      <c r="AB2786" t="s">
        <v>22267</v>
      </c>
      <c r="AC2786">
        <v>2</v>
      </c>
      <c r="AF2786">
        <v>5</v>
      </c>
      <c r="AG2786">
        <v>3</v>
      </c>
      <c r="AH2786">
        <v>2</v>
      </c>
      <c r="AI2786">
        <v>0</v>
      </c>
      <c r="AL2786" t="s">
        <v>24632</v>
      </c>
      <c r="AM2786">
        <v>0</v>
      </c>
      <c r="AS2786">
        <v>0</v>
      </c>
      <c r="AU2786" t="s">
        <v>282</v>
      </c>
      <c r="AW2786" t="s">
        <v>11447</v>
      </c>
    </row>
    <row r="2787" spans="1:49">
      <c r="A2787" s="1">
        <f>HYPERLINK("https://lsnyc.legalserver.org/matter/dynamic-profile/view/1872834","18-1872834")</f>
        <v>0</v>
      </c>
      <c r="B2787" t="s">
        <v>193</v>
      </c>
      <c r="C2787" t="s">
        <v>590</v>
      </c>
      <c r="E2787" t="s">
        <v>2477</v>
      </c>
      <c r="F2787" t="s">
        <v>5060</v>
      </c>
      <c r="G2787" t="s">
        <v>6702</v>
      </c>
      <c r="H2787" t="s">
        <v>10493</v>
      </c>
      <c r="I2787" t="s">
        <v>11385</v>
      </c>
      <c r="J2787">
        <v>11203</v>
      </c>
      <c r="K2787" t="s">
        <v>11448</v>
      </c>
      <c r="L2787" t="s">
        <v>12499</v>
      </c>
      <c r="M2787" t="s">
        <v>14744</v>
      </c>
      <c r="N2787" t="s">
        <v>14781</v>
      </c>
      <c r="P2787" t="s">
        <v>14800</v>
      </c>
      <c r="S2787" t="s">
        <v>14827</v>
      </c>
      <c r="V2787">
        <v>1884.6</v>
      </c>
      <c r="W2787" t="s">
        <v>14859</v>
      </c>
      <c r="Z2787" t="s">
        <v>17236</v>
      </c>
      <c r="AA2787" t="s">
        <v>19566</v>
      </c>
      <c r="AB2787" t="s">
        <v>22268</v>
      </c>
      <c r="AC2787">
        <v>6</v>
      </c>
      <c r="AD2787" t="s">
        <v>24595</v>
      </c>
      <c r="AF2787">
        <v>10</v>
      </c>
      <c r="AG2787">
        <v>1</v>
      </c>
      <c r="AH2787">
        <v>0</v>
      </c>
      <c r="AI2787">
        <v>0</v>
      </c>
      <c r="AL2787" t="s">
        <v>5011</v>
      </c>
      <c r="AM2787">
        <v>0</v>
      </c>
      <c r="AS2787">
        <v>9.25</v>
      </c>
      <c r="AT2787" t="s">
        <v>362</v>
      </c>
      <c r="AU2787" t="s">
        <v>287</v>
      </c>
      <c r="AV2787" t="s">
        <v>25334</v>
      </c>
      <c r="AW2787" t="s">
        <v>11447</v>
      </c>
    </row>
    <row r="2788" spans="1:49">
      <c r="A2788" s="1">
        <f>HYPERLINK("https://lsnyc.legalserver.org/matter/dynamic-profile/view/1905035","19-1905035")</f>
        <v>0</v>
      </c>
      <c r="B2788" t="s">
        <v>262</v>
      </c>
      <c r="C2788" t="s">
        <v>456</v>
      </c>
      <c r="E2788" t="s">
        <v>1047</v>
      </c>
      <c r="F2788" t="s">
        <v>3755</v>
      </c>
      <c r="G2788" t="s">
        <v>8267</v>
      </c>
      <c r="H2788" t="s">
        <v>11050</v>
      </c>
      <c r="I2788" t="s">
        <v>11385</v>
      </c>
      <c r="J2788">
        <v>11226</v>
      </c>
      <c r="K2788" t="s">
        <v>11447</v>
      </c>
      <c r="M2788" t="s">
        <v>14746</v>
      </c>
      <c r="P2788" t="s">
        <v>14800</v>
      </c>
      <c r="S2788" t="s">
        <v>14827</v>
      </c>
      <c r="V2788">
        <v>0</v>
      </c>
      <c r="W2788" t="s">
        <v>14859</v>
      </c>
      <c r="Z2788" t="s">
        <v>17237</v>
      </c>
      <c r="AB2788" t="s">
        <v>22269</v>
      </c>
      <c r="AC2788">
        <v>0</v>
      </c>
      <c r="AF2788">
        <v>0</v>
      </c>
      <c r="AG2788">
        <v>2</v>
      </c>
      <c r="AH2788">
        <v>0</v>
      </c>
      <c r="AI2788">
        <v>1.42</v>
      </c>
      <c r="AL2788" t="s">
        <v>5011</v>
      </c>
      <c r="AM2788">
        <v>240</v>
      </c>
      <c r="AS2788">
        <v>0.3</v>
      </c>
      <c r="AT2788" t="s">
        <v>458</v>
      </c>
      <c r="AU2788" t="s">
        <v>25277</v>
      </c>
      <c r="AW2788" t="s">
        <v>11447</v>
      </c>
    </row>
    <row r="2789" spans="1:49">
      <c r="A2789" s="1">
        <f>HYPERLINK("https://lsnyc.legalserver.org/matter/dynamic-profile/view/1911762","19-1911762")</f>
        <v>0</v>
      </c>
      <c r="B2789" t="s">
        <v>255</v>
      </c>
      <c r="C2789" t="s">
        <v>505</v>
      </c>
      <c r="E2789" t="s">
        <v>2478</v>
      </c>
      <c r="F2789" t="s">
        <v>5061</v>
      </c>
      <c r="G2789" t="s">
        <v>8268</v>
      </c>
      <c r="H2789" t="s">
        <v>10918</v>
      </c>
      <c r="I2789" t="s">
        <v>11385</v>
      </c>
      <c r="J2789">
        <v>11220</v>
      </c>
      <c r="K2789" t="s">
        <v>11446</v>
      </c>
      <c r="L2789" t="s">
        <v>12500</v>
      </c>
      <c r="M2789" t="s">
        <v>14744</v>
      </c>
      <c r="P2789" t="s">
        <v>14800</v>
      </c>
      <c r="S2789" t="s">
        <v>14827</v>
      </c>
      <c r="V2789">
        <v>2010</v>
      </c>
      <c r="W2789" t="s">
        <v>14859</v>
      </c>
      <c r="X2789" t="s">
        <v>14865</v>
      </c>
      <c r="Z2789" t="s">
        <v>17238</v>
      </c>
      <c r="AB2789" t="s">
        <v>22270</v>
      </c>
      <c r="AC2789">
        <v>0</v>
      </c>
      <c r="AF2789">
        <v>0</v>
      </c>
      <c r="AG2789">
        <v>2</v>
      </c>
      <c r="AH2789">
        <v>3</v>
      </c>
      <c r="AI2789">
        <v>6.68</v>
      </c>
      <c r="AL2789" t="s">
        <v>5011</v>
      </c>
      <c r="AM2789">
        <v>2016</v>
      </c>
      <c r="AS2789">
        <v>3.25</v>
      </c>
      <c r="AT2789" t="s">
        <v>537</v>
      </c>
      <c r="AU2789" t="s">
        <v>25275</v>
      </c>
      <c r="AV2789" t="s">
        <v>25335</v>
      </c>
      <c r="AW2789" t="s">
        <v>11447</v>
      </c>
    </row>
    <row r="2790" spans="1:49">
      <c r="A2790" s="1">
        <f>HYPERLINK("https://lsnyc.legalserver.org/matter/dynamic-profile/view/1915091","19-1915091")</f>
        <v>0</v>
      </c>
      <c r="B2790" t="s">
        <v>286</v>
      </c>
      <c r="C2790" t="s">
        <v>495</v>
      </c>
      <c r="E2790" t="s">
        <v>1853</v>
      </c>
      <c r="F2790" t="s">
        <v>3577</v>
      </c>
      <c r="G2790" t="s">
        <v>8269</v>
      </c>
      <c r="H2790" t="s">
        <v>10575</v>
      </c>
      <c r="I2790" t="s">
        <v>11385</v>
      </c>
      <c r="J2790">
        <v>11238</v>
      </c>
      <c r="K2790" t="s">
        <v>11446</v>
      </c>
      <c r="L2790" t="s">
        <v>12501</v>
      </c>
      <c r="M2790" t="s">
        <v>14744</v>
      </c>
      <c r="N2790" t="s">
        <v>14782</v>
      </c>
      <c r="P2790" t="s">
        <v>14800</v>
      </c>
      <c r="S2790" t="s">
        <v>14827</v>
      </c>
      <c r="V2790">
        <v>982.4299999999999</v>
      </c>
      <c r="W2790" t="s">
        <v>14859</v>
      </c>
      <c r="Z2790" t="s">
        <v>17239</v>
      </c>
      <c r="AB2790" t="s">
        <v>22271</v>
      </c>
      <c r="AC2790">
        <v>0</v>
      </c>
      <c r="AF2790">
        <v>0</v>
      </c>
      <c r="AG2790">
        <v>2</v>
      </c>
      <c r="AH2790">
        <v>1</v>
      </c>
      <c r="AI2790">
        <v>10.3</v>
      </c>
      <c r="AL2790" t="s">
        <v>5011</v>
      </c>
      <c r="AM2790">
        <v>2196</v>
      </c>
      <c r="AS2790">
        <v>3.8</v>
      </c>
      <c r="AT2790" t="s">
        <v>495</v>
      </c>
      <c r="AU2790" t="s">
        <v>25306</v>
      </c>
      <c r="AV2790" t="s">
        <v>25335</v>
      </c>
      <c r="AW2790" t="s">
        <v>11447</v>
      </c>
    </row>
    <row r="2791" spans="1:49">
      <c r="A2791" s="1">
        <f>HYPERLINK("https://lsnyc.legalserver.org/matter/dynamic-profile/view/1906636","19-1906636")</f>
        <v>0</v>
      </c>
      <c r="B2791" t="s">
        <v>275</v>
      </c>
      <c r="C2791" t="s">
        <v>373</v>
      </c>
      <c r="E2791" t="s">
        <v>1506</v>
      </c>
      <c r="F2791" t="s">
        <v>5062</v>
      </c>
      <c r="G2791" t="s">
        <v>8270</v>
      </c>
      <c r="H2791" t="s">
        <v>11051</v>
      </c>
      <c r="I2791" t="s">
        <v>11385</v>
      </c>
      <c r="J2791">
        <v>11201</v>
      </c>
      <c r="K2791" t="s">
        <v>11448</v>
      </c>
      <c r="L2791" t="s">
        <v>12502</v>
      </c>
      <c r="M2791" t="s">
        <v>14746</v>
      </c>
      <c r="N2791" t="s">
        <v>14778</v>
      </c>
      <c r="P2791" t="s">
        <v>14800</v>
      </c>
      <c r="S2791" t="s">
        <v>14828</v>
      </c>
      <c r="V2791">
        <v>449</v>
      </c>
      <c r="W2791" t="s">
        <v>14859</v>
      </c>
      <c r="X2791" t="s">
        <v>14865</v>
      </c>
      <c r="Z2791" t="s">
        <v>17240</v>
      </c>
      <c r="AB2791" t="s">
        <v>22272</v>
      </c>
      <c r="AC2791">
        <v>140</v>
      </c>
      <c r="AF2791">
        <v>0</v>
      </c>
      <c r="AG2791">
        <v>2</v>
      </c>
      <c r="AH2791">
        <v>1</v>
      </c>
      <c r="AI2791">
        <v>11.09</v>
      </c>
      <c r="AL2791" t="s">
        <v>5011</v>
      </c>
      <c r="AM2791">
        <v>2366</v>
      </c>
      <c r="AS2791">
        <v>0.6</v>
      </c>
      <c r="AT2791" t="s">
        <v>373</v>
      </c>
      <c r="AU2791" t="s">
        <v>25235</v>
      </c>
      <c r="AV2791" t="s">
        <v>25335</v>
      </c>
      <c r="AW2791" t="s">
        <v>11447</v>
      </c>
    </row>
    <row r="2792" spans="1:49">
      <c r="A2792" s="1">
        <f>HYPERLINK("https://lsnyc.legalserver.org/matter/dynamic-profile/view/1914297","19-1914297")</f>
        <v>0</v>
      </c>
      <c r="B2792" t="s">
        <v>193</v>
      </c>
      <c r="C2792" t="s">
        <v>533</v>
      </c>
      <c r="E2792" t="s">
        <v>1249</v>
      </c>
      <c r="F2792" t="s">
        <v>3877</v>
      </c>
      <c r="G2792" t="s">
        <v>8271</v>
      </c>
      <c r="H2792" t="s">
        <v>10524</v>
      </c>
      <c r="I2792" t="s">
        <v>11385</v>
      </c>
      <c r="J2792">
        <v>11218</v>
      </c>
      <c r="K2792" t="s">
        <v>11447</v>
      </c>
      <c r="P2792" t="s">
        <v>14800</v>
      </c>
      <c r="S2792" t="s">
        <v>14827</v>
      </c>
      <c r="V2792">
        <v>263</v>
      </c>
      <c r="W2792" t="s">
        <v>14859</v>
      </c>
      <c r="Z2792" t="s">
        <v>17241</v>
      </c>
      <c r="AB2792" t="s">
        <v>22273</v>
      </c>
      <c r="AC2792">
        <v>0</v>
      </c>
      <c r="AD2792" t="s">
        <v>24596</v>
      </c>
      <c r="AF2792">
        <v>34</v>
      </c>
      <c r="AG2792">
        <v>1</v>
      </c>
      <c r="AH2792">
        <v>0</v>
      </c>
      <c r="AI2792">
        <v>13.84</v>
      </c>
      <c r="AL2792" t="s">
        <v>24632</v>
      </c>
      <c r="AM2792">
        <v>1728</v>
      </c>
      <c r="AS2792">
        <v>3.4</v>
      </c>
      <c r="AT2792" t="s">
        <v>495</v>
      </c>
      <c r="AU2792" t="s">
        <v>25273</v>
      </c>
      <c r="AW2792" t="s">
        <v>11447</v>
      </c>
    </row>
    <row r="2793" spans="1:49">
      <c r="A2793" s="1">
        <f>HYPERLINK("https://lsnyc.legalserver.org/matter/dynamic-profile/view/1913044","19-1913044")</f>
        <v>0</v>
      </c>
      <c r="B2793" t="s">
        <v>282</v>
      </c>
      <c r="C2793" t="s">
        <v>603</v>
      </c>
      <c r="E2793" t="s">
        <v>1181</v>
      </c>
      <c r="F2793" t="s">
        <v>5063</v>
      </c>
      <c r="G2793" t="s">
        <v>8257</v>
      </c>
      <c r="H2793" t="s">
        <v>11052</v>
      </c>
      <c r="I2793" t="s">
        <v>11385</v>
      </c>
      <c r="J2793">
        <v>11236</v>
      </c>
      <c r="K2793" t="s">
        <v>11447</v>
      </c>
      <c r="M2793" t="s">
        <v>14743</v>
      </c>
      <c r="N2793" t="s">
        <v>14778</v>
      </c>
      <c r="P2793" t="s">
        <v>14800</v>
      </c>
      <c r="S2793" t="s">
        <v>14827</v>
      </c>
      <c r="V2793">
        <v>0</v>
      </c>
      <c r="W2793" t="s">
        <v>14859</v>
      </c>
      <c r="Z2793" t="s">
        <v>17242</v>
      </c>
      <c r="AB2793" t="s">
        <v>22274</v>
      </c>
      <c r="AC2793">
        <v>0</v>
      </c>
      <c r="AE2793" t="s">
        <v>24612</v>
      </c>
      <c r="AF2793">
        <v>1</v>
      </c>
      <c r="AG2793">
        <v>1</v>
      </c>
      <c r="AH2793">
        <v>0</v>
      </c>
      <c r="AI2793">
        <v>19.05</v>
      </c>
      <c r="AL2793" t="s">
        <v>5011</v>
      </c>
      <c r="AM2793">
        <v>2379</v>
      </c>
      <c r="AS2793">
        <v>2.3</v>
      </c>
      <c r="AT2793" t="s">
        <v>478</v>
      </c>
      <c r="AU2793" t="s">
        <v>25230</v>
      </c>
      <c r="AW2793" t="s">
        <v>11447</v>
      </c>
    </row>
    <row r="2794" spans="1:49">
      <c r="A2794" s="1">
        <f>HYPERLINK("https://lsnyc.legalserver.org/matter/dynamic-profile/view/1896037","19-1896037")</f>
        <v>0</v>
      </c>
      <c r="B2794" t="s">
        <v>129</v>
      </c>
      <c r="C2794" t="s">
        <v>432</v>
      </c>
      <c r="E2794" t="s">
        <v>1265</v>
      </c>
      <c r="F2794" t="s">
        <v>3769</v>
      </c>
      <c r="G2794" t="s">
        <v>8272</v>
      </c>
      <c r="H2794" t="s">
        <v>10460</v>
      </c>
      <c r="I2794" t="s">
        <v>11385</v>
      </c>
      <c r="J2794">
        <v>11238</v>
      </c>
      <c r="K2794" t="s">
        <v>11447</v>
      </c>
      <c r="L2794" t="s">
        <v>12503</v>
      </c>
      <c r="M2794" t="s">
        <v>14744</v>
      </c>
      <c r="N2794" t="s">
        <v>14781</v>
      </c>
      <c r="P2794" t="s">
        <v>14800</v>
      </c>
      <c r="Q2794" t="s">
        <v>11448</v>
      </c>
      <c r="S2794" t="s">
        <v>14827</v>
      </c>
      <c r="V2794">
        <v>981.67</v>
      </c>
      <c r="W2794" t="s">
        <v>14859</v>
      </c>
      <c r="X2794" t="s">
        <v>14868</v>
      </c>
      <c r="Z2794" t="s">
        <v>17243</v>
      </c>
      <c r="AB2794" t="s">
        <v>22275</v>
      </c>
      <c r="AC2794">
        <v>7</v>
      </c>
      <c r="AD2794" t="s">
        <v>24595</v>
      </c>
      <c r="AE2794" t="s">
        <v>11459</v>
      </c>
      <c r="AF2794">
        <v>30</v>
      </c>
      <c r="AG2794">
        <v>1</v>
      </c>
      <c r="AH2794">
        <v>0</v>
      </c>
      <c r="AI2794">
        <v>20.82</v>
      </c>
      <c r="AL2794" t="s">
        <v>5011</v>
      </c>
      <c r="AM2794">
        <v>2600</v>
      </c>
      <c r="AS2794">
        <v>35.65</v>
      </c>
      <c r="AT2794" t="s">
        <v>515</v>
      </c>
      <c r="AU2794" t="s">
        <v>25226</v>
      </c>
      <c r="AW2794" t="s">
        <v>11447</v>
      </c>
    </row>
    <row r="2795" spans="1:49">
      <c r="A2795" s="1">
        <f>HYPERLINK("https://lsnyc.legalserver.org/matter/dynamic-profile/view/1913405","19-1913405")</f>
        <v>0</v>
      </c>
      <c r="B2795" t="s">
        <v>282</v>
      </c>
      <c r="C2795" t="s">
        <v>483</v>
      </c>
      <c r="E2795" t="s">
        <v>2479</v>
      </c>
      <c r="F2795" t="s">
        <v>5064</v>
      </c>
      <c r="G2795" t="s">
        <v>8273</v>
      </c>
      <c r="H2795" t="s">
        <v>11053</v>
      </c>
      <c r="I2795" t="s">
        <v>11385</v>
      </c>
      <c r="J2795">
        <v>11223</v>
      </c>
      <c r="K2795" t="s">
        <v>11447</v>
      </c>
      <c r="N2795" t="s">
        <v>14778</v>
      </c>
      <c r="P2795" t="s">
        <v>14800</v>
      </c>
      <c r="S2795" t="s">
        <v>14827</v>
      </c>
      <c r="V2795">
        <v>0</v>
      </c>
      <c r="W2795" t="s">
        <v>14859</v>
      </c>
      <c r="Z2795" t="s">
        <v>17244</v>
      </c>
      <c r="AB2795" t="s">
        <v>22276</v>
      </c>
      <c r="AC2795">
        <v>0</v>
      </c>
      <c r="AF2795">
        <v>0</v>
      </c>
      <c r="AG2795">
        <v>2</v>
      </c>
      <c r="AH2795">
        <v>0</v>
      </c>
      <c r="AI2795">
        <v>24.48</v>
      </c>
      <c r="AL2795" t="s">
        <v>24632</v>
      </c>
      <c r="AM2795">
        <v>4140</v>
      </c>
      <c r="AS2795">
        <v>1.4</v>
      </c>
      <c r="AT2795" t="s">
        <v>483</v>
      </c>
      <c r="AU2795" t="s">
        <v>282</v>
      </c>
      <c r="AW2795" t="s">
        <v>11447</v>
      </c>
    </row>
    <row r="2796" spans="1:49">
      <c r="A2796" s="1">
        <f>HYPERLINK("https://lsnyc.legalserver.org/matter/dynamic-profile/view/1906438","19-1906438")</f>
        <v>0</v>
      </c>
      <c r="B2796" t="s">
        <v>103</v>
      </c>
      <c r="C2796" t="s">
        <v>485</v>
      </c>
      <c r="E2796" t="s">
        <v>1545</v>
      </c>
      <c r="F2796" t="s">
        <v>3373</v>
      </c>
      <c r="G2796" t="s">
        <v>7444</v>
      </c>
      <c r="H2796" t="s">
        <v>11054</v>
      </c>
      <c r="I2796" t="s">
        <v>11385</v>
      </c>
      <c r="J2796">
        <v>11212</v>
      </c>
      <c r="K2796" t="s">
        <v>11446</v>
      </c>
      <c r="L2796" t="s">
        <v>12504</v>
      </c>
      <c r="N2796" t="s">
        <v>14781</v>
      </c>
      <c r="P2796" t="s">
        <v>14800</v>
      </c>
      <c r="S2796" t="s">
        <v>14827</v>
      </c>
      <c r="V2796">
        <v>217</v>
      </c>
      <c r="W2796" t="s">
        <v>14859</v>
      </c>
      <c r="X2796" t="s">
        <v>14865</v>
      </c>
      <c r="Z2796" t="s">
        <v>17245</v>
      </c>
      <c r="AB2796" t="s">
        <v>22277</v>
      </c>
      <c r="AC2796">
        <v>0</v>
      </c>
      <c r="AF2796">
        <v>6</v>
      </c>
      <c r="AG2796">
        <v>1</v>
      </c>
      <c r="AH2796">
        <v>4</v>
      </c>
      <c r="AI2796">
        <v>25.73</v>
      </c>
      <c r="AL2796" t="s">
        <v>5011</v>
      </c>
      <c r="AM2796">
        <v>7764</v>
      </c>
      <c r="AS2796">
        <v>5.5</v>
      </c>
      <c r="AT2796" t="s">
        <v>564</v>
      </c>
      <c r="AU2796" t="s">
        <v>25275</v>
      </c>
      <c r="AV2796" t="s">
        <v>25335</v>
      </c>
      <c r="AW2796" t="s">
        <v>11447</v>
      </c>
    </row>
    <row r="2797" spans="1:49">
      <c r="A2797" s="1">
        <f>HYPERLINK("https://lsnyc.legalserver.org/matter/dynamic-profile/view/1907127","19-1907127")</f>
        <v>0</v>
      </c>
      <c r="B2797" t="s">
        <v>282</v>
      </c>
      <c r="C2797" t="s">
        <v>379</v>
      </c>
      <c r="E2797" t="s">
        <v>1914</v>
      </c>
      <c r="F2797" t="s">
        <v>1067</v>
      </c>
      <c r="G2797" t="s">
        <v>8274</v>
      </c>
      <c r="H2797" t="s">
        <v>10463</v>
      </c>
      <c r="I2797" t="s">
        <v>11385</v>
      </c>
      <c r="J2797">
        <v>11213</v>
      </c>
      <c r="K2797" t="s">
        <v>11447</v>
      </c>
      <c r="M2797" t="s">
        <v>14744</v>
      </c>
      <c r="N2797" t="s">
        <v>14779</v>
      </c>
      <c r="P2797" t="s">
        <v>14800</v>
      </c>
      <c r="S2797" t="s">
        <v>14827</v>
      </c>
      <c r="V2797">
        <v>637.45</v>
      </c>
      <c r="W2797" t="s">
        <v>14859</v>
      </c>
      <c r="X2797" t="s">
        <v>14865</v>
      </c>
      <c r="Z2797" t="s">
        <v>17246</v>
      </c>
      <c r="AB2797" t="s">
        <v>22278</v>
      </c>
      <c r="AC2797">
        <v>7</v>
      </c>
      <c r="AE2797" t="s">
        <v>24613</v>
      </c>
      <c r="AF2797">
        <v>50</v>
      </c>
      <c r="AG2797">
        <v>1</v>
      </c>
      <c r="AH2797">
        <v>0</v>
      </c>
      <c r="AI2797">
        <v>28.82</v>
      </c>
      <c r="AL2797" t="s">
        <v>5011</v>
      </c>
      <c r="AM2797">
        <v>3600</v>
      </c>
      <c r="AS2797">
        <v>6.7</v>
      </c>
      <c r="AT2797" t="s">
        <v>467</v>
      </c>
      <c r="AU2797" t="s">
        <v>25230</v>
      </c>
      <c r="AW2797" t="s">
        <v>11447</v>
      </c>
    </row>
    <row r="2798" spans="1:49">
      <c r="A2798" s="1">
        <f>HYPERLINK("https://lsnyc.legalserver.org/matter/dynamic-profile/view/1845010","17-1845010")</f>
        <v>0</v>
      </c>
      <c r="B2798" t="s">
        <v>228</v>
      </c>
      <c r="C2798" t="s">
        <v>777</v>
      </c>
      <c r="E2798" t="s">
        <v>2480</v>
      </c>
      <c r="F2798" t="s">
        <v>3724</v>
      </c>
      <c r="G2798" t="s">
        <v>8275</v>
      </c>
      <c r="H2798" t="s">
        <v>10790</v>
      </c>
      <c r="I2798" t="s">
        <v>11385</v>
      </c>
      <c r="J2798">
        <v>11217</v>
      </c>
      <c r="K2798" t="s">
        <v>11448</v>
      </c>
      <c r="M2798" t="s">
        <v>14744</v>
      </c>
      <c r="N2798" t="s">
        <v>14783</v>
      </c>
      <c r="P2798" t="s">
        <v>14800</v>
      </c>
      <c r="S2798" t="s">
        <v>14828</v>
      </c>
      <c r="V2798">
        <v>0</v>
      </c>
      <c r="W2798" t="s">
        <v>14859</v>
      </c>
      <c r="Z2798" t="s">
        <v>17247</v>
      </c>
      <c r="AB2798" t="s">
        <v>22279</v>
      </c>
      <c r="AC2798">
        <v>0</v>
      </c>
      <c r="AF2798">
        <v>0</v>
      </c>
      <c r="AG2798">
        <v>2</v>
      </c>
      <c r="AH2798">
        <v>3</v>
      </c>
      <c r="AI2798">
        <v>28.91</v>
      </c>
      <c r="AL2798" t="s">
        <v>24632</v>
      </c>
      <c r="AM2798">
        <v>8320</v>
      </c>
      <c r="AS2798">
        <v>9.300000000000001</v>
      </c>
      <c r="AT2798" t="s">
        <v>839</v>
      </c>
      <c r="AU2798" t="s">
        <v>25307</v>
      </c>
      <c r="AW2798" t="s">
        <v>11447</v>
      </c>
    </row>
    <row r="2799" spans="1:49">
      <c r="A2799" s="1">
        <f>HYPERLINK("https://lsnyc.legalserver.org/matter/dynamic-profile/view/1915283","19-1915283")</f>
        <v>0</v>
      </c>
      <c r="B2799" t="s">
        <v>151</v>
      </c>
      <c r="C2799" t="s">
        <v>509</v>
      </c>
      <c r="E2799" t="s">
        <v>1359</v>
      </c>
      <c r="F2799" t="s">
        <v>5065</v>
      </c>
      <c r="G2799" t="s">
        <v>8276</v>
      </c>
      <c r="H2799" t="s">
        <v>10909</v>
      </c>
      <c r="I2799" t="s">
        <v>11385</v>
      </c>
      <c r="J2799">
        <v>11210</v>
      </c>
      <c r="K2799" t="s">
        <v>11446</v>
      </c>
      <c r="L2799" t="s">
        <v>12505</v>
      </c>
      <c r="M2799" t="s">
        <v>14744</v>
      </c>
      <c r="N2799" t="s">
        <v>14782</v>
      </c>
      <c r="P2799" t="s">
        <v>14800</v>
      </c>
      <c r="S2799" t="s">
        <v>14827</v>
      </c>
      <c r="V2799">
        <v>1302.17</v>
      </c>
      <c r="W2799" t="s">
        <v>14859</v>
      </c>
      <c r="X2799" t="s">
        <v>14865</v>
      </c>
      <c r="Z2799" t="s">
        <v>15948</v>
      </c>
      <c r="AB2799" t="s">
        <v>22280</v>
      </c>
      <c r="AC2799">
        <v>0</v>
      </c>
      <c r="AF2799">
        <v>16</v>
      </c>
      <c r="AG2799">
        <v>4</v>
      </c>
      <c r="AH2799">
        <v>1</v>
      </c>
      <c r="AI2799">
        <v>29.95</v>
      </c>
      <c r="AL2799" t="s">
        <v>5011</v>
      </c>
      <c r="AM2799">
        <v>9036</v>
      </c>
      <c r="AS2799">
        <v>0</v>
      </c>
      <c r="AU2799" t="s">
        <v>25235</v>
      </c>
      <c r="AV2799" t="s">
        <v>25335</v>
      </c>
      <c r="AW2799" t="s">
        <v>11447</v>
      </c>
    </row>
    <row r="2800" spans="1:49">
      <c r="A2800" s="1">
        <f>HYPERLINK("https://lsnyc.legalserver.org/matter/dynamic-profile/view/1898577","19-1898577")</f>
        <v>0</v>
      </c>
      <c r="B2800" t="s">
        <v>141</v>
      </c>
      <c r="C2800" t="s">
        <v>411</v>
      </c>
      <c r="E2800" t="s">
        <v>1851</v>
      </c>
      <c r="F2800" t="s">
        <v>5066</v>
      </c>
      <c r="G2800" t="s">
        <v>8277</v>
      </c>
      <c r="H2800" t="s">
        <v>11055</v>
      </c>
      <c r="I2800" t="s">
        <v>11385</v>
      </c>
      <c r="J2800">
        <v>11233</v>
      </c>
      <c r="K2800" t="s">
        <v>11448</v>
      </c>
      <c r="L2800" t="s">
        <v>12506</v>
      </c>
      <c r="M2800" t="s">
        <v>14744</v>
      </c>
      <c r="N2800" t="s">
        <v>14781</v>
      </c>
      <c r="P2800" t="s">
        <v>14800</v>
      </c>
      <c r="S2800" t="s">
        <v>14828</v>
      </c>
      <c r="V2800">
        <v>751</v>
      </c>
      <c r="W2800" t="s">
        <v>14859</v>
      </c>
      <c r="X2800" t="s">
        <v>14865</v>
      </c>
      <c r="Z2800" t="s">
        <v>17248</v>
      </c>
      <c r="AA2800" t="s">
        <v>19567</v>
      </c>
      <c r="AB2800" t="s">
        <v>22281</v>
      </c>
      <c r="AC2800">
        <v>3</v>
      </c>
      <c r="AD2800" t="s">
        <v>24602</v>
      </c>
      <c r="AE2800" t="s">
        <v>11459</v>
      </c>
      <c r="AF2800">
        <v>12</v>
      </c>
      <c r="AG2800">
        <v>2</v>
      </c>
      <c r="AH2800">
        <v>0</v>
      </c>
      <c r="AI2800">
        <v>32</v>
      </c>
      <c r="AL2800" t="s">
        <v>24632</v>
      </c>
      <c r="AM2800">
        <v>5412</v>
      </c>
      <c r="AS2800">
        <v>7.8</v>
      </c>
      <c r="AT2800" t="s">
        <v>580</v>
      </c>
      <c r="AU2800" t="s">
        <v>25275</v>
      </c>
      <c r="AW2800" t="s">
        <v>11448</v>
      </c>
    </row>
    <row r="2801" spans="1:49">
      <c r="A2801" s="1">
        <f>HYPERLINK("https://lsnyc.legalserver.org/matter/dynamic-profile/view/1908398","19-1908398")</f>
        <v>0</v>
      </c>
      <c r="B2801" t="s">
        <v>267</v>
      </c>
      <c r="C2801" t="s">
        <v>380</v>
      </c>
      <c r="E2801" t="s">
        <v>1181</v>
      </c>
      <c r="F2801" t="s">
        <v>1816</v>
      </c>
      <c r="G2801" t="s">
        <v>7947</v>
      </c>
      <c r="H2801" t="s">
        <v>10448</v>
      </c>
      <c r="I2801" t="s">
        <v>11385</v>
      </c>
      <c r="J2801">
        <v>11226</v>
      </c>
      <c r="K2801" t="s">
        <v>11447</v>
      </c>
      <c r="M2801" t="s">
        <v>14767</v>
      </c>
      <c r="N2801" t="s">
        <v>14780</v>
      </c>
      <c r="P2801" t="s">
        <v>14800</v>
      </c>
      <c r="Q2801" t="s">
        <v>11448</v>
      </c>
      <c r="S2801" t="s">
        <v>14829</v>
      </c>
      <c r="V2801">
        <v>1378.1</v>
      </c>
      <c r="W2801" t="s">
        <v>14859</v>
      </c>
      <c r="X2801" t="s">
        <v>14868</v>
      </c>
      <c r="Z2801" t="s">
        <v>16912</v>
      </c>
      <c r="AB2801" t="s">
        <v>21935</v>
      </c>
      <c r="AC2801">
        <v>0</v>
      </c>
      <c r="AD2801" t="s">
        <v>24595</v>
      </c>
      <c r="AE2801" t="s">
        <v>24610</v>
      </c>
      <c r="AF2801">
        <v>35</v>
      </c>
      <c r="AG2801">
        <v>2</v>
      </c>
      <c r="AH2801">
        <v>2</v>
      </c>
      <c r="AI2801">
        <v>34.02</v>
      </c>
      <c r="AL2801" t="s">
        <v>5011</v>
      </c>
      <c r="AM2801">
        <v>8759.4</v>
      </c>
      <c r="AS2801">
        <v>9.5</v>
      </c>
      <c r="AT2801" t="s">
        <v>574</v>
      </c>
      <c r="AU2801" t="s">
        <v>267</v>
      </c>
      <c r="AW2801" t="s">
        <v>11447</v>
      </c>
    </row>
    <row r="2802" spans="1:49">
      <c r="A2802" s="1">
        <f>HYPERLINK("https://lsnyc.legalserver.org/matter/dynamic-profile/view/1894720","19-1894720")</f>
        <v>0</v>
      </c>
      <c r="B2802" t="s">
        <v>193</v>
      </c>
      <c r="C2802" t="s">
        <v>339</v>
      </c>
      <c r="E2802" t="s">
        <v>2481</v>
      </c>
      <c r="F2802" t="s">
        <v>5067</v>
      </c>
      <c r="G2802" t="s">
        <v>8278</v>
      </c>
      <c r="H2802" t="s">
        <v>11056</v>
      </c>
      <c r="I2802" t="s">
        <v>11385</v>
      </c>
      <c r="J2802">
        <v>11238</v>
      </c>
      <c r="K2802" t="s">
        <v>11447</v>
      </c>
      <c r="L2802" t="s">
        <v>12507</v>
      </c>
      <c r="M2802" t="s">
        <v>14744</v>
      </c>
      <c r="N2802" t="s">
        <v>14779</v>
      </c>
      <c r="P2802" t="s">
        <v>14800</v>
      </c>
      <c r="S2802" t="s">
        <v>14827</v>
      </c>
      <c r="V2802">
        <v>1380.76</v>
      </c>
      <c r="W2802" t="s">
        <v>14859</v>
      </c>
      <c r="X2802" t="s">
        <v>14868</v>
      </c>
      <c r="Z2802" t="s">
        <v>17249</v>
      </c>
      <c r="AB2802" t="s">
        <v>22282</v>
      </c>
      <c r="AC2802">
        <v>0</v>
      </c>
      <c r="AD2802" t="s">
        <v>24595</v>
      </c>
      <c r="AF2802">
        <v>19</v>
      </c>
      <c r="AG2802">
        <v>1</v>
      </c>
      <c r="AH2802">
        <v>0</v>
      </c>
      <c r="AI2802">
        <v>36.12</v>
      </c>
      <c r="AL2802" t="s">
        <v>5011</v>
      </c>
      <c r="AM2802">
        <v>4512</v>
      </c>
      <c r="AS2802">
        <v>4.7</v>
      </c>
      <c r="AT2802" t="s">
        <v>331</v>
      </c>
      <c r="AU2802" t="s">
        <v>193</v>
      </c>
      <c r="AW2802" t="s">
        <v>11447</v>
      </c>
    </row>
    <row r="2803" spans="1:49">
      <c r="A2803" s="1">
        <f>HYPERLINK("https://lsnyc.legalserver.org/matter/dynamic-profile/view/1890458","19-1890458")</f>
        <v>0</v>
      </c>
      <c r="B2803" t="s">
        <v>193</v>
      </c>
      <c r="C2803" t="s">
        <v>676</v>
      </c>
      <c r="E2803" t="s">
        <v>2482</v>
      </c>
      <c r="F2803" t="s">
        <v>4909</v>
      </c>
      <c r="G2803" t="s">
        <v>8279</v>
      </c>
      <c r="H2803" t="s">
        <v>10719</v>
      </c>
      <c r="I2803" t="s">
        <v>11385</v>
      </c>
      <c r="J2803">
        <v>11233</v>
      </c>
      <c r="K2803" t="s">
        <v>11447</v>
      </c>
      <c r="L2803" t="s">
        <v>12508</v>
      </c>
      <c r="M2803" t="s">
        <v>14744</v>
      </c>
      <c r="N2803" t="s">
        <v>14779</v>
      </c>
      <c r="P2803" t="s">
        <v>14800</v>
      </c>
      <c r="Q2803" t="s">
        <v>11448</v>
      </c>
      <c r="S2803" t="s">
        <v>14827</v>
      </c>
      <c r="V2803">
        <v>490</v>
      </c>
      <c r="W2803" t="s">
        <v>14859</v>
      </c>
      <c r="X2803" t="s">
        <v>14868</v>
      </c>
      <c r="Z2803" t="s">
        <v>17250</v>
      </c>
      <c r="AC2803">
        <v>0</v>
      </c>
      <c r="AD2803" t="s">
        <v>24595</v>
      </c>
      <c r="AF2803">
        <v>14</v>
      </c>
      <c r="AG2803">
        <v>1</v>
      </c>
      <c r="AH2803">
        <v>0</v>
      </c>
      <c r="AI2803">
        <v>37.05</v>
      </c>
      <c r="AL2803" t="s">
        <v>5011</v>
      </c>
      <c r="AM2803">
        <v>4628</v>
      </c>
      <c r="AS2803">
        <v>5.4</v>
      </c>
      <c r="AT2803" t="s">
        <v>608</v>
      </c>
      <c r="AU2803" t="s">
        <v>91</v>
      </c>
      <c r="AW2803" t="s">
        <v>11447</v>
      </c>
    </row>
    <row r="2804" spans="1:49">
      <c r="A2804" s="1">
        <f>HYPERLINK("https://lsnyc.legalserver.org/matter/dynamic-profile/view/1875966","18-1875966")</f>
        <v>0</v>
      </c>
      <c r="B2804" t="s">
        <v>193</v>
      </c>
      <c r="C2804" t="s">
        <v>335</v>
      </c>
      <c r="E2804" t="s">
        <v>2483</v>
      </c>
      <c r="F2804" t="s">
        <v>4951</v>
      </c>
      <c r="G2804" t="s">
        <v>8280</v>
      </c>
      <c r="H2804" t="s">
        <v>11057</v>
      </c>
      <c r="I2804" t="s">
        <v>11385</v>
      </c>
      <c r="J2804">
        <v>11224</v>
      </c>
      <c r="K2804" t="s">
        <v>11447</v>
      </c>
      <c r="N2804" t="s">
        <v>14781</v>
      </c>
      <c r="P2804" t="s">
        <v>14800</v>
      </c>
      <c r="S2804" t="s">
        <v>14827</v>
      </c>
      <c r="V2804">
        <v>0</v>
      </c>
      <c r="W2804" t="s">
        <v>14859</v>
      </c>
      <c r="Z2804" t="s">
        <v>17251</v>
      </c>
      <c r="AB2804" t="s">
        <v>22283</v>
      </c>
      <c r="AC2804">
        <v>0</v>
      </c>
      <c r="AF2804">
        <v>0</v>
      </c>
      <c r="AG2804">
        <v>1</v>
      </c>
      <c r="AH2804">
        <v>0</v>
      </c>
      <c r="AI2804">
        <v>40.26</v>
      </c>
      <c r="AL2804" t="s">
        <v>5011</v>
      </c>
      <c r="AM2804">
        <v>4888</v>
      </c>
      <c r="AS2804">
        <v>18.55</v>
      </c>
      <c r="AT2804" t="s">
        <v>476</v>
      </c>
      <c r="AU2804" t="s">
        <v>25273</v>
      </c>
      <c r="AW2804" t="s">
        <v>11447</v>
      </c>
    </row>
    <row r="2805" spans="1:49">
      <c r="A2805" s="1">
        <f>HYPERLINK("https://lsnyc.legalserver.org/matter/dynamic-profile/view/1910581","19-1910581")</f>
        <v>0</v>
      </c>
      <c r="B2805" t="s">
        <v>146</v>
      </c>
      <c r="C2805" t="s">
        <v>644</v>
      </c>
      <c r="E2805" t="s">
        <v>2484</v>
      </c>
      <c r="F2805" t="s">
        <v>5068</v>
      </c>
      <c r="G2805" t="s">
        <v>8281</v>
      </c>
      <c r="H2805">
        <v>5</v>
      </c>
      <c r="I2805" t="s">
        <v>11385</v>
      </c>
      <c r="J2805">
        <v>11213</v>
      </c>
      <c r="K2805" t="s">
        <v>11447</v>
      </c>
      <c r="L2805" t="s">
        <v>12509</v>
      </c>
      <c r="M2805" t="s">
        <v>14743</v>
      </c>
      <c r="N2805" t="s">
        <v>14779</v>
      </c>
      <c r="P2805" t="s">
        <v>14800</v>
      </c>
      <c r="S2805" t="s">
        <v>14827</v>
      </c>
      <c r="V2805">
        <v>481</v>
      </c>
      <c r="W2805" t="s">
        <v>14859</v>
      </c>
      <c r="X2805" t="s">
        <v>14872</v>
      </c>
      <c r="Z2805" t="s">
        <v>17252</v>
      </c>
      <c r="AB2805" t="s">
        <v>22284</v>
      </c>
      <c r="AC2805">
        <v>6</v>
      </c>
      <c r="AD2805" t="s">
        <v>24595</v>
      </c>
      <c r="AE2805" t="s">
        <v>24610</v>
      </c>
      <c r="AF2805">
        <v>5</v>
      </c>
      <c r="AG2805">
        <v>2</v>
      </c>
      <c r="AH2805">
        <v>1</v>
      </c>
      <c r="AI2805">
        <v>45.46</v>
      </c>
      <c r="AL2805" t="s">
        <v>5011</v>
      </c>
      <c r="AM2805">
        <v>9696</v>
      </c>
      <c r="AS2805">
        <v>15.7</v>
      </c>
      <c r="AT2805" t="s">
        <v>495</v>
      </c>
      <c r="AU2805" t="s">
        <v>25230</v>
      </c>
      <c r="AW2805" t="s">
        <v>11447</v>
      </c>
    </row>
    <row r="2806" spans="1:49">
      <c r="A2806" s="1">
        <f>HYPERLINK("https://lsnyc.legalserver.org/matter/dynamic-profile/view/0748387","14-0748387")</f>
        <v>0</v>
      </c>
      <c r="B2806" t="s">
        <v>244</v>
      </c>
      <c r="C2806" t="s">
        <v>778</v>
      </c>
      <c r="E2806" t="s">
        <v>2485</v>
      </c>
      <c r="F2806" t="s">
        <v>5069</v>
      </c>
      <c r="G2806" t="s">
        <v>8282</v>
      </c>
      <c r="H2806">
        <v>2</v>
      </c>
      <c r="I2806" t="s">
        <v>11385</v>
      </c>
      <c r="J2806">
        <v>11211</v>
      </c>
      <c r="K2806" t="s">
        <v>11448</v>
      </c>
      <c r="L2806" t="s">
        <v>12510</v>
      </c>
      <c r="N2806" t="s">
        <v>14781</v>
      </c>
      <c r="P2806" t="s">
        <v>14800</v>
      </c>
      <c r="S2806" t="s">
        <v>14827</v>
      </c>
      <c r="V2806">
        <v>0</v>
      </c>
      <c r="W2806" t="s">
        <v>14859</v>
      </c>
      <c r="X2806" t="s">
        <v>14872</v>
      </c>
      <c r="Y2806" t="s">
        <v>14883</v>
      </c>
      <c r="Z2806" t="s">
        <v>17253</v>
      </c>
      <c r="AA2806" t="s">
        <v>19568</v>
      </c>
      <c r="AB2806" t="s">
        <v>22285</v>
      </c>
      <c r="AC2806">
        <v>0</v>
      </c>
      <c r="AF2806">
        <v>0</v>
      </c>
      <c r="AG2806">
        <v>4</v>
      </c>
      <c r="AH2806">
        <v>2</v>
      </c>
      <c r="AI2806">
        <v>47.37</v>
      </c>
      <c r="AL2806" t="s">
        <v>5011</v>
      </c>
      <c r="AM2806">
        <v>15144</v>
      </c>
      <c r="AS2806">
        <v>32.9</v>
      </c>
      <c r="AT2806" t="s">
        <v>513</v>
      </c>
      <c r="AU2806" t="s">
        <v>25308</v>
      </c>
      <c r="AW2806" t="s">
        <v>11447</v>
      </c>
    </row>
    <row r="2807" spans="1:49">
      <c r="A2807" s="1">
        <f>HYPERLINK("https://lsnyc.legalserver.org/matter/dynamic-profile/view/1906426","19-1906426")</f>
        <v>0</v>
      </c>
      <c r="B2807" t="s">
        <v>191</v>
      </c>
      <c r="C2807" t="s">
        <v>485</v>
      </c>
      <c r="E2807" t="s">
        <v>2486</v>
      </c>
      <c r="F2807" t="s">
        <v>5070</v>
      </c>
      <c r="G2807" t="s">
        <v>8283</v>
      </c>
      <c r="H2807" t="s">
        <v>10654</v>
      </c>
      <c r="I2807" t="s">
        <v>11385</v>
      </c>
      <c r="J2807">
        <v>11236</v>
      </c>
      <c r="K2807" t="s">
        <v>11446</v>
      </c>
      <c r="L2807" t="s">
        <v>12511</v>
      </c>
      <c r="M2807" t="s">
        <v>14764</v>
      </c>
      <c r="N2807" t="s">
        <v>14781</v>
      </c>
      <c r="P2807" t="s">
        <v>14800</v>
      </c>
      <c r="Q2807" t="s">
        <v>11448</v>
      </c>
      <c r="S2807" t="s">
        <v>14827</v>
      </c>
      <c r="T2807" t="s">
        <v>14833</v>
      </c>
      <c r="V2807">
        <v>1283</v>
      </c>
      <c r="W2807" t="s">
        <v>14859</v>
      </c>
      <c r="X2807" t="s">
        <v>14865</v>
      </c>
      <c r="Z2807" t="s">
        <v>17254</v>
      </c>
      <c r="AB2807" t="s">
        <v>22286</v>
      </c>
      <c r="AC2807">
        <v>2</v>
      </c>
      <c r="AD2807" t="s">
        <v>24600</v>
      </c>
      <c r="AE2807" t="s">
        <v>24615</v>
      </c>
      <c r="AF2807">
        <v>1</v>
      </c>
      <c r="AG2807">
        <v>1</v>
      </c>
      <c r="AH2807">
        <v>1</v>
      </c>
      <c r="AI2807">
        <v>48.26</v>
      </c>
      <c r="AL2807" t="s">
        <v>5011</v>
      </c>
      <c r="AM2807">
        <v>8160</v>
      </c>
      <c r="AS2807">
        <v>71</v>
      </c>
      <c r="AT2807" t="s">
        <v>491</v>
      </c>
      <c r="AU2807" t="s">
        <v>25275</v>
      </c>
      <c r="AV2807" t="s">
        <v>25335</v>
      </c>
      <c r="AW2807" t="s">
        <v>11447</v>
      </c>
    </row>
    <row r="2808" spans="1:49">
      <c r="A2808" s="1">
        <f>HYPERLINK("https://lsnyc.legalserver.org/matter/dynamic-profile/view/1888365","19-1888365")</f>
        <v>0</v>
      </c>
      <c r="B2808" t="s">
        <v>287</v>
      </c>
      <c r="C2808" t="s">
        <v>734</v>
      </c>
      <c r="E2808" t="s">
        <v>2487</v>
      </c>
      <c r="F2808" t="s">
        <v>2092</v>
      </c>
      <c r="G2808" t="s">
        <v>8284</v>
      </c>
      <c r="H2808" t="s">
        <v>10496</v>
      </c>
      <c r="I2808" t="s">
        <v>11385</v>
      </c>
      <c r="J2808">
        <v>11214</v>
      </c>
      <c r="K2808" t="s">
        <v>11448</v>
      </c>
      <c r="L2808" t="s">
        <v>12512</v>
      </c>
      <c r="M2808" t="s">
        <v>14743</v>
      </c>
      <c r="N2808" t="s">
        <v>14778</v>
      </c>
      <c r="P2808" t="s">
        <v>14800</v>
      </c>
      <c r="Q2808" t="s">
        <v>11448</v>
      </c>
      <c r="S2808" t="s">
        <v>14827</v>
      </c>
      <c r="V2808">
        <v>1550</v>
      </c>
      <c r="W2808" t="s">
        <v>14859</v>
      </c>
      <c r="X2808" t="s">
        <v>14863</v>
      </c>
      <c r="Z2808" t="s">
        <v>17255</v>
      </c>
      <c r="AB2808" t="s">
        <v>22287</v>
      </c>
      <c r="AC2808">
        <v>3</v>
      </c>
      <c r="AF2808">
        <v>9</v>
      </c>
      <c r="AG2808">
        <v>1</v>
      </c>
      <c r="AH2808">
        <v>4</v>
      </c>
      <c r="AI2808">
        <v>50.65</v>
      </c>
      <c r="AL2808" t="s">
        <v>24649</v>
      </c>
      <c r="AM2808">
        <v>14900</v>
      </c>
      <c r="AS2808">
        <v>1.7</v>
      </c>
      <c r="AT2808" t="s">
        <v>734</v>
      </c>
      <c r="AU2808" t="s">
        <v>287</v>
      </c>
      <c r="AW2808" t="s">
        <v>11446</v>
      </c>
    </row>
    <row r="2809" spans="1:49">
      <c r="A2809" s="1">
        <f>HYPERLINK("https://lsnyc.legalserver.org/matter/dynamic-profile/view/0763040","14-0763040")</f>
        <v>0</v>
      </c>
      <c r="B2809" t="s">
        <v>198</v>
      </c>
      <c r="C2809" t="s">
        <v>779</v>
      </c>
      <c r="E2809" t="s">
        <v>2488</v>
      </c>
      <c r="F2809" t="s">
        <v>3163</v>
      </c>
      <c r="G2809" t="s">
        <v>8285</v>
      </c>
      <c r="H2809" t="s">
        <v>11058</v>
      </c>
      <c r="I2809" t="s">
        <v>11385</v>
      </c>
      <c r="J2809">
        <v>11233</v>
      </c>
      <c r="K2809" t="s">
        <v>11448</v>
      </c>
      <c r="L2809" t="s">
        <v>12513</v>
      </c>
      <c r="M2809" t="s">
        <v>14743</v>
      </c>
      <c r="N2809" t="s">
        <v>14781</v>
      </c>
      <c r="P2809" t="s">
        <v>14800</v>
      </c>
      <c r="S2809" t="s">
        <v>14827</v>
      </c>
      <c r="V2809">
        <v>875</v>
      </c>
      <c r="W2809" t="s">
        <v>14859</v>
      </c>
      <c r="Z2809" t="s">
        <v>17256</v>
      </c>
      <c r="AA2809" t="s">
        <v>19569</v>
      </c>
      <c r="AB2809" t="s">
        <v>22288</v>
      </c>
      <c r="AC2809">
        <v>0</v>
      </c>
      <c r="AF2809">
        <v>7</v>
      </c>
      <c r="AG2809">
        <v>2</v>
      </c>
      <c r="AH2809">
        <v>2</v>
      </c>
      <c r="AI2809">
        <v>50.92</v>
      </c>
      <c r="AL2809" t="s">
        <v>5011</v>
      </c>
      <c r="AM2809">
        <v>12144</v>
      </c>
      <c r="AS2809">
        <v>51</v>
      </c>
      <c r="AT2809" t="s">
        <v>481</v>
      </c>
      <c r="AU2809" t="s">
        <v>25275</v>
      </c>
      <c r="AW2809" t="s">
        <v>11447</v>
      </c>
    </row>
    <row r="2810" spans="1:49">
      <c r="A2810" s="1">
        <f>HYPERLINK("https://lsnyc.legalserver.org/matter/dynamic-profile/view/1875145","18-1875145")</f>
        <v>0</v>
      </c>
      <c r="B2810" t="s">
        <v>198</v>
      </c>
      <c r="C2810" t="s">
        <v>780</v>
      </c>
      <c r="E2810" t="s">
        <v>1412</v>
      </c>
      <c r="F2810" t="s">
        <v>3979</v>
      </c>
      <c r="G2810" t="s">
        <v>8286</v>
      </c>
      <c r="H2810" t="s">
        <v>10665</v>
      </c>
      <c r="I2810" t="s">
        <v>11385</v>
      </c>
      <c r="J2810">
        <v>11206</v>
      </c>
      <c r="K2810" t="s">
        <v>11447</v>
      </c>
      <c r="L2810" t="s">
        <v>12514</v>
      </c>
      <c r="M2810" t="s">
        <v>14744</v>
      </c>
      <c r="N2810" t="s">
        <v>14781</v>
      </c>
      <c r="P2810" t="s">
        <v>14800</v>
      </c>
      <c r="Q2810" t="s">
        <v>11448</v>
      </c>
      <c r="S2810" t="s">
        <v>14828</v>
      </c>
      <c r="V2810">
        <v>2086</v>
      </c>
      <c r="W2810" t="s">
        <v>14859</v>
      </c>
      <c r="X2810" t="s">
        <v>14868</v>
      </c>
      <c r="Z2810" t="s">
        <v>16173</v>
      </c>
      <c r="AB2810" t="s">
        <v>22289</v>
      </c>
      <c r="AC2810">
        <v>0</v>
      </c>
      <c r="AD2810" t="s">
        <v>24597</v>
      </c>
      <c r="AF2810">
        <v>23</v>
      </c>
      <c r="AG2810">
        <v>5</v>
      </c>
      <c r="AH2810">
        <v>3</v>
      </c>
      <c r="AI2810">
        <v>55.21</v>
      </c>
      <c r="AL2810" t="s">
        <v>5011</v>
      </c>
      <c r="AM2810">
        <v>23400</v>
      </c>
      <c r="AS2810">
        <v>6.5</v>
      </c>
      <c r="AT2810" t="s">
        <v>683</v>
      </c>
      <c r="AU2810" t="s">
        <v>25285</v>
      </c>
      <c r="AW2810" t="s">
        <v>11447</v>
      </c>
    </row>
    <row r="2811" spans="1:49">
      <c r="A2811" s="1">
        <f>HYPERLINK("https://lsnyc.legalserver.org/matter/dynamic-profile/view/1911190","19-1911190")</f>
        <v>0</v>
      </c>
      <c r="B2811" t="s">
        <v>106</v>
      </c>
      <c r="C2811" t="s">
        <v>475</v>
      </c>
      <c r="E2811" t="s">
        <v>2489</v>
      </c>
      <c r="F2811" t="s">
        <v>3845</v>
      </c>
      <c r="G2811" t="s">
        <v>8287</v>
      </c>
      <c r="H2811" t="s">
        <v>11059</v>
      </c>
      <c r="I2811" t="s">
        <v>11385</v>
      </c>
      <c r="J2811">
        <v>11229</v>
      </c>
      <c r="K2811" t="s">
        <v>11446</v>
      </c>
      <c r="L2811" t="s">
        <v>12515</v>
      </c>
      <c r="M2811" t="s">
        <v>14744</v>
      </c>
      <c r="P2811" t="s">
        <v>14800</v>
      </c>
      <c r="S2811" t="s">
        <v>14828</v>
      </c>
      <c r="V2811">
        <v>231.98</v>
      </c>
      <c r="W2811" t="s">
        <v>14859</v>
      </c>
      <c r="X2811" t="s">
        <v>14871</v>
      </c>
      <c r="Z2811" t="s">
        <v>17257</v>
      </c>
      <c r="AB2811" t="s">
        <v>22290</v>
      </c>
      <c r="AC2811">
        <v>45</v>
      </c>
      <c r="AF2811">
        <v>22</v>
      </c>
      <c r="AG2811">
        <v>1</v>
      </c>
      <c r="AH2811">
        <v>1</v>
      </c>
      <c r="AI2811">
        <v>55.64</v>
      </c>
      <c r="AL2811" t="s">
        <v>5011</v>
      </c>
      <c r="AM2811">
        <v>9408</v>
      </c>
      <c r="AS2811">
        <v>0.7</v>
      </c>
      <c r="AT2811" t="s">
        <v>578</v>
      </c>
      <c r="AU2811" t="s">
        <v>25275</v>
      </c>
      <c r="AV2811" t="s">
        <v>25335</v>
      </c>
      <c r="AW2811" t="s">
        <v>11447</v>
      </c>
    </row>
    <row r="2812" spans="1:49">
      <c r="A2812" s="1">
        <f>HYPERLINK("https://lsnyc.legalserver.org/matter/dynamic-profile/view/1909965","19-1909965")</f>
        <v>0</v>
      </c>
      <c r="B2812" t="s">
        <v>75</v>
      </c>
      <c r="C2812" t="s">
        <v>468</v>
      </c>
      <c r="E2812" t="s">
        <v>1853</v>
      </c>
      <c r="F2812" t="s">
        <v>3901</v>
      </c>
      <c r="G2812" t="s">
        <v>7464</v>
      </c>
      <c r="H2812">
        <v>4</v>
      </c>
      <c r="I2812" t="s">
        <v>11385</v>
      </c>
      <c r="J2812">
        <v>11231</v>
      </c>
      <c r="K2812" t="s">
        <v>11448</v>
      </c>
      <c r="N2812" t="s">
        <v>14779</v>
      </c>
      <c r="P2812" t="s">
        <v>14800</v>
      </c>
      <c r="S2812" t="s">
        <v>14827</v>
      </c>
      <c r="V2812">
        <v>670</v>
      </c>
      <c r="W2812" t="s">
        <v>14859</v>
      </c>
      <c r="X2812" t="s">
        <v>14864</v>
      </c>
      <c r="Z2812" t="s">
        <v>16230</v>
      </c>
      <c r="AC2812">
        <v>12</v>
      </c>
      <c r="AD2812" t="s">
        <v>24595</v>
      </c>
      <c r="AF2812">
        <v>13</v>
      </c>
      <c r="AG2812">
        <v>1</v>
      </c>
      <c r="AH2812">
        <v>1</v>
      </c>
      <c r="AI2812">
        <v>56.77</v>
      </c>
      <c r="AL2812" t="s">
        <v>5011</v>
      </c>
      <c r="AM2812">
        <v>9600</v>
      </c>
      <c r="AS2812">
        <v>0.1</v>
      </c>
      <c r="AT2812" t="s">
        <v>528</v>
      </c>
      <c r="AU2812" t="s">
        <v>25230</v>
      </c>
      <c r="AW2812" t="s">
        <v>11447</v>
      </c>
    </row>
    <row r="2813" spans="1:49">
      <c r="A2813" s="1">
        <f>HYPERLINK("https://lsnyc.legalserver.org/matter/dynamic-profile/view/1872865","18-1872865")</f>
        <v>0</v>
      </c>
      <c r="B2813" t="s">
        <v>210</v>
      </c>
      <c r="C2813" t="s">
        <v>590</v>
      </c>
      <c r="E2813" t="s">
        <v>1233</v>
      </c>
      <c r="F2813" t="s">
        <v>5071</v>
      </c>
      <c r="G2813" t="s">
        <v>6885</v>
      </c>
      <c r="H2813" t="s">
        <v>10612</v>
      </c>
      <c r="I2813" t="s">
        <v>11385</v>
      </c>
      <c r="J2813">
        <v>11226</v>
      </c>
      <c r="K2813" t="s">
        <v>11447</v>
      </c>
      <c r="N2813" t="s">
        <v>14781</v>
      </c>
      <c r="P2813" t="s">
        <v>14800</v>
      </c>
      <c r="S2813" t="s">
        <v>14827</v>
      </c>
      <c r="V2813">
        <v>0</v>
      </c>
      <c r="W2813" t="s">
        <v>14859</v>
      </c>
      <c r="Z2813" t="s">
        <v>17258</v>
      </c>
      <c r="AB2813" t="s">
        <v>22291</v>
      </c>
      <c r="AC2813">
        <v>0</v>
      </c>
      <c r="AF2813">
        <v>0</v>
      </c>
      <c r="AG2813">
        <v>1</v>
      </c>
      <c r="AH2813">
        <v>0</v>
      </c>
      <c r="AI2813">
        <v>59.31</v>
      </c>
      <c r="AL2813" t="s">
        <v>5011</v>
      </c>
      <c r="AM2813">
        <v>7200</v>
      </c>
      <c r="AS2813">
        <v>70.15000000000001</v>
      </c>
      <c r="AT2813" t="s">
        <v>512</v>
      </c>
      <c r="AU2813" t="s">
        <v>262</v>
      </c>
      <c r="AW2813" t="s">
        <v>11447</v>
      </c>
    </row>
    <row r="2814" spans="1:49">
      <c r="A2814" s="1">
        <f>HYPERLINK("https://lsnyc.legalserver.org/matter/dynamic-profile/view/1883739","18-1883739")</f>
        <v>0</v>
      </c>
      <c r="B2814" t="s">
        <v>288</v>
      </c>
      <c r="C2814" t="s">
        <v>417</v>
      </c>
      <c r="E2814" t="s">
        <v>2490</v>
      </c>
      <c r="F2814" t="s">
        <v>5072</v>
      </c>
      <c r="G2814" t="s">
        <v>8288</v>
      </c>
      <c r="H2814" t="s">
        <v>10522</v>
      </c>
      <c r="I2814" t="s">
        <v>11385</v>
      </c>
      <c r="J2814">
        <v>11238</v>
      </c>
      <c r="K2814" t="s">
        <v>11447</v>
      </c>
      <c r="M2814" t="s">
        <v>14748</v>
      </c>
      <c r="N2814" t="s">
        <v>14780</v>
      </c>
      <c r="P2814" t="s">
        <v>14800</v>
      </c>
      <c r="S2814" t="s">
        <v>14829</v>
      </c>
      <c r="V2814">
        <v>0</v>
      </c>
      <c r="W2814" t="s">
        <v>14859</v>
      </c>
      <c r="Z2814" t="s">
        <v>17259</v>
      </c>
      <c r="AB2814" t="s">
        <v>22292</v>
      </c>
      <c r="AC2814">
        <v>0</v>
      </c>
      <c r="AF2814">
        <v>0</v>
      </c>
      <c r="AG2814">
        <v>1</v>
      </c>
      <c r="AH2814">
        <v>0</v>
      </c>
      <c r="AI2814">
        <v>60.49</v>
      </c>
      <c r="AL2814" t="s">
        <v>5011</v>
      </c>
      <c r="AM2814">
        <v>7344</v>
      </c>
      <c r="AS2814">
        <v>3.4</v>
      </c>
      <c r="AT2814" t="s">
        <v>451</v>
      </c>
      <c r="AU2814" t="s">
        <v>288</v>
      </c>
      <c r="AW2814" t="s">
        <v>11447</v>
      </c>
    </row>
    <row r="2815" spans="1:49">
      <c r="A2815" s="1">
        <f>HYPERLINK("https://lsnyc.legalserver.org/matter/dynamic-profile/view/1903910","19-1903910")</f>
        <v>0</v>
      </c>
      <c r="B2815" t="s">
        <v>275</v>
      </c>
      <c r="C2815" t="s">
        <v>378</v>
      </c>
      <c r="E2815" t="s">
        <v>2491</v>
      </c>
      <c r="F2815" t="s">
        <v>5073</v>
      </c>
      <c r="G2815" t="s">
        <v>8289</v>
      </c>
      <c r="H2815" t="s">
        <v>10665</v>
      </c>
      <c r="I2815" t="s">
        <v>11385</v>
      </c>
      <c r="J2815">
        <v>11218</v>
      </c>
      <c r="K2815" t="s">
        <v>11447</v>
      </c>
      <c r="M2815" t="s">
        <v>14746</v>
      </c>
      <c r="N2815" t="s">
        <v>14778</v>
      </c>
      <c r="P2815" t="s">
        <v>14800</v>
      </c>
      <c r="S2815" t="s">
        <v>14827</v>
      </c>
      <c r="V2815">
        <v>1442</v>
      </c>
      <c r="W2815" t="s">
        <v>14859</v>
      </c>
      <c r="X2815" t="s">
        <v>14868</v>
      </c>
      <c r="Z2815" t="s">
        <v>17260</v>
      </c>
      <c r="AA2815" t="s">
        <v>19570</v>
      </c>
      <c r="AB2815" t="s">
        <v>22293</v>
      </c>
      <c r="AC2815">
        <v>80</v>
      </c>
      <c r="AF2815">
        <v>9</v>
      </c>
      <c r="AG2815">
        <v>1</v>
      </c>
      <c r="AH2815">
        <v>0</v>
      </c>
      <c r="AI2815">
        <v>62.45</v>
      </c>
      <c r="AL2815" t="s">
        <v>5011</v>
      </c>
      <c r="AM2815">
        <v>7800</v>
      </c>
      <c r="AS2815">
        <v>0.7</v>
      </c>
      <c r="AT2815" t="s">
        <v>553</v>
      </c>
      <c r="AU2815" t="s">
        <v>25230</v>
      </c>
      <c r="AW2815" t="s">
        <v>11447</v>
      </c>
    </row>
    <row r="2816" spans="1:49">
      <c r="A2816" s="1">
        <f>HYPERLINK("https://lsnyc.legalserver.org/matter/dynamic-profile/view/1890598","19-1890598")</f>
        <v>0</v>
      </c>
      <c r="B2816" t="s">
        <v>141</v>
      </c>
      <c r="C2816" t="s">
        <v>748</v>
      </c>
      <c r="E2816" t="s">
        <v>2491</v>
      </c>
      <c r="F2816" t="s">
        <v>5073</v>
      </c>
      <c r="G2816" t="s">
        <v>8290</v>
      </c>
      <c r="H2816" t="s">
        <v>10665</v>
      </c>
      <c r="I2816" t="s">
        <v>11385</v>
      </c>
      <c r="J2816">
        <v>11218</v>
      </c>
      <c r="K2816" t="s">
        <v>11446</v>
      </c>
      <c r="L2816" t="s">
        <v>12516</v>
      </c>
      <c r="M2816" t="s">
        <v>14744</v>
      </c>
      <c r="N2816" t="s">
        <v>14781</v>
      </c>
      <c r="P2816" t="s">
        <v>14800</v>
      </c>
      <c r="S2816" t="s">
        <v>14827</v>
      </c>
      <c r="V2816">
        <v>1442</v>
      </c>
      <c r="W2816" t="s">
        <v>14859</v>
      </c>
      <c r="X2816" t="s">
        <v>14865</v>
      </c>
      <c r="Z2816" t="s">
        <v>17260</v>
      </c>
      <c r="AB2816" t="s">
        <v>22293</v>
      </c>
      <c r="AC2816">
        <v>80</v>
      </c>
      <c r="AD2816" t="s">
        <v>24595</v>
      </c>
      <c r="AE2816" t="s">
        <v>11459</v>
      </c>
      <c r="AF2816">
        <v>9</v>
      </c>
      <c r="AG2816">
        <v>1</v>
      </c>
      <c r="AH2816">
        <v>0</v>
      </c>
      <c r="AI2816">
        <v>62.45</v>
      </c>
      <c r="AL2816" t="s">
        <v>5011</v>
      </c>
      <c r="AM2816">
        <v>7800</v>
      </c>
      <c r="AS2816">
        <v>15.2</v>
      </c>
      <c r="AT2816" t="s">
        <v>378</v>
      </c>
      <c r="AU2816" t="s">
        <v>25285</v>
      </c>
      <c r="AW2816" t="s">
        <v>11447</v>
      </c>
    </row>
    <row r="2817" spans="1:49">
      <c r="A2817" s="1">
        <f>HYPERLINK("https://lsnyc.legalserver.org/matter/dynamic-profile/view/1907411","19-1907411")</f>
        <v>0</v>
      </c>
      <c r="B2817" t="s">
        <v>282</v>
      </c>
      <c r="C2817" t="s">
        <v>368</v>
      </c>
      <c r="E2817" t="s">
        <v>1122</v>
      </c>
      <c r="F2817" t="s">
        <v>5074</v>
      </c>
      <c r="G2817" t="s">
        <v>8291</v>
      </c>
      <c r="H2817" t="s">
        <v>11060</v>
      </c>
      <c r="I2817" t="s">
        <v>11385</v>
      </c>
      <c r="J2817">
        <v>11207</v>
      </c>
      <c r="K2817" t="s">
        <v>11448</v>
      </c>
      <c r="M2817" t="s">
        <v>11601</v>
      </c>
      <c r="N2817" t="s">
        <v>14778</v>
      </c>
      <c r="P2817" t="s">
        <v>14800</v>
      </c>
      <c r="S2817" t="s">
        <v>14827</v>
      </c>
      <c r="V2817">
        <v>278</v>
      </c>
      <c r="W2817" t="s">
        <v>14859</v>
      </c>
      <c r="Z2817" t="s">
        <v>17261</v>
      </c>
      <c r="AB2817" t="s">
        <v>22294</v>
      </c>
      <c r="AC2817">
        <v>0</v>
      </c>
      <c r="AF2817">
        <v>1</v>
      </c>
      <c r="AG2817">
        <v>2</v>
      </c>
      <c r="AH2817">
        <v>1</v>
      </c>
      <c r="AI2817">
        <v>62.73</v>
      </c>
      <c r="AL2817" t="s">
        <v>5011</v>
      </c>
      <c r="AM2817">
        <v>13380</v>
      </c>
      <c r="AS2817">
        <v>0</v>
      </c>
      <c r="AU2817" t="s">
        <v>282</v>
      </c>
      <c r="AW2817" t="s">
        <v>11447</v>
      </c>
    </row>
    <row r="2818" spans="1:49">
      <c r="A2818" s="1">
        <f>HYPERLINK("https://lsnyc.legalserver.org/matter/dynamic-profile/view/1869543","18-1869543")</f>
        <v>0</v>
      </c>
      <c r="B2818" t="s">
        <v>244</v>
      </c>
      <c r="C2818" t="s">
        <v>431</v>
      </c>
      <c r="E2818" t="s">
        <v>2117</v>
      </c>
      <c r="F2818" t="s">
        <v>4661</v>
      </c>
      <c r="G2818" t="s">
        <v>8282</v>
      </c>
      <c r="H2818">
        <v>4</v>
      </c>
      <c r="I2818" t="s">
        <v>11385</v>
      </c>
      <c r="J2818">
        <v>11211</v>
      </c>
      <c r="K2818" t="s">
        <v>11447</v>
      </c>
      <c r="P2818" t="s">
        <v>14800</v>
      </c>
      <c r="S2818" t="s">
        <v>14827</v>
      </c>
      <c r="V2818">
        <v>0</v>
      </c>
      <c r="W2818" t="s">
        <v>14859</v>
      </c>
      <c r="Z2818" t="s">
        <v>16569</v>
      </c>
      <c r="AB2818" t="s">
        <v>21608</v>
      </c>
      <c r="AC2818">
        <v>0</v>
      </c>
      <c r="AF2818">
        <v>0</v>
      </c>
      <c r="AG2818">
        <v>4</v>
      </c>
      <c r="AH2818">
        <v>4</v>
      </c>
      <c r="AI2818">
        <v>66.06999999999999</v>
      </c>
      <c r="AL2818" t="s">
        <v>5011</v>
      </c>
      <c r="AM2818">
        <v>28000</v>
      </c>
      <c r="AS2818">
        <v>75.09999999999999</v>
      </c>
      <c r="AT2818" t="s">
        <v>471</v>
      </c>
      <c r="AU2818" t="s">
        <v>25304</v>
      </c>
      <c r="AW2818" t="s">
        <v>11447</v>
      </c>
    </row>
    <row r="2819" spans="1:49">
      <c r="A2819" s="1">
        <f>HYPERLINK("https://lsnyc.legalserver.org/matter/dynamic-profile/view/1898680","19-1898680")</f>
        <v>0</v>
      </c>
      <c r="B2819" t="s">
        <v>282</v>
      </c>
      <c r="C2819" t="s">
        <v>518</v>
      </c>
      <c r="E2819" t="s">
        <v>2492</v>
      </c>
      <c r="F2819" t="s">
        <v>5075</v>
      </c>
      <c r="G2819" t="s">
        <v>8292</v>
      </c>
      <c r="H2819" t="s">
        <v>10476</v>
      </c>
      <c r="I2819" t="s">
        <v>11385</v>
      </c>
      <c r="J2819">
        <v>11206</v>
      </c>
      <c r="K2819" t="s">
        <v>11447</v>
      </c>
      <c r="L2819" t="s">
        <v>12517</v>
      </c>
      <c r="M2819" t="s">
        <v>14744</v>
      </c>
      <c r="N2819" t="s">
        <v>14781</v>
      </c>
      <c r="P2819" t="s">
        <v>14800</v>
      </c>
      <c r="S2819" t="s">
        <v>14828</v>
      </c>
      <c r="V2819">
        <v>0</v>
      </c>
      <c r="W2819" t="s">
        <v>14859</v>
      </c>
      <c r="X2819" t="s">
        <v>14865</v>
      </c>
      <c r="Z2819" t="s">
        <v>17262</v>
      </c>
      <c r="AB2819" t="s">
        <v>22295</v>
      </c>
      <c r="AC2819">
        <v>100</v>
      </c>
      <c r="AF2819">
        <v>2</v>
      </c>
      <c r="AG2819">
        <v>1</v>
      </c>
      <c r="AH2819">
        <v>0</v>
      </c>
      <c r="AI2819">
        <v>72.06</v>
      </c>
      <c r="AL2819" t="s">
        <v>5011</v>
      </c>
      <c r="AM2819">
        <v>9000</v>
      </c>
      <c r="AS2819">
        <v>8.800000000000001</v>
      </c>
      <c r="AT2819" t="s">
        <v>592</v>
      </c>
      <c r="AU2819" t="s">
        <v>25230</v>
      </c>
      <c r="AW2819" t="s">
        <v>11447</v>
      </c>
    </row>
    <row r="2820" spans="1:49">
      <c r="A2820" s="1">
        <f>HYPERLINK("https://lsnyc.legalserver.org/matter/dynamic-profile/view/1906845","19-1906845")</f>
        <v>0</v>
      </c>
      <c r="B2820" t="s">
        <v>282</v>
      </c>
      <c r="C2820" t="s">
        <v>564</v>
      </c>
      <c r="E2820" t="s">
        <v>2492</v>
      </c>
      <c r="F2820" t="s">
        <v>5075</v>
      </c>
      <c r="G2820" t="s">
        <v>8292</v>
      </c>
      <c r="I2820" t="s">
        <v>11385</v>
      </c>
      <c r="J2820">
        <v>11206</v>
      </c>
      <c r="K2820" t="s">
        <v>11448</v>
      </c>
      <c r="N2820" t="s">
        <v>14779</v>
      </c>
      <c r="P2820" t="s">
        <v>14800</v>
      </c>
      <c r="S2820" t="s">
        <v>14828</v>
      </c>
      <c r="V2820">
        <v>0</v>
      </c>
      <c r="W2820" t="s">
        <v>14859</v>
      </c>
      <c r="X2820" t="s">
        <v>14865</v>
      </c>
      <c r="Z2820" t="s">
        <v>17262</v>
      </c>
      <c r="AB2820" t="s">
        <v>22295</v>
      </c>
      <c r="AC2820">
        <v>100</v>
      </c>
      <c r="AF2820">
        <v>2</v>
      </c>
      <c r="AG2820">
        <v>1</v>
      </c>
      <c r="AH2820">
        <v>0</v>
      </c>
      <c r="AI2820">
        <v>72.06</v>
      </c>
      <c r="AL2820" t="s">
        <v>5011</v>
      </c>
      <c r="AM2820">
        <v>9000</v>
      </c>
      <c r="AS2820">
        <v>9.300000000000001</v>
      </c>
      <c r="AT2820" t="s">
        <v>515</v>
      </c>
      <c r="AU2820" t="s">
        <v>25230</v>
      </c>
      <c r="AW2820" t="s">
        <v>11447</v>
      </c>
    </row>
    <row r="2821" spans="1:49">
      <c r="A2821" s="1">
        <f>HYPERLINK("https://lsnyc.legalserver.org/matter/dynamic-profile/view/1844012","17-1844012")</f>
        <v>0</v>
      </c>
      <c r="B2821" t="s">
        <v>135</v>
      </c>
      <c r="C2821" t="s">
        <v>781</v>
      </c>
      <c r="E2821" t="s">
        <v>1218</v>
      </c>
      <c r="F2821" t="s">
        <v>3758</v>
      </c>
      <c r="G2821" t="s">
        <v>8293</v>
      </c>
      <c r="H2821" t="s">
        <v>10468</v>
      </c>
      <c r="I2821" t="s">
        <v>11385</v>
      </c>
      <c r="J2821">
        <v>11210</v>
      </c>
      <c r="K2821" t="s">
        <v>11448</v>
      </c>
      <c r="L2821" t="s">
        <v>12518</v>
      </c>
      <c r="M2821" t="s">
        <v>14743</v>
      </c>
      <c r="N2821" t="s">
        <v>14781</v>
      </c>
      <c r="P2821" t="s">
        <v>14800</v>
      </c>
      <c r="S2821" t="s">
        <v>14827</v>
      </c>
      <c r="V2821">
        <v>834.36</v>
      </c>
      <c r="W2821" t="s">
        <v>14859</v>
      </c>
      <c r="X2821" t="s">
        <v>14864</v>
      </c>
      <c r="Z2821" t="s">
        <v>17263</v>
      </c>
      <c r="AB2821" t="s">
        <v>22296</v>
      </c>
      <c r="AC2821">
        <v>42</v>
      </c>
      <c r="AD2821" t="s">
        <v>24595</v>
      </c>
      <c r="AF2821">
        <v>30</v>
      </c>
      <c r="AG2821">
        <v>3</v>
      </c>
      <c r="AH2821">
        <v>0</v>
      </c>
      <c r="AI2821">
        <v>78.62</v>
      </c>
      <c r="AL2821" t="s">
        <v>5011</v>
      </c>
      <c r="AM2821">
        <v>16054.8</v>
      </c>
      <c r="AS2821">
        <v>15.25</v>
      </c>
      <c r="AT2821" t="s">
        <v>25153</v>
      </c>
      <c r="AU2821" t="s">
        <v>25230</v>
      </c>
      <c r="AW2821" t="s">
        <v>11447</v>
      </c>
    </row>
    <row r="2822" spans="1:49">
      <c r="A2822" s="1">
        <f>HYPERLINK("https://lsnyc.legalserver.org/matter/dynamic-profile/view/1911743","19-1911743")</f>
        <v>0</v>
      </c>
      <c r="B2822" t="s">
        <v>255</v>
      </c>
      <c r="C2822" t="s">
        <v>505</v>
      </c>
      <c r="E2822" t="s">
        <v>2493</v>
      </c>
      <c r="F2822" t="s">
        <v>5076</v>
      </c>
      <c r="G2822" t="s">
        <v>8294</v>
      </c>
      <c r="H2822" t="s">
        <v>10730</v>
      </c>
      <c r="I2822" t="s">
        <v>11385</v>
      </c>
      <c r="J2822">
        <v>11213</v>
      </c>
      <c r="K2822" t="s">
        <v>11446</v>
      </c>
      <c r="L2822" t="s">
        <v>12519</v>
      </c>
      <c r="M2822" t="s">
        <v>14744</v>
      </c>
      <c r="N2822" t="s">
        <v>14781</v>
      </c>
      <c r="P2822" t="s">
        <v>14800</v>
      </c>
      <c r="Q2822" t="s">
        <v>11448</v>
      </c>
      <c r="S2822" t="s">
        <v>14827</v>
      </c>
      <c r="T2822" t="s">
        <v>14837</v>
      </c>
      <c r="V2822">
        <v>860</v>
      </c>
      <c r="W2822" t="s">
        <v>14859</v>
      </c>
      <c r="X2822" t="s">
        <v>14872</v>
      </c>
      <c r="Z2822" t="s">
        <v>17264</v>
      </c>
      <c r="AB2822" t="s">
        <v>22297</v>
      </c>
      <c r="AC2822">
        <v>20</v>
      </c>
      <c r="AF2822">
        <v>20</v>
      </c>
      <c r="AG2822">
        <v>1</v>
      </c>
      <c r="AH2822">
        <v>0</v>
      </c>
      <c r="AI2822">
        <v>78.78</v>
      </c>
      <c r="AL2822" t="s">
        <v>5011</v>
      </c>
      <c r="AM2822">
        <v>9840</v>
      </c>
      <c r="AS2822">
        <v>6.5</v>
      </c>
      <c r="AT2822" t="s">
        <v>14845</v>
      </c>
      <c r="AU2822" t="s">
        <v>25235</v>
      </c>
      <c r="AV2822" t="s">
        <v>25335</v>
      </c>
      <c r="AW2822" t="s">
        <v>11447</v>
      </c>
    </row>
    <row r="2823" spans="1:49">
      <c r="A2823" s="1">
        <f>HYPERLINK("https://lsnyc.legalserver.org/matter/dynamic-profile/view/1899972","19-1899972")</f>
        <v>0</v>
      </c>
      <c r="B2823" t="s">
        <v>282</v>
      </c>
      <c r="C2823" t="s">
        <v>331</v>
      </c>
      <c r="E2823" t="s">
        <v>1323</v>
      </c>
      <c r="F2823" t="s">
        <v>5077</v>
      </c>
      <c r="G2823" t="s">
        <v>8295</v>
      </c>
      <c r="H2823" t="s">
        <v>11061</v>
      </c>
      <c r="I2823" t="s">
        <v>11385</v>
      </c>
      <c r="J2823">
        <v>11203</v>
      </c>
      <c r="K2823" t="s">
        <v>11447</v>
      </c>
      <c r="M2823" t="s">
        <v>14744</v>
      </c>
      <c r="N2823" t="s">
        <v>14781</v>
      </c>
      <c r="P2823" t="s">
        <v>14800</v>
      </c>
      <c r="S2823" t="s">
        <v>14827</v>
      </c>
      <c r="V2823">
        <v>1450</v>
      </c>
      <c r="W2823" t="s">
        <v>14859</v>
      </c>
      <c r="X2823" t="s">
        <v>14868</v>
      </c>
      <c r="Z2823" t="s">
        <v>17265</v>
      </c>
      <c r="AB2823" t="s">
        <v>22298</v>
      </c>
      <c r="AC2823">
        <v>59</v>
      </c>
      <c r="AD2823" t="s">
        <v>24595</v>
      </c>
      <c r="AF2823">
        <v>8</v>
      </c>
      <c r="AG2823">
        <v>1</v>
      </c>
      <c r="AH2823">
        <v>0</v>
      </c>
      <c r="AI2823">
        <v>78.78</v>
      </c>
      <c r="AL2823" t="s">
        <v>5011</v>
      </c>
      <c r="AM2823">
        <v>9840</v>
      </c>
      <c r="AS2823">
        <v>15.4</v>
      </c>
      <c r="AT2823" t="s">
        <v>490</v>
      </c>
      <c r="AU2823" t="s">
        <v>25230</v>
      </c>
      <c r="AW2823" t="s">
        <v>11447</v>
      </c>
    </row>
    <row r="2824" spans="1:49">
      <c r="A2824" s="1">
        <f>HYPERLINK("https://lsnyc.legalserver.org/matter/dynamic-profile/view/1884818","18-1884818")</f>
        <v>0</v>
      </c>
      <c r="B2824" t="s">
        <v>267</v>
      </c>
      <c r="C2824" t="s">
        <v>600</v>
      </c>
      <c r="E2824" t="s">
        <v>1511</v>
      </c>
      <c r="F2824" t="s">
        <v>4054</v>
      </c>
      <c r="G2824" t="s">
        <v>6952</v>
      </c>
      <c r="H2824" t="s">
        <v>10522</v>
      </c>
      <c r="I2824" t="s">
        <v>11385</v>
      </c>
      <c r="J2824">
        <v>11209</v>
      </c>
      <c r="K2824" t="s">
        <v>11448</v>
      </c>
      <c r="L2824" t="s">
        <v>12520</v>
      </c>
      <c r="M2824" t="s">
        <v>14744</v>
      </c>
      <c r="N2824" t="s">
        <v>14778</v>
      </c>
      <c r="P2824" t="s">
        <v>14800</v>
      </c>
      <c r="S2824" t="s">
        <v>14827</v>
      </c>
      <c r="V2824">
        <v>0</v>
      </c>
      <c r="W2824" t="s">
        <v>14859</v>
      </c>
      <c r="X2824" t="s">
        <v>14869</v>
      </c>
      <c r="Z2824" t="s">
        <v>15584</v>
      </c>
      <c r="AB2824" t="s">
        <v>20699</v>
      </c>
      <c r="AC2824">
        <v>0</v>
      </c>
      <c r="AE2824" t="s">
        <v>11459</v>
      </c>
      <c r="AF2824">
        <v>25</v>
      </c>
      <c r="AG2824">
        <v>1</v>
      </c>
      <c r="AH2824">
        <v>0</v>
      </c>
      <c r="AI2824">
        <v>79.08</v>
      </c>
      <c r="AL2824" t="s">
        <v>5011</v>
      </c>
      <c r="AM2824">
        <v>9600</v>
      </c>
      <c r="AS2824">
        <v>8.1</v>
      </c>
      <c r="AT2824" t="s">
        <v>25154</v>
      </c>
      <c r="AU2824" t="s">
        <v>25235</v>
      </c>
      <c r="AW2824" t="s">
        <v>11447</v>
      </c>
    </row>
    <row r="2825" spans="1:49">
      <c r="A2825" s="1">
        <f>HYPERLINK("https://lsnyc.legalserver.org/matter/dynamic-profile/view/1865817","18-1865817")</f>
        <v>0</v>
      </c>
      <c r="B2825" t="s">
        <v>135</v>
      </c>
      <c r="C2825" t="s">
        <v>435</v>
      </c>
      <c r="E2825" t="s">
        <v>1896</v>
      </c>
      <c r="F2825" t="s">
        <v>5078</v>
      </c>
      <c r="G2825" t="s">
        <v>8296</v>
      </c>
      <c r="H2825" t="s">
        <v>10493</v>
      </c>
      <c r="I2825" t="s">
        <v>11385</v>
      </c>
      <c r="J2825">
        <v>11215</v>
      </c>
      <c r="K2825" t="s">
        <v>11448</v>
      </c>
      <c r="N2825" t="s">
        <v>14778</v>
      </c>
      <c r="P2825" t="s">
        <v>14800</v>
      </c>
      <c r="S2825" t="s">
        <v>14829</v>
      </c>
      <c r="V2825">
        <v>0</v>
      </c>
      <c r="W2825" t="s">
        <v>14859</v>
      </c>
      <c r="Z2825" t="s">
        <v>17266</v>
      </c>
      <c r="AB2825" t="s">
        <v>22299</v>
      </c>
      <c r="AC2825">
        <v>0</v>
      </c>
      <c r="AF2825">
        <v>0</v>
      </c>
      <c r="AG2825">
        <v>1</v>
      </c>
      <c r="AH2825">
        <v>0</v>
      </c>
      <c r="AI2825">
        <v>79.47</v>
      </c>
      <c r="AL2825" t="s">
        <v>5011</v>
      </c>
      <c r="AM2825">
        <v>9648</v>
      </c>
      <c r="AS2825">
        <v>1.2</v>
      </c>
      <c r="AT2825" t="s">
        <v>25155</v>
      </c>
      <c r="AU2825" t="s">
        <v>135</v>
      </c>
      <c r="AW2825" t="s">
        <v>11447</v>
      </c>
    </row>
    <row r="2826" spans="1:49">
      <c r="A2826" s="1">
        <f>HYPERLINK("https://lsnyc.legalserver.org/matter/dynamic-profile/view/1911343","19-1911343")</f>
        <v>0</v>
      </c>
      <c r="B2826" t="s">
        <v>240</v>
      </c>
      <c r="C2826" t="s">
        <v>467</v>
      </c>
      <c r="E2826" t="s">
        <v>1080</v>
      </c>
      <c r="F2826" t="s">
        <v>1035</v>
      </c>
      <c r="G2826" t="s">
        <v>8297</v>
      </c>
      <c r="H2826" t="s">
        <v>11062</v>
      </c>
      <c r="I2826" t="s">
        <v>11385</v>
      </c>
      <c r="J2826">
        <v>11238</v>
      </c>
      <c r="K2826" t="s">
        <v>11447</v>
      </c>
      <c r="L2826" t="s">
        <v>12521</v>
      </c>
      <c r="M2826" t="s">
        <v>14744</v>
      </c>
      <c r="N2826" t="s">
        <v>14781</v>
      </c>
      <c r="P2826" t="s">
        <v>14800</v>
      </c>
      <c r="S2826" t="s">
        <v>14827</v>
      </c>
      <c r="V2826">
        <v>947</v>
      </c>
      <c r="W2826" t="s">
        <v>14859</v>
      </c>
      <c r="X2826" t="s">
        <v>14868</v>
      </c>
      <c r="Z2826" t="s">
        <v>17267</v>
      </c>
      <c r="AB2826" t="s">
        <v>22300</v>
      </c>
      <c r="AC2826">
        <v>52</v>
      </c>
      <c r="AE2826" t="s">
        <v>24610</v>
      </c>
      <c r="AF2826">
        <v>19</v>
      </c>
      <c r="AG2826">
        <v>2</v>
      </c>
      <c r="AH2826">
        <v>1</v>
      </c>
      <c r="AI2826">
        <v>79.7</v>
      </c>
      <c r="AL2826" t="s">
        <v>5011</v>
      </c>
      <c r="AM2826">
        <v>17000</v>
      </c>
      <c r="AS2826">
        <v>1.5</v>
      </c>
      <c r="AT2826" t="s">
        <v>645</v>
      </c>
      <c r="AU2826" t="s">
        <v>25275</v>
      </c>
      <c r="AW2826" t="s">
        <v>11447</v>
      </c>
    </row>
    <row r="2827" spans="1:49">
      <c r="A2827" s="1">
        <f>HYPERLINK("https://lsnyc.legalserver.org/matter/dynamic-profile/view/1914287","19-1914287")</f>
        <v>0</v>
      </c>
      <c r="B2827" t="s">
        <v>193</v>
      </c>
      <c r="C2827" t="s">
        <v>476</v>
      </c>
      <c r="E2827" t="s">
        <v>1170</v>
      </c>
      <c r="F2827" t="s">
        <v>3686</v>
      </c>
      <c r="G2827" t="s">
        <v>8298</v>
      </c>
      <c r="H2827" t="s">
        <v>10677</v>
      </c>
      <c r="I2827" t="s">
        <v>11385</v>
      </c>
      <c r="J2827">
        <v>11205</v>
      </c>
      <c r="K2827" t="s">
        <v>11447</v>
      </c>
      <c r="M2827" t="s">
        <v>14744</v>
      </c>
      <c r="P2827" t="s">
        <v>14800</v>
      </c>
      <c r="Q2827" t="s">
        <v>11448</v>
      </c>
      <c r="S2827" t="s">
        <v>14827</v>
      </c>
      <c r="V2827">
        <v>894.54</v>
      </c>
      <c r="W2827" t="s">
        <v>14859</v>
      </c>
      <c r="X2827" t="s">
        <v>14868</v>
      </c>
      <c r="Z2827" t="s">
        <v>15209</v>
      </c>
      <c r="AB2827" t="s">
        <v>22301</v>
      </c>
      <c r="AC2827">
        <v>20</v>
      </c>
      <c r="AD2827" t="s">
        <v>11479</v>
      </c>
      <c r="AE2827" t="s">
        <v>24611</v>
      </c>
      <c r="AF2827">
        <v>4</v>
      </c>
      <c r="AG2827">
        <v>1</v>
      </c>
      <c r="AH2827">
        <v>0</v>
      </c>
      <c r="AI2827">
        <v>82.43000000000001</v>
      </c>
      <c r="AL2827" t="s">
        <v>5011</v>
      </c>
      <c r="AM2827">
        <v>10296</v>
      </c>
      <c r="AS2827">
        <v>0.65</v>
      </c>
      <c r="AT2827" t="s">
        <v>537</v>
      </c>
      <c r="AU2827" t="s">
        <v>25273</v>
      </c>
      <c r="AW2827" t="s">
        <v>11447</v>
      </c>
    </row>
    <row r="2828" spans="1:49">
      <c r="A2828" s="1">
        <f>HYPERLINK("https://lsnyc.legalserver.org/matter/dynamic-profile/view/1844051","17-1844051")</f>
        <v>0</v>
      </c>
      <c r="B2828" t="s">
        <v>263</v>
      </c>
      <c r="C2828" t="s">
        <v>781</v>
      </c>
      <c r="E2828" t="s">
        <v>2460</v>
      </c>
      <c r="F2828" t="s">
        <v>3843</v>
      </c>
      <c r="G2828" t="s">
        <v>8299</v>
      </c>
      <c r="H2828" t="s">
        <v>11063</v>
      </c>
      <c r="I2828" t="s">
        <v>11385</v>
      </c>
      <c r="J2828">
        <v>11223</v>
      </c>
      <c r="K2828" t="s">
        <v>11448</v>
      </c>
      <c r="M2828" t="s">
        <v>11601</v>
      </c>
      <c r="N2828" t="s">
        <v>14782</v>
      </c>
      <c r="P2828" t="s">
        <v>14800</v>
      </c>
      <c r="S2828" t="s">
        <v>14830</v>
      </c>
      <c r="V2828">
        <v>586</v>
      </c>
      <c r="W2828" t="s">
        <v>14859</v>
      </c>
      <c r="X2828" t="s">
        <v>14867</v>
      </c>
      <c r="Z2828" t="s">
        <v>17268</v>
      </c>
      <c r="AB2828" t="s">
        <v>22302</v>
      </c>
      <c r="AC2828">
        <v>0</v>
      </c>
      <c r="AD2828" t="s">
        <v>24602</v>
      </c>
      <c r="AF2828">
        <v>3</v>
      </c>
      <c r="AG2828">
        <v>1</v>
      </c>
      <c r="AH2828">
        <v>2</v>
      </c>
      <c r="AI2828">
        <v>86.39</v>
      </c>
      <c r="AL2828" t="s">
        <v>24632</v>
      </c>
      <c r="AM2828">
        <v>17640</v>
      </c>
      <c r="AS2828">
        <v>3.25</v>
      </c>
      <c r="AT2828" t="s">
        <v>793</v>
      </c>
      <c r="AU2828" t="s">
        <v>25236</v>
      </c>
      <c r="AW2828" t="s">
        <v>11447</v>
      </c>
    </row>
    <row r="2829" spans="1:49">
      <c r="A2829" s="1">
        <f>HYPERLINK("https://lsnyc.legalserver.org/matter/dynamic-profile/view/0755779","14-0755779")</f>
        <v>0</v>
      </c>
      <c r="B2829" t="s">
        <v>267</v>
      </c>
      <c r="C2829" t="s">
        <v>782</v>
      </c>
      <c r="E2829" t="s">
        <v>1692</v>
      </c>
      <c r="F2829" t="s">
        <v>4691</v>
      </c>
      <c r="G2829" t="s">
        <v>8300</v>
      </c>
      <c r="H2829" t="s">
        <v>10562</v>
      </c>
      <c r="I2829" t="s">
        <v>11385</v>
      </c>
      <c r="J2829">
        <v>11237</v>
      </c>
      <c r="K2829" t="s">
        <v>11448</v>
      </c>
      <c r="L2829" t="s">
        <v>12522</v>
      </c>
      <c r="M2829" t="s">
        <v>14743</v>
      </c>
      <c r="N2829" t="s">
        <v>14781</v>
      </c>
      <c r="P2829" t="s">
        <v>14800</v>
      </c>
      <c r="S2829" t="s">
        <v>14827</v>
      </c>
      <c r="V2829">
        <v>0</v>
      </c>
      <c r="W2829" t="s">
        <v>14859</v>
      </c>
      <c r="Z2829" t="s">
        <v>17269</v>
      </c>
      <c r="AA2829" t="s">
        <v>19571</v>
      </c>
      <c r="AB2829" t="s">
        <v>22303</v>
      </c>
      <c r="AC2829">
        <v>0</v>
      </c>
      <c r="AF2829">
        <v>0</v>
      </c>
      <c r="AG2829">
        <v>4</v>
      </c>
      <c r="AH2829">
        <v>3</v>
      </c>
      <c r="AI2829">
        <v>86.59</v>
      </c>
      <c r="AL2829" t="s">
        <v>5011</v>
      </c>
      <c r="AM2829">
        <v>31200</v>
      </c>
      <c r="AN2829" t="s">
        <v>24843</v>
      </c>
      <c r="AS2829">
        <v>102.35</v>
      </c>
      <c r="AT2829" t="s">
        <v>483</v>
      </c>
      <c r="AU2829" t="s">
        <v>267</v>
      </c>
      <c r="AW2829" t="s">
        <v>11447</v>
      </c>
    </row>
    <row r="2830" spans="1:49">
      <c r="A2830" s="1">
        <f>HYPERLINK("https://lsnyc.legalserver.org/matter/dynamic-profile/view/1847263","17-1847263")</f>
        <v>0</v>
      </c>
      <c r="B2830" t="s">
        <v>198</v>
      </c>
      <c r="C2830" t="s">
        <v>382</v>
      </c>
      <c r="E2830" t="s">
        <v>2494</v>
      </c>
      <c r="F2830" t="s">
        <v>1035</v>
      </c>
      <c r="G2830" t="s">
        <v>8301</v>
      </c>
      <c r="H2830">
        <v>1</v>
      </c>
      <c r="I2830" t="s">
        <v>11385</v>
      </c>
      <c r="J2830">
        <v>11236</v>
      </c>
      <c r="K2830" t="s">
        <v>11448</v>
      </c>
      <c r="M2830" t="s">
        <v>14764</v>
      </c>
      <c r="N2830" t="s">
        <v>14781</v>
      </c>
      <c r="P2830" t="s">
        <v>14800</v>
      </c>
      <c r="Q2830" t="s">
        <v>11448</v>
      </c>
      <c r="S2830" t="s">
        <v>14827</v>
      </c>
      <c r="V2830">
        <v>1268</v>
      </c>
      <c r="W2830" t="s">
        <v>14859</v>
      </c>
      <c r="X2830" t="s">
        <v>14874</v>
      </c>
      <c r="Z2830" t="s">
        <v>15832</v>
      </c>
      <c r="AB2830" t="s">
        <v>22304</v>
      </c>
      <c r="AC2830">
        <v>6</v>
      </c>
      <c r="AD2830" t="s">
        <v>11479</v>
      </c>
      <c r="AE2830" t="s">
        <v>24616</v>
      </c>
      <c r="AF2830">
        <v>-1</v>
      </c>
      <c r="AG2830">
        <v>1</v>
      </c>
      <c r="AH2830">
        <v>2</v>
      </c>
      <c r="AI2830">
        <v>91.56</v>
      </c>
      <c r="AL2830" t="s">
        <v>5011</v>
      </c>
      <c r="AM2830">
        <v>18696</v>
      </c>
      <c r="AS2830">
        <v>12.5</v>
      </c>
      <c r="AT2830" t="s">
        <v>481</v>
      </c>
      <c r="AU2830" t="s">
        <v>263</v>
      </c>
      <c r="AW2830" t="s">
        <v>11447</v>
      </c>
    </row>
    <row r="2831" spans="1:49">
      <c r="A2831" s="1">
        <f>HYPERLINK("https://lsnyc.legalserver.org/matter/dynamic-profile/view/1911279","19-1911279")</f>
        <v>0</v>
      </c>
      <c r="B2831" t="s">
        <v>152</v>
      </c>
      <c r="C2831" t="s">
        <v>511</v>
      </c>
      <c r="E2831" t="s">
        <v>1771</v>
      </c>
      <c r="F2831" t="s">
        <v>4720</v>
      </c>
      <c r="G2831" t="s">
        <v>8302</v>
      </c>
      <c r="H2831" t="s">
        <v>10581</v>
      </c>
      <c r="I2831" t="s">
        <v>11385</v>
      </c>
      <c r="J2831">
        <v>11210</v>
      </c>
      <c r="K2831" t="s">
        <v>11447</v>
      </c>
      <c r="L2831" t="s">
        <v>12523</v>
      </c>
      <c r="M2831" t="s">
        <v>14744</v>
      </c>
      <c r="N2831" t="s">
        <v>14781</v>
      </c>
      <c r="P2831" t="s">
        <v>14800</v>
      </c>
      <c r="S2831" t="s">
        <v>14827</v>
      </c>
      <c r="V2831">
        <v>0</v>
      </c>
      <c r="W2831" t="s">
        <v>14859</v>
      </c>
      <c r="Z2831" t="s">
        <v>17270</v>
      </c>
      <c r="AA2831">
        <v>348730071</v>
      </c>
      <c r="AC2831">
        <v>0</v>
      </c>
      <c r="AF2831">
        <v>0</v>
      </c>
      <c r="AG2831">
        <v>1</v>
      </c>
      <c r="AH2831">
        <v>1</v>
      </c>
      <c r="AI2831">
        <v>93.02</v>
      </c>
      <c r="AL2831" t="s">
        <v>5011</v>
      </c>
      <c r="AM2831">
        <v>15730</v>
      </c>
      <c r="AS2831">
        <v>1.5</v>
      </c>
      <c r="AT2831" t="s">
        <v>484</v>
      </c>
      <c r="AU2831" t="s">
        <v>25277</v>
      </c>
      <c r="AW2831" t="s">
        <v>11447</v>
      </c>
    </row>
    <row r="2832" spans="1:49">
      <c r="A2832" s="1">
        <f>HYPERLINK("https://lsnyc.legalserver.org/matter/dynamic-profile/view/1872022","18-1872022")</f>
        <v>0</v>
      </c>
      <c r="B2832" t="s">
        <v>233</v>
      </c>
      <c r="C2832" t="s">
        <v>783</v>
      </c>
      <c r="E2832" t="s">
        <v>1549</v>
      </c>
      <c r="F2832" t="s">
        <v>3730</v>
      </c>
      <c r="G2832" t="s">
        <v>8303</v>
      </c>
      <c r="H2832" t="s">
        <v>10589</v>
      </c>
      <c r="I2832" t="s">
        <v>11385</v>
      </c>
      <c r="J2832">
        <v>11220</v>
      </c>
      <c r="K2832" t="s">
        <v>11448</v>
      </c>
      <c r="M2832" t="s">
        <v>14743</v>
      </c>
      <c r="N2832" t="s">
        <v>14781</v>
      </c>
      <c r="P2832" t="s">
        <v>14800</v>
      </c>
      <c r="S2832" t="s">
        <v>14827</v>
      </c>
      <c r="V2832">
        <v>673</v>
      </c>
      <c r="W2832" t="s">
        <v>14859</v>
      </c>
      <c r="X2832" t="s">
        <v>14874</v>
      </c>
      <c r="Z2832" t="s">
        <v>17271</v>
      </c>
      <c r="AB2832" t="s">
        <v>22305</v>
      </c>
      <c r="AC2832">
        <v>24</v>
      </c>
      <c r="AD2832" t="s">
        <v>24595</v>
      </c>
      <c r="AF2832">
        <v>37</v>
      </c>
      <c r="AG2832">
        <v>2</v>
      </c>
      <c r="AH2832">
        <v>0</v>
      </c>
      <c r="AI2832">
        <v>94.78</v>
      </c>
      <c r="AL2832" t="s">
        <v>5011</v>
      </c>
      <c r="AM2832">
        <v>15600</v>
      </c>
      <c r="AS2832">
        <v>28.1</v>
      </c>
      <c r="AT2832" t="s">
        <v>758</v>
      </c>
      <c r="AU2832" t="s">
        <v>25275</v>
      </c>
      <c r="AW2832" t="s">
        <v>11447</v>
      </c>
    </row>
    <row r="2833" spans="1:49">
      <c r="A2833" s="1">
        <f>HYPERLINK("https://lsnyc.legalserver.org/matter/dynamic-profile/view/1898136","19-1898136")</f>
        <v>0</v>
      </c>
      <c r="B2833" t="s">
        <v>228</v>
      </c>
      <c r="C2833" t="s">
        <v>610</v>
      </c>
      <c r="E2833" t="s">
        <v>1982</v>
      </c>
      <c r="F2833" t="s">
        <v>4218</v>
      </c>
      <c r="G2833" t="s">
        <v>8304</v>
      </c>
      <c r="I2833" t="s">
        <v>11385</v>
      </c>
      <c r="J2833">
        <v>11218</v>
      </c>
      <c r="K2833" t="s">
        <v>11448</v>
      </c>
      <c r="L2833" t="s">
        <v>12524</v>
      </c>
      <c r="M2833" t="s">
        <v>14744</v>
      </c>
      <c r="N2833" t="s">
        <v>14782</v>
      </c>
      <c r="P2833" t="s">
        <v>14800</v>
      </c>
      <c r="Q2833" t="s">
        <v>11448</v>
      </c>
      <c r="S2833" t="s">
        <v>14827</v>
      </c>
      <c r="V2833">
        <v>0</v>
      </c>
      <c r="W2833" t="s">
        <v>14859</v>
      </c>
      <c r="X2833" t="s">
        <v>14881</v>
      </c>
      <c r="Z2833" t="s">
        <v>17272</v>
      </c>
      <c r="AB2833" t="s">
        <v>22306</v>
      </c>
      <c r="AC2833">
        <v>0</v>
      </c>
      <c r="AF2833">
        <v>0</v>
      </c>
      <c r="AG2833">
        <v>1</v>
      </c>
      <c r="AH2833">
        <v>0</v>
      </c>
      <c r="AI2833">
        <v>96.08</v>
      </c>
      <c r="AL2833" t="s">
        <v>24647</v>
      </c>
      <c r="AM2833">
        <v>12000</v>
      </c>
      <c r="AS2833">
        <v>0</v>
      </c>
      <c r="AU2833" t="s">
        <v>25285</v>
      </c>
      <c r="AW2833" t="s">
        <v>11446</v>
      </c>
    </row>
    <row r="2834" spans="1:49">
      <c r="A2834" s="1">
        <f>HYPERLINK("https://lsnyc.legalserver.org/matter/dynamic-profile/view/1888355","19-1888355")</f>
        <v>0</v>
      </c>
      <c r="B2834" t="s">
        <v>267</v>
      </c>
      <c r="C2834" t="s">
        <v>734</v>
      </c>
      <c r="E2834" t="s">
        <v>1853</v>
      </c>
      <c r="F2834" t="s">
        <v>5079</v>
      </c>
      <c r="G2834" t="s">
        <v>8305</v>
      </c>
      <c r="H2834" t="s">
        <v>10485</v>
      </c>
      <c r="I2834" t="s">
        <v>11385</v>
      </c>
      <c r="J2834">
        <v>11230</v>
      </c>
      <c r="K2834" t="s">
        <v>11447</v>
      </c>
      <c r="L2834" t="s">
        <v>12525</v>
      </c>
      <c r="M2834" t="s">
        <v>14744</v>
      </c>
      <c r="N2834" t="s">
        <v>14778</v>
      </c>
      <c r="P2834" t="s">
        <v>14800</v>
      </c>
      <c r="Q2834" t="s">
        <v>11446</v>
      </c>
      <c r="S2834" t="s">
        <v>14827</v>
      </c>
      <c r="V2834">
        <v>1650</v>
      </c>
      <c r="W2834" t="s">
        <v>14859</v>
      </c>
      <c r="X2834" t="s">
        <v>14755</v>
      </c>
      <c r="Z2834" t="s">
        <v>17273</v>
      </c>
      <c r="AA2834" t="s">
        <v>11465</v>
      </c>
      <c r="AC2834">
        <v>65</v>
      </c>
      <c r="AD2834" t="s">
        <v>11479</v>
      </c>
      <c r="AE2834" t="s">
        <v>11459</v>
      </c>
      <c r="AF2834">
        <v>2</v>
      </c>
      <c r="AG2834">
        <v>1</v>
      </c>
      <c r="AH2834">
        <v>0</v>
      </c>
      <c r="AI2834">
        <v>98.84999999999999</v>
      </c>
      <c r="AK2834" t="s">
        <v>24629</v>
      </c>
      <c r="AL2834" t="s">
        <v>5011</v>
      </c>
      <c r="AM2834">
        <v>12000</v>
      </c>
      <c r="AS2834">
        <v>2.7</v>
      </c>
      <c r="AT2834" t="s">
        <v>577</v>
      </c>
      <c r="AU2834" t="s">
        <v>287</v>
      </c>
      <c r="AW2834" t="s">
        <v>11446</v>
      </c>
    </row>
    <row r="2835" spans="1:49">
      <c r="A2835" s="1">
        <f>HYPERLINK("https://lsnyc.legalserver.org/matter/dynamic-profile/view/1910986","19-1910986")</f>
        <v>0</v>
      </c>
      <c r="B2835" t="s">
        <v>282</v>
      </c>
      <c r="C2835" t="s">
        <v>460</v>
      </c>
      <c r="E2835" t="s">
        <v>2495</v>
      </c>
      <c r="F2835" t="s">
        <v>5080</v>
      </c>
      <c r="G2835" t="s">
        <v>8306</v>
      </c>
      <c r="H2835" t="s">
        <v>10694</v>
      </c>
      <c r="I2835" t="s">
        <v>11385</v>
      </c>
      <c r="J2835">
        <v>11205</v>
      </c>
      <c r="K2835" t="s">
        <v>11447</v>
      </c>
      <c r="M2835" t="s">
        <v>14744</v>
      </c>
      <c r="N2835" t="s">
        <v>14781</v>
      </c>
      <c r="P2835" t="s">
        <v>14800</v>
      </c>
      <c r="S2835" t="s">
        <v>14827</v>
      </c>
      <c r="V2835">
        <v>1835</v>
      </c>
      <c r="W2835" t="s">
        <v>14859</v>
      </c>
      <c r="X2835" t="s">
        <v>14865</v>
      </c>
      <c r="Z2835" t="s">
        <v>17274</v>
      </c>
      <c r="AB2835" t="s">
        <v>22307</v>
      </c>
      <c r="AC2835">
        <v>80</v>
      </c>
      <c r="AF2835">
        <v>8</v>
      </c>
      <c r="AG2835">
        <v>1</v>
      </c>
      <c r="AH2835">
        <v>0</v>
      </c>
      <c r="AI2835">
        <v>105.68</v>
      </c>
      <c r="AL2835" t="s">
        <v>5011</v>
      </c>
      <c r="AM2835">
        <v>13200</v>
      </c>
      <c r="AS2835">
        <v>6.3</v>
      </c>
      <c r="AT2835" t="s">
        <v>478</v>
      </c>
      <c r="AU2835" t="s">
        <v>25230</v>
      </c>
      <c r="AW2835" t="s">
        <v>11447</v>
      </c>
    </row>
    <row r="2836" spans="1:49">
      <c r="A2836" s="1">
        <f>HYPERLINK("https://lsnyc.legalserver.org/matter/dynamic-profile/view/1912747","19-1912747")</f>
        <v>0</v>
      </c>
      <c r="B2836" t="s">
        <v>193</v>
      </c>
      <c r="C2836" t="s">
        <v>470</v>
      </c>
      <c r="E2836" t="s">
        <v>2330</v>
      </c>
      <c r="F2836" t="s">
        <v>5081</v>
      </c>
      <c r="G2836" t="s">
        <v>8307</v>
      </c>
      <c r="H2836" t="s">
        <v>10484</v>
      </c>
      <c r="I2836" t="s">
        <v>11385</v>
      </c>
      <c r="J2836">
        <v>11238</v>
      </c>
      <c r="K2836" t="s">
        <v>11447</v>
      </c>
      <c r="L2836" t="s">
        <v>12526</v>
      </c>
      <c r="P2836" t="s">
        <v>14800</v>
      </c>
      <c r="S2836" t="s">
        <v>14830</v>
      </c>
      <c r="V2836">
        <v>0</v>
      </c>
      <c r="W2836" t="s">
        <v>14859</v>
      </c>
      <c r="Z2836" t="s">
        <v>17275</v>
      </c>
      <c r="AB2836" t="s">
        <v>22308</v>
      </c>
      <c r="AC2836">
        <v>0</v>
      </c>
      <c r="AF2836">
        <v>0</v>
      </c>
      <c r="AG2836">
        <v>1</v>
      </c>
      <c r="AH2836">
        <v>0</v>
      </c>
      <c r="AI2836">
        <v>106.16</v>
      </c>
      <c r="AL2836" t="s">
        <v>5011</v>
      </c>
      <c r="AM2836">
        <v>13260</v>
      </c>
      <c r="AS2836">
        <v>2</v>
      </c>
      <c r="AT2836" t="s">
        <v>516</v>
      </c>
      <c r="AU2836" t="s">
        <v>25309</v>
      </c>
      <c r="AW2836" t="s">
        <v>11447</v>
      </c>
    </row>
    <row r="2837" spans="1:49">
      <c r="A2837" s="1">
        <f>HYPERLINK("https://lsnyc.legalserver.org/matter/dynamic-profile/view/1891993","19-1891993")</f>
        <v>0</v>
      </c>
      <c r="B2837" t="s">
        <v>193</v>
      </c>
      <c r="C2837" t="s">
        <v>708</v>
      </c>
      <c r="E2837" t="s">
        <v>1119</v>
      </c>
      <c r="F2837" t="s">
        <v>3925</v>
      </c>
      <c r="G2837" t="s">
        <v>8308</v>
      </c>
      <c r="H2837" t="s">
        <v>10460</v>
      </c>
      <c r="I2837" t="s">
        <v>11385</v>
      </c>
      <c r="J2837">
        <v>11221</v>
      </c>
      <c r="K2837" t="s">
        <v>11447</v>
      </c>
      <c r="N2837" t="s">
        <v>14781</v>
      </c>
      <c r="P2837" t="s">
        <v>14800</v>
      </c>
      <c r="S2837" t="s">
        <v>14827</v>
      </c>
      <c r="V2837">
        <v>0</v>
      </c>
      <c r="W2837" t="s">
        <v>14859</v>
      </c>
      <c r="Z2837" t="s">
        <v>16717</v>
      </c>
      <c r="AB2837" t="s">
        <v>22309</v>
      </c>
      <c r="AC2837">
        <v>0</v>
      </c>
      <c r="AF2837">
        <v>0</v>
      </c>
      <c r="AG2837">
        <v>1</v>
      </c>
      <c r="AH2837">
        <v>0</v>
      </c>
      <c r="AI2837">
        <v>106.45</v>
      </c>
      <c r="AL2837" t="s">
        <v>5011</v>
      </c>
      <c r="AM2837">
        <v>13296</v>
      </c>
      <c r="AS2837">
        <v>16.25</v>
      </c>
      <c r="AT2837" t="s">
        <v>490</v>
      </c>
      <c r="AU2837" t="s">
        <v>25273</v>
      </c>
      <c r="AW2837" t="s">
        <v>11447</v>
      </c>
    </row>
    <row r="2838" spans="1:49">
      <c r="A2838" s="1">
        <f>HYPERLINK("https://lsnyc.legalserver.org/matter/dynamic-profile/view/1899948","19-1899948")</f>
        <v>0</v>
      </c>
      <c r="B2838" t="s">
        <v>193</v>
      </c>
      <c r="C2838" t="s">
        <v>331</v>
      </c>
      <c r="E2838" t="s">
        <v>1920</v>
      </c>
      <c r="F2838" t="s">
        <v>4412</v>
      </c>
      <c r="G2838" t="s">
        <v>8309</v>
      </c>
      <c r="H2838" t="s">
        <v>10635</v>
      </c>
      <c r="I2838" t="s">
        <v>11385</v>
      </c>
      <c r="J2838">
        <v>11203</v>
      </c>
      <c r="K2838" t="s">
        <v>11447</v>
      </c>
      <c r="L2838" t="s">
        <v>12527</v>
      </c>
      <c r="M2838" t="s">
        <v>14744</v>
      </c>
      <c r="N2838" t="s">
        <v>14781</v>
      </c>
      <c r="P2838" t="s">
        <v>14800</v>
      </c>
      <c r="S2838" t="s">
        <v>14827</v>
      </c>
      <c r="V2838">
        <v>1535</v>
      </c>
      <c r="W2838" t="s">
        <v>14859</v>
      </c>
      <c r="X2838" t="s">
        <v>14865</v>
      </c>
      <c r="Z2838" t="s">
        <v>17158</v>
      </c>
      <c r="AB2838" t="s">
        <v>22310</v>
      </c>
      <c r="AC2838">
        <v>67</v>
      </c>
      <c r="AE2838" t="s">
        <v>24611</v>
      </c>
      <c r="AF2838">
        <v>0</v>
      </c>
      <c r="AG2838">
        <v>1</v>
      </c>
      <c r="AH2838">
        <v>0</v>
      </c>
      <c r="AI2838">
        <v>115.29</v>
      </c>
      <c r="AL2838" t="s">
        <v>5011</v>
      </c>
      <c r="AM2838">
        <v>14400</v>
      </c>
      <c r="AS2838">
        <v>12.4</v>
      </c>
      <c r="AT2838" t="s">
        <v>483</v>
      </c>
      <c r="AU2838" t="s">
        <v>25225</v>
      </c>
      <c r="AW2838" t="s">
        <v>11447</v>
      </c>
    </row>
    <row r="2839" spans="1:49">
      <c r="A2839" s="1">
        <f>HYPERLINK("https://lsnyc.legalserver.org/matter/dynamic-profile/view/1913100","19-1913100")</f>
        <v>0</v>
      </c>
      <c r="B2839" t="s">
        <v>240</v>
      </c>
      <c r="C2839" t="s">
        <v>571</v>
      </c>
      <c r="E2839" t="s">
        <v>2463</v>
      </c>
      <c r="F2839" t="s">
        <v>5047</v>
      </c>
      <c r="G2839" t="s">
        <v>8242</v>
      </c>
      <c r="H2839" t="s">
        <v>11039</v>
      </c>
      <c r="I2839" t="s">
        <v>11385</v>
      </c>
      <c r="J2839">
        <v>11236</v>
      </c>
      <c r="K2839" t="s">
        <v>11448</v>
      </c>
      <c r="L2839" t="s">
        <v>12528</v>
      </c>
      <c r="M2839" t="s">
        <v>14743</v>
      </c>
      <c r="P2839" t="s">
        <v>14800</v>
      </c>
      <c r="S2839" t="s">
        <v>14827</v>
      </c>
      <c r="V2839">
        <v>0</v>
      </c>
      <c r="W2839" t="s">
        <v>14859</v>
      </c>
      <c r="X2839" t="s">
        <v>14865</v>
      </c>
      <c r="Z2839" t="s">
        <v>17211</v>
      </c>
      <c r="AB2839" t="s">
        <v>22241</v>
      </c>
      <c r="AC2839">
        <v>0</v>
      </c>
      <c r="AF2839">
        <v>0</v>
      </c>
      <c r="AG2839">
        <v>3</v>
      </c>
      <c r="AH2839">
        <v>0</v>
      </c>
      <c r="AI2839">
        <v>117.21</v>
      </c>
      <c r="AL2839" t="s">
        <v>5011</v>
      </c>
      <c r="AM2839">
        <v>25000</v>
      </c>
      <c r="AS2839">
        <v>3</v>
      </c>
      <c r="AT2839" t="s">
        <v>476</v>
      </c>
      <c r="AU2839" t="s">
        <v>25275</v>
      </c>
      <c r="AV2839" t="s">
        <v>25335</v>
      </c>
      <c r="AW2839" t="s">
        <v>11447</v>
      </c>
    </row>
    <row r="2840" spans="1:49">
      <c r="A2840" s="1">
        <f>HYPERLINK("https://lsnyc.legalserver.org/matter/dynamic-profile/view/1878644","18-1878644")</f>
        <v>0</v>
      </c>
      <c r="B2840" t="s">
        <v>262</v>
      </c>
      <c r="C2840" t="s">
        <v>445</v>
      </c>
      <c r="E2840" t="s">
        <v>2496</v>
      </c>
      <c r="F2840" t="s">
        <v>3633</v>
      </c>
      <c r="G2840" t="s">
        <v>8310</v>
      </c>
      <c r="H2840" t="s">
        <v>10570</v>
      </c>
      <c r="I2840" t="s">
        <v>11385</v>
      </c>
      <c r="J2840">
        <v>11225</v>
      </c>
      <c r="K2840" t="s">
        <v>11448</v>
      </c>
      <c r="M2840" t="s">
        <v>14746</v>
      </c>
      <c r="N2840" t="s">
        <v>14781</v>
      </c>
      <c r="P2840" t="s">
        <v>14800</v>
      </c>
      <c r="S2840" t="s">
        <v>14827</v>
      </c>
      <c r="V2840">
        <v>0</v>
      </c>
      <c r="W2840" t="s">
        <v>14859</v>
      </c>
      <c r="Z2840" t="s">
        <v>17276</v>
      </c>
      <c r="AC2840">
        <v>0</v>
      </c>
      <c r="AF2840">
        <v>0</v>
      </c>
      <c r="AG2840">
        <v>3</v>
      </c>
      <c r="AH2840">
        <v>1</v>
      </c>
      <c r="AI2840">
        <v>124.3</v>
      </c>
      <c r="AL2840" t="s">
        <v>5011</v>
      </c>
      <c r="AM2840">
        <v>31200</v>
      </c>
      <c r="AS2840">
        <v>58.5</v>
      </c>
      <c r="AT2840" t="s">
        <v>345</v>
      </c>
      <c r="AU2840" t="s">
        <v>25230</v>
      </c>
      <c r="AW2840" t="s">
        <v>11447</v>
      </c>
    </row>
    <row r="2841" spans="1:49">
      <c r="A2841" s="1">
        <f>HYPERLINK("https://lsnyc.legalserver.org/matter/dynamic-profile/view/1899139","19-1899139")</f>
        <v>0</v>
      </c>
      <c r="B2841" t="s">
        <v>262</v>
      </c>
      <c r="C2841" t="s">
        <v>363</v>
      </c>
      <c r="E2841" t="s">
        <v>1145</v>
      </c>
      <c r="F2841" t="s">
        <v>5082</v>
      </c>
      <c r="G2841" t="s">
        <v>8311</v>
      </c>
      <c r="H2841" t="s">
        <v>10568</v>
      </c>
      <c r="I2841" t="s">
        <v>11385</v>
      </c>
      <c r="J2841">
        <v>11221</v>
      </c>
      <c r="K2841" t="s">
        <v>11447</v>
      </c>
      <c r="M2841" t="s">
        <v>14776</v>
      </c>
      <c r="N2841" t="s">
        <v>14784</v>
      </c>
      <c r="P2841" t="s">
        <v>14800</v>
      </c>
      <c r="S2841" t="s">
        <v>14827</v>
      </c>
      <c r="V2841">
        <v>129300</v>
      </c>
      <c r="W2841" t="s">
        <v>14859</v>
      </c>
      <c r="X2841" t="s">
        <v>14868</v>
      </c>
      <c r="Z2841" t="s">
        <v>17277</v>
      </c>
      <c r="AB2841" t="s">
        <v>22311</v>
      </c>
      <c r="AC2841">
        <v>6</v>
      </c>
      <c r="AD2841" t="s">
        <v>24595</v>
      </c>
      <c r="AF2841">
        <v>8</v>
      </c>
      <c r="AG2841">
        <v>1</v>
      </c>
      <c r="AH2841">
        <v>0</v>
      </c>
      <c r="AI2841">
        <v>124.9</v>
      </c>
      <c r="AL2841" t="s">
        <v>5011</v>
      </c>
      <c r="AM2841">
        <v>15600</v>
      </c>
      <c r="AS2841">
        <v>46.05</v>
      </c>
      <c r="AT2841" t="s">
        <v>495</v>
      </c>
      <c r="AU2841" t="s">
        <v>25230</v>
      </c>
      <c r="AW2841" t="s">
        <v>11447</v>
      </c>
    </row>
    <row r="2842" spans="1:49">
      <c r="A2842" s="1">
        <f>HYPERLINK("https://lsnyc.legalserver.org/matter/dynamic-profile/view/1887531","19-1887531")</f>
        <v>0</v>
      </c>
      <c r="B2842" t="s">
        <v>282</v>
      </c>
      <c r="C2842" t="s">
        <v>772</v>
      </c>
      <c r="E2842" t="s">
        <v>2497</v>
      </c>
      <c r="F2842" t="s">
        <v>3019</v>
      </c>
      <c r="G2842" t="s">
        <v>8312</v>
      </c>
      <c r="H2842" t="s">
        <v>10589</v>
      </c>
      <c r="I2842" t="s">
        <v>11385</v>
      </c>
      <c r="J2842">
        <v>11203</v>
      </c>
      <c r="K2842" t="s">
        <v>11447</v>
      </c>
      <c r="L2842" t="s">
        <v>12529</v>
      </c>
      <c r="M2842" t="s">
        <v>14744</v>
      </c>
      <c r="N2842" t="s">
        <v>14781</v>
      </c>
      <c r="P2842" t="s">
        <v>14800</v>
      </c>
      <c r="S2842" t="s">
        <v>14827</v>
      </c>
      <c r="V2842">
        <v>932.1799999999999</v>
      </c>
      <c r="W2842" t="s">
        <v>14859</v>
      </c>
      <c r="X2842" t="s">
        <v>14865</v>
      </c>
      <c r="Z2842" t="s">
        <v>15314</v>
      </c>
      <c r="AC2842">
        <v>48</v>
      </c>
      <c r="AF2842">
        <v>40</v>
      </c>
      <c r="AG2842">
        <v>2</v>
      </c>
      <c r="AH2842">
        <v>2</v>
      </c>
      <c r="AI2842">
        <v>125.5</v>
      </c>
      <c r="AL2842" t="s">
        <v>5011</v>
      </c>
      <c r="AM2842">
        <v>31500</v>
      </c>
      <c r="AS2842">
        <v>17</v>
      </c>
      <c r="AT2842" t="s">
        <v>487</v>
      </c>
      <c r="AU2842" t="s">
        <v>25235</v>
      </c>
      <c r="AW2842" t="s">
        <v>11447</v>
      </c>
    </row>
    <row r="2843" spans="1:49">
      <c r="A2843" s="1">
        <f>HYPERLINK("https://lsnyc.legalserver.org/matter/dynamic-profile/view/1891951","19-1891951")</f>
        <v>0</v>
      </c>
      <c r="B2843" t="s">
        <v>77</v>
      </c>
      <c r="C2843" t="s">
        <v>708</v>
      </c>
      <c r="E2843" t="s">
        <v>1054</v>
      </c>
      <c r="F2843" t="s">
        <v>5083</v>
      </c>
      <c r="G2843" t="s">
        <v>8313</v>
      </c>
      <c r="H2843" t="s">
        <v>10945</v>
      </c>
      <c r="I2843" t="s">
        <v>11385</v>
      </c>
      <c r="J2843">
        <v>11209</v>
      </c>
      <c r="K2843" t="s">
        <v>11447</v>
      </c>
      <c r="L2843" t="s">
        <v>12530</v>
      </c>
      <c r="M2843" t="s">
        <v>14744</v>
      </c>
      <c r="N2843" t="s">
        <v>14781</v>
      </c>
      <c r="P2843" t="s">
        <v>14800</v>
      </c>
      <c r="S2843" t="s">
        <v>14827</v>
      </c>
      <c r="V2843">
        <v>0</v>
      </c>
      <c r="W2843" t="s">
        <v>14859</v>
      </c>
      <c r="Z2843" t="s">
        <v>14925</v>
      </c>
      <c r="AB2843" t="s">
        <v>22312</v>
      </c>
      <c r="AC2843">
        <v>0</v>
      </c>
      <c r="AF2843">
        <v>0</v>
      </c>
      <c r="AG2843">
        <v>2</v>
      </c>
      <c r="AH2843">
        <v>0</v>
      </c>
      <c r="AI2843">
        <v>127.74</v>
      </c>
      <c r="AL2843" t="s">
        <v>5011</v>
      </c>
      <c r="AM2843">
        <v>21600</v>
      </c>
      <c r="AS2843">
        <v>19.8</v>
      </c>
      <c r="AT2843" t="s">
        <v>490</v>
      </c>
      <c r="AU2843" t="s">
        <v>77</v>
      </c>
      <c r="AW2843" t="s">
        <v>11447</v>
      </c>
    </row>
    <row r="2844" spans="1:49">
      <c r="A2844" s="1">
        <f>HYPERLINK("https://lsnyc.legalserver.org/matter/dynamic-profile/view/1858899","18-1858899")</f>
        <v>0</v>
      </c>
      <c r="B2844" t="s">
        <v>255</v>
      </c>
      <c r="C2844" t="s">
        <v>525</v>
      </c>
      <c r="E2844" t="s">
        <v>2498</v>
      </c>
      <c r="F2844" t="s">
        <v>3583</v>
      </c>
      <c r="G2844" t="s">
        <v>8314</v>
      </c>
      <c r="H2844" t="s">
        <v>10458</v>
      </c>
      <c r="I2844" t="s">
        <v>11385</v>
      </c>
      <c r="J2844">
        <v>11217</v>
      </c>
      <c r="K2844" t="s">
        <v>11448</v>
      </c>
      <c r="M2844" t="s">
        <v>14744</v>
      </c>
      <c r="N2844" t="s">
        <v>14782</v>
      </c>
      <c r="P2844" t="s">
        <v>14800</v>
      </c>
      <c r="S2844" t="s">
        <v>14828</v>
      </c>
      <c r="V2844">
        <v>0</v>
      </c>
      <c r="W2844" t="s">
        <v>14859</v>
      </c>
      <c r="Z2844" t="s">
        <v>17278</v>
      </c>
      <c r="AC2844">
        <v>0</v>
      </c>
      <c r="AF2844">
        <v>0</v>
      </c>
      <c r="AG2844">
        <v>2</v>
      </c>
      <c r="AH2844">
        <v>0</v>
      </c>
      <c r="AI2844">
        <v>134.26</v>
      </c>
      <c r="AL2844" t="s">
        <v>24632</v>
      </c>
      <c r="AM2844">
        <v>21804</v>
      </c>
      <c r="AS2844">
        <v>0</v>
      </c>
      <c r="AU2844" t="s">
        <v>25246</v>
      </c>
      <c r="AW2844" t="s">
        <v>11447</v>
      </c>
    </row>
    <row r="2845" spans="1:49">
      <c r="A2845" s="1">
        <f>HYPERLINK("https://lsnyc.legalserver.org/matter/dynamic-profile/view/1888511","19-1888511")</f>
        <v>0</v>
      </c>
      <c r="B2845" t="s">
        <v>141</v>
      </c>
      <c r="C2845" t="s">
        <v>577</v>
      </c>
      <c r="E2845" t="s">
        <v>1813</v>
      </c>
      <c r="F2845" t="s">
        <v>5084</v>
      </c>
      <c r="G2845" t="s">
        <v>8315</v>
      </c>
      <c r="H2845" t="s">
        <v>11064</v>
      </c>
      <c r="I2845" t="s">
        <v>11385</v>
      </c>
      <c r="J2845">
        <v>11214</v>
      </c>
      <c r="K2845" t="s">
        <v>11446</v>
      </c>
      <c r="L2845" t="s">
        <v>12531</v>
      </c>
      <c r="M2845" t="s">
        <v>14744</v>
      </c>
      <c r="N2845" t="s">
        <v>14781</v>
      </c>
      <c r="P2845" t="s">
        <v>14800</v>
      </c>
      <c r="S2845" t="s">
        <v>14827</v>
      </c>
      <c r="V2845">
        <v>855.88</v>
      </c>
      <c r="W2845" t="s">
        <v>14859</v>
      </c>
      <c r="X2845" t="s">
        <v>14865</v>
      </c>
      <c r="Z2845" t="s">
        <v>17279</v>
      </c>
      <c r="AB2845" t="s">
        <v>22313</v>
      </c>
      <c r="AC2845">
        <v>34</v>
      </c>
      <c r="AD2845" t="s">
        <v>24595</v>
      </c>
      <c r="AE2845" t="s">
        <v>11459</v>
      </c>
      <c r="AF2845">
        <v>35</v>
      </c>
      <c r="AG2845">
        <v>1</v>
      </c>
      <c r="AH2845">
        <v>0</v>
      </c>
      <c r="AI2845">
        <v>137.99</v>
      </c>
      <c r="AL2845" t="s">
        <v>5011</v>
      </c>
      <c r="AM2845">
        <v>16752</v>
      </c>
      <c r="AS2845">
        <v>28.9</v>
      </c>
      <c r="AT2845" t="s">
        <v>665</v>
      </c>
      <c r="AU2845" t="s">
        <v>25235</v>
      </c>
      <c r="AW2845" t="s">
        <v>11446</v>
      </c>
    </row>
    <row r="2846" spans="1:49">
      <c r="A2846" s="1">
        <f>HYPERLINK("https://lsnyc.legalserver.org/matter/dynamic-profile/view/1908782","19-1908782")</f>
        <v>0</v>
      </c>
      <c r="B2846" t="s">
        <v>228</v>
      </c>
      <c r="C2846" t="s">
        <v>585</v>
      </c>
      <c r="E2846" t="s">
        <v>2499</v>
      </c>
      <c r="F2846" t="s">
        <v>5085</v>
      </c>
      <c r="G2846" t="s">
        <v>8316</v>
      </c>
      <c r="H2846" t="s">
        <v>10648</v>
      </c>
      <c r="I2846" t="s">
        <v>11385</v>
      </c>
      <c r="J2846">
        <v>11230</v>
      </c>
      <c r="K2846" t="s">
        <v>11448</v>
      </c>
      <c r="L2846" t="s">
        <v>12532</v>
      </c>
      <c r="M2846" t="s">
        <v>14743</v>
      </c>
      <c r="N2846" t="s">
        <v>14778</v>
      </c>
      <c r="P2846" t="s">
        <v>14800</v>
      </c>
      <c r="S2846" t="s">
        <v>14827</v>
      </c>
      <c r="V2846">
        <v>950</v>
      </c>
      <c r="W2846" t="s">
        <v>14859</v>
      </c>
      <c r="X2846" t="s">
        <v>14865</v>
      </c>
      <c r="Z2846" t="s">
        <v>17280</v>
      </c>
      <c r="AA2846">
        <v>110799601</v>
      </c>
      <c r="AB2846" t="s">
        <v>22314</v>
      </c>
      <c r="AC2846">
        <v>0</v>
      </c>
      <c r="AF2846">
        <v>0</v>
      </c>
      <c r="AG2846">
        <v>2</v>
      </c>
      <c r="AH2846">
        <v>0</v>
      </c>
      <c r="AI2846">
        <v>148.36</v>
      </c>
      <c r="AM2846">
        <v>25088</v>
      </c>
      <c r="AS2846">
        <v>0</v>
      </c>
      <c r="AU2846" t="s">
        <v>25275</v>
      </c>
      <c r="AV2846" t="s">
        <v>11459</v>
      </c>
      <c r="AW2846" t="s">
        <v>11447</v>
      </c>
    </row>
    <row r="2847" spans="1:49">
      <c r="A2847" s="1">
        <f>HYPERLINK("https://lsnyc.legalserver.org/matter/dynamic-profile/view/1875621","18-1875621")</f>
        <v>0</v>
      </c>
      <c r="B2847" t="s">
        <v>72</v>
      </c>
      <c r="C2847" t="s">
        <v>678</v>
      </c>
      <c r="E2847" t="s">
        <v>2435</v>
      </c>
      <c r="F2847" t="s">
        <v>5086</v>
      </c>
      <c r="G2847" t="s">
        <v>7584</v>
      </c>
      <c r="H2847" t="s">
        <v>10817</v>
      </c>
      <c r="I2847" t="s">
        <v>11385</v>
      </c>
      <c r="J2847">
        <v>11208</v>
      </c>
      <c r="K2847" t="s">
        <v>11447</v>
      </c>
      <c r="L2847" t="s">
        <v>12021</v>
      </c>
      <c r="M2847" t="s">
        <v>14746</v>
      </c>
      <c r="N2847" t="s">
        <v>14781</v>
      </c>
      <c r="P2847" t="s">
        <v>14800</v>
      </c>
      <c r="S2847" t="s">
        <v>14827</v>
      </c>
      <c r="V2847">
        <v>600</v>
      </c>
      <c r="W2847" t="s">
        <v>14859</v>
      </c>
      <c r="Z2847" t="s">
        <v>17281</v>
      </c>
      <c r="AB2847" t="s">
        <v>22315</v>
      </c>
      <c r="AC2847">
        <v>9</v>
      </c>
      <c r="AF2847">
        <v>3</v>
      </c>
      <c r="AG2847">
        <v>1</v>
      </c>
      <c r="AH2847">
        <v>0</v>
      </c>
      <c r="AI2847">
        <v>149.92</v>
      </c>
      <c r="AL2847" t="s">
        <v>5011</v>
      </c>
      <c r="AM2847">
        <v>18200</v>
      </c>
      <c r="AS2847">
        <v>8.4</v>
      </c>
      <c r="AT2847" t="s">
        <v>559</v>
      </c>
      <c r="AU2847" t="s">
        <v>25275</v>
      </c>
      <c r="AW2847" t="s">
        <v>11447</v>
      </c>
    </row>
    <row r="2848" spans="1:49">
      <c r="A2848" s="1">
        <f>HYPERLINK("https://lsnyc.legalserver.org/matter/dynamic-profile/view/1898129","19-1898129")</f>
        <v>0</v>
      </c>
      <c r="B2848" t="s">
        <v>151</v>
      </c>
      <c r="C2848" t="s">
        <v>610</v>
      </c>
      <c r="E2848" t="s">
        <v>1030</v>
      </c>
      <c r="F2848" t="s">
        <v>3551</v>
      </c>
      <c r="G2848" t="s">
        <v>6281</v>
      </c>
      <c r="H2848" t="s">
        <v>10454</v>
      </c>
      <c r="I2848" t="s">
        <v>11385</v>
      </c>
      <c r="J2848">
        <v>11206</v>
      </c>
      <c r="K2848" t="s">
        <v>11448</v>
      </c>
      <c r="L2848" t="s">
        <v>12533</v>
      </c>
      <c r="M2848" t="s">
        <v>14744</v>
      </c>
      <c r="N2848" t="s">
        <v>14781</v>
      </c>
      <c r="P2848" t="s">
        <v>14800</v>
      </c>
      <c r="Q2848" t="s">
        <v>11448</v>
      </c>
      <c r="S2848" t="s">
        <v>14827</v>
      </c>
      <c r="T2848" t="s">
        <v>14832</v>
      </c>
      <c r="V2848">
        <v>954</v>
      </c>
      <c r="W2848" t="s">
        <v>14859</v>
      </c>
      <c r="X2848" t="s">
        <v>14865</v>
      </c>
      <c r="Z2848" t="s">
        <v>14907</v>
      </c>
      <c r="AB2848" t="s">
        <v>20105</v>
      </c>
      <c r="AC2848">
        <v>0</v>
      </c>
      <c r="AF2848">
        <v>0</v>
      </c>
      <c r="AG2848">
        <v>1</v>
      </c>
      <c r="AH2848">
        <v>0</v>
      </c>
      <c r="AI2848">
        <v>159.58</v>
      </c>
      <c r="AL2848" t="s">
        <v>5011</v>
      </c>
      <c r="AM2848">
        <v>19932</v>
      </c>
      <c r="AS2848">
        <v>8.4</v>
      </c>
      <c r="AT2848" t="s">
        <v>601</v>
      </c>
      <c r="AU2848" t="s">
        <v>25275</v>
      </c>
      <c r="AW2848" t="s">
        <v>11446</v>
      </c>
    </row>
    <row r="2849" spans="1:49">
      <c r="A2849" s="1">
        <f>HYPERLINK("https://lsnyc.legalserver.org/matter/dynamic-profile/view/1910670","19-1910670")</f>
        <v>0</v>
      </c>
      <c r="B2849" t="s">
        <v>146</v>
      </c>
      <c r="C2849" t="s">
        <v>644</v>
      </c>
      <c r="E2849" t="s">
        <v>1030</v>
      </c>
      <c r="F2849" t="s">
        <v>3551</v>
      </c>
      <c r="G2849" t="s">
        <v>6281</v>
      </c>
      <c r="H2849" t="s">
        <v>10454</v>
      </c>
      <c r="I2849" t="s">
        <v>11385</v>
      </c>
      <c r="J2849">
        <v>11206</v>
      </c>
      <c r="K2849" t="s">
        <v>11447</v>
      </c>
      <c r="N2849" t="s">
        <v>14782</v>
      </c>
      <c r="P2849" t="s">
        <v>14800</v>
      </c>
      <c r="S2849" t="s">
        <v>14827</v>
      </c>
      <c r="V2849">
        <v>0</v>
      </c>
      <c r="W2849" t="s">
        <v>14859</v>
      </c>
      <c r="Z2849" t="s">
        <v>14907</v>
      </c>
      <c r="AB2849" t="s">
        <v>20105</v>
      </c>
      <c r="AC2849">
        <v>0</v>
      </c>
      <c r="AF2849">
        <v>0</v>
      </c>
      <c r="AG2849">
        <v>1</v>
      </c>
      <c r="AH2849">
        <v>0</v>
      </c>
      <c r="AI2849">
        <v>159.58</v>
      </c>
      <c r="AL2849" t="s">
        <v>5011</v>
      </c>
      <c r="AM2849">
        <v>19932</v>
      </c>
      <c r="AS2849">
        <v>2.1</v>
      </c>
      <c r="AT2849" t="s">
        <v>467</v>
      </c>
      <c r="AU2849" t="s">
        <v>25230</v>
      </c>
      <c r="AW2849" t="s">
        <v>11447</v>
      </c>
    </row>
    <row r="2850" spans="1:49">
      <c r="A2850" s="1">
        <f>HYPERLINK("https://lsnyc.legalserver.org/matter/dynamic-profile/view/1909495","19-1909495")</f>
        <v>0</v>
      </c>
      <c r="B2850" t="s">
        <v>275</v>
      </c>
      <c r="C2850" t="s">
        <v>488</v>
      </c>
      <c r="E2850" t="s">
        <v>1065</v>
      </c>
      <c r="F2850" t="s">
        <v>4058</v>
      </c>
      <c r="G2850" t="s">
        <v>8317</v>
      </c>
      <c r="H2850">
        <v>207</v>
      </c>
      <c r="I2850" t="s">
        <v>11385</v>
      </c>
      <c r="J2850">
        <v>11221</v>
      </c>
      <c r="K2850" t="s">
        <v>11446</v>
      </c>
      <c r="L2850" t="s">
        <v>12534</v>
      </c>
      <c r="M2850" t="s">
        <v>14746</v>
      </c>
      <c r="N2850" t="s">
        <v>14778</v>
      </c>
      <c r="P2850" t="s">
        <v>14800</v>
      </c>
      <c r="S2850" t="s">
        <v>14827</v>
      </c>
      <c r="V2850">
        <v>0</v>
      </c>
      <c r="W2850" t="s">
        <v>14859</v>
      </c>
      <c r="X2850" t="s">
        <v>14881</v>
      </c>
      <c r="Z2850" t="s">
        <v>17282</v>
      </c>
      <c r="AB2850" t="s">
        <v>22316</v>
      </c>
      <c r="AC2850">
        <v>0</v>
      </c>
      <c r="AF2850">
        <v>0</v>
      </c>
      <c r="AG2850">
        <v>3</v>
      </c>
      <c r="AH2850">
        <v>1</v>
      </c>
      <c r="AI2850">
        <v>160.54</v>
      </c>
      <c r="AL2850" t="s">
        <v>5011</v>
      </c>
      <c r="AM2850">
        <v>41340</v>
      </c>
      <c r="AS2850">
        <v>0</v>
      </c>
      <c r="AU2850" t="s">
        <v>25230</v>
      </c>
      <c r="AV2850" t="s">
        <v>25335</v>
      </c>
      <c r="AW2850" t="s">
        <v>11447</v>
      </c>
    </row>
    <row r="2851" spans="1:49">
      <c r="A2851" s="1">
        <f>HYPERLINK("https://lsnyc.legalserver.org/matter/dynamic-profile/view/1855408","18-1855408")</f>
        <v>0</v>
      </c>
      <c r="B2851" t="s">
        <v>127</v>
      </c>
      <c r="C2851" t="s">
        <v>394</v>
      </c>
      <c r="E2851" t="s">
        <v>1273</v>
      </c>
      <c r="F2851" t="s">
        <v>3779</v>
      </c>
      <c r="G2851" t="s">
        <v>8318</v>
      </c>
      <c r="H2851" t="s">
        <v>11065</v>
      </c>
      <c r="I2851" t="s">
        <v>11385</v>
      </c>
      <c r="J2851">
        <v>11236</v>
      </c>
      <c r="K2851" t="s">
        <v>11448</v>
      </c>
      <c r="L2851" t="s">
        <v>12535</v>
      </c>
      <c r="M2851" t="s">
        <v>14744</v>
      </c>
      <c r="N2851" t="s">
        <v>14781</v>
      </c>
      <c r="P2851" t="s">
        <v>14800</v>
      </c>
      <c r="S2851" t="s">
        <v>14828</v>
      </c>
      <c r="V2851">
        <v>0</v>
      </c>
      <c r="W2851" t="s">
        <v>14859</v>
      </c>
      <c r="Z2851" t="s">
        <v>15318</v>
      </c>
      <c r="AB2851" t="s">
        <v>22317</v>
      </c>
      <c r="AC2851">
        <v>0</v>
      </c>
      <c r="AE2851" t="s">
        <v>11459</v>
      </c>
      <c r="AF2851">
        <v>0</v>
      </c>
      <c r="AG2851">
        <v>1</v>
      </c>
      <c r="AH2851">
        <v>1</v>
      </c>
      <c r="AI2851">
        <v>165.54</v>
      </c>
      <c r="AL2851" t="s">
        <v>5011</v>
      </c>
      <c r="AM2851">
        <v>26884</v>
      </c>
      <c r="AS2851">
        <v>61</v>
      </c>
      <c r="AT2851" t="s">
        <v>586</v>
      </c>
      <c r="AU2851" t="s">
        <v>25275</v>
      </c>
      <c r="AW2851" t="s">
        <v>11447</v>
      </c>
    </row>
    <row r="2852" spans="1:49">
      <c r="A2852" s="1">
        <f>HYPERLINK("https://lsnyc.legalserver.org/matter/dynamic-profile/view/1912274","19-1912274")</f>
        <v>0</v>
      </c>
      <c r="B2852" t="s">
        <v>267</v>
      </c>
      <c r="C2852" t="s">
        <v>559</v>
      </c>
      <c r="E2852" t="s">
        <v>2145</v>
      </c>
      <c r="F2852" t="s">
        <v>1254</v>
      </c>
      <c r="G2852" t="s">
        <v>8280</v>
      </c>
      <c r="H2852" t="s">
        <v>11066</v>
      </c>
      <c r="I2852" t="s">
        <v>11385</v>
      </c>
      <c r="J2852">
        <v>11224</v>
      </c>
      <c r="K2852" t="s">
        <v>11447</v>
      </c>
      <c r="L2852" t="s">
        <v>12536</v>
      </c>
      <c r="M2852" t="s">
        <v>14744</v>
      </c>
      <c r="N2852" t="s">
        <v>14781</v>
      </c>
      <c r="P2852" t="s">
        <v>14800</v>
      </c>
      <c r="Q2852" t="s">
        <v>11448</v>
      </c>
      <c r="S2852" t="s">
        <v>14827</v>
      </c>
      <c r="T2852" t="s">
        <v>14836</v>
      </c>
      <c r="V2852">
        <v>1115</v>
      </c>
      <c r="W2852" t="s">
        <v>14859</v>
      </c>
      <c r="Z2852" t="s">
        <v>17283</v>
      </c>
      <c r="AA2852" t="s">
        <v>19572</v>
      </c>
      <c r="AB2852" t="s">
        <v>22318</v>
      </c>
      <c r="AC2852">
        <v>0</v>
      </c>
      <c r="AD2852" t="s">
        <v>24605</v>
      </c>
      <c r="AF2852">
        <v>40</v>
      </c>
      <c r="AG2852">
        <v>1</v>
      </c>
      <c r="AH2852">
        <v>1</v>
      </c>
      <c r="AI2852">
        <v>198.84</v>
      </c>
      <c r="AL2852" t="s">
        <v>5011</v>
      </c>
      <c r="AM2852">
        <v>33624</v>
      </c>
      <c r="AS2852">
        <v>9.699999999999999</v>
      </c>
      <c r="AT2852" t="s">
        <v>574</v>
      </c>
      <c r="AU2852" t="s">
        <v>25277</v>
      </c>
      <c r="AW2852" t="s">
        <v>11447</v>
      </c>
    </row>
    <row r="2853" spans="1:49">
      <c r="A2853" s="1">
        <f>HYPERLINK("https://lsnyc.legalserver.org/matter/dynamic-profile/view/1900451","19-1900451")</f>
        <v>0</v>
      </c>
      <c r="B2853" t="s">
        <v>106</v>
      </c>
      <c r="C2853" t="s">
        <v>348</v>
      </c>
      <c r="E2853" t="s">
        <v>2500</v>
      </c>
      <c r="F2853" t="s">
        <v>2906</v>
      </c>
      <c r="G2853" t="s">
        <v>8319</v>
      </c>
      <c r="H2853" t="s">
        <v>11067</v>
      </c>
      <c r="I2853" t="s">
        <v>11385</v>
      </c>
      <c r="J2853">
        <v>11213</v>
      </c>
      <c r="K2853" t="s">
        <v>11448</v>
      </c>
      <c r="L2853" t="s">
        <v>12537</v>
      </c>
      <c r="M2853" t="s">
        <v>14743</v>
      </c>
      <c r="N2853" t="s">
        <v>14781</v>
      </c>
      <c r="P2853" t="s">
        <v>14800</v>
      </c>
      <c r="S2853" t="s">
        <v>14827</v>
      </c>
      <c r="V2853">
        <v>551.34</v>
      </c>
      <c r="W2853" t="s">
        <v>14859</v>
      </c>
      <c r="X2853" t="s">
        <v>14864</v>
      </c>
      <c r="Z2853" t="s">
        <v>15095</v>
      </c>
      <c r="AA2853" t="s">
        <v>19573</v>
      </c>
      <c r="AB2853" t="s">
        <v>22319</v>
      </c>
      <c r="AC2853">
        <v>4</v>
      </c>
      <c r="AF2853">
        <v>13</v>
      </c>
      <c r="AG2853">
        <v>1</v>
      </c>
      <c r="AH2853">
        <v>0</v>
      </c>
      <c r="AI2853">
        <v>229.4</v>
      </c>
      <c r="AJ2853" t="s">
        <v>346</v>
      </c>
      <c r="AK2853" t="s">
        <v>24629</v>
      </c>
      <c r="AL2853" t="s">
        <v>5011</v>
      </c>
      <c r="AM2853">
        <v>28652</v>
      </c>
      <c r="AS2853">
        <v>25.7</v>
      </c>
      <c r="AT2853" t="s">
        <v>509</v>
      </c>
      <c r="AU2853" t="s">
        <v>25230</v>
      </c>
      <c r="AW2853" t="s">
        <v>11447</v>
      </c>
    </row>
    <row r="2854" spans="1:49">
      <c r="A2854" s="1">
        <f>HYPERLINK("https://lsnyc.legalserver.org/matter/dynamic-profile/view/1909689","19-1909689")</f>
        <v>0</v>
      </c>
      <c r="B2854" t="s">
        <v>255</v>
      </c>
      <c r="C2854" t="s">
        <v>463</v>
      </c>
      <c r="E2854" t="s">
        <v>1642</v>
      </c>
      <c r="F2854" t="s">
        <v>5087</v>
      </c>
      <c r="G2854" t="s">
        <v>7853</v>
      </c>
      <c r="H2854" t="s">
        <v>10448</v>
      </c>
      <c r="I2854" t="s">
        <v>11385</v>
      </c>
      <c r="J2854">
        <v>11238</v>
      </c>
      <c r="K2854" t="s">
        <v>11447</v>
      </c>
      <c r="M2854" t="s">
        <v>14760</v>
      </c>
      <c r="N2854" t="s">
        <v>14781</v>
      </c>
      <c r="P2854" t="s">
        <v>14800</v>
      </c>
      <c r="Q2854" t="s">
        <v>11448</v>
      </c>
      <c r="S2854" t="s">
        <v>14827</v>
      </c>
      <c r="T2854" t="s">
        <v>14832</v>
      </c>
      <c r="V2854">
        <v>0</v>
      </c>
      <c r="W2854" t="s">
        <v>14859</v>
      </c>
      <c r="Z2854" t="s">
        <v>17284</v>
      </c>
      <c r="AB2854" t="s">
        <v>22320</v>
      </c>
      <c r="AC2854">
        <v>0</v>
      </c>
      <c r="AF2854">
        <v>0</v>
      </c>
      <c r="AG2854">
        <v>2</v>
      </c>
      <c r="AH2854">
        <v>0</v>
      </c>
      <c r="AI2854">
        <v>396.22</v>
      </c>
      <c r="AJ2854" t="s">
        <v>551</v>
      </c>
      <c r="AK2854" t="s">
        <v>24629</v>
      </c>
      <c r="AL2854" t="s">
        <v>5011</v>
      </c>
      <c r="AM2854">
        <v>67000</v>
      </c>
      <c r="AS2854">
        <v>5</v>
      </c>
      <c r="AT2854" t="s">
        <v>366</v>
      </c>
      <c r="AU2854" t="s">
        <v>255</v>
      </c>
      <c r="AW2854" t="s">
        <v>11447</v>
      </c>
    </row>
    <row r="2855" spans="1:49">
      <c r="A2855" s="1">
        <f>HYPERLINK("https://lsnyc.legalserver.org/matter/dynamic-profile/view/1902744","19-1902744")</f>
        <v>0</v>
      </c>
      <c r="B2855" t="s">
        <v>83</v>
      </c>
      <c r="C2855" t="s">
        <v>527</v>
      </c>
      <c r="D2855" t="s">
        <v>474</v>
      </c>
      <c r="E2855" t="s">
        <v>2501</v>
      </c>
      <c r="F2855" t="s">
        <v>3682</v>
      </c>
      <c r="G2855" t="s">
        <v>8320</v>
      </c>
      <c r="H2855" t="s">
        <v>10474</v>
      </c>
      <c r="I2855" t="s">
        <v>11424</v>
      </c>
      <c r="J2855">
        <v>11372</v>
      </c>
      <c r="K2855" t="s">
        <v>11446</v>
      </c>
      <c r="L2855" t="s">
        <v>12538</v>
      </c>
      <c r="M2855" t="s">
        <v>14743</v>
      </c>
      <c r="N2855" t="s">
        <v>14778</v>
      </c>
      <c r="O2855" t="s">
        <v>14786</v>
      </c>
      <c r="P2855" t="s">
        <v>14801</v>
      </c>
      <c r="Q2855" t="s">
        <v>11446</v>
      </c>
      <c r="S2855" t="s">
        <v>14827</v>
      </c>
      <c r="T2855" t="s">
        <v>14832</v>
      </c>
      <c r="U2855" t="s">
        <v>545</v>
      </c>
      <c r="V2855">
        <v>1525</v>
      </c>
      <c r="W2855" t="s">
        <v>14861</v>
      </c>
      <c r="X2855" t="s">
        <v>14865</v>
      </c>
      <c r="Y2855" t="s">
        <v>14883</v>
      </c>
      <c r="Z2855" t="s">
        <v>17285</v>
      </c>
      <c r="AB2855" t="s">
        <v>22321</v>
      </c>
      <c r="AC2855">
        <v>120</v>
      </c>
      <c r="AD2855" t="s">
        <v>24600</v>
      </c>
      <c r="AE2855" t="s">
        <v>11459</v>
      </c>
      <c r="AF2855">
        <v>9</v>
      </c>
      <c r="AG2855">
        <v>1</v>
      </c>
      <c r="AH2855">
        <v>0</v>
      </c>
      <c r="AI2855">
        <v>0</v>
      </c>
      <c r="AL2855" t="s">
        <v>5011</v>
      </c>
      <c r="AM2855">
        <v>0</v>
      </c>
      <c r="AS2855">
        <v>2.6</v>
      </c>
      <c r="AT2855" t="s">
        <v>474</v>
      </c>
      <c r="AU2855" t="s">
        <v>25233</v>
      </c>
      <c r="AV2855" t="s">
        <v>25335</v>
      </c>
      <c r="AW2855" t="s">
        <v>11447</v>
      </c>
    </row>
    <row r="2856" spans="1:49">
      <c r="A2856" s="1">
        <f>HYPERLINK("https://lsnyc.legalserver.org/matter/dynamic-profile/view/1904538","19-1904538")</f>
        <v>0</v>
      </c>
      <c r="B2856" t="s">
        <v>83</v>
      </c>
      <c r="C2856" t="s">
        <v>493</v>
      </c>
      <c r="D2856" t="s">
        <v>365</v>
      </c>
      <c r="E2856" t="s">
        <v>2502</v>
      </c>
      <c r="F2856" t="s">
        <v>3797</v>
      </c>
      <c r="G2856" t="s">
        <v>8321</v>
      </c>
      <c r="H2856" t="s">
        <v>10456</v>
      </c>
      <c r="I2856" t="s">
        <v>11402</v>
      </c>
      <c r="J2856">
        <v>11422</v>
      </c>
      <c r="K2856" t="s">
        <v>11446</v>
      </c>
      <c r="L2856" t="s">
        <v>12539</v>
      </c>
      <c r="M2856" t="s">
        <v>14743</v>
      </c>
      <c r="N2856" t="s">
        <v>14778</v>
      </c>
      <c r="O2856" t="s">
        <v>14786</v>
      </c>
      <c r="P2856" t="s">
        <v>14801</v>
      </c>
      <c r="Q2856" t="s">
        <v>11448</v>
      </c>
      <c r="S2856" t="s">
        <v>14827</v>
      </c>
      <c r="T2856" t="s">
        <v>14832</v>
      </c>
      <c r="U2856" t="s">
        <v>493</v>
      </c>
      <c r="V2856">
        <v>1450</v>
      </c>
      <c r="W2856" t="s">
        <v>14861</v>
      </c>
      <c r="X2856" t="s">
        <v>14865</v>
      </c>
      <c r="Y2856" t="s">
        <v>14883</v>
      </c>
      <c r="Z2856" t="s">
        <v>17286</v>
      </c>
      <c r="AB2856" t="s">
        <v>22322</v>
      </c>
      <c r="AC2856">
        <v>2</v>
      </c>
      <c r="AD2856" t="s">
        <v>24600</v>
      </c>
      <c r="AE2856" t="s">
        <v>11459</v>
      </c>
      <c r="AF2856">
        <v>-1</v>
      </c>
      <c r="AG2856">
        <v>3</v>
      </c>
      <c r="AH2856">
        <v>1</v>
      </c>
      <c r="AI2856">
        <v>0</v>
      </c>
      <c r="AL2856" t="s">
        <v>5011</v>
      </c>
      <c r="AM2856">
        <v>0</v>
      </c>
      <c r="AS2856">
        <v>2.05</v>
      </c>
      <c r="AT2856" t="s">
        <v>508</v>
      </c>
      <c r="AU2856" t="s">
        <v>292</v>
      </c>
      <c r="AV2856" t="s">
        <v>25335</v>
      </c>
      <c r="AW2856" t="s">
        <v>11447</v>
      </c>
    </row>
    <row r="2857" spans="1:49">
      <c r="A2857" s="1">
        <f>HYPERLINK("https://lsnyc.legalserver.org/matter/dynamic-profile/view/1886641","18-1886641")</f>
        <v>0</v>
      </c>
      <c r="B2857" t="s">
        <v>122</v>
      </c>
      <c r="C2857" t="s">
        <v>784</v>
      </c>
      <c r="D2857" t="s">
        <v>365</v>
      </c>
      <c r="E2857" t="s">
        <v>1066</v>
      </c>
      <c r="F2857" t="s">
        <v>5088</v>
      </c>
      <c r="G2857" t="s">
        <v>8322</v>
      </c>
      <c r="I2857" t="s">
        <v>11387</v>
      </c>
      <c r="J2857">
        <v>11433</v>
      </c>
      <c r="K2857" t="s">
        <v>11446</v>
      </c>
      <c r="L2857" t="s">
        <v>12540</v>
      </c>
      <c r="M2857" t="s">
        <v>14744</v>
      </c>
      <c r="N2857" t="s">
        <v>14781</v>
      </c>
      <c r="O2857" t="s">
        <v>14788</v>
      </c>
      <c r="P2857" t="s">
        <v>14801</v>
      </c>
      <c r="Q2857" t="s">
        <v>11448</v>
      </c>
      <c r="S2857" t="s">
        <v>14827</v>
      </c>
      <c r="T2857" t="s">
        <v>14832</v>
      </c>
      <c r="U2857" t="s">
        <v>14851</v>
      </c>
      <c r="V2857">
        <v>973</v>
      </c>
      <c r="W2857" t="s">
        <v>14861</v>
      </c>
      <c r="X2857" t="s">
        <v>14863</v>
      </c>
      <c r="Y2857" t="s">
        <v>14887</v>
      </c>
      <c r="Z2857" t="s">
        <v>17287</v>
      </c>
      <c r="AA2857" t="s">
        <v>19574</v>
      </c>
      <c r="AB2857" t="s">
        <v>22323</v>
      </c>
      <c r="AC2857">
        <v>54</v>
      </c>
      <c r="AD2857" t="s">
        <v>24595</v>
      </c>
      <c r="AE2857" t="s">
        <v>24615</v>
      </c>
      <c r="AF2857">
        <v>8</v>
      </c>
      <c r="AG2857">
        <v>1</v>
      </c>
      <c r="AH2857">
        <v>0</v>
      </c>
      <c r="AI2857">
        <v>106.26</v>
      </c>
      <c r="AL2857" t="s">
        <v>5011</v>
      </c>
      <c r="AM2857">
        <v>12900</v>
      </c>
      <c r="AO2857" t="s">
        <v>24932</v>
      </c>
      <c r="AP2857" t="s">
        <v>24942</v>
      </c>
      <c r="AQ2857" t="s">
        <v>24986</v>
      </c>
      <c r="AR2857" t="s">
        <v>24991</v>
      </c>
      <c r="AS2857">
        <v>11.8</v>
      </c>
      <c r="AT2857" t="s">
        <v>877</v>
      </c>
      <c r="AU2857" t="s">
        <v>292</v>
      </c>
      <c r="AV2857" t="s">
        <v>25335</v>
      </c>
      <c r="AW2857" t="s">
        <v>11446</v>
      </c>
    </row>
    <row r="2858" spans="1:49">
      <c r="A2858" s="1">
        <f>HYPERLINK("https://lsnyc.legalserver.org/matter/dynamic-profile/view/1905207","19-1905207")</f>
        <v>0</v>
      </c>
      <c r="B2858" t="s">
        <v>83</v>
      </c>
      <c r="C2858" t="s">
        <v>480</v>
      </c>
      <c r="D2858" t="s">
        <v>480</v>
      </c>
      <c r="E2858" t="s">
        <v>2503</v>
      </c>
      <c r="F2858" t="s">
        <v>4726</v>
      </c>
      <c r="G2858" t="s">
        <v>8323</v>
      </c>
      <c r="H2858" t="s">
        <v>10450</v>
      </c>
      <c r="I2858" t="s">
        <v>11417</v>
      </c>
      <c r="J2858">
        <v>11693</v>
      </c>
      <c r="K2858" t="s">
        <v>11446</v>
      </c>
      <c r="L2858" t="s">
        <v>12541</v>
      </c>
      <c r="M2858" t="s">
        <v>14743</v>
      </c>
      <c r="N2858" t="s">
        <v>14778</v>
      </c>
      <c r="O2858" t="s">
        <v>14786</v>
      </c>
      <c r="P2858" t="s">
        <v>14801</v>
      </c>
      <c r="Q2858" t="s">
        <v>11448</v>
      </c>
      <c r="S2858" t="s">
        <v>14828</v>
      </c>
      <c r="T2858" t="s">
        <v>14832</v>
      </c>
      <c r="U2858" t="s">
        <v>480</v>
      </c>
      <c r="V2858">
        <v>252</v>
      </c>
      <c r="W2858" t="s">
        <v>14861</v>
      </c>
      <c r="X2858" t="s">
        <v>14865</v>
      </c>
      <c r="Y2858" t="s">
        <v>14883</v>
      </c>
      <c r="Z2858" t="s">
        <v>17288</v>
      </c>
      <c r="AB2858" t="s">
        <v>22324</v>
      </c>
      <c r="AC2858">
        <v>42</v>
      </c>
      <c r="AD2858" t="s">
        <v>24597</v>
      </c>
      <c r="AE2858" t="s">
        <v>11459</v>
      </c>
      <c r="AF2858">
        <v>3</v>
      </c>
      <c r="AG2858">
        <v>2</v>
      </c>
      <c r="AH2858">
        <v>5</v>
      </c>
      <c r="AI2858">
        <v>26.93</v>
      </c>
      <c r="AL2858" t="s">
        <v>5011</v>
      </c>
      <c r="AM2858">
        <v>10504</v>
      </c>
      <c r="AS2858">
        <v>1.5</v>
      </c>
      <c r="AT2858" t="s">
        <v>480</v>
      </c>
      <c r="AU2858" t="s">
        <v>292</v>
      </c>
      <c r="AV2858" t="s">
        <v>25335</v>
      </c>
      <c r="AW2858" t="s">
        <v>11447</v>
      </c>
    </row>
    <row r="2859" spans="1:49">
      <c r="A2859" s="1">
        <f>HYPERLINK("https://lsnyc.legalserver.org/matter/dynamic-profile/view/1905222","19-1905222")</f>
        <v>0</v>
      </c>
      <c r="B2859" t="s">
        <v>289</v>
      </c>
      <c r="C2859" t="s">
        <v>480</v>
      </c>
      <c r="D2859" t="s">
        <v>496</v>
      </c>
      <c r="E2859" t="s">
        <v>2504</v>
      </c>
      <c r="F2859" t="s">
        <v>3951</v>
      </c>
      <c r="G2859" t="s">
        <v>8324</v>
      </c>
      <c r="H2859" t="s">
        <v>10527</v>
      </c>
      <c r="I2859" t="s">
        <v>11417</v>
      </c>
      <c r="J2859">
        <v>11693</v>
      </c>
      <c r="K2859" t="s">
        <v>11446</v>
      </c>
      <c r="L2859" t="s">
        <v>12542</v>
      </c>
      <c r="M2859" t="s">
        <v>14743</v>
      </c>
      <c r="N2859" t="s">
        <v>14778</v>
      </c>
      <c r="O2859" t="s">
        <v>14786</v>
      </c>
      <c r="P2859" t="s">
        <v>14801</v>
      </c>
      <c r="Q2859" t="s">
        <v>11448</v>
      </c>
      <c r="S2859" t="s">
        <v>14828</v>
      </c>
      <c r="T2859" t="s">
        <v>14832</v>
      </c>
      <c r="U2859" t="s">
        <v>480</v>
      </c>
      <c r="V2859">
        <v>108</v>
      </c>
      <c r="W2859" t="s">
        <v>14861</v>
      </c>
      <c r="X2859" t="s">
        <v>14865</v>
      </c>
      <c r="Y2859" t="s">
        <v>14883</v>
      </c>
      <c r="Z2859" t="s">
        <v>17289</v>
      </c>
      <c r="AB2859" t="s">
        <v>22325</v>
      </c>
      <c r="AC2859">
        <v>42</v>
      </c>
      <c r="AD2859" t="s">
        <v>24597</v>
      </c>
      <c r="AE2859" t="s">
        <v>11459</v>
      </c>
      <c r="AF2859">
        <v>20</v>
      </c>
      <c r="AG2859">
        <v>1</v>
      </c>
      <c r="AH2859">
        <v>0</v>
      </c>
      <c r="AI2859">
        <v>100.08</v>
      </c>
      <c r="AL2859" t="s">
        <v>5011</v>
      </c>
      <c r="AM2859">
        <v>12500</v>
      </c>
      <c r="AS2859">
        <v>1.95</v>
      </c>
      <c r="AT2859" t="s">
        <v>555</v>
      </c>
      <c r="AU2859" t="s">
        <v>292</v>
      </c>
      <c r="AV2859" t="s">
        <v>25335</v>
      </c>
      <c r="AW2859" t="s">
        <v>11447</v>
      </c>
    </row>
    <row r="2860" spans="1:49">
      <c r="A2860" s="1">
        <f>HYPERLINK("https://lsnyc.legalserver.org/matter/dynamic-profile/view/1904051","19-1904051")</f>
        <v>0</v>
      </c>
      <c r="B2860" t="s">
        <v>271</v>
      </c>
      <c r="C2860" t="s">
        <v>621</v>
      </c>
      <c r="D2860" t="s">
        <v>500</v>
      </c>
      <c r="E2860" t="s">
        <v>1554</v>
      </c>
      <c r="F2860" t="s">
        <v>1395</v>
      </c>
      <c r="G2860" t="s">
        <v>8325</v>
      </c>
      <c r="H2860" t="s">
        <v>10541</v>
      </c>
      <c r="I2860" t="s">
        <v>11390</v>
      </c>
      <c r="J2860">
        <v>11368</v>
      </c>
      <c r="K2860" t="s">
        <v>11446</v>
      </c>
      <c r="L2860" t="s">
        <v>12543</v>
      </c>
      <c r="M2860" t="s">
        <v>14744</v>
      </c>
      <c r="N2860" t="s">
        <v>14781</v>
      </c>
      <c r="O2860" t="s">
        <v>14788</v>
      </c>
      <c r="P2860" t="s">
        <v>14801</v>
      </c>
      <c r="Q2860" t="s">
        <v>11448</v>
      </c>
      <c r="S2860" t="s">
        <v>14827</v>
      </c>
      <c r="T2860" t="s">
        <v>14834</v>
      </c>
      <c r="U2860" t="s">
        <v>621</v>
      </c>
      <c r="V2860">
        <v>1284</v>
      </c>
      <c r="W2860" t="s">
        <v>14861</v>
      </c>
      <c r="X2860" t="s">
        <v>14865</v>
      </c>
      <c r="Y2860" t="s">
        <v>14887</v>
      </c>
      <c r="Z2860" t="s">
        <v>17290</v>
      </c>
      <c r="AB2860" t="s">
        <v>22326</v>
      </c>
      <c r="AC2860">
        <v>8</v>
      </c>
      <c r="AD2860" t="s">
        <v>24601</v>
      </c>
      <c r="AE2860" t="s">
        <v>11459</v>
      </c>
      <c r="AF2860">
        <v>11</v>
      </c>
      <c r="AG2860">
        <v>1</v>
      </c>
      <c r="AH2860">
        <v>0</v>
      </c>
      <c r="AI2860">
        <v>160.13</v>
      </c>
      <c r="AL2860" t="s">
        <v>5011</v>
      </c>
      <c r="AM2860">
        <v>20000</v>
      </c>
      <c r="AO2860" t="s">
        <v>24931</v>
      </c>
      <c r="AP2860" t="s">
        <v>24943</v>
      </c>
      <c r="AQ2860" t="s">
        <v>24986</v>
      </c>
      <c r="AR2860" t="s">
        <v>25003</v>
      </c>
      <c r="AS2860">
        <v>5.67</v>
      </c>
      <c r="AT2860" t="s">
        <v>619</v>
      </c>
      <c r="AU2860" t="s">
        <v>292</v>
      </c>
      <c r="AV2860" t="s">
        <v>25335</v>
      </c>
      <c r="AW2860" t="s">
        <v>11447</v>
      </c>
    </row>
    <row r="2861" spans="1:49">
      <c r="A2861" s="1">
        <f>HYPERLINK("https://lsnyc.legalserver.org/matter/dynamic-profile/view/1905311","19-1905311")</f>
        <v>0</v>
      </c>
      <c r="B2861" t="s">
        <v>271</v>
      </c>
      <c r="C2861" t="s">
        <v>480</v>
      </c>
      <c r="D2861" t="s">
        <v>500</v>
      </c>
      <c r="E2861" t="s">
        <v>1228</v>
      </c>
      <c r="F2861" t="s">
        <v>3986</v>
      </c>
      <c r="G2861" t="s">
        <v>8326</v>
      </c>
      <c r="H2861" t="s">
        <v>10486</v>
      </c>
      <c r="I2861" t="s">
        <v>11399</v>
      </c>
      <c r="J2861">
        <v>11421</v>
      </c>
      <c r="K2861" t="s">
        <v>11446</v>
      </c>
      <c r="L2861" t="s">
        <v>12544</v>
      </c>
      <c r="M2861" t="s">
        <v>14743</v>
      </c>
      <c r="N2861" t="s">
        <v>14778</v>
      </c>
      <c r="O2861" t="s">
        <v>14786</v>
      </c>
      <c r="P2861" t="s">
        <v>14801</v>
      </c>
      <c r="Q2861" t="s">
        <v>11448</v>
      </c>
      <c r="S2861" t="s">
        <v>14827</v>
      </c>
      <c r="T2861" t="s">
        <v>14832</v>
      </c>
      <c r="U2861" t="s">
        <v>480</v>
      </c>
      <c r="V2861">
        <v>1300</v>
      </c>
      <c r="W2861" t="s">
        <v>14861</v>
      </c>
      <c r="X2861" t="s">
        <v>14865</v>
      </c>
      <c r="Y2861" t="s">
        <v>14883</v>
      </c>
      <c r="Z2861" t="s">
        <v>17291</v>
      </c>
      <c r="AA2861" t="s">
        <v>11459</v>
      </c>
      <c r="AB2861" t="s">
        <v>22327</v>
      </c>
      <c r="AC2861">
        <v>3</v>
      </c>
      <c r="AD2861" t="s">
        <v>24600</v>
      </c>
      <c r="AE2861" t="s">
        <v>11459</v>
      </c>
      <c r="AF2861">
        <v>7</v>
      </c>
      <c r="AG2861">
        <v>1</v>
      </c>
      <c r="AH2861">
        <v>3</v>
      </c>
      <c r="AI2861">
        <v>116.12</v>
      </c>
      <c r="AL2861" t="s">
        <v>5011</v>
      </c>
      <c r="AM2861">
        <v>29900</v>
      </c>
      <c r="AS2861">
        <v>2.23</v>
      </c>
      <c r="AT2861" t="s">
        <v>555</v>
      </c>
      <c r="AU2861" t="s">
        <v>25233</v>
      </c>
      <c r="AV2861" t="s">
        <v>25335</v>
      </c>
      <c r="AW2861" t="s">
        <v>11447</v>
      </c>
    </row>
    <row r="2862" spans="1:49">
      <c r="A2862" s="1">
        <f>HYPERLINK("https://lsnyc.legalserver.org/matter/dynamic-profile/view/1872715","18-1872715")</f>
        <v>0</v>
      </c>
      <c r="B2862" t="s">
        <v>122</v>
      </c>
      <c r="C2862" t="s">
        <v>785</v>
      </c>
      <c r="D2862" t="s">
        <v>461</v>
      </c>
      <c r="E2862" t="s">
        <v>2505</v>
      </c>
      <c r="F2862" t="s">
        <v>2375</v>
      </c>
      <c r="G2862" t="s">
        <v>8327</v>
      </c>
      <c r="H2862" t="s">
        <v>11068</v>
      </c>
      <c r="I2862" t="s">
        <v>11404</v>
      </c>
      <c r="J2862">
        <v>11106</v>
      </c>
      <c r="K2862" t="s">
        <v>11446</v>
      </c>
      <c r="L2862" t="s">
        <v>12545</v>
      </c>
      <c r="M2862" t="s">
        <v>14743</v>
      </c>
      <c r="N2862" t="s">
        <v>14781</v>
      </c>
      <c r="O2862" t="s">
        <v>14788</v>
      </c>
      <c r="P2862" t="s">
        <v>14801</v>
      </c>
      <c r="Q2862" t="s">
        <v>11448</v>
      </c>
      <c r="S2862" t="s">
        <v>14827</v>
      </c>
      <c r="T2862" t="s">
        <v>14832</v>
      </c>
      <c r="U2862" t="s">
        <v>500</v>
      </c>
      <c r="V2862">
        <v>891</v>
      </c>
      <c r="W2862" t="s">
        <v>14861</v>
      </c>
      <c r="X2862" t="s">
        <v>14865</v>
      </c>
      <c r="Y2862" t="s">
        <v>14887</v>
      </c>
      <c r="Z2862" t="s">
        <v>17292</v>
      </c>
      <c r="AB2862" t="s">
        <v>22328</v>
      </c>
      <c r="AC2862">
        <v>62</v>
      </c>
      <c r="AD2862" t="s">
        <v>24595</v>
      </c>
      <c r="AE2862" t="s">
        <v>11459</v>
      </c>
      <c r="AF2862">
        <v>8</v>
      </c>
      <c r="AG2862">
        <v>4</v>
      </c>
      <c r="AH2862">
        <v>0</v>
      </c>
      <c r="AI2862">
        <v>0</v>
      </c>
      <c r="AL2862" t="s">
        <v>5011</v>
      </c>
      <c r="AM2862">
        <v>0</v>
      </c>
      <c r="AO2862" t="s">
        <v>24932</v>
      </c>
      <c r="AP2862" t="s">
        <v>24942</v>
      </c>
      <c r="AQ2862" t="s">
        <v>24986</v>
      </c>
      <c r="AR2862" t="s">
        <v>25053</v>
      </c>
      <c r="AS2862">
        <v>11.5</v>
      </c>
      <c r="AT2862" t="s">
        <v>500</v>
      </c>
      <c r="AU2862" t="s">
        <v>99</v>
      </c>
      <c r="AV2862" t="s">
        <v>25335</v>
      </c>
      <c r="AW2862" t="s">
        <v>11447</v>
      </c>
    </row>
    <row r="2863" spans="1:49">
      <c r="A2863" s="1">
        <f>HYPERLINK("https://lsnyc.legalserver.org/matter/dynamic-profile/view/1903927","19-1903927")</f>
        <v>0</v>
      </c>
      <c r="B2863" t="s">
        <v>289</v>
      </c>
      <c r="C2863" t="s">
        <v>378</v>
      </c>
      <c r="D2863" t="s">
        <v>380</v>
      </c>
      <c r="E2863" t="s">
        <v>1857</v>
      </c>
      <c r="F2863" t="s">
        <v>3730</v>
      </c>
      <c r="G2863" t="s">
        <v>8328</v>
      </c>
      <c r="H2863" t="s">
        <v>10468</v>
      </c>
      <c r="I2863" t="s">
        <v>11420</v>
      </c>
      <c r="J2863">
        <v>11104</v>
      </c>
      <c r="K2863" t="s">
        <v>11446</v>
      </c>
      <c r="L2863" t="s">
        <v>12546</v>
      </c>
      <c r="M2863" t="s">
        <v>14744</v>
      </c>
      <c r="N2863" t="s">
        <v>14778</v>
      </c>
      <c r="O2863" t="s">
        <v>14786</v>
      </c>
      <c r="P2863" t="s">
        <v>14801</v>
      </c>
      <c r="Q2863" t="s">
        <v>11446</v>
      </c>
      <c r="S2863" t="s">
        <v>14827</v>
      </c>
      <c r="T2863" t="s">
        <v>14837</v>
      </c>
      <c r="U2863" t="s">
        <v>378</v>
      </c>
      <c r="V2863">
        <v>1195.64</v>
      </c>
      <c r="W2863" t="s">
        <v>14861</v>
      </c>
      <c r="X2863" t="s">
        <v>14865</v>
      </c>
      <c r="Y2863" t="s">
        <v>14883</v>
      </c>
      <c r="Z2863" t="s">
        <v>17293</v>
      </c>
      <c r="AA2863" t="s">
        <v>19575</v>
      </c>
      <c r="AB2863" t="s">
        <v>22329</v>
      </c>
      <c r="AC2863">
        <v>200</v>
      </c>
      <c r="AD2863" t="s">
        <v>11479</v>
      </c>
      <c r="AE2863" t="s">
        <v>11459</v>
      </c>
      <c r="AF2863">
        <v>11</v>
      </c>
      <c r="AG2863">
        <v>1</v>
      </c>
      <c r="AH2863">
        <v>1</v>
      </c>
      <c r="AI2863">
        <v>80.33</v>
      </c>
      <c r="AL2863" t="s">
        <v>24632</v>
      </c>
      <c r="AM2863">
        <v>13584</v>
      </c>
      <c r="AO2863" t="s">
        <v>24930</v>
      </c>
      <c r="AP2863" t="s">
        <v>14755</v>
      </c>
      <c r="AQ2863" t="s">
        <v>24986</v>
      </c>
      <c r="AR2863" t="s">
        <v>25054</v>
      </c>
      <c r="AS2863">
        <v>1.9</v>
      </c>
      <c r="AT2863" t="s">
        <v>365</v>
      </c>
      <c r="AU2863" t="s">
        <v>25233</v>
      </c>
      <c r="AV2863" t="s">
        <v>25335</v>
      </c>
      <c r="AW2863" t="s">
        <v>11447</v>
      </c>
    </row>
    <row r="2864" spans="1:49">
      <c r="A2864" s="1">
        <f>HYPERLINK("https://lsnyc.legalserver.org/matter/dynamic-profile/view/1905250","19-1905250")</f>
        <v>0</v>
      </c>
      <c r="B2864" t="s">
        <v>122</v>
      </c>
      <c r="C2864" t="s">
        <v>480</v>
      </c>
      <c r="D2864" t="s">
        <v>380</v>
      </c>
      <c r="E2864" t="s">
        <v>2451</v>
      </c>
      <c r="F2864" t="s">
        <v>5089</v>
      </c>
      <c r="G2864" t="s">
        <v>8329</v>
      </c>
      <c r="H2864" t="s">
        <v>10522</v>
      </c>
      <c r="I2864" t="s">
        <v>11389</v>
      </c>
      <c r="J2864">
        <v>11367</v>
      </c>
      <c r="K2864" t="s">
        <v>11446</v>
      </c>
      <c r="L2864" t="s">
        <v>12547</v>
      </c>
      <c r="M2864" t="s">
        <v>14764</v>
      </c>
      <c r="N2864" t="s">
        <v>14778</v>
      </c>
      <c r="O2864" t="s">
        <v>14786</v>
      </c>
      <c r="P2864" t="s">
        <v>14801</v>
      </c>
      <c r="Q2864" t="s">
        <v>11446</v>
      </c>
      <c r="S2864" t="s">
        <v>14827</v>
      </c>
      <c r="T2864" t="s">
        <v>14832</v>
      </c>
      <c r="U2864" t="s">
        <v>480</v>
      </c>
      <c r="V2864">
        <v>1100</v>
      </c>
      <c r="W2864" t="s">
        <v>14861</v>
      </c>
      <c r="X2864" t="s">
        <v>14755</v>
      </c>
      <c r="Y2864" t="s">
        <v>14883</v>
      </c>
      <c r="Z2864" t="s">
        <v>17294</v>
      </c>
      <c r="AB2864" t="s">
        <v>22330</v>
      </c>
      <c r="AC2864">
        <v>4</v>
      </c>
      <c r="AD2864" t="s">
        <v>11479</v>
      </c>
      <c r="AE2864" t="s">
        <v>24616</v>
      </c>
      <c r="AF2864">
        <v>1</v>
      </c>
      <c r="AG2864">
        <v>1</v>
      </c>
      <c r="AH2864">
        <v>0</v>
      </c>
      <c r="AI2864">
        <v>83.97</v>
      </c>
      <c r="AL2864" t="s">
        <v>5011</v>
      </c>
      <c r="AM2864">
        <v>10488</v>
      </c>
      <c r="AS2864">
        <v>1.75</v>
      </c>
      <c r="AT2864" t="s">
        <v>461</v>
      </c>
      <c r="AU2864" t="s">
        <v>25233</v>
      </c>
      <c r="AV2864" t="s">
        <v>25335</v>
      </c>
      <c r="AW2864" t="s">
        <v>11447</v>
      </c>
    </row>
    <row r="2865" spans="1:49">
      <c r="A2865" s="1">
        <f>HYPERLINK("https://lsnyc.legalserver.org/matter/dynamic-profile/view/1905368","19-1905368")</f>
        <v>0</v>
      </c>
      <c r="B2865" t="s">
        <v>271</v>
      </c>
      <c r="C2865" t="s">
        <v>619</v>
      </c>
      <c r="D2865" t="s">
        <v>380</v>
      </c>
      <c r="E2865" t="s">
        <v>1176</v>
      </c>
      <c r="F2865" t="s">
        <v>5090</v>
      </c>
      <c r="G2865" t="s">
        <v>8330</v>
      </c>
      <c r="H2865" t="s">
        <v>10801</v>
      </c>
      <c r="I2865" t="s">
        <v>11412</v>
      </c>
      <c r="J2865">
        <v>11101</v>
      </c>
      <c r="K2865" t="s">
        <v>11446</v>
      </c>
      <c r="L2865" t="s">
        <v>12548</v>
      </c>
      <c r="M2865" t="s">
        <v>14744</v>
      </c>
      <c r="N2865" t="s">
        <v>14778</v>
      </c>
      <c r="O2865" t="s">
        <v>14786</v>
      </c>
      <c r="P2865" t="s">
        <v>14801</v>
      </c>
      <c r="Q2865" t="s">
        <v>11448</v>
      </c>
      <c r="S2865" t="s">
        <v>14828</v>
      </c>
      <c r="T2865" t="s">
        <v>14837</v>
      </c>
      <c r="U2865" t="s">
        <v>555</v>
      </c>
      <c r="V2865">
        <v>215</v>
      </c>
      <c r="W2865" t="s">
        <v>14861</v>
      </c>
      <c r="X2865" t="s">
        <v>14865</v>
      </c>
      <c r="Y2865" t="s">
        <v>14883</v>
      </c>
      <c r="Z2865" t="s">
        <v>17295</v>
      </c>
      <c r="AA2865" t="s">
        <v>19576</v>
      </c>
      <c r="AC2865">
        <v>30</v>
      </c>
      <c r="AD2865" t="s">
        <v>24597</v>
      </c>
      <c r="AE2865" t="s">
        <v>14755</v>
      </c>
      <c r="AF2865">
        <v>5</v>
      </c>
      <c r="AG2865">
        <v>2</v>
      </c>
      <c r="AH2865">
        <v>0</v>
      </c>
      <c r="AI2865">
        <v>44.35</v>
      </c>
      <c r="AL2865" t="s">
        <v>5011</v>
      </c>
      <c r="AM2865">
        <v>7500</v>
      </c>
      <c r="AS2865">
        <v>1.4</v>
      </c>
      <c r="AT2865" t="s">
        <v>618</v>
      </c>
      <c r="AU2865" t="s">
        <v>271</v>
      </c>
      <c r="AV2865" t="s">
        <v>25335</v>
      </c>
      <c r="AW2865" t="s">
        <v>11447</v>
      </c>
    </row>
    <row r="2866" spans="1:49">
      <c r="A2866" s="1">
        <f>HYPERLINK("https://lsnyc.legalserver.org/matter/dynamic-profile/view/1906175","19-1906175")</f>
        <v>0</v>
      </c>
      <c r="B2866" t="s">
        <v>83</v>
      </c>
      <c r="C2866" t="s">
        <v>553</v>
      </c>
      <c r="D2866" t="s">
        <v>373</v>
      </c>
      <c r="E2866" t="s">
        <v>2506</v>
      </c>
      <c r="F2866" t="s">
        <v>3919</v>
      </c>
      <c r="G2866" t="s">
        <v>8331</v>
      </c>
      <c r="H2866" t="s">
        <v>11069</v>
      </c>
      <c r="I2866" t="s">
        <v>11397</v>
      </c>
      <c r="J2866">
        <v>11378</v>
      </c>
      <c r="K2866" t="s">
        <v>11446</v>
      </c>
      <c r="L2866" t="s">
        <v>12549</v>
      </c>
      <c r="M2866" t="s">
        <v>14743</v>
      </c>
      <c r="N2866" t="s">
        <v>14778</v>
      </c>
      <c r="O2866" t="s">
        <v>14786</v>
      </c>
      <c r="P2866" t="s">
        <v>14801</v>
      </c>
      <c r="Q2866" t="s">
        <v>11448</v>
      </c>
      <c r="S2866" t="s">
        <v>14827</v>
      </c>
      <c r="T2866" t="s">
        <v>14832</v>
      </c>
      <c r="U2866" t="s">
        <v>553</v>
      </c>
      <c r="V2866">
        <v>1500</v>
      </c>
      <c r="W2866" t="s">
        <v>14861</v>
      </c>
      <c r="X2866" t="s">
        <v>14865</v>
      </c>
      <c r="Y2866" t="s">
        <v>14883</v>
      </c>
      <c r="Z2866" t="s">
        <v>17296</v>
      </c>
      <c r="AB2866" t="s">
        <v>22331</v>
      </c>
      <c r="AC2866">
        <v>2</v>
      </c>
      <c r="AD2866" t="s">
        <v>24600</v>
      </c>
      <c r="AE2866" t="s">
        <v>11459</v>
      </c>
      <c r="AF2866">
        <v>-1</v>
      </c>
      <c r="AG2866">
        <v>2</v>
      </c>
      <c r="AH2866">
        <v>1</v>
      </c>
      <c r="AI2866">
        <v>0</v>
      </c>
      <c r="AL2866" t="s">
        <v>5011</v>
      </c>
      <c r="AM2866">
        <v>0</v>
      </c>
      <c r="AS2866">
        <v>1.7</v>
      </c>
      <c r="AT2866" t="s">
        <v>373</v>
      </c>
      <c r="AU2866" t="s">
        <v>292</v>
      </c>
      <c r="AV2866" t="s">
        <v>25335</v>
      </c>
      <c r="AW2866" t="s">
        <v>11447</v>
      </c>
    </row>
    <row r="2867" spans="1:49">
      <c r="A2867" s="1">
        <f>HYPERLINK("https://lsnyc.legalserver.org/matter/dynamic-profile/view/1906724","19-1906724")</f>
        <v>0</v>
      </c>
      <c r="B2867" t="s">
        <v>68</v>
      </c>
      <c r="C2867" t="s">
        <v>620</v>
      </c>
      <c r="D2867" t="s">
        <v>620</v>
      </c>
      <c r="E2867" t="s">
        <v>1256</v>
      </c>
      <c r="F2867" t="s">
        <v>2133</v>
      </c>
      <c r="G2867" t="s">
        <v>8332</v>
      </c>
      <c r="I2867" t="s">
        <v>11432</v>
      </c>
      <c r="J2867">
        <v>11411</v>
      </c>
      <c r="K2867" t="s">
        <v>11446</v>
      </c>
      <c r="L2867" t="s">
        <v>12550</v>
      </c>
      <c r="M2867" t="s">
        <v>14743</v>
      </c>
      <c r="N2867" t="s">
        <v>14778</v>
      </c>
      <c r="O2867" t="s">
        <v>14786</v>
      </c>
      <c r="P2867" t="s">
        <v>14801</v>
      </c>
      <c r="Q2867" t="s">
        <v>11446</v>
      </c>
      <c r="S2867" t="s">
        <v>14827</v>
      </c>
      <c r="T2867" t="s">
        <v>14836</v>
      </c>
      <c r="U2867" t="s">
        <v>620</v>
      </c>
      <c r="V2867">
        <v>0</v>
      </c>
      <c r="W2867" t="s">
        <v>14861</v>
      </c>
      <c r="X2867" t="s">
        <v>14868</v>
      </c>
      <c r="Y2867" t="s">
        <v>14883</v>
      </c>
      <c r="Z2867" t="s">
        <v>17297</v>
      </c>
      <c r="AA2867" t="s">
        <v>11465</v>
      </c>
      <c r="AB2867" t="s">
        <v>22332</v>
      </c>
      <c r="AC2867">
        <v>1</v>
      </c>
      <c r="AD2867" t="s">
        <v>24600</v>
      </c>
      <c r="AE2867" t="s">
        <v>11459</v>
      </c>
      <c r="AF2867">
        <v>28</v>
      </c>
      <c r="AG2867">
        <v>2</v>
      </c>
      <c r="AH2867">
        <v>0</v>
      </c>
      <c r="AI2867">
        <v>44.71</v>
      </c>
      <c r="AL2867" t="s">
        <v>5011</v>
      </c>
      <c r="AM2867">
        <v>7560</v>
      </c>
      <c r="AR2867" t="s">
        <v>25001</v>
      </c>
      <c r="AS2867">
        <v>4.6</v>
      </c>
      <c r="AT2867" t="s">
        <v>620</v>
      </c>
      <c r="AU2867" t="s">
        <v>99</v>
      </c>
      <c r="AV2867" t="s">
        <v>25335</v>
      </c>
      <c r="AW2867" t="s">
        <v>11447</v>
      </c>
    </row>
    <row r="2868" spans="1:49">
      <c r="A2868" s="1">
        <f>HYPERLINK("https://lsnyc.legalserver.org/matter/dynamic-profile/view/1906931","19-1906931")</f>
        <v>0</v>
      </c>
      <c r="B2868" t="s">
        <v>83</v>
      </c>
      <c r="C2868" t="s">
        <v>354</v>
      </c>
      <c r="D2868" t="s">
        <v>626</v>
      </c>
      <c r="E2868" t="s">
        <v>1372</v>
      </c>
      <c r="F2868" t="s">
        <v>5091</v>
      </c>
      <c r="G2868" t="s">
        <v>8333</v>
      </c>
      <c r="I2868" t="s">
        <v>11405</v>
      </c>
      <c r="J2868">
        <v>11416</v>
      </c>
      <c r="K2868" t="s">
        <v>11446</v>
      </c>
      <c r="L2868" t="s">
        <v>12551</v>
      </c>
      <c r="M2868" t="s">
        <v>14744</v>
      </c>
      <c r="N2868" t="s">
        <v>14778</v>
      </c>
      <c r="O2868" t="s">
        <v>14786</v>
      </c>
      <c r="P2868" t="s">
        <v>14801</v>
      </c>
      <c r="Q2868" t="s">
        <v>11448</v>
      </c>
      <c r="S2868" t="s">
        <v>14827</v>
      </c>
      <c r="T2868" t="s">
        <v>14833</v>
      </c>
      <c r="U2868" t="s">
        <v>626</v>
      </c>
      <c r="V2868">
        <v>1268</v>
      </c>
      <c r="W2868" t="s">
        <v>14861</v>
      </c>
      <c r="X2868" t="s">
        <v>14865</v>
      </c>
      <c r="Y2868" t="s">
        <v>14883</v>
      </c>
      <c r="Z2868" t="s">
        <v>17298</v>
      </c>
      <c r="AA2868" t="s">
        <v>19577</v>
      </c>
      <c r="AB2868" t="s">
        <v>22333</v>
      </c>
      <c r="AC2868">
        <v>2</v>
      </c>
      <c r="AD2868" t="s">
        <v>24600</v>
      </c>
      <c r="AE2868" t="s">
        <v>24616</v>
      </c>
      <c r="AF2868">
        <v>2</v>
      </c>
      <c r="AG2868">
        <v>1</v>
      </c>
      <c r="AH2868">
        <v>1</v>
      </c>
      <c r="AI2868">
        <v>40.73</v>
      </c>
      <c r="AL2868" t="s">
        <v>5011</v>
      </c>
      <c r="AM2868">
        <v>6888</v>
      </c>
      <c r="AS2868">
        <v>1.65</v>
      </c>
      <c r="AT2868" t="s">
        <v>468</v>
      </c>
      <c r="AU2868" t="s">
        <v>292</v>
      </c>
      <c r="AV2868" t="s">
        <v>25335</v>
      </c>
      <c r="AW2868" t="s">
        <v>11447</v>
      </c>
    </row>
    <row r="2869" spans="1:49">
      <c r="A2869" s="1">
        <f>HYPERLINK("https://lsnyc.legalserver.org/matter/dynamic-profile/view/1902781","19-1902781")</f>
        <v>0</v>
      </c>
      <c r="B2869" t="s">
        <v>147</v>
      </c>
      <c r="C2869" t="s">
        <v>527</v>
      </c>
      <c r="D2869" t="s">
        <v>379</v>
      </c>
      <c r="E2869" t="s">
        <v>1065</v>
      </c>
      <c r="F2869" t="s">
        <v>3625</v>
      </c>
      <c r="G2869" t="s">
        <v>8334</v>
      </c>
      <c r="H2869" t="s">
        <v>10486</v>
      </c>
      <c r="I2869" t="s">
        <v>11433</v>
      </c>
      <c r="J2869">
        <v>11369</v>
      </c>
      <c r="K2869" t="s">
        <v>11446</v>
      </c>
      <c r="L2869" t="s">
        <v>12552</v>
      </c>
      <c r="M2869" t="s">
        <v>14743</v>
      </c>
      <c r="N2869" t="s">
        <v>14778</v>
      </c>
      <c r="O2869" t="s">
        <v>14786</v>
      </c>
      <c r="P2869" t="s">
        <v>14801</v>
      </c>
      <c r="Q2869" t="s">
        <v>11448</v>
      </c>
      <c r="S2869" t="s">
        <v>14827</v>
      </c>
      <c r="T2869" t="s">
        <v>14832</v>
      </c>
      <c r="U2869" t="s">
        <v>379</v>
      </c>
      <c r="V2869">
        <v>2500</v>
      </c>
      <c r="W2869" t="s">
        <v>14861</v>
      </c>
      <c r="X2869" t="s">
        <v>14865</v>
      </c>
      <c r="Y2869" t="s">
        <v>14883</v>
      </c>
      <c r="Z2869" t="s">
        <v>17299</v>
      </c>
      <c r="AA2869" t="s">
        <v>19578</v>
      </c>
      <c r="AB2869" t="s">
        <v>22334</v>
      </c>
      <c r="AC2869">
        <v>3</v>
      </c>
      <c r="AD2869" t="s">
        <v>24600</v>
      </c>
      <c r="AE2869" t="s">
        <v>11459</v>
      </c>
      <c r="AF2869">
        <v>6</v>
      </c>
      <c r="AG2869">
        <v>2</v>
      </c>
      <c r="AH2869">
        <v>3</v>
      </c>
      <c r="AI2869">
        <v>53.03</v>
      </c>
      <c r="AL2869" t="s">
        <v>24632</v>
      </c>
      <c r="AM2869">
        <v>16000</v>
      </c>
      <c r="AS2869">
        <v>2.07</v>
      </c>
      <c r="AT2869" t="s">
        <v>354</v>
      </c>
      <c r="AU2869" t="s">
        <v>25233</v>
      </c>
      <c r="AV2869" t="s">
        <v>25335</v>
      </c>
      <c r="AW2869" t="s">
        <v>11447</v>
      </c>
    </row>
    <row r="2870" spans="1:49">
      <c r="A2870" s="1">
        <f>HYPERLINK("https://lsnyc.legalserver.org/matter/dynamic-profile/view/1904194","19-1904194")</f>
        <v>0</v>
      </c>
      <c r="B2870" t="s">
        <v>68</v>
      </c>
      <c r="C2870" t="s">
        <v>338</v>
      </c>
      <c r="D2870" t="s">
        <v>366</v>
      </c>
      <c r="E2870" t="s">
        <v>1260</v>
      </c>
      <c r="F2870" t="s">
        <v>4828</v>
      </c>
      <c r="G2870" t="s">
        <v>8335</v>
      </c>
      <c r="H2870" t="s">
        <v>11070</v>
      </c>
      <c r="I2870" t="s">
        <v>11404</v>
      </c>
      <c r="J2870">
        <v>11106</v>
      </c>
      <c r="K2870" t="s">
        <v>11446</v>
      </c>
      <c r="L2870" t="s">
        <v>12553</v>
      </c>
      <c r="M2870" t="s">
        <v>14744</v>
      </c>
      <c r="N2870" t="s">
        <v>14778</v>
      </c>
      <c r="O2870" t="s">
        <v>14786</v>
      </c>
      <c r="P2870" t="s">
        <v>14801</v>
      </c>
      <c r="Q2870" t="s">
        <v>11448</v>
      </c>
      <c r="S2870" t="s">
        <v>14827</v>
      </c>
      <c r="T2870" t="s">
        <v>14832</v>
      </c>
      <c r="U2870" t="s">
        <v>338</v>
      </c>
      <c r="V2870">
        <v>2500</v>
      </c>
      <c r="W2870" t="s">
        <v>14861</v>
      </c>
      <c r="X2870" t="s">
        <v>14755</v>
      </c>
      <c r="Y2870" t="s">
        <v>14883</v>
      </c>
      <c r="Z2870" t="s">
        <v>17300</v>
      </c>
      <c r="AA2870" t="s">
        <v>11465</v>
      </c>
      <c r="AB2870" t="s">
        <v>22335</v>
      </c>
      <c r="AC2870">
        <v>3</v>
      </c>
      <c r="AD2870" t="s">
        <v>24600</v>
      </c>
      <c r="AE2870" t="s">
        <v>11459</v>
      </c>
      <c r="AF2870">
        <v>1</v>
      </c>
      <c r="AG2870">
        <v>2</v>
      </c>
      <c r="AH2870">
        <v>0</v>
      </c>
      <c r="AI2870">
        <v>0</v>
      </c>
      <c r="AL2870" t="s">
        <v>5011</v>
      </c>
      <c r="AM2870">
        <v>0</v>
      </c>
      <c r="AS2870">
        <v>1.1</v>
      </c>
      <c r="AT2870" t="s">
        <v>366</v>
      </c>
      <c r="AU2870" t="s">
        <v>289</v>
      </c>
      <c r="AV2870" t="s">
        <v>25335</v>
      </c>
      <c r="AW2870" t="s">
        <v>11447</v>
      </c>
    </row>
    <row r="2871" spans="1:49">
      <c r="A2871" s="1">
        <f>HYPERLINK("https://lsnyc.legalserver.org/matter/dynamic-profile/view/1874595","18-1874595")</f>
        <v>0</v>
      </c>
      <c r="B2871" t="s">
        <v>122</v>
      </c>
      <c r="C2871" t="s">
        <v>786</v>
      </c>
      <c r="D2871" t="s">
        <v>366</v>
      </c>
      <c r="E2871" t="s">
        <v>1215</v>
      </c>
      <c r="F2871" t="s">
        <v>4360</v>
      </c>
      <c r="G2871" t="s">
        <v>8336</v>
      </c>
      <c r="H2871" t="s">
        <v>10475</v>
      </c>
      <c r="I2871" t="s">
        <v>11434</v>
      </c>
      <c r="J2871">
        <v>11419</v>
      </c>
      <c r="K2871" t="s">
        <v>11446</v>
      </c>
      <c r="L2871" t="s">
        <v>12554</v>
      </c>
      <c r="M2871" t="s">
        <v>14743</v>
      </c>
      <c r="N2871" t="s">
        <v>14778</v>
      </c>
      <c r="O2871" t="s">
        <v>14786</v>
      </c>
      <c r="P2871" t="s">
        <v>14801</v>
      </c>
      <c r="Q2871" t="s">
        <v>11448</v>
      </c>
      <c r="S2871" t="s">
        <v>14827</v>
      </c>
      <c r="T2871" t="s">
        <v>14832</v>
      </c>
      <c r="V2871">
        <v>1975</v>
      </c>
      <c r="W2871" t="s">
        <v>14861</v>
      </c>
      <c r="X2871" t="s">
        <v>14865</v>
      </c>
      <c r="Y2871" t="s">
        <v>14883</v>
      </c>
      <c r="Z2871" t="s">
        <v>17301</v>
      </c>
      <c r="AB2871" t="s">
        <v>22336</v>
      </c>
      <c r="AC2871">
        <v>4</v>
      </c>
      <c r="AD2871" t="s">
        <v>11479</v>
      </c>
      <c r="AE2871" t="s">
        <v>11459</v>
      </c>
      <c r="AF2871">
        <v>2</v>
      </c>
      <c r="AG2871">
        <v>1</v>
      </c>
      <c r="AH2871">
        <v>2</v>
      </c>
      <c r="AI2871">
        <v>40.04</v>
      </c>
      <c r="AL2871" t="s">
        <v>5011</v>
      </c>
      <c r="AM2871">
        <v>8320</v>
      </c>
      <c r="AS2871">
        <v>1.4</v>
      </c>
      <c r="AT2871" t="s">
        <v>842</v>
      </c>
      <c r="AU2871" t="s">
        <v>292</v>
      </c>
      <c r="AW2871" t="s">
        <v>11447</v>
      </c>
    </row>
    <row r="2872" spans="1:49">
      <c r="A2872" s="1">
        <f>HYPERLINK("https://lsnyc.legalserver.org/matter/dynamic-profile/view/1884689","18-1884689")</f>
        <v>0</v>
      </c>
      <c r="B2872" t="s">
        <v>74</v>
      </c>
      <c r="C2872" t="s">
        <v>443</v>
      </c>
      <c r="D2872" t="s">
        <v>1013</v>
      </c>
      <c r="E2872" t="s">
        <v>2060</v>
      </c>
      <c r="F2872" t="s">
        <v>5092</v>
      </c>
      <c r="G2872" t="s">
        <v>8337</v>
      </c>
      <c r="H2872" t="s">
        <v>10646</v>
      </c>
      <c r="I2872" t="s">
        <v>11435</v>
      </c>
      <c r="J2872">
        <v>11379</v>
      </c>
      <c r="K2872" t="s">
        <v>11446</v>
      </c>
      <c r="L2872" t="s">
        <v>12555</v>
      </c>
      <c r="M2872" t="s">
        <v>14744</v>
      </c>
      <c r="N2872" t="s">
        <v>14778</v>
      </c>
      <c r="O2872" t="s">
        <v>14786</v>
      </c>
      <c r="P2872" t="s">
        <v>14801</v>
      </c>
      <c r="Q2872" t="s">
        <v>11448</v>
      </c>
      <c r="S2872" t="s">
        <v>14827</v>
      </c>
      <c r="V2872">
        <v>2200</v>
      </c>
      <c r="W2872" t="s">
        <v>14861</v>
      </c>
      <c r="X2872" t="s">
        <v>14865</v>
      </c>
      <c r="Y2872" t="s">
        <v>14883</v>
      </c>
      <c r="Z2872" t="s">
        <v>17302</v>
      </c>
      <c r="AA2872" t="s">
        <v>19579</v>
      </c>
      <c r="AB2872" t="s">
        <v>22337</v>
      </c>
      <c r="AC2872">
        <v>0</v>
      </c>
      <c r="AD2872" t="s">
        <v>11479</v>
      </c>
      <c r="AE2872" t="s">
        <v>11459</v>
      </c>
      <c r="AF2872">
        <v>1</v>
      </c>
      <c r="AG2872">
        <v>1</v>
      </c>
      <c r="AH2872">
        <v>4</v>
      </c>
      <c r="AI2872">
        <v>52.21</v>
      </c>
      <c r="AL2872" t="s">
        <v>24632</v>
      </c>
      <c r="AM2872">
        <v>15360</v>
      </c>
      <c r="AS2872">
        <v>1</v>
      </c>
      <c r="AT2872" t="s">
        <v>512</v>
      </c>
      <c r="AU2872" t="s">
        <v>292</v>
      </c>
      <c r="AW2872" t="s">
        <v>11446</v>
      </c>
    </row>
    <row r="2873" spans="1:49">
      <c r="A2873" s="1">
        <f>HYPERLINK("https://lsnyc.legalserver.org/matter/dynamic-profile/view/1890246","19-1890246")</f>
        <v>0</v>
      </c>
      <c r="B2873" t="s">
        <v>74</v>
      </c>
      <c r="C2873" t="s">
        <v>683</v>
      </c>
      <c r="D2873" t="s">
        <v>1013</v>
      </c>
      <c r="E2873" t="s">
        <v>2507</v>
      </c>
      <c r="F2873" t="s">
        <v>5093</v>
      </c>
      <c r="G2873" t="s">
        <v>8338</v>
      </c>
      <c r="I2873" t="s">
        <v>11399</v>
      </c>
      <c r="J2873">
        <v>11421</v>
      </c>
      <c r="K2873" t="s">
        <v>11447</v>
      </c>
      <c r="L2873" t="s">
        <v>12556</v>
      </c>
      <c r="M2873" t="s">
        <v>14743</v>
      </c>
      <c r="N2873" t="s">
        <v>14778</v>
      </c>
      <c r="O2873" t="s">
        <v>14786</v>
      </c>
      <c r="P2873" t="s">
        <v>14801</v>
      </c>
      <c r="S2873" t="s">
        <v>14827</v>
      </c>
      <c r="V2873">
        <v>1250</v>
      </c>
      <c r="W2873" t="s">
        <v>14861</v>
      </c>
      <c r="X2873" t="s">
        <v>14865</v>
      </c>
      <c r="Y2873" t="s">
        <v>14883</v>
      </c>
      <c r="Z2873" t="s">
        <v>17303</v>
      </c>
      <c r="AA2873" t="s">
        <v>19580</v>
      </c>
      <c r="AB2873" t="s">
        <v>22338</v>
      </c>
      <c r="AC2873">
        <v>0</v>
      </c>
      <c r="AD2873" t="s">
        <v>24600</v>
      </c>
      <c r="AE2873" t="s">
        <v>11459</v>
      </c>
      <c r="AF2873">
        <v>2</v>
      </c>
      <c r="AG2873">
        <v>1</v>
      </c>
      <c r="AH2873">
        <v>1</v>
      </c>
      <c r="AI2873">
        <v>64.67</v>
      </c>
      <c r="AL2873" t="s">
        <v>24649</v>
      </c>
      <c r="AM2873">
        <v>10936</v>
      </c>
      <c r="AS2873">
        <v>2.2</v>
      </c>
      <c r="AT2873" t="s">
        <v>460</v>
      </c>
      <c r="AU2873" t="s">
        <v>99</v>
      </c>
      <c r="AW2873" t="s">
        <v>11447</v>
      </c>
    </row>
    <row r="2874" spans="1:49">
      <c r="A2874" s="1">
        <f>HYPERLINK("https://lsnyc.legalserver.org/matter/dynamic-profile/view/1891902","19-1891902")</f>
        <v>0</v>
      </c>
      <c r="B2874" t="s">
        <v>74</v>
      </c>
      <c r="C2874" t="s">
        <v>708</v>
      </c>
      <c r="D2874" t="s">
        <v>1013</v>
      </c>
      <c r="E2874" t="s">
        <v>1330</v>
      </c>
      <c r="F2874" t="s">
        <v>5094</v>
      </c>
      <c r="G2874" t="s">
        <v>8339</v>
      </c>
      <c r="H2874" t="s">
        <v>10787</v>
      </c>
      <c r="I2874" t="s">
        <v>11392</v>
      </c>
      <c r="J2874">
        <v>11372</v>
      </c>
      <c r="K2874" t="s">
        <v>11446</v>
      </c>
      <c r="L2874" t="s">
        <v>12557</v>
      </c>
      <c r="M2874" t="s">
        <v>14744</v>
      </c>
      <c r="N2874" t="s">
        <v>14782</v>
      </c>
      <c r="O2874" t="s">
        <v>14786</v>
      </c>
      <c r="P2874" t="s">
        <v>14801</v>
      </c>
      <c r="Q2874" t="s">
        <v>11448</v>
      </c>
      <c r="S2874" t="s">
        <v>14827</v>
      </c>
      <c r="V2874">
        <v>1181.75</v>
      </c>
      <c r="W2874" t="s">
        <v>14861</v>
      </c>
      <c r="X2874" t="s">
        <v>14865</v>
      </c>
      <c r="Y2874" t="s">
        <v>14883</v>
      </c>
      <c r="Z2874" t="s">
        <v>17304</v>
      </c>
      <c r="AB2874" t="s">
        <v>22339</v>
      </c>
      <c r="AC2874">
        <v>0</v>
      </c>
      <c r="AD2874" t="s">
        <v>11479</v>
      </c>
      <c r="AE2874" t="s">
        <v>11459</v>
      </c>
      <c r="AF2874">
        <v>2</v>
      </c>
      <c r="AG2874">
        <v>1</v>
      </c>
      <c r="AH2874">
        <v>0</v>
      </c>
      <c r="AI2874">
        <v>124.9</v>
      </c>
      <c r="AL2874" t="s">
        <v>5011</v>
      </c>
      <c r="AM2874">
        <v>15600</v>
      </c>
      <c r="AS2874">
        <v>1.05</v>
      </c>
      <c r="AT2874" t="s">
        <v>1013</v>
      </c>
      <c r="AU2874" t="s">
        <v>292</v>
      </c>
      <c r="AW2874" t="s">
        <v>11446</v>
      </c>
    </row>
    <row r="2875" spans="1:49">
      <c r="A2875" s="1">
        <f>HYPERLINK("https://lsnyc.legalserver.org/matter/dynamic-profile/view/1907138","19-1907138")</f>
        <v>0</v>
      </c>
      <c r="B2875" t="s">
        <v>99</v>
      </c>
      <c r="C2875" t="s">
        <v>379</v>
      </c>
      <c r="D2875" t="s">
        <v>497</v>
      </c>
      <c r="E2875" t="s">
        <v>2508</v>
      </c>
      <c r="F2875" t="s">
        <v>5095</v>
      </c>
      <c r="G2875" t="s">
        <v>8340</v>
      </c>
      <c r="I2875" t="s">
        <v>11387</v>
      </c>
      <c r="J2875">
        <v>11435</v>
      </c>
      <c r="K2875" t="s">
        <v>11446</v>
      </c>
      <c r="L2875" t="s">
        <v>11465</v>
      </c>
      <c r="M2875" t="s">
        <v>11601</v>
      </c>
      <c r="N2875" t="s">
        <v>14778</v>
      </c>
      <c r="O2875" t="s">
        <v>14786</v>
      </c>
      <c r="P2875" t="s">
        <v>14801</v>
      </c>
      <c r="Q2875" t="s">
        <v>11448</v>
      </c>
      <c r="S2875" t="s">
        <v>14827</v>
      </c>
      <c r="U2875" t="s">
        <v>379</v>
      </c>
      <c r="V2875">
        <v>1650</v>
      </c>
      <c r="W2875" t="s">
        <v>14861</v>
      </c>
      <c r="X2875" t="s">
        <v>14876</v>
      </c>
      <c r="Y2875" t="s">
        <v>14883</v>
      </c>
      <c r="Z2875" t="s">
        <v>16915</v>
      </c>
      <c r="AB2875" t="s">
        <v>22340</v>
      </c>
      <c r="AC2875">
        <v>2</v>
      </c>
      <c r="AD2875" t="s">
        <v>24600</v>
      </c>
      <c r="AE2875" t="s">
        <v>11459</v>
      </c>
      <c r="AF2875">
        <v>7</v>
      </c>
      <c r="AG2875">
        <v>4</v>
      </c>
      <c r="AH2875">
        <v>0</v>
      </c>
      <c r="AI2875">
        <v>302.91</v>
      </c>
      <c r="AL2875" t="s">
        <v>5011</v>
      </c>
      <c r="AM2875">
        <v>78000</v>
      </c>
      <c r="AS2875">
        <v>1.6</v>
      </c>
      <c r="AT2875" t="s">
        <v>410</v>
      </c>
      <c r="AU2875" t="s">
        <v>99</v>
      </c>
      <c r="AV2875" t="s">
        <v>25335</v>
      </c>
      <c r="AW2875" t="s">
        <v>11447</v>
      </c>
    </row>
    <row r="2876" spans="1:49">
      <c r="A2876" s="1">
        <f>HYPERLINK("https://lsnyc.legalserver.org/matter/dynamic-profile/view/1907565","19-1907565")</f>
        <v>0</v>
      </c>
      <c r="B2876" t="s">
        <v>124</v>
      </c>
      <c r="C2876" t="s">
        <v>630</v>
      </c>
      <c r="D2876" t="s">
        <v>585</v>
      </c>
      <c r="E2876" t="s">
        <v>2509</v>
      </c>
      <c r="F2876" t="s">
        <v>4468</v>
      </c>
      <c r="G2876" t="s">
        <v>8341</v>
      </c>
      <c r="H2876">
        <v>2</v>
      </c>
      <c r="I2876" t="s">
        <v>11390</v>
      </c>
      <c r="J2876">
        <v>11368</v>
      </c>
      <c r="K2876" t="s">
        <v>11446</v>
      </c>
      <c r="L2876" t="s">
        <v>12558</v>
      </c>
      <c r="M2876" t="s">
        <v>14743</v>
      </c>
      <c r="N2876" t="s">
        <v>14778</v>
      </c>
      <c r="O2876" t="s">
        <v>14786</v>
      </c>
      <c r="P2876" t="s">
        <v>14801</v>
      </c>
      <c r="Q2876" t="s">
        <v>11448</v>
      </c>
      <c r="S2876" t="s">
        <v>14827</v>
      </c>
      <c r="T2876" t="s">
        <v>14832</v>
      </c>
      <c r="U2876" t="s">
        <v>630</v>
      </c>
      <c r="V2876">
        <v>1647</v>
      </c>
      <c r="W2876" t="s">
        <v>14861</v>
      </c>
      <c r="X2876" t="s">
        <v>14865</v>
      </c>
      <c r="Y2876" t="s">
        <v>14883</v>
      </c>
      <c r="Z2876" t="s">
        <v>17305</v>
      </c>
      <c r="AB2876" t="s">
        <v>22341</v>
      </c>
      <c r="AC2876">
        <v>2</v>
      </c>
      <c r="AD2876" t="s">
        <v>11479</v>
      </c>
      <c r="AE2876" t="s">
        <v>24610</v>
      </c>
      <c r="AF2876">
        <v>9</v>
      </c>
      <c r="AG2876">
        <v>2</v>
      </c>
      <c r="AH2876">
        <v>1</v>
      </c>
      <c r="AI2876">
        <v>174.66</v>
      </c>
      <c r="AL2876" t="s">
        <v>5011</v>
      </c>
      <c r="AM2876">
        <v>37255.4</v>
      </c>
      <c r="AS2876">
        <v>0.7</v>
      </c>
      <c r="AT2876" t="s">
        <v>585</v>
      </c>
      <c r="AU2876" t="s">
        <v>292</v>
      </c>
      <c r="AV2876" t="s">
        <v>25335</v>
      </c>
      <c r="AW2876" t="s">
        <v>11447</v>
      </c>
    </row>
    <row r="2877" spans="1:49">
      <c r="A2877" s="1">
        <f>HYPERLINK("https://lsnyc.legalserver.org/matter/dynamic-profile/view/1908923","19-1908923")</f>
        <v>0</v>
      </c>
      <c r="B2877" t="s">
        <v>83</v>
      </c>
      <c r="C2877" t="s">
        <v>640</v>
      </c>
      <c r="D2877" t="s">
        <v>589</v>
      </c>
      <c r="E2877" t="s">
        <v>2510</v>
      </c>
      <c r="F2877" t="s">
        <v>2115</v>
      </c>
      <c r="G2877" t="s">
        <v>8342</v>
      </c>
      <c r="H2877" t="s">
        <v>10527</v>
      </c>
      <c r="I2877" t="s">
        <v>11390</v>
      </c>
      <c r="J2877">
        <v>11368</v>
      </c>
      <c r="K2877" t="s">
        <v>11446</v>
      </c>
      <c r="L2877" t="s">
        <v>12559</v>
      </c>
      <c r="M2877" t="s">
        <v>14744</v>
      </c>
      <c r="N2877" t="s">
        <v>14778</v>
      </c>
      <c r="O2877" t="s">
        <v>14786</v>
      </c>
      <c r="P2877" t="s">
        <v>14801</v>
      </c>
      <c r="Q2877" t="s">
        <v>11448</v>
      </c>
      <c r="S2877" t="s">
        <v>14827</v>
      </c>
      <c r="T2877" t="s">
        <v>14833</v>
      </c>
      <c r="U2877" t="s">
        <v>640</v>
      </c>
      <c r="V2877">
        <v>1800</v>
      </c>
      <c r="W2877" t="s">
        <v>14861</v>
      </c>
      <c r="X2877" t="s">
        <v>14865</v>
      </c>
      <c r="Y2877" t="s">
        <v>14883</v>
      </c>
      <c r="Z2877" t="s">
        <v>17306</v>
      </c>
      <c r="AA2877" t="s">
        <v>19581</v>
      </c>
      <c r="AB2877" t="s">
        <v>22342</v>
      </c>
      <c r="AC2877">
        <v>16</v>
      </c>
      <c r="AD2877" t="s">
        <v>24595</v>
      </c>
      <c r="AE2877" t="s">
        <v>24615</v>
      </c>
      <c r="AF2877">
        <v>2</v>
      </c>
      <c r="AG2877">
        <v>2</v>
      </c>
      <c r="AH2877">
        <v>3</v>
      </c>
      <c r="AI2877">
        <v>19.93</v>
      </c>
      <c r="AL2877" t="s">
        <v>5011</v>
      </c>
      <c r="AM2877">
        <v>6012</v>
      </c>
      <c r="AS2877">
        <v>1.5</v>
      </c>
      <c r="AT2877" t="s">
        <v>589</v>
      </c>
      <c r="AU2877" t="s">
        <v>99</v>
      </c>
      <c r="AV2877" t="s">
        <v>25335</v>
      </c>
      <c r="AW2877" t="s">
        <v>11447</v>
      </c>
    </row>
    <row r="2878" spans="1:49">
      <c r="A2878" s="1">
        <f>HYPERLINK("https://lsnyc.legalserver.org/matter/dynamic-profile/view/1899757","19-1899757")</f>
        <v>0</v>
      </c>
      <c r="B2878" t="s">
        <v>290</v>
      </c>
      <c r="C2878" t="s">
        <v>543</v>
      </c>
      <c r="D2878" t="s">
        <v>488</v>
      </c>
      <c r="E2878" t="s">
        <v>1031</v>
      </c>
      <c r="F2878" t="s">
        <v>5096</v>
      </c>
      <c r="G2878" t="s">
        <v>8343</v>
      </c>
      <c r="H2878" t="s">
        <v>10464</v>
      </c>
      <c r="I2878" t="s">
        <v>11393</v>
      </c>
      <c r="J2878">
        <v>11374</v>
      </c>
      <c r="K2878" t="s">
        <v>11446</v>
      </c>
      <c r="L2878" t="s">
        <v>12560</v>
      </c>
      <c r="M2878" t="s">
        <v>14744</v>
      </c>
      <c r="N2878" t="s">
        <v>14781</v>
      </c>
      <c r="O2878" t="s">
        <v>14789</v>
      </c>
      <c r="P2878" t="s">
        <v>14801</v>
      </c>
      <c r="S2878" t="s">
        <v>14827</v>
      </c>
      <c r="U2878" t="s">
        <v>618</v>
      </c>
      <c r="V2878">
        <v>1313.8</v>
      </c>
      <c r="W2878" t="s">
        <v>14861</v>
      </c>
      <c r="X2878" t="s">
        <v>14871</v>
      </c>
      <c r="Y2878" t="s">
        <v>14887</v>
      </c>
      <c r="Z2878" t="s">
        <v>17307</v>
      </c>
      <c r="AB2878" t="s">
        <v>22343</v>
      </c>
      <c r="AC2878">
        <v>146</v>
      </c>
      <c r="AD2878" t="s">
        <v>24595</v>
      </c>
      <c r="AE2878" t="s">
        <v>24613</v>
      </c>
      <c r="AF2878">
        <v>20</v>
      </c>
      <c r="AG2878">
        <v>2</v>
      </c>
      <c r="AH2878">
        <v>0</v>
      </c>
      <c r="AI2878">
        <v>140.08</v>
      </c>
      <c r="AL2878" t="s">
        <v>24632</v>
      </c>
      <c r="AM2878">
        <v>23688</v>
      </c>
      <c r="AP2878" t="s">
        <v>24943</v>
      </c>
      <c r="AQ2878" t="s">
        <v>24986</v>
      </c>
      <c r="AR2878" t="s">
        <v>25055</v>
      </c>
      <c r="AS2878">
        <v>7.25</v>
      </c>
      <c r="AT2878" t="s">
        <v>618</v>
      </c>
      <c r="AU2878" t="s">
        <v>25233</v>
      </c>
      <c r="AV2878" t="s">
        <v>25335</v>
      </c>
      <c r="AW2878" t="s">
        <v>11447</v>
      </c>
    </row>
    <row r="2879" spans="1:49">
      <c r="A2879" s="1">
        <f>HYPERLINK("https://lsnyc.legalserver.org/matter/dynamic-profile/view/1905813","19-1905813")</f>
        <v>0</v>
      </c>
      <c r="B2879" t="s">
        <v>202</v>
      </c>
      <c r="C2879" t="s">
        <v>500</v>
      </c>
      <c r="D2879" t="s">
        <v>463</v>
      </c>
      <c r="E2879" t="s">
        <v>1256</v>
      </c>
      <c r="F2879" t="s">
        <v>3569</v>
      </c>
      <c r="G2879" t="s">
        <v>8344</v>
      </c>
      <c r="I2879" t="s">
        <v>11419</v>
      </c>
      <c r="J2879">
        <v>11420</v>
      </c>
      <c r="K2879" t="s">
        <v>11446</v>
      </c>
      <c r="L2879" t="s">
        <v>12561</v>
      </c>
      <c r="M2879" t="s">
        <v>14744</v>
      </c>
      <c r="N2879" t="s">
        <v>14778</v>
      </c>
      <c r="O2879" t="s">
        <v>14786</v>
      </c>
      <c r="P2879" t="s">
        <v>14801</v>
      </c>
      <c r="Q2879" t="s">
        <v>11448</v>
      </c>
      <c r="S2879" t="s">
        <v>14827</v>
      </c>
      <c r="T2879" t="s">
        <v>14832</v>
      </c>
      <c r="U2879" t="s">
        <v>500</v>
      </c>
      <c r="V2879">
        <v>1956</v>
      </c>
      <c r="W2879" t="s">
        <v>14861</v>
      </c>
      <c r="X2879" t="s">
        <v>14865</v>
      </c>
      <c r="Y2879" t="s">
        <v>14883</v>
      </c>
      <c r="Z2879" t="s">
        <v>17308</v>
      </c>
      <c r="AA2879" t="s">
        <v>19582</v>
      </c>
      <c r="AB2879" t="s">
        <v>22344</v>
      </c>
      <c r="AC2879">
        <v>1</v>
      </c>
      <c r="AD2879" t="s">
        <v>11479</v>
      </c>
      <c r="AE2879" t="s">
        <v>24615</v>
      </c>
      <c r="AF2879">
        <v>3</v>
      </c>
      <c r="AG2879">
        <v>2</v>
      </c>
      <c r="AH2879">
        <v>3</v>
      </c>
      <c r="AI2879">
        <v>51.71</v>
      </c>
      <c r="AL2879" t="s">
        <v>5011</v>
      </c>
      <c r="AM2879">
        <v>15600</v>
      </c>
      <c r="AS2879">
        <v>2</v>
      </c>
      <c r="AT2879" t="s">
        <v>463</v>
      </c>
      <c r="AU2879" t="s">
        <v>292</v>
      </c>
      <c r="AV2879" t="s">
        <v>25335</v>
      </c>
      <c r="AW2879" t="s">
        <v>11447</v>
      </c>
    </row>
    <row r="2880" spans="1:49">
      <c r="A2880" s="1">
        <f>HYPERLINK("https://lsnyc.legalserver.org/matter/dynamic-profile/view/1906411","19-1906411")</f>
        <v>0</v>
      </c>
      <c r="B2880" t="s">
        <v>202</v>
      </c>
      <c r="C2880" t="s">
        <v>485</v>
      </c>
      <c r="D2880" t="s">
        <v>519</v>
      </c>
      <c r="E2880" t="s">
        <v>2511</v>
      </c>
      <c r="F2880" t="s">
        <v>5097</v>
      </c>
      <c r="G2880" t="s">
        <v>8345</v>
      </c>
      <c r="H2880" t="s">
        <v>10610</v>
      </c>
      <c r="I2880" t="s">
        <v>11418</v>
      </c>
      <c r="J2880">
        <v>11412</v>
      </c>
      <c r="K2880" t="s">
        <v>11446</v>
      </c>
      <c r="L2880" t="s">
        <v>12562</v>
      </c>
      <c r="M2880" t="s">
        <v>14743</v>
      </c>
      <c r="N2880" t="s">
        <v>14778</v>
      </c>
      <c r="O2880" t="s">
        <v>14786</v>
      </c>
      <c r="P2880" t="s">
        <v>14801</v>
      </c>
      <c r="Q2880" t="s">
        <v>11448</v>
      </c>
      <c r="S2880" t="s">
        <v>14827</v>
      </c>
      <c r="U2880" t="s">
        <v>485</v>
      </c>
      <c r="V2880">
        <v>900</v>
      </c>
      <c r="W2880" t="s">
        <v>14861</v>
      </c>
      <c r="X2880" t="s">
        <v>14865</v>
      </c>
      <c r="Y2880" t="s">
        <v>14883</v>
      </c>
      <c r="Z2880" t="s">
        <v>17309</v>
      </c>
      <c r="AB2880" t="s">
        <v>22345</v>
      </c>
      <c r="AC2880">
        <v>2</v>
      </c>
      <c r="AD2880" t="s">
        <v>11479</v>
      </c>
      <c r="AE2880" t="s">
        <v>11459</v>
      </c>
      <c r="AF2880">
        <v>11</v>
      </c>
      <c r="AG2880">
        <v>2</v>
      </c>
      <c r="AH2880">
        <v>1</v>
      </c>
      <c r="AI2880">
        <v>97.52</v>
      </c>
      <c r="AL2880" t="s">
        <v>5011</v>
      </c>
      <c r="AM2880">
        <v>20800</v>
      </c>
      <c r="AS2880">
        <v>2.6</v>
      </c>
      <c r="AT2880" t="s">
        <v>519</v>
      </c>
      <c r="AU2880" t="s">
        <v>292</v>
      </c>
      <c r="AV2880" t="s">
        <v>25335</v>
      </c>
      <c r="AW2880" t="s">
        <v>11447</v>
      </c>
    </row>
    <row r="2881" spans="1:49">
      <c r="A2881" s="1">
        <f>HYPERLINK("https://lsnyc.legalserver.org/matter/dynamic-profile/view/1904146","19-1904146")</f>
        <v>0</v>
      </c>
      <c r="B2881" t="s">
        <v>83</v>
      </c>
      <c r="C2881" t="s">
        <v>338</v>
      </c>
      <c r="D2881" t="s">
        <v>519</v>
      </c>
      <c r="E2881" t="s">
        <v>2512</v>
      </c>
      <c r="F2881" t="s">
        <v>5098</v>
      </c>
      <c r="G2881" t="s">
        <v>8346</v>
      </c>
      <c r="H2881" t="s">
        <v>10506</v>
      </c>
      <c r="I2881" t="s">
        <v>11390</v>
      </c>
      <c r="J2881">
        <v>11368</v>
      </c>
      <c r="K2881" t="s">
        <v>11446</v>
      </c>
      <c r="L2881" t="s">
        <v>12563</v>
      </c>
      <c r="M2881" t="s">
        <v>14743</v>
      </c>
      <c r="N2881" t="s">
        <v>14781</v>
      </c>
      <c r="O2881" t="s">
        <v>14792</v>
      </c>
      <c r="P2881" t="s">
        <v>14801</v>
      </c>
      <c r="Q2881" t="s">
        <v>11448</v>
      </c>
      <c r="S2881" t="s">
        <v>14827</v>
      </c>
      <c r="T2881" t="s">
        <v>14832</v>
      </c>
      <c r="U2881" t="s">
        <v>519</v>
      </c>
      <c r="V2881">
        <v>475</v>
      </c>
      <c r="W2881" t="s">
        <v>14861</v>
      </c>
      <c r="X2881" t="s">
        <v>14868</v>
      </c>
      <c r="Y2881" t="s">
        <v>14887</v>
      </c>
      <c r="Z2881" t="s">
        <v>17310</v>
      </c>
      <c r="AB2881" t="s">
        <v>22346</v>
      </c>
      <c r="AC2881">
        <v>6</v>
      </c>
      <c r="AD2881" t="s">
        <v>24595</v>
      </c>
      <c r="AE2881" t="s">
        <v>11459</v>
      </c>
      <c r="AF2881">
        <v>8</v>
      </c>
      <c r="AG2881">
        <v>1</v>
      </c>
      <c r="AH2881">
        <v>0</v>
      </c>
      <c r="AI2881">
        <v>186.39</v>
      </c>
      <c r="AL2881" t="s">
        <v>5011</v>
      </c>
      <c r="AM2881">
        <v>23280</v>
      </c>
      <c r="AO2881" t="s">
        <v>24932</v>
      </c>
      <c r="AP2881" t="s">
        <v>24942</v>
      </c>
      <c r="AQ2881" t="s">
        <v>24986</v>
      </c>
      <c r="AR2881" t="s">
        <v>25056</v>
      </c>
      <c r="AS2881">
        <v>26.85</v>
      </c>
      <c r="AT2881" t="s">
        <v>519</v>
      </c>
      <c r="AU2881" t="s">
        <v>99</v>
      </c>
      <c r="AV2881" t="s">
        <v>25335</v>
      </c>
      <c r="AW2881" t="s">
        <v>11447</v>
      </c>
    </row>
    <row r="2882" spans="1:49">
      <c r="A2882" s="1">
        <f>HYPERLINK("https://lsnyc.legalserver.org/matter/dynamic-profile/view/1881544","18-1881544")</f>
        <v>0</v>
      </c>
      <c r="B2882" t="s">
        <v>209</v>
      </c>
      <c r="C2882" t="s">
        <v>787</v>
      </c>
      <c r="D2882" t="s">
        <v>662</v>
      </c>
      <c r="E2882" t="s">
        <v>2513</v>
      </c>
      <c r="F2882" t="s">
        <v>3758</v>
      </c>
      <c r="G2882" t="s">
        <v>8347</v>
      </c>
      <c r="H2882" t="s">
        <v>10610</v>
      </c>
      <c r="I2882" t="s">
        <v>11387</v>
      </c>
      <c r="J2882">
        <v>11433</v>
      </c>
      <c r="K2882" t="s">
        <v>11448</v>
      </c>
      <c r="L2882" t="s">
        <v>12564</v>
      </c>
      <c r="M2882" t="s">
        <v>14743</v>
      </c>
      <c r="N2882" t="s">
        <v>14781</v>
      </c>
      <c r="O2882" t="s">
        <v>14788</v>
      </c>
      <c r="P2882" t="s">
        <v>14801</v>
      </c>
      <c r="Q2882" t="s">
        <v>11448</v>
      </c>
      <c r="S2882" t="s">
        <v>14827</v>
      </c>
      <c r="T2882" t="s">
        <v>14834</v>
      </c>
      <c r="V2882">
        <v>1500</v>
      </c>
      <c r="W2882" t="s">
        <v>14861</v>
      </c>
      <c r="X2882" t="s">
        <v>14865</v>
      </c>
      <c r="Y2882" t="s">
        <v>14888</v>
      </c>
      <c r="Z2882" t="s">
        <v>17311</v>
      </c>
      <c r="AB2882" t="s">
        <v>22347</v>
      </c>
      <c r="AC2882">
        <v>0</v>
      </c>
      <c r="AD2882" t="s">
        <v>11479</v>
      </c>
      <c r="AE2882" t="s">
        <v>24617</v>
      </c>
      <c r="AF2882">
        <v>2</v>
      </c>
      <c r="AG2882">
        <v>2</v>
      </c>
      <c r="AH2882">
        <v>1</v>
      </c>
      <c r="AI2882">
        <v>37.54</v>
      </c>
      <c r="AL2882" t="s">
        <v>5011</v>
      </c>
      <c r="AM2882">
        <v>7800</v>
      </c>
      <c r="AO2882" t="s">
        <v>24931</v>
      </c>
      <c r="AP2882" t="s">
        <v>14755</v>
      </c>
      <c r="AQ2882" t="s">
        <v>24987</v>
      </c>
      <c r="AR2882" t="s">
        <v>25057</v>
      </c>
      <c r="AS2882">
        <v>25.29</v>
      </c>
      <c r="AT2882" t="s">
        <v>662</v>
      </c>
      <c r="AU2882" t="s">
        <v>292</v>
      </c>
      <c r="AV2882" t="s">
        <v>25335</v>
      </c>
      <c r="AW2882" t="s">
        <v>11446</v>
      </c>
    </row>
    <row r="2883" spans="1:49">
      <c r="A2883" s="1">
        <f>HYPERLINK("https://lsnyc.legalserver.org/matter/dynamic-profile/view/1890649","19-1890649")</f>
        <v>0</v>
      </c>
      <c r="B2883" t="s">
        <v>209</v>
      </c>
      <c r="C2883" t="s">
        <v>748</v>
      </c>
      <c r="D2883" t="s">
        <v>662</v>
      </c>
      <c r="E2883" t="s">
        <v>2514</v>
      </c>
      <c r="F2883" t="s">
        <v>5099</v>
      </c>
      <c r="G2883" t="s">
        <v>8348</v>
      </c>
      <c r="H2883" t="s">
        <v>11034</v>
      </c>
      <c r="I2883" t="s">
        <v>11409</v>
      </c>
      <c r="J2883">
        <v>11377</v>
      </c>
      <c r="K2883" t="s">
        <v>11446</v>
      </c>
      <c r="L2883" t="s">
        <v>12565</v>
      </c>
      <c r="M2883" t="s">
        <v>14743</v>
      </c>
      <c r="N2883" t="s">
        <v>14781</v>
      </c>
      <c r="O2883" t="s">
        <v>14788</v>
      </c>
      <c r="P2883" t="s">
        <v>14801</v>
      </c>
      <c r="Q2883" t="s">
        <v>11448</v>
      </c>
      <c r="S2883" t="s">
        <v>14827</v>
      </c>
      <c r="T2883" t="s">
        <v>14834</v>
      </c>
      <c r="V2883">
        <v>640</v>
      </c>
      <c r="W2883" t="s">
        <v>14861</v>
      </c>
      <c r="X2883" t="s">
        <v>14865</v>
      </c>
      <c r="Y2883" t="s">
        <v>14888</v>
      </c>
      <c r="Z2883" t="s">
        <v>17312</v>
      </c>
      <c r="AB2883" t="s">
        <v>22348</v>
      </c>
      <c r="AC2883">
        <v>2</v>
      </c>
      <c r="AD2883" t="s">
        <v>24600</v>
      </c>
      <c r="AE2883" t="s">
        <v>11459</v>
      </c>
      <c r="AF2883">
        <v>1</v>
      </c>
      <c r="AG2883">
        <v>1</v>
      </c>
      <c r="AH2883">
        <v>0</v>
      </c>
      <c r="AI2883">
        <v>160.13</v>
      </c>
      <c r="AL2883" t="s">
        <v>5011</v>
      </c>
      <c r="AM2883">
        <v>20000</v>
      </c>
      <c r="AO2883" t="s">
        <v>24931</v>
      </c>
      <c r="AP2883" t="s">
        <v>24963</v>
      </c>
      <c r="AQ2883" t="s">
        <v>24987</v>
      </c>
      <c r="AR2883" t="s">
        <v>25058</v>
      </c>
      <c r="AS2883">
        <v>30.6</v>
      </c>
      <c r="AT2883" t="s">
        <v>528</v>
      </c>
      <c r="AU2883" t="s">
        <v>209</v>
      </c>
      <c r="AV2883" t="s">
        <v>25335</v>
      </c>
      <c r="AW2883" t="s">
        <v>11446</v>
      </c>
    </row>
    <row r="2884" spans="1:49">
      <c r="A2884" s="1">
        <f>HYPERLINK("https://lsnyc.legalserver.org/matter/dynamic-profile/view/1909294","19-1909294")</f>
        <v>0</v>
      </c>
      <c r="B2884" t="s">
        <v>124</v>
      </c>
      <c r="C2884" t="s">
        <v>589</v>
      </c>
      <c r="D2884" t="s">
        <v>508</v>
      </c>
      <c r="E2884" t="s">
        <v>2515</v>
      </c>
      <c r="F2884" t="s">
        <v>3769</v>
      </c>
      <c r="G2884" t="s">
        <v>8349</v>
      </c>
      <c r="H2884" t="s">
        <v>10646</v>
      </c>
      <c r="I2884" t="s">
        <v>11436</v>
      </c>
      <c r="J2884">
        <v>11426</v>
      </c>
      <c r="K2884" t="s">
        <v>11446</v>
      </c>
      <c r="L2884" t="s">
        <v>12566</v>
      </c>
      <c r="M2884" t="s">
        <v>14743</v>
      </c>
      <c r="N2884" t="s">
        <v>14778</v>
      </c>
      <c r="O2884" t="s">
        <v>14786</v>
      </c>
      <c r="P2884" t="s">
        <v>14801</v>
      </c>
      <c r="Q2884" t="s">
        <v>11448</v>
      </c>
      <c r="S2884" t="s">
        <v>14827</v>
      </c>
      <c r="T2884" t="s">
        <v>14832</v>
      </c>
      <c r="U2884" t="s">
        <v>589</v>
      </c>
      <c r="V2884">
        <v>1750</v>
      </c>
      <c r="W2884" t="s">
        <v>14861</v>
      </c>
      <c r="X2884" t="s">
        <v>14865</v>
      </c>
      <c r="Y2884" t="s">
        <v>14883</v>
      </c>
      <c r="Z2884" t="s">
        <v>15116</v>
      </c>
      <c r="AB2884" t="s">
        <v>22349</v>
      </c>
      <c r="AC2884">
        <v>2</v>
      </c>
      <c r="AD2884" t="s">
        <v>11479</v>
      </c>
      <c r="AE2884" t="s">
        <v>11459</v>
      </c>
      <c r="AF2884">
        <v>10</v>
      </c>
      <c r="AG2884">
        <v>4</v>
      </c>
      <c r="AH2884">
        <v>0</v>
      </c>
      <c r="AI2884">
        <v>54.24</v>
      </c>
      <c r="AL2884" t="s">
        <v>24632</v>
      </c>
      <c r="AM2884">
        <v>13968</v>
      </c>
      <c r="AS2884">
        <v>0.75</v>
      </c>
      <c r="AT2884" t="s">
        <v>508</v>
      </c>
      <c r="AU2884" t="s">
        <v>292</v>
      </c>
      <c r="AV2884" t="s">
        <v>25335</v>
      </c>
      <c r="AW2884" t="s">
        <v>11447</v>
      </c>
    </row>
    <row r="2885" spans="1:49">
      <c r="A2885" s="1">
        <f>HYPERLINK("https://lsnyc.legalserver.org/matter/dynamic-profile/view/1846050","17-1846050")</f>
        <v>0</v>
      </c>
      <c r="B2885" t="s">
        <v>85</v>
      </c>
      <c r="C2885" t="s">
        <v>788</v>
      </c>
      <c r="D2885" t="s">
        <v>508</v>
      </c>
      <c r="E2885" t="s">
        <v>2516</v>
      </c>
      <c r="F2885" t="s">
        <v>5100</v>
      </c>
      <c r="G2885" t="s">
        <v>8350</v>
      </c>
      <c r="H2885" t="s">
        <v>11071</v>
      </c>
      <c r="I2885" t="s">
        <v>11437</v>
      </c>
      <c r="J2885">
        <v>11429</v>
      </c>
      <c r="K2885" t="s">
        <v>11446</v>
      </c>
      <c r="L2885" t="s">
        <v>12567</v>
      </c>
      <c r="M2885" t="s">
        <v>14743</v>
      </c>
      <c r="N2885" t="s">
        <v>14781</v>
      </c>
      <c r="O2885" t="s">
        <v>14788</v>
      </c>
      <c r="P2885" t="s">
        <v>14801</v>
      </c>
      <c r="Q2885" t="s">
        <v>11446</v>
      </c>
      <c r="S2885" t="s">
        <v>14827</v>
      </c>
      <c r="V2885">
        <v>500</v>
      </c>
      <c r="W2885" t="s">
        <v>14861</v>
      </c>
      <c r="X2885" t="s">
        <v>14865</v>
      </c>
      <c r="Y2885" t="s">
        <v>14887</v>
      </c>
      <c r="Z2885" t="s">
        <v>17313</v>
      </c>
      <c r="AB2885" t="s">
        <v>22350</v>
      </c>
      <c r="AC2885">
        <v>1</v>
      </c>
      <c r="AD2885" t="s">
        <v>24600</v>
      </c>
      <c r="AE2885" t="s">
        <v>11459</v>
      </c>
      <c r="AF2885">
        <v>2</v>
      </c>
      <c r="AG2885">
        <v>1</v>
      </c>
      <c r="AH2885">
        <v>0</v>
      </c>
      <c r="AI2885">
        <v>0</v>
      </c>
      <c r="AL2885" t="s">
        <v>5011</v>
      </c>
      <c r="AM2885">
        <v>0</v>
      </c>
      <c r="AO2885" t="s">
        <v>24932</v>
      </c>
      <c r="AP2885" t="s">
        <v>24942</v>
      </c>
      <c r="AQ2885" t="s">
        <v>24986</v>
      </c>
      <c r="AR2885" t="s">
        <v>25059</v>
      </c>
      <c r="AS2885">
        <v>20.2</v>
      </c>
      <c r="AT2885" t="s">
        <v>790</v>
      </c>
      <c r="AU2885" t="s">
        <v>99</v>
      </c>
      <c r="AW2885" t="s">
        <v>11447</v>
      </c>
    </row>
    <row r="2886" spans="1:49">
      <c r="A2886" s="1">
        <f>HYPERLINK("https://lsnyc.legalserver.org/matter/dynamic-profile/view/1847262","17-1847262")</f>
        <v>0</v>
      </c>
      <c r="B2886" t="s">
        <v>85</v>
      </c>
      <c r="C2886" t="s">
        <v>382</v>
      </c>
      <c r="D2886" t="s">
        <v>508</v>
      </c>
      <c r="E2886" t="s">
        <v>1125</v>
      </c>
      <c r="F2886" t="s">
        <v>5101</v>
      </c>
      <c r="G2886" t="s">
        <v>8351</v>
      </c>
      <c r="H2886" t="s">
        <v>10665</v>
      </c>
      <c r="I2886" t="s">
        <v>11387</v>
      </c>
      <c r="J2886">
        <v>11432</v>
      </c>
      <c r="K2886" t="s">
        <v>11448</v>
      </c>
      <c r="L2886" t="s">
        <v>12568</v>
      </c>
      <c r="M2886" t="s">
        <v>14744</v>
      </c>
      <c r="N2886" t="s">
        <v>14781</v>
      </c>
      <c r="O2886" t="s">
        <v>14788</v>
      </c>
      <c r="P2886" t="s">
        <v>14801</v>
      </c>
      <c r="Q2886" t="s">
        <v>11448</v>
      </c>
      <c r="S2886" t="s">
        <v>14827</v>
      </c>
      <c r="T2886" t="s">
        <v>14834</v>
      </c>
      <c r="V2886">
        <v>747.05</v>
      </c>
      <c r="W2886" t="s">
        <v>14861</v>
      </c>
      <c r="X2886" t="s">
        <v>14865</v>
      </c>
      <c r="Y2886" t="s">
        <v>14887</v>
      </c>
      <c r="Z2886" t="s">
        <v>17314</v>
      </c>
      <c r="AA2886" t="s">
        <v>19583</v>
      </c>
      <c r="AB2886" t="s">
        <v>22351</v>
      </c>
      <c r="AC2886">
        <v>57</v>
      </c>
      <c r="AD2886" t="s">
        <v>24595</v>
      </c>
      <c r="AE2886" t="s">
        <v>24613</v>
      </c>
      <c r="AF2886">
        <v>37</v>
      </c>
      <c r="AG2886">
        <v>1</v>
      </c>
      <c r="AH2886">
        <v>0</v>
      </c>
      <c r="AI2886">
        <v>89.55</v>
      </c>
      <c r="AL2886" t="s">
        <v>5011</v>
      </c>
      <c r="AM2886">
        <v>10800</v>
      </c>
      <c r="AQ2886" t="s">
        <v>24986</v>
      </c>
      <c r="AR2886" t="s">
        <v>25060</v>
      </c>
      <c r="AS2886">
        <v>26.7</v>
      </c>
      <c r="AT2886" t="s">
        <v>25156</v>
      </c>
      <c r="AU2886" t="s">
        <v>85</v>
      </c>
      <c r="AV2886" t="s">
        <v>25335</v>
      </c>
      <c r="AW2886" t="s">
        <v>11447</v>
      </c>
    </row>
    <row r="2887" spans="1:49">
      <c r="A2887" s="1">
        <f>HYPERLINK("https://lsnyc.legalserver.org/matter/dynamic-profile/view/1895397","19-1895397")</f>
        <v>0</v>
      </c>
      <c r="B2887" t="s">
        <v>85</v>
      </c>
      <c r="C2887" t="s">
        <v>333</v>
      </c>
      <c r="D2887" t="s">
        <v>508</v>
      </c>
      <c r="E2887" t="s">
        <v>2517</v>
      </c>
      <c r="F2887" t="s">
        <v>3683</v>
      </c>
      <c r="G2887" t="s">
        <v>8352</v>
      </c>
      <c r="I2887" t="s">
        <v>11396</v>
      </c>
      <c r="J2887">
        <v>11365</v>
      </c>
      <c r="K2887" t="s">
        <v>11446</v>
      </c>
      <c r="L2887" t="s">
        <v>12569</v>
      </c>
      <c r="M2887" t="s">
        <v>14743</v>
      </c>
      <c r="N2887" t="s">
        <v>14778</v>
      </c>
      <c r="O2887" t="s">
        <v>14786</v>
      </c>
      <c r="P2887" t="s">
        <v>14801</v>
      </c>
      <c r="Q2887" t="s">
        <v>11448</v>
      </c>
      <c r="S2887" t="s">
        <v>14827</v>
      </c>
      <c r="T2887" t="s">
        <v>14832</v>
      </c>
      <c r="V2887">
        <v>1377</v>
      </c>
      <c r="W2887" t="s">
        <v>14861</v>
      </c>
      <c r="X2887" t="s">
        <v>14865</v>
      </c>
      <c r="Y2887" t="s">
        <v>14883</v>
      </c>
      <c r="Z2887" t="s">
        <v>17315</v>
      </c>
      <c r="AB2887" t="s">
        <v>22352</v>
      </c>
      <c r="AC2887">
        <v>200</v>
      </c>
      <c r="AD2887" t="s">
        <v>24595</v>
      </c>
      <c r="AE2887" t="s">
        <v>11459</v>
      </c>
      <c r="AF2887">
        <v>9</v>
      </c>
      <c r="AG2887">
        <v>3</v>
      </c>
      <c r="AH2887">
        <v>0</v>
      </c>
      <c r="AI2887">
        <v>144.42</v>
      </c>
      <c r="AL2887" t="s">
        <v>5011</v>
      </c>
      <c r="AM2887">
        <v>30805</v>
      </c>
      <c r="AS2887">
        <v>1.3</v>
      </c>
      <c r="AT2887" t="s">
        <v>503</v>
      </c>
      <c r="AU2887" t="s">
        <v>85</v>
      </c>
      <c r="AV2887" t="s">
        <v>25335</v>
      </c>
      <c r="AW2887" t="s">
        <v>11447</v>
      </c>
    </row>
    <row r="2888" spans="1:49">
      <c r="A2888" s="1">
        <f>HYPERLINK("https://lsnyc.legalserver.org/matter/dynamic-profile/view/1905353","19-1905353")</f>
        <v>0</v>
      </c>
      <c r="B2888" t="s">
        <v>202</v>
      </c>
      <c r="C2888" t="s">
        <v>619</v>
      </c>
      <c r="D2888" t="s">
        <v>601</v>
      </c>
      <c r="E2888" t="s">
        <v>1452</v>
      </c>
      <c r="F2888" t="s">
        <v>5102</v>
      </c>
      <c r="G2888" t="s">
        <v>8353</v>
      </c>
      <c r="H2888" t="s">
        <v>10513</v>
      </c>
      <c r="I2888" t="s">
        <v>11390</v>
      </c>
      <c r="J2888">
        <v>11368</v>
      </c>
      <c r="K2888" t="s">
        <v>11446</v>
      </c>
      <c r="L2888" t="s">
        <v>12570</v>
      </c>
      <c r="M2888" t="s">
        <v>14744</v>
      </c>
      <c r="N2888" t="s">
        <v>14778</v>
      </c>
      <c r="O2888" t="s">
        <v>14786</v>
      </c>
      <c r="P2888" t="s">
        <v>14801</v>
      </c>
      <c r="Q2888" t="s">
        <v>11448</v>
      </c>
      <c r="S2888" t="s">
        <v>14827</v>
      </c>
      <c r="T2888" t="s">
        <v>14836</v>
      </c>
      <c r="U2888" t="s">
        <v>619</v>
      </c>
      <c r="V2888">
        <v>1400</v>
      </c>
      <c r="W2888" t="s">
        <v>14861</v>
      </c>
      <c r="X2888" t="s">
        <v>14865</v>
      </c>
      <c r="Y2888" t="s">
        <v>14883</v>
      </c>
      <c r="Z2888" t="s">
        <v>17316</v>
      </c>
      <c r="AA2888" t="s">
        <v>11459</v>
      </c>
      <c r="AB2888" t="s">
        <v>22353</v>
      </c>
      <c r="AC2888">
        <v>3</v>
      </c>
      <c r="AD2888" t="s">
        <v>11479</v>
      </c>
      <c r="AE2888" t="s">
        <v>11459</v>
      </c>
      <c r="AF2888">
        <v>6</v>
      </c>
      <c r="AG2888">
        <v>1</v>
      </c>
      <c r="AH2888">
        <v>0</v>
      </c>
      <c r="AI2888">
        <v>0</v>
      </c>
      <c r="AL2888" t="s">
        <v>5011</v>
      </c>
      <c r="AM2888">
        <v>0</v>
      </c>
      <c r="AS2888">
        <v>1.8</v>
      </c>
      <c r="AT2888" t="s">
        <v>601</v>
      </c>
      <c r="AU2888" t="s">
        <v>25233</v>
      </c>
      <c r="AV2888" t="s">
        <v>25335</v>
      </c>
      <c r="AW2888" t="s">
        <v>11447</v>
      </c>
    </row>
    <row r="2889" spans="1:49">
      <c r="A2889" s="1">
        <f>HYPERLINK("https://lsnyc.legalserver.org/matter/dynamic-profile/view/1905851","19-1905851")</f>
        <v>0</v>
      </c>
      <c r="B2889" t="s">
        <v>202</v>
      </c>
      <c r="C2889" t="s">
        <v>500</v>
      </c>
      <c r="D2889" t="s">
        <v>601</v>
      </c>
      <c r="E2889" t="s">
        <v>2518</v>
      </c>
      <c r="F2889" t="s">
        <v>5103</v>
      </c>
      <c r="G2889" t="s">
        <v>8354</v>
      </c>
      <c r="H2889">
        <v>6</v>
      </c>
      <c r="I2889" t="s">
        <v>11389</v>
      </c>
      <c r="J2889">
        <v>11355</v>
      </c>
      <c r="K2889" t="s">
        <v>11446</v>
      </c>
      <c r="L2889" t="s">
        <v>12571</v>
      </c>
      <c r="M2889" t="s">
        <v>14743</v>
      </c>
      <c r="N2889" t="s">
        <v>14778</v>
      </c>
      <c r="O2889" t="s">
        <v>14786</v>
      </c>
      <c r="P2889" t="s">
        <v>14801</v>
      </c>
      <c r="Q2889" t="s">
        <v>11448</v>
      </c>
      <c r="S2889" t="s">
        <v>14827</v>
      </c>
      <c r="T2889" t="s">
        <v>14832</v>
      </c>
      <c r="U2889" t="s">
        <v>500</v>
      </c>
      <c r="V2889">
        <v>800</v>
      </c>
      <c r="W2889" t="s">
        <v>14861</v>
      </c>
      <c r="X2889" t="s">
        <v>14865</v>
      </c>
      <c r="Y2889" t="s">
        <v>14883</v>
      </c>
      <c r="Z2889" t="s">
        <v>17317</v>
      </c>
      <c r="AA2889" t="s">
        <v>11459</v>
      </c>
      <c r="AB2889" t="s">
        <v>22354</v>
      </c>
      <c r="AC2889">
        <v>5</v>
      </c>
      <c r="AD2889" t="s">
        <v>24600</v>
      </c>
      <c r="AE2889" t="s">
        <v>11459</v>
      </c>
      <c r="AF2889">
        <v>1</v>
      </c>
      <c r="AG2889">
        <v>1</v>
      </c>
      <c r="AH2889">
        <v>0</v>
      </c>
      <c r="AI2889">
        <v>52.84</v>
      </c>
      <c r="AL2889" t="s">
        <v>24633</v>
      </c>
      <c r="AM2889">
        <v>6600</v>
      </c>
      <c r="AS2889">
        <v>1.8</v>
      </c>
      <c r="AT2889" t="s">
        <v>601</v>
      </c>
      <c r="AU2889" t="s">
        <v>202</v>
      </c>
      <c r="AV2889" t="s">
        <v>25335</v>
      </c>
      <c r="AW2889" t="s">
        <v>11447</v>
      </c>
    </row>
    <row r="2890" spans="1:49">
      <c r="A2890" s="1">
        <f>HYPERLINK("https://lsnyc.legalserver.org/matter/dynamic-profile/view/1906056","19-1906056")</f>
        <v>0</v>
      </c>
      <c r="B2890" t="s">
        <v>202</v>
      </c>
      <c r="C2890" t="s">
        <v>618</v>
      </c>
      <c r="D2890" t="s">
        <v>601</v>
      </c>
      <c r="E2890" t="s">
        <v>1853</v>
      </c>
      <c r="F2890" t="s">
        <v>3561</v>
      </c>
      <c r="G2890" t="s">
        <v>8355</v>
      </c>
      <c r="H2890" t="s">
        <v>10705</v>
      </c>
      <c r="I2890" t="s">
        <v>11399</v>
      </c>
      <c r="J2890">
        <v>11421</v>
      </c>
      <c r="K2890" t="s">
        <v>11446</v>
      </c>
      <c r="L2890" t="s">
        <v>12572</v>
      </c>
      <c r="M2890" t="s">
        <v>14743</v>
      </c>
      <c r="N2890" t="s">
        <v>14778</v>
      </c>
      <c r="O2890" t="s">
        <v>14786</v>
      </c>
      <c r="P2890" t="s">
        <v>14801</v>
      </c>
      <c r="Q2890" t="s">
        <v>11448</v>
      </c>
      <c r="S2890" t="s">
        <v>14827</v>
      </c>
      <c r="T2890" t="s">
        <v>14832</v>
      </c>
      <c r="U2890" t="s">
        <v>618</v>
      </c>
      <c r="V2890">
        <v>300</v>
      </c>
      <c r="W2890" t="s">
        <v>14861</v>
      </c>
      <c r="X2890" t="s">
        <v>14865</v>
      </c>
      <c r="Y2890" t="s">
        <v>14883</v>
      </c>
      <c r="Z2890" t="s">
        <v>17318</v>
      </c>
      <c r="AA2890" t="s">
        <v>19584</v>
      </c>
      <c r="AB2890" t="s">
        <v>22355</v>
      </c>
      <c r="AC2890">
        <v>2</v>
      </c>
      <c r="AD2890" t="s">
        <v>11479</v>
      </c>
      <c r="AE2890" t="s">
        <v>11459</v>
      </c>
      <c r="AF2890">
        <v>13</v>
      </c>
      <c r="AG2890">
        <v>1</v>
      </c>
      <c r="AH2890">
        <v>0</v>
      </c>
      <c r="AI2890">
        <v>112.89</v>
      </c>
      <c r="AL2890" t="s">
        <v>5011</v>
      </c>
      <c r="AM2890">
        <v>14100</v>
      </c>
      <c r="AS2890">
        <v>1.9</v>
      </c>
      <c r="AT2890" t="s">
        <v>601</v>
      </c>
      <c r="AU2890" t="s">
        <v>292</v>
      </c>
      <c r="AV2890" t="s">
        <v>25335</v>
      </c>
      <c r="AW2890" t="s">
        <v>11447</v>
      </c>
    </row>
    <row r="2891" spans="1:49">
      <c r="A2891" s="1">
        <f>HYPERLINK("https://lsnyc.legalserver.org/matter/dynamic-profile/view/1910433","19-1910433")</f>
        <v>0</v>
      </c>
      <c r="B2891" t="s">
        <v>204</v>
      </c>
      <c r="C2891" t="s">
        <v>508</v>
      </c>
      <c r="D2891" t="s">
        <v>601</v>
      </c>
      <c r="E2891" t="s">
        <v>2519</v>
      </c>
      <c r="F2891" t="s">
        <v>5104</v>
      </c>
      <c r="G2891" t="s">
        <v>8356</v>
      </c>
      <c r="H2891" t="s">
        <v>10541</v>
      </c>
      <c r="I2891" t="s">
        <v>11420</v>
      </c>
      <c r="J2891">
        <v>11104</v>
      </c>
      <c r="K2891" t="s">
        <v>11446</v>
      </c>
      <c r="L2891" t="s">
        <v>12573</v>
      </c>
      <c r="M2891" t="s">
        <v>14743</v>
      </c>
      <c r="N2891" t="s">
        <v>14778</v>
      </c>
      <c r="O2891" t="s">
        <v>14786</v>
      </c>
      <c r="P2891" t="s">
        <v>14801</v>
      </c>
      <c r="Q2891" t="s">
        <v>11448</v>
      </c>
      <c r="S2891" t="s">
        <v>14827</v>
      </c>
      <c r="T2891" t="s">
        <v>14832</v>
      </c>
      <c r="U2891" t="s">
        <v>508</v>
      </c>
      <c r="V2891">
        <v>1599</v>
      </c>
      <c r="W2891" t="s">
        <v>14861</v>
      </c>
      <c r="X2891" t="s">
        <v>14865</v>
      </c>
      <c r="Y2891" t="s">
        <v>14883</v>
      </c>
      <c r="Z2891" t="s">
        <v>17319</v>
      </c>
      <c r="AB2891" t="s">
        <v>22356</v>
      </c>
      <c r="AC2891">
        <v>58</v>
      </c>
      <c r="AD2891" t="s">
        <v>24595</v>
      </c>
      <c r="AE2891" t="s">
        <v>11459</v>
      </c>
      <c r="AF2891">
        <v>18</v>
      </c>
      <c r="AG2891">
        <v>3</v>
      </c>
      <c r="AH2891">
        <v>2</v>
      </c>
      <c r="AI2891">
        <v>111.37</v>
      </c>
      <c r="AL2891" t="s">
        <v>5011</v>
      </c>
      <c r="AM2891">
        <v>33600</v>
      </c>
      <c r="AS2891">
        <v>2</v>
      </c>
      <c r="AT2891" t="s">
        <v>663</v>
      </c>
      <c r="AU2891" t="s">
        <v>292</v>
      </c>
      <c r="AV2891" t="s">
        <v>25335</v>
      </c>
      <c r="AW2891" t="s">
        <v>11447</v>
      </c>
    </row>
    <row r="2892" spans="1:49">
      <c r="A2892" s="1">
        <f>HYPERLINK("https://lsnyc.legalserver.org/matter/dynamic-profile/view/1910601","19-1910601")</f>
        <v>0</v>
      </c>
      <c r="B2892" t="s">
        <v>291</v>
      </c>
      <c r="C2892" t="s">
        <v>644</v>
      </c>
      <c r="D2892" t="s">
        <v>460</v>
      </c>
      <c r="E2892" t="s">
        <v>2520</v>
      </c>
      <c r="F2892" t="s">
        <v>5105</v>
      </c>
      <c r="G2892" t="s">
        <v>8357</v>
      </c>
      <c r="H2892" t="s">
        <v>10598</v>
      </c>
      <c r="I2892" t="s">
        <v>11412</v>
      </c>
      <c r="J2892">
        <v>11101</v>
      </c>
      <c r="K2892" t="s">
        <v>11446</v>
      </c>
      <c r="L2892" t="s">
        <v>12574</v>
      </c>
      <c r="M2892" t="s">
        <v>14744</v>
      </c>
      <c r="N2892" t="s">
        <v>14778</v>
      </c>
      <c r="O2892" t="s">
        <v>14786</v>
      </c>
      <c r="P2892" t="s">
        <v>14801</v>
      </c>
      <c r="Q2892" t="s">
        <v>11448</v>
      </c>
      <c r="S2892" t="s">
        <v>14828</v>
      </c>
      <c r="T2892" t="s">
        <v>14837</v>
      </c>
      <c r="U2892" t="s">
        <v>644</v>
      </c>
      <c r="V2892">
        <v>663</v>
      </c>
      <c r="W2892" t="s">
        <v>14861</v>
      </c>
      <c r="X2892" t="s">
        <v>14865</v>
      </c>
      <c r="Y2892" t="s">
        <v>14883</v>
      </c>
      <c r="Z2892" t="s">
        <v>17320</v>
      </c>
      <c r="AA2892" t="s">
        <v>19585</v>
      </c>
      <c r="AB2892" t="s">
        <v>22357</v>
      </c>
      <c r="AC2892">
        <v>36</v>
      </c>
      <c r="AD2892" t="s">
        <v>24597</v>
      </c>
      <c r="AE2892" t="s">
        <v>11459</v>
      </c>
      <c r="AF2892">
        <v>1</v>
      </c>
      <c r="AG2892">
        <v>1</v>
      </c>
      <c r="AH2892">
        <v>1</v>
      </c>
      <c r="AI2892">
        <v>106.45</v>
      </c>
      <c r="AL2892" t="s">
        <v>5011</v>
      </c>
      <c r="AM2892">
        <v>18000</v>
      </c>
      <c r="AS2892">
        <v>1.5</v>
      </c>
      <c r="AT2892" t="s">
        <v>460</v>
      </c>
      <c r="AU2892" t="s">
        <v>292</v>
      </c>
      <c r="AV2892" t="s">
        <v>25335</v>
      </c>
      <c r="AW2892" t="s">
        <v>11447</v>
      </c>
    </row>
    <row r="2893" spans="1:49">
      <c r="A2893" s="1">
        <f>HYPERLINK("https://lsnyc.legalserver.org/matter/dynamic-profile/view/1910587","19-1910587")</f>
        <v>0</v>
      </c>
      <c r="B2893" t="s">
        <v>291</v>
      </c>
      <c r="C2893" t="s">
        <v>644</v>
      </c>
      <c r="D2893" t="s">
        <v>460</v>
      </c>
      <c r="E2893" t="s">
        <v>2521</v>
      </c>
      <c r="F2893" t="s">
        <v>3845</v>
      </c>
      <c r="G2893" t="s">
        <v>8358</v>
      </c>
      <c r="H2893" t="s">
        <v>10569</v>
      </c>
      <c r="I2893" t="s">
        <v>11391</v>
      </c>
      <c r="J2893">
        <v>11691</v>
      </c>
      <c r="K2893" t="s">
        <v>11446</v>
      </c>
      <c r="L2893" t="s">
        <v>12575</v>
      </c>
      <c r="M2893" t="s">
        <v>14747</v>
      </c>
      <c r="N2893" t="s">
        <v>14778</v>
      </c>
      <c r="O2893" t="s">
        <v>14786</v>
      </c>
      <c r="P2893" t="s">
        <v>14801</v>
      </c>
      <c r="Q2893" t="s">
        <v>11448</v>
      </c>
      <c r="S2893" t="s">
        <v>14828</v>
      </c>
      <c r="T2893" t="s">
        <v>14833</v>
      </c>
      <c r="U2893" t="s">
        <v>644</v>
      </c>
      <c r="V2893">
        <v>168</v>
      </c>
      <c r="W2893" t="s">
        <v>14861</v>
      </c>
      <c r="X2893" t="s">
        <v>14865</v>
      </c>
      <c r="Y2893" t="s">
        <v>14883</v>
      </c>
      <c r="Z2893" t="s">
        <v>17321</v>
      </c>
      <c r="AB2893" t="s">
        <v>22358</v>
      </c>
      <c r="AC2893">
        <v>36</v>
      </c>
      <c r="AD2893" t="s">
        <v>24597</v>
      </c>
      <c r="AE2893" t="s">
        <v>11459</v>
      </c>
      <c r="AF2893">
        <v>12</v>
      </c>
      <c r="AG2893">
        <v>1</v>
      </c>
      <c r="AH2893">
        <v>0</v>
      </c>
      <c r="AI2893">
        <v>135.06</v>
      </c>
      <c r="AL2893" t="s">
        <v>5011</v>
      </c>
      <c r="AM2893">
        <v>16869</v>
      </c>
      <c r="AS2893">
        <v>1.7</v>
      </c>
      <c r="AT2893" t="s">
        <v>460</v>
      </c>
      <c r="AU2893" t="s">
        <v>292</v>
      </c>
      <c r="AV2893" t="s">
        <v>25335</v>
      </c>
      <c r="AW2893" t="s">
        <v>11447</v>
      </c>
    </row>
    <row r="2894" spans="1:49">
      <c r="A2894" s="1">
        <f>HYPERLINK("https://lsnyc.legalserver.org/matter/dynamic-profile/view/1910632","19-1910632")</f>
        <v>0</v>
      </c>
      <c r="B2894" t="s">
        <v>291</v>
      </c>
      <c r="C2894" t="s">
        <v>644</v>
      </c>
      <c r="D2894" t="s">
        <v>460</v>
      </c>
      <c r="E2894" t="s">
        <v>2522</v>
      </c>
      <c r="F2894" t="s">
        <v>3742</v>
      </c>
      <c r="G2894" t="s">
        <v>8359</v>
      </c>
      <c r="H2894" t="s">
        <v>10493</v>
      </c>
      <c r="I2894" t="s">
        <v>11390</v>
      </c>
      <c r="J2894">
        <v>11368</v>
      </c>
      <c r="K2894" t="s">
        <v>11446</v>
      </c>
      <c r="L2894" t="s">
        <v>12576</v>
      </c>
      <c r="M2894" t="s">
        <v>14744</v>
      </c>
      <c r="N2894" t="s">
        <v>14778</v>
      </c>
      <c r="O2894" t="s">
        <v>14786</v>
      </c>
      <c r="P2894" t="s">
        <v>14801</v>
      </c>
      <c r="Q2894" t="s">
        <v>11448</v>
      </c>
      <c r="S2894" t="s">
        <v>14827</v>
      </c>
      <c r="U2894" t="s">
        <v>644</v>
      </c>
      <c r="V2894">
        <v>2550</v>
      </c>
      <c r="W2894" t="s">
        <v>14861</v>
      </c>
      <c r="X2894" t="s">
        <v>14865</v>
      </c>
      <c r="Y2894" t="s">
        <v>14883</v>
      </c>
      <c r="Z2894" t="s">
        <v>17322</v>
      </c>
      <c r="AB2894" t="s">
        <v>22359</v>
      </c>
      <c r="AC2894">
        <v>0</v>
      </c>
      <c r="AD2894" t="s">
        <v>11479</v>
      </c>
      <c r="AE2894" t="s">
        <v>11459</v>
      </c>
      <c r="AF2894">
        <v>1</v>
      </c>
      <c r="AG2894">
        <v>1</v>
      </c>
      <c r="AH2894">
        <v>1</v>
      </c>
      <c r="AI2894">
        <v>147.84</v>
      </c>
      <c r="AL2894" t="s">
        <v>24632</v>
      </c>
      <c r="AM2894">
        <v>25000</v>
      </c>
      <c r="AS2894">
        <v>1.9</v>
      </c>
      <c r="AT2894" t="s">
        <v>460</v>
      </c>
      <c r="AU2894" t="s">
        <v>292</v>
      </c>
      <c r="AV2894" t="s">
        <v>25335</v>
      </c>
      <c r="AW2894" t="s">
        <v>11447</v>
      </c>
    </row>
    <row r="2895" spans="1:49">
      <c r="A2895" s="1">
        <f>HYPERLINK("https://lsnyc.legalserver.org/matter/dynamic-profile/view/1888967","19-1888967")</f>
        <v>0</v>
      </c>
      <c r="B2895" t="s">
        <v>68</v>
      </c>
      <c r="C2895" t="s">
        <v>334</v>
      </c>
      <c r="D2895" t="s">
        <v>460</v>
      </c>
      <c r="E2895" t="s">
        <v>2523</v>
      </c>
      <c r="F2895" t="s">
        <v>5106</v>
      </c>
      <c r="G2895" t="s">
        <v>8360</v>
      </c>
      <c r="H2895" t="s">
        <v>10485</v>
      </c>
      <c r="I2895" t="s">
        <v>11397</v>
      </c>
      <c r="J2895">
        <v>11378</v>
      </c>
      <c r="K2895" t="s">
        <v>11448</v>
      </c>
      <c r="L2895" t="s">
        <v>12577</v>
      </c>
      <c r="M2895" t="s">
        <v>14744</v>
      </c>
      <c r="N2895" t="s">
        <v>14778</v>
      </c>
      <c r="O2895" t="s">
        <v>14786</v>
      </c>
      <c r="P2895" t="s">
        <v>14801</v>
      </c>
      <c r="Q2895" t="s">
        <v>11448</v>
      </c>
      <c r="S2895" t="s">
        <v>14827</v>
      </c>
      <c r="T2895" t="s">
        <v>14832</v>
      </c>
      <c r="V2895">
        <v>1500</v>
      </c>
      <c r="W2895" t="s">
        <v>14861</v>
      </c>
      <c r="X2895" t="s">
        <v>14865</v>
      </c>
      <c r="Y2895" t="s">
        <v>14883</v>
      </c>
      <c r="Z2895" t="s">
        <v>17323</v>
      </c>
      <c r="AB2895" t="s">
        <v>22360</v>
      </c>
      <c r="AC2895">
        <v>26</v>
      </c>
      <c r="AD2895" t="s">
        <v>24595</v>
      </c>
      <c r="AE2895" t="s">
        <v>11459</v>
      </c>
      <c r="AF2895">
        <v>1</v>
      </c>
      <c r="AG2895">
        <v>1</v>
      </c>
      <c r="AH2895">
        <v>0</v>
      </c>
      <c r="AI2895">
        <v>0</v>
      </c>
      <c r="AL2895" t="s">
        <v>5011</v>
      </c>
      <c r="AM2895">
        <v>0</v>
      </c>
      <c r="AS2895">
        <v>0.25</v>
      </c>
      <c r="AT2895" t="s">
        <v>748</v>
      </c>
      <c r="AU2895" t="s">
        <v>25299</v>
      </c>
      <c r="AW2895" t="s">
        <v>11446</v>
      </c>
    </row>
    <row r="2896" spans="1:49">
      <c r="A2896" s="1">
        <f>HYPERLINK("https://lsnyc.legalserver.org/matter/dynamic-profile/view/1887665","19-1887665")</f>
        <v>0</v>
      </c>
      <c r="B2896" t="s">
        <v>202</v>
      </c>
      <c r="C2896" t="s">
        <v>414</v>
      </c>
      <c r="D2896" t="s">
        <v>460</v>
      </c>
      <c r="E2896" t="s">
        <v>2524</v>
      </c>
      <c r="F2896" t="s">
        <v>3755</v>
      </c>
      <c r="G2896" t="s">
        <v>8361</v>
      </c>
      <c r="H2896">
        <v>2</v>
      </c>
      <c r="I2896" t="s">
        <v>11404</v>
      </c>
      <c r="J2896">
        <v>11103</v>
      </c>
      <c r="K2896" t="s">
        <v>11446</v>
      </c>
      <c r="L2896" t="s">
        <v>12578</v>
      </c>
      <c r="M2896" t="s">
        <v>14744</v>
      </c>
      <c r="N2896" t="s">
        <v>14781</v>
      </c>
      <c r="O2896" t="s">
        <v>14788</v>
      </c>
      <c r="P2896" t="s">
        <v>14801</v>
      </c>
      <c r="Q2896" t="s">
        <v>11448</v>
      </c>
      <c r="S2896" t="s">
        <v>14827</v>
      </c>
      <c r="T2896" t="s">
        <v>14832</v>
      </c>
      <c r="V2896">
        <v>1265</v>
      </c>
      <c r="W2896" t="s">
        <v>14861</v>
      </c>
      <c r="X2896" t="s">
        <v>14865</v>
      </c>
      <c r="Y2896" t="s">
        <v>14887</v>
      </c>
      <c r="Z2896" t="s">
        <v>17324</v>
      </c>
      <c r="AA2896" t="s">
        <v>11459</v>
      </c>
      <c r="AB2896" t="s">
        <v>22361</v>
      </c>
      <c r="AC2896">
        <v>12</v>
      </c>
      <c r="AD2896" t="s">
        <v>24595</v>
      </c>
      <c r="AE2896" t="s">
        <v>11459</v>
      </c>
      <c r="AF2896">
        <v>7</v>
      </c>
      <c r="AG2896">
        <v>1</v>
      </c>
      <c r="AH2896">
        <v>0</v>
      </c>
      <c r="AI2896">
        <v>0</v>
      </c>
      <c r="AL2896" t="s">
        <v>5011</v>
      </c>
      <c r="AM2896">
        <v>0</v>
      </c>
      <c r="AO2896" t="s">
        <v>24932</v>
      </c>
      <c r="AP2896" t="s">
        <v>24959</v>
      </c>
      <c r="AQ2896" t="s">
        <v>24986</v>
      </c>
      <c r="AR2896" t="s">
        <v>25061</v>
      </c>
      <c r="AS2896">
        <v>38.25</v>
      </c>
      <c r="AT2896" t="s">
        <v>593</v>
      </c>
      <c r="AU2896" t="s">
        <v>99</v>
      </c>
      <c r="AV2896" t="s">
        <v>25335</v>
      </c>
      <c r="AW2896" t="s">
        <v>11447</v>
      </c>
    </row>
    <row r="2897" spans="1:49">
      <c r="A2897" s="1">
        <f>HYPERLINK("https://lsnyc.legalserver.org/matter/dynamic-profile/view/1889570","19-1889570")</f>
        <v>0</v>
      </c>
      <c r="B2897" t="s">
        <v>68</v>
      </c>
      <c r="C2897" t="s">
        <v>424</v>
      </c>
      <c r="D2897" t="s">
        <v>460</v>
      </c>
      <c r="E2897" t="s">
        <v>2525</v>
      </c>
      <c r="F2897" t="s">
        <v>3716</v>
      </c>
      <c r="G2897" t="s">
        <v>8362</v>
      </c>
      <c r="H2897" t="s">
        <v>10648</v>
      </c>
      <c r="I2897" t="s">
        <v>11398</v>
      </c>
      <c r="J2897">
        <v>11693</v>
      </c>
      <c r="K2897" t="s">
        <v>11448</v>
      </c>
      <c r="L2897" t="s">
        <v>12579</v>
      </c>
      <c r="M2897" t="s">
        <v>14746</v>
      </c>
      <c r="N2897" t="s">
        <v>14778</v>
      </c>
      <c r="O2897" t="s">
        <v>14786</v>
      </c>
      <c r="P2897" t="s">
        <v>14801</v>
      </c>
      <c r="Q2897" t="s">
        <v>11448</v>
      </c>
      <c r="S2897" t="s">
        <v>14827</v>
      </c>
      <c r="T2897" t="s">
        <v>14832</v>
      </c>
      <c r="V2897">
        <v>286</v>
      </c>
      <c r="W2897" t="s">
        <v>14861</v>
      </c>
      <c r="X2897" t="s">
        <v>14865</v>
      </c>
      <c r="Y2897" t="s">
        <v>14883</v>
      </c>
      <c r="Z2897" t="s">
        <v>17325</v>
      </c>
      <c r="AB2897" t="s">
        <v>22362</v>
      </c>
      <c r="AC2897">
        <v>2</v>
      </c>
      <c r="AD2897" t="s">
        <v>24600</v>
      </c>
      <c r="AE2897" t="s">
        <v>24610</v>
      </c>
      <c r="AF2897">
        <v>7</v>
      </c>
      <c r="AG2897">
        <v>2</v>
      </c>
      <c r="AH2897">
        <v>0</v>
      </c>
      <c r="AI2897">
        <v>52.94</v>
      </c>
      <c r="AL2897" t="s">
        <v>24632</v>
      </c>
      <c r="AM2897">
        <v>8952</v>
      </c>
      <c r="AS2897">
        <v>0.25</v>
      </c>
      <c r="AT2897" t="s">
        <v>748</v>
      </c>
      <c r="AU2897" t="s">
        <v>25299</v>
      </c>
      <c r="AW2897" t="s">
        <v>11446</v>
      </c>
    </row>
    <row r="2898" spans="1:49">
      <c r="A2898" s="1">
        <f>HYPERLINK("https://lsnyc.legalserver.org/matter/dynamic-profile/view/1887411","19-1887411")</f>
        <v>0</v>
      </c>
      <c r="B2898" t="s">
        <v>225</v>
      </c>
      <c r="C2898" t="s">
        <v>789</v>
      </c>
      <c r="D2898" t="s">
        <v>460</v>
      </c>
      <c r="E2898" t="s">
        <v>2315</v>
      </c>
      <c r="F2898" t="s">
        <v>5107</v>
      </c>
      <c r="G2898" t="s">
        <v>8363</v>
      </c>
      <c r="H2898" t="s">
        <v>10638</v>
      </c>
      <c r="I2898" t="s">
        <v>6196</v>
      </c>
      <c r="J2898">
        <v>11423</v>
      </c>
      <c r="K2898" t="s">
        <v>11448</v>
      </c>
      <c r="L2898" t="s">
        <v>12580</v>
      </c>
      <c r="M2898" t="s">
        <v>14744</v>
      </c>
      <c r="N2898" t="s">
        <v>14778</v>
      </c>
      <c r="O2898" t="s">
        <v>14786</v>
      </c>
      <c r="P2898" t="s">
        <v>14801</v>
      </c>
      <c r="Q2898" t="s">
        <v>11448</v>
      </c>
      <c r="S2898" t="s">
        <v>14827</v>
      </c>
      <c r="T2898" t="s">
        <v>14832</v>
      </c>
      <c r="V2898">
        <v>1575</v>
      </c>
      <c r="W2898" t="s">
        <v>14861</v>
      </c>
      <c r="X2898" t="s">
        <v>14865</v>
      </c>
      <c r="Y2898" t="s">
        <v>14883</v>
      </c>
      <c r="Z2898" t="s">
        <v>17326</v>
      </c>
      <c r="AA2898" t="s">
        <v>19586</v>
      </c>
      <c r="AB2898" t="s">
        <v>22363</v>
      </c>
      <c r="AC2898">
        <v>66</v>
      </c>
      <c r="AD2898" t="s">
        <v>24595</v>
      </c>
      <c r="AE2898" t="s">
        <v>11459</v>
      </c>
      <c r="AF2898">
        <v>3</v>
      </c>
      <c r="AG2898">
        <v>1</v>
      </c>
      <c r="AH2898">
        <v>0</v>
      </c>
      <c r="AI2898">
        <v>148.27</v>
      </c>
      <c r="AL2898" t="s">
        <v>5011</v>
      </c>
      <c r="AM2898">
        <v>18000</v>
      </c>
      <c r="AS2898">
        <v>2.05</v>
      </c>
      <c r="AT2898" t="s">
        <v>460</v>
      </c>
      <c r="AU2898" t="s">
        <v>292</v>
      </c>
      <c r="AW2898" t="s">
        <v>11446</v>
      </c>
    </row>
    <row r="2899" spans="1:49">
      <c r="A2899" s="1">
        <f>HYPERLINK("https://lsnyc.legalserver.org/matter/dynamic-profile/view/1848956","17-1848956")</f>
        <v>0</v>
      </c>
      <c r="B2899" t="s">
        <v>99</v>
      </c>
      <c r="C2899" t="s">
        <v>790</v>
      </c>
      <c r="D2899" t="s">
        <v>460</v>
      </c>
      <c r="E2899" t="s">
        <v>1999</v>
      </c>
      <c r="F2899" t="s">
        <v>5108</v>
      </c>
      <c r="G2899" t="s">
        <v>8364</v>
      </c>
      <c r="H2899" t="s">
        <v>10646</v>
      </c>
      <c r="I2899" t="s">
        <v>11409</v>
      </c>
      <c r="J2899">
        <v>11377</v>
      </c>
      <c r="K2899" t="s">
        <v>11447</v>
      </c>
      <c r="L2899" t="s">
        <v>12581</v>
      </c>
      <c r="M2899" t="s">
        <v>14747</v>
      </c>
      <c r="N2899" t="s">
        <v>14778</v>
      </c>
      <c r="O2899" t="s">
        <v>14786</v>
      </c>
      <c r="P2899" t="s">
        <v>14801</v>
      </c>
      <c r="Q2899" t="s">
        <v>11448</v>
      </c>
      <c r="S2899" t="s">
        <v>14827</v>
      </c>
      <c r="V2899">
        <v>900</v>
      </c>
      <c r="W2899" t="s">
        <v>14861</v>
      </c>
      <c r="X2899" t="s">
        <v>14877</v>
      </c>
      <c r="Y2899" t="s">
        <v>14883</v>
      </c>
      <c r="Z2899" t="s">
        <v>17327</v>
      </c>
      <c r="AB2899" t="s">
        <v>22364</v>
      </c>
      <c r="AC2899">
        <v>2</v>
      </c>
      <c r="AD2899" t="s">
        <v>24600</v>
      </c>
      <c r="AE2899" t="s">
        <v>11459</v>
      </c>
      <c r="AF2899">
        <v>1</v>
      </c>
      <c r="AG2899">
        <v>2</v>
      </c>
      <c r="AH2899">
        <v>0</v>
      </c>
      <c r="AI2899">
        <v>184.73</v>
      </c>
      <c r="AM2899">
        <v>30000</v>
      </c>
      <c r="AS2899">
        <v>0.75</v>
      </c>
      <c r="AT2899" t="s">
        <v>837</v>
      </c>
      <c r="AU2899" t="s">
        <v>99</v>
      </c>
      <c r="AW2899" t="s">
        <v>11447</v>
      </c>
    </row>
    <row r="2900" spans="1:49">
      <c r="A2900" s="1">
        <f>HYPERLINK("https://lsnyc.legalserver.org/matter/dynamic-profile/view/1911191","19-1911191")</f>
        <v>0</v>
      </c>
      <c r="B2900" t="s">
        <v>83</v>
      </c>
      <c r="C2900" t="s">
        <v>475</v>
      </c>
      <c r="D2900" t="s">
        <v>467</v>
      </c>
      <c r="E2900" t="s">
        <v>1495</v>
      </c>
      <c r="F2900" t="s">
        <v>5109</v>
      </c>
      <c r="G2900" t="s">
        <v>8365</v>
      </c>
      <c r="H2900" t="s">
        <v>10476</v>
      </c>
      <c r="I2900" t="s">
        <v>11404</v>
      </c>
      <c r="J2900">
        <v>11102</v>
      </c>
      <c r="K2900" t="s">
        <v>11446</v>
      </c>
      <c r="L2900" t="s">
        <v>12582</v>
      </c>
      <c r="M2900" t="s">
        <v>14743</v>
      </c>
      <c r="N2900" t="s">
        <v>14778</v>
      </c>
      <c r="O2900" t="s">
        <v>14786</v>
      </c>
      <c r="P2900" t="s">
        <v>14801</v>
      </c>
      <c r="Q2900" t="s">
        <v>11448</v>
      </c>
      <c r="S2900" t="s">
        <v>14828</v>
      </c>
      <c r="T2900" t="s">
        <v>14834</v>
      </c>
      <c r="U2900" t="s">
        <v>467</v>
      </c>
      <c r="V2900">
        <v>326</v>
      </c>
      <c r="W2900" t="s">
        <v>14861</v>
      </c>
      <c r="X2900" t="s">
        <v>14865</v>
      </c>
      <c r="Y2900" t="s">
        <v>14883</v>
      </c>
      <c r="Z2900" t="s">
        <v>16092</v>
      </c>
      <c r="AB2900" t="s">
        <v>22365</v>
      </c>
      <c r="AC2900">
        <v>48</v>
      </c>
      <c r="AD2900" t="s">
        <v>24597</v>
      </c>
      <c r="AE2900" t="s">
        <v>11459</v>
      </c>
      <c r="AF2900">
        <v>63</v>
      </c>
      <c r="AG2900">
        <v>1</v>
      </c>
      <c r="AH2900">
        <v>0</v>
      </c>
      <c r="AI2900">
        <v>110.01</v>
      </c>
      <c r="AL2900" t="s">
        <v>5011</v>
      </c>
      <c r="AM2900">
        <v>13740</v>
      </c>
      <c r="AS2900">
        <v>1.98</v>
      </c>
      <c r="AT2900" t="s">
        <v>467</v>
      </c>
      <c r="AU2900" t="s">
        <v>25233</v>
      </c>
      <c r="AV2900" t="s">
        <v>25335</v>
      </c>
      <c r="AW2900" t="s">
        <v>11447</v>
      </c>
    </row>
    <row r="2901" spans="1:49">
      <c r="A2901" s="1">
        <f>HYPERLINK("https://lsnyc.legalserver.org/matter/dynamic-profile/view/1912347","19-1912347")</f>
        <v>0</v>
      </c>
      <c r="B2901" t="s">
        <v>99</v>
      </c>
      <c r="C2901" t="s">
        <v>473</v>
      </c>
      <c r="D2901" t="s">
        <v>473</v>
      </c>
      <c r="E2901" t="s">
        <v>2526</v>
      </c>
      <c r="F2901" t="s">
        <v>3575</v>
      </c>
      <c r="G2901" t="s">
        <v>8366</v>
      </c>
      <c r="H2901" t="s">
        <v>10448</v>
      </c>
      <c r="I2901" t="s">
        <v>11412</v>
      </c>
      <c r="J2901">
        <v>11101</v>
      </c>
      <c r="K2901" t="s">
        <v>11448</v>
      </c>
      <c r="L2901" t="s">
        <v>11465</v>
      </c>
      <c r="M2901" t="s">
        <v>14744</v>
      </c>
      <c r="N2901" t="s">
        <v>14778</v>
      </c>
      <c r="O2901" t="s">
        <v>14786</v>
      </c>
      <c r="P2901" t="s">
        <v>14801</v>
      </c>
      <c r="S2901" t="s">
        <v>14827</v>
      </c>
      <c r="V2901">
        <v>306</v>
      </c>
      <c r="W2901" t="s">
        <v>14861</v>
      </c>
      <c r="X2901" t="s">
        <v>14864</v>
      </c>
      <c r="Y2901" t="s">
        <v>14883</v>
      </c>
      <c r="Z2901" t="s">
        <v>17328</v>
      </c>
      <c r="AB2901" t="s">
        <v>22366</v>
      </c>
      <c r="AC2901">
        <v>30</v>
      </c>
      <c r="AD2901" t="s">
        <v>24597</v>
      </c>
      <c r="AE2901" t="s">
        <v>11459</v>
      </c>
      <c r="AF2901">
        <v>23</v>
      </c>
      <c r="AG2901">
        <v>1</v>
      </c>
      <c r="AH2901">
        <v>0</v>
      </c>
      <c r="AI2901">
        <v>91.37</v>
      </c>
      <c r="AL2901" t="s">
        <v>5011</v>
      </c>
      <c r="AM2901">
        <v>11412</v>
      </c>
      <c r="AS2901">
        <v>1.5</v>
      </c>
      <c r="AT2901" t="s">
        <v>473</v>
      </c>
      <c r="AU2901" t="s">
        <v>99</v>
      </c>
      <c r="AW2901" t="s">
        <v>11447</v>
      </c>
    </row>
    <row r="2902" spans="1:49">
      <c r="A2902" s="1">
        <f>HYPERLINK("https://lsnyc.legalserver.org/matter/dynamic-profile/view/1912942","19-1912942")</f>
        <v>0</v>
      </c>
      <c r="B2902" t="s">
        <v>292</v>
      </c>
      <c r="C2902" t="s">
        <v>574</v>
      </c>
      <c r="D2902" t="s">
        <v>574</v>
      </c>
      <c r="E2902" t="s">
        <v>2527</v>
      </c>
      <c r="F2902" t="s">
        <v>5110</v>
      </c>
      <c r="G2902" t="s">
        <v>8367</v>
      </c>
      <c r="H2902" t="s">
        <v>10646</v>
      </c>
      <c r="I2902" t="s">
        <v>11425</v>
      </c>
      <c r="J2902">
        <v>11411</v>
      </c>
      <c r="K2902" t="s">
        <v>11446</v>
      </c>
      <c r="L2902" t="s">
        <v>12583</v>
      </c>
      <c r="M2902" t="s">
        <v>14743</v>
      </c>
      <c r="N2902" t="s">
        <v>14778</v>
      </c>
      <c r="O2902" t="s">
        <v>14786</v>
      </c>
      <c r="P2902" t="s">
        <v>14801</v>
      </c>
      <c r="Q2902" t="s">
        <v>11448</v>
      </c>
      <c r="S2902" t="s">
        <v>14827</v>
      </c>
      <c r="U2902" t="s">
        <v>574</v>
      </c>
      <c r="V2902">
        <v>1515</v>
      </c>
      <c r="W2902" t="s">
        <v>14861</v>
      </c>
      <c r="X2902" t="s">
        <v>14865</v>
      </c>
      <c r="Y2902" t="s">
        <v>14883</v>
      </c>
      <c r="Z2902" t="s">
        <v>17329</v>
      </c>
      <c r="AA2902" t="s">
        <v>19587</v>
      </c>
      <c r="AB2902" t="s">
        <v>22367</v>
      </c>
      <c r="AC2902">
        <v>2</v>
      </c>
      <c r="AD2902" t="s">
        <v>11479</v>
      </c>
      <c r="AE2902" t="s">
        <v>24616</v>
      </c>
      <c r="AF2902">
        <v>3</v>
      </c>
      <c r="AG2902">
        <v>1</v>
      </c>
      <c r="AH2902">
        <v>0</v>
      </c>
      <c r="AI2902">
        <v>40.38</v>
      </c>
      <c r="AL2902" t="s">
        <v>5011</v>
      </c>
      <c r="AM2902">
        <v>5044</v>
      </c>
      <c r="AS2902">
        <v>1.5</v>
      </c>
      <c r="AT2902" t="s">
        <v>574</v>
      </c>
      <c r="AU2902" t="s">
        <v>292</v>
      </c>
      <c r="AV2902" t="s">
        <v>25335</v>
      </c>
      <c r="AW2902" t="s">
        <v>11447</v>
      </c>
    </row>
    <row r="2903" spans="1:49">
      <c r="A2903" s="1">
        <f>HYPERLINK("https://lsnyc.legalserver.org/matter/dynamic-profile/view/1910055","19-1910055")</f>
        <v>0</v>
      </c>
      <c r="B2903" t="s">
        <v>59</v>
      </c>
      <c r="C2903" t="s">
        <v>471</v>
      </c>
      <c r="D2903" t="s">
        <v>603</v>
      </c>
      <c r="E2903" t="s">
        <v>1982</v>
      </c>
      <c r="F2903" t="s">
        <v>2538</v>
      </c>
      <c r="G2903" t="s">
        <v>8368</v>
      </c>
      <c r="I2903" t="s">
        <v>11421</v>
      </c>
      <c r="J2903">
        <v>11429</v>
      </c>
      <c r="K2903" t="s">
        <v>11446</v>
      </c>
      <c r="L2903" t="s">
        <v>12584</v>
      </c>
      <c r="M2903" t="s">
        <v>14764</v>
      </c>
      <c r="N2903" t="s">
        <v>14778</v>
      </c>
      <c r="O2903" t="s">
        <v>14786</v>
      </c>
      <c r="P2903" t="s">
        <v>14801</v>
      </c>
      <c r="Q2903" t="s">
        <v>11448</v>
      </c>
      <c r="S2903" t="s">
        <v>14827</v>
      </c>
      <c r="T2903" t="s">
        <v>14832</v>
      </c>
      <c r="U2903" t="s">
        <v>471</v>
      </c>
      <c r="V2903">
        <v>3500</v>
      </c>
      <c r="W2903" t="s">
        <v>14861</v>
      </c>
      <c r="X2903" t="s">
        <v>14865</v>
      </c>
      <c r="Y2903" t="s">
        <v>14883</v>
      </c>
      <c r="Z2903" t="s">
        <v>17330</v>
      </c>
      <c r="AA2903" t="s">
        <v>11459</v>
      </c>
      <c r="AB2903" t="s">
        <v>19344</v>
      </c>
      <c r="AC2903">
        <v>1</v>
      </c>
      <c r="AD2903" t="s">
        <v>24600</v>
      </c>
      <c r="AE2903" t="s">
        <v>11459</v>
      </c>
      <c r="AF2903">
        <v>-1</v>
      </c>
      <c r="AG2903">
        <v>1</v>
      </c>
      <c r="AH2903">
        <v>0</v>
      </c>
      <c r="AI2903">
        <v>0</v>
      </c>
      <c r="AL2903" t="s">
        <v>24647</v>
      </c>
      <c r="AM2903">
        <v>0</v>
      </c>
      <c r="AS2903">
        <v>1.7</v>
      </c>
      <c r="AT2903" t="s">
        <v>574</v>
      </c>
      <c r="AU2903" t="s">
        <v>292</v>
      </c>
      <c r="AV2903" t="s">
        <v>25335</v>
      </c>
      <c r="AW2903" t="s">
        <v>11447</v>
      </c>
    </row>
    <row r="2904" spans="1:49">
      <c r="A2904" s="1">
        <f>HYPERLINK("https://lsnyc.legalserver.org/matter/dynamic-profile/view/1904541","19-1904541")</f>
        <v>0</v>
      </c>
      <c r="B2904" t="s">
        <v>202</v>
      </c>
      <c r="C2904" t="s">
        <v>493</v>
      </c>
      <c r="D2904" t="s">
        <v>483</v>
      </c>
      <c r="E2904" t="s">
        <v>2528</v>
      </c>
      <c r="F2904" t="s">
        <v>5111</v>
      </c>
      <c r="G2904" t="s">
        <v>8369</v>
      </c>
      <c r="H2904" t="s">
        <v>11072</v>
      </c>
      <c r="I2904" t="s">
        <v>11404</v>
      </c>
      <c r="J2904">
        <v>11102</v>
      </c>
      <c r="K2904" t="s">
        <v>11446</v>
      </c>
      <c r="L2904" t="s">
        <v>12585</v>
      </c>
      <c r="M2904" t="s">
        <v>14744</v>
      </c>
      <c r="N2904" t="s">
        <v>14778</v>
      </c>
      <c r="O2904" t="s">
        <v>14786</v>
      </c>
      <c r="P2904" t="s">
        <v>14801</v>
      </c>
      <c r="Q2904" t="s">
        <v>11448</v>
      </c>
      <c r="S2904" t="s">
        <v>14827</v>
      </c>
      <c r="T2904" t="s">
        <v>14834</v>
      </c>
      <c r="U2904" t="s">
        <v>493</v>
      </c>
      <c r="V2904">
        <v>1244</v>
      </c>
      <c r="W2904" t="s">
        <v>14861</v>
      </c>
      <c r="X2904" t="s">
        <v>14865</v>
      </c>
      <c r="Y2904" t="s">
        <v>14883</v>
      </c>
      <c r="Z2904" t="s">
        <v>17331</v>
      </c>
      <c r="AA2904" t="s">
        <v>11459</v>
      </c>
      <c r="AB2904" t="s">
        <v>22368</v>
      </c>
      <c r="AC2904">
        <v>80</v>
      </c>
      <c r="AD2904" t="s">
        <v>11479</v>
      </c>
      <c r="AE2904" t="s">
        <v>11459</v>
      </c>
      <c r="AF2904">
        <v>5</v>
      </c>
      <c r="AG2904">
        <v>3</v>
      </c>
      <c r="AH2904">
        <v>0</v>
      </c>
      <c r="AI2904">
        <v>127.99</v>
      </c>
      <c r="AL2904" t="s">
        <v>24659</v>
      </c>
      <c r="AM2904">
        <v>27300</v>
      </c>
      <c r="AS2904">
        <v>1.8</v>
      </c>
      <c r="AT2904" t="s">
        <v>483</v>
      </c>
      <c r="AU2904" t="s">
        <v>292</v>
      </c>
      <c r="AV2904" t="s">
        <v>25335</v>
      </c>
      <c r="AW2904" t="s">
        <v>11447</v>
      </c>
    </row>
    <row r="2905" spans="1:49">
      <c r="A2905" s="1">
        <f>HYPERLINK("https://lsnyc.legalserver.org/matter/dynamic-profile/view/1905341","19-1905341")</f>
        <v>0</v>
      </c>
      <c r="B2905" t="s">
        <v>202</v>
      </c>
      <c r="C2905" t="s">
        <v>619</v>
      </c>
      <c r="D2905" t="s">
        <v>483</v>
      </c>
      <c r="E2905" t="s">
        <v>1247</v>
      </c>
      <c r="F2905" t="s">
        <v>5112</v>
      </c>
      <c r="G2905" t="s">
        <v>8370</v>
      </c>
      <c r="H2905">
        <v>2</v>
      </c>
      <c r="I2905" t="s">
        <v>11421</v>
      </c>
      <c r="J2905">
        <v>11429</v>
      </c>
      <c r="K2905" t="s">
        <v>11446</v>
      </c>
      <c r="L2905" t="s">
        <v>12586</v>
      </c>
      <c r="M2905" t="s">
        <v>14744</v>
      </c>
      <c r="N2905" t="s">
        <v>14778</v>
      </c>
      <c r="O2905" t="s">
        <v>14786</v>
      </c>
      <c r="P2905" t="s">
        <v>14801</v>
      </c>
      <c r="Q2905" t="s">
        <v>11448</v>
      </c>
      <c r="S2905" t="s">
        <v>14827</v>
      </c>
      <c r="T2905" t="s">
        <v>14832</v>
      </c>
      <c r="U2905" t="s">
        <v>619</v>
      </c>
      <c r="V2905">
        <v>1500</v>
      </c>
      <c r="W2905" t="s">
        <v>14861</v>
      </c>
      <c r="X2905" t="s">
        <v>14865</v>
      </c>
      <c r="Y2905" t="s">
        <v>14883</v>
      </c>
      <c r="Z2905" t="s">
        <v>17332</v>
      </c>
      <c r="AA2905" t="s">
        <v>19588</v>
      </c>
      <c r="AB2905" t="s">
        <v>22369</v>
      </c>
      <c r="AC2905">
        <v>2</v>
      </c>
      <c r="AD2905" t="s">
        <v>24600</v>
      </c>
      <c r="AE2905" t="s">
        <v>11459</v>
      </c>
      <c r="AF2905">
        <v>4</v>
      </c>
      <c r="AG2905">
        <v>3</v>
      </c>
      <c r="AH2905">
        <v>3</v>
      </c>
      <c r="AI2905">
        <v>37.66</v>
      </c>
      <c r="AM2905">
        <v>13025</v>
      </c>
      <c r="AS2905">
        <v>2.03</v>
      </c>
      <c r="AT2905" t="s">
        <v>483</v>
      </c>
      <c r="AU2905" t="s">
        <v>25233</v>
      </c>
      <c r="AV2905" t="s">
        <v>25335</v>
      </c>
      <c r="AW2905" t="s">
        <v>11447</v>
      </c>
    </row>
    <row r="2906" spans="1:49">
      <c r="A2906" s="1">
        <f>HYPERLINK("https://lsnyc.legalserver.org/matter/dynamic-profile/view/1906218","19-1906218")</f>
        <v>0</v>
      </c>
      <c r="B2906" t="s">
        <v>202</v>
      </c>
      <c r="C2906" t="s">
        <v>553</v>
      </c>
      <c r="D2906" t="s">
        <v>483</v>
      </c>
      <c r="E2906" t="s">
        <v>1439</v>
      </c>
      <c r="F2906" t="s">
        <v>5113</v>
      </c>
      <c r="G2906" t="s">
        <v>8371</v>
      </c>
      <c r="H2906" t="s">
        <v>10486</v>
      </c>
      <c r="I2906" t="s">
        <v>11404</v>
      </c>
      <c r="J2906">
        <v>11102</v>
      </c>
      <c r="K2906" t="s">
        <v>11446</v>
      </c>
      <c r="L2906" t="s">
        <v>12587</v>
      </c>
      <c r="M2906" t="s">
        <v>14744</v>
      </c>
      <c r="N2906" t="s">
        <v>14778</v>
      </c>
      <c r="O2906" t="s">
        <v>14786</v>
      </c>
      <c r="P2906" t="s">
        <v>14801</v>
      </c>
      <c r="Q2906" t="s">
        <v>11448</v>
      </c>
      <c r="S2906" t="s">
        <v>14827</v>
      </c>
      <c r="T2906" t="s">
        <v>14832</v>
      </c>
      <c r="U2906" t="s">
        <v>553</v>
      </c>
      <c r="V2906">
        <v>2100</v>
      </c>
      <c r="W2906" t="s">
        <v>14861</v>
      </c>
      <c r="X2906" t="s">
        <v>14865</v>
      </c>
      <c r="Y2906" t="s">
        <v>14883</v>
      </c>
      <c r="Z2906" t="s">
        <v>17333</v>
      </c>
      <c r="AA2906" t="s">
        <v>19589</v>
      </c>
      <c r="AB2906" t="s">
        <v>22370</v>
      </c>
      <c r="AC2906">
        <v>4</v>
      </c>
      <c r="AD2906" t="s">
        <v>24600</v>
      </c>
      <c r="AE2906" t="s">
        <v>11459</v>
      </c>
      <c r="AF2906">
        <v>1</v>
      </c>
      <c r="AG2906">
        <v>3</v>
      </c>
      <c r="AH2906">
        <v>0</v>
      </c>
      <c r="AI2906">
        <v>29.54</v>
      </c>
      <c r="AL2906" t="s">
        <v>5011</v>
      </c>
      <c r="AM2906">
        <v>6300</v>
      </c>
      <c r="AS2906">
        <v>1.8</v>
      </c>
      <c r="AT2906" t="s">
        <v>483</v>
      </c>
      <c r="AU2906" t="s">
        <v>25233</v>
      </c>
      <c r="AV2906" t="s">
        <v>25335</v>
      </c>
      <c r="AW2906" t="s">
        <v>11447</v>
      </c>
    </row>
    <row r="2907" spans="1:49">
      <c r="A2907" s="1">
        <f>HYPERLINK("https://lsnyc.legalserver.org/matter/dynamic-profile/view/1907246","19-1907246")</f>
        <v>0</v>
      </c>
      <c r="B2907" t="s">
        <v>202</v>
      </c>
      <c r="C2907" t="s">
        <v>366</v>
      </c>
      <c r="D2907" t="s">
        <v>483</v>
      </c>
      <c r="E2907" t="s">
        <v>1104</v>
      </c>
      <c r="F2907" t="s">
        <v>4777</v>
      </c>
      <c r="G2907" t="s">
        <v>8372</v>
      </c>
      <c r="H2907" t="s">
        <v>10610</v>
      </c>
      <c r="I2907" t="s">
        <v>11405</v>
      </c>
      <c r="J2907">
        <v>11417</v>
      </c>
      <c r="K2907" t="s">
        <v>11446</v>
      </c>
      <c r="L2907" t="s">
        <v>12588</v>
      </c>
      <c r="M2907" t="s">
        <v>14743</v>
      </c>
      <c r="N2907" t="s">
        <v>14778</v>
      </c>
      <c r="O2907" t="s">
        <v>14786</v>
      </c>
      <c r="P2907" t="s">
        <v>14801</v>
      </c>
      <c r="Q2907" t="s">
        <v>11448</v>
      </c>
      <c r="S2907" t="s">
        <v>14827</v>
      </c>
      <c r="T2907" t="s">
        <v>14832</v>
      </c>
      <c r="U2907" t="s">
        <v>366</v>
      </c>
      <c r="V2907">
        <v>800</v>
      </c>
      <c r="W2907" t="s">
        <v>14861</v>
      </c>
      <c r="X2907" t="s">
        <v>14865</v>
      </c>
      <c r="Y2907" t="s">
        <v>14883</v>
      </c>
      <c r="Z2907" t="s">
        <v>15451</v>
      </c>
      <c r="AA2907" t="s">
        <v>19590</v>
      </c>
      <c r="AB2907" t="s">
        <v>22371</v>
      </c>
      <c r="AC2907">
        <v>3</v>
      </c>
      <c r="AD2907" t="s">
        <v>11479</v>
      </c>
      <c r="AE2907" t="s">
        <v>11459</v>
      </c>
      <c r="AF2907">
        <v>-1</v>
      </c>
      <c r="AG2907">
        <v>1</v>
      </c>
      <c r="AH2907">
        <v>0</v>
      </c>
      <c r="AI2907">
        <v>116.99</v>
      </c>
      <c r="AL2907" t="s">
        <v>5011</v>
      </c>
      <c r="AM2907">
        <v>14612</v>
      </c>
      <c r="AS2907">
        <v>1.4</v>
      </c>
      <c r="AT2907" t="s">
        <v>483</v>
      </c>
      <c r="AU2907" t="s">
        <v>292</v>
      </c>
      <c r="AV2907" t="s">
        <v>25335</v>
      </c>
      <c r="AW2907" t="s">
        <v>11447</v>
      </c>
    </row>
    <row r="2908" spans="1:49">
      <c r="A2908" s="1">
        <f>HYPERLINK("https://lsnyc.legalserver.org/matter/dynamic-profile/view/1907281","19-1907281")</f>
        <v>0</v>
      </c>
      <c r="B2908" t="s">
        <v>202</v>
      </c>
      <c r="C2908" t="s">
        <v>366</v>
      </c>
      <c r="D2908" t="s">
        <v>483</v>
      </c>
      <c r="E2908" t="s">
        <v>1512</v>
      </c>
      <c r="F2908" t="s">
        <v>4904</v>
      </c>
      <c r="G2908" t="s">
        <v>8373</v>
      </c>
      <c r="H2908" t="s">
        <v>10705</v>
      </c>
      <c r="I2908" t="s">
        <v>11418</v>
      </c>
      <c r="J2908">
        <v>11412</v>
      </c>
      <c r="K2908" t="s">
        <v>11446</v>
      </c>
      <c r="L2908" t="s">
        <v>12589</v>
      </c>
      <c r="M2908" t="s">
        <v>14743</v>
      </c>
      <c r="N2908" t="s">
        <v>14778</v>
      </c>
      <c r="O2908" t="s">
        <v>14786</v>
      </c>
      <c r="P2908" t="s">
        <v>14801</v>
      </c>
      <c r="Q2908" t="s">
        <v>11448</v>
      </c>
      <c r="S2908" t="s">
        <v>14827</v>
      </c>
      <c r="T2908" t="s">
        <v>14832</v>
      </c>
      <c r="U2908" t="s">
        <v>366</v>
      </c>
      <c r="V2908">
        <v>700</v>
      </c>
      <c r="W2908" t="s">
        <v>14861</v>
      </c>
      <c r="X2908" t="s">
        <v>14865</v>
      </c>
      <c r="Y2908" t="s">
        <v>14883</v>
      </c>
      <c r="Z2908" t="s">
        <v>16954</v>
      </c>
      <c r="AA2908" t="s">
        <v>11459</v>
      </c>
      <c r="AB2908" t="s">
        <v>22372</v>
      </c>
      <c r="AC2908">
        <v>2</v>
      </c>
      <c r="AD2908" t="s">
        <v>24600</v>
      </c>
      <c r="AE2908" t="s">
        <v>11459</v>
      </c>
      <c r="AF2908">
        <v>1</v>
      </c>
      <c r="AG2908">
        <v>1</v>
      </c>
      <c r="AH2908">
        <v>0</v>
      </c>
      <c r="AI2908">
        <v>184.15</v>
      </c>
      <c r="AL2908" t="s">
        <v>5011</v>
      </c>
      <c r="AM2908">
        <v>23000</v>
      </c>
      <c r="AS2908">
        <v>3.8</v>
      </c>
      <c r="AT2908" t="s">
        <v>483</v>
      </c>
      <c r="AU2908" t="s">
        <v>292</v>
      </c>
      <c r="AV2908" t="s">
        <v>25335</v>
      </c>
      <c r="AW2908" t="s">
        <v>11447</v>
      </c>
    </row>
    <row r="2909" spans="1:49">
      <c r="A2909" s="1">
        <f>HYPERLINK("https://lsnyc.legalserver.org/matter/dynamic-profile/view/1909056","19-1909056")</f>
        <v>0</v>
      </c>
      <c r="B2909" t="s">
        <v>202</v>
      </c>
      <c r="C2909" t="s">
        <v>641</v>
      </c>
      <c r="D2909" t="s">
        <v>580</v>
      </c>
      <c r="E2909" t="s">
        <v>2529</v>
      </c>
      <c r="F2909" t="s">
        <v>4754</v>
      </c>
      <c r="G2909" t="s">
        <v>8374</v>
      </c>
      <c r="H2909" t="s">
        <v>10559</v>
      </c>
      <c r="I2909" t="s">
        <v>11389</v>
      </c>
      <c r="J2909">
        <v>11355</v>
      </c>
      <c r="K2909" t="s">
        <v>11446</v>
      </c>
      <c r="L2909" t="s">
        <v>11474</v>
      </c>
      <c r="M2909" t="s">
        <v>11601</v>
      </c>
      <c r="N2909" t="s">
        <v>14778</v>
      </c>
      <c r="O2909" t="s">
        <v>14786</v>
      </c>
      <c r="P2909" t="s">
        <v>14801</v>
      </c>
      <c r="Q2909" t="s">
        <v>11448</v>
      </c>
      <c r="S2909" t="s">
        <v>14827</v>
      </c>
      <c r="T2909" t="s">
        <v>14832</v>
      </c>
      <c r="U2909" t="s">
        <v>641</v>
      </c>
      <c r="V2909">
        <v>2131.5</v>
      </c>
      <c r="W2909" t="s">
        <v>14861</v>
      </c>
      <c r="X2909" t="s">
        <v>14877</v>
      </c>
      <c r="Y2909" t="s">
        <v>14883</v>
      </c>
      <c r="Z2909" t="s">
        <v>17334</v>
      </c>
      <c r="AA2909" t="s">
        <v>11459</v>
      </c>
      <c r="AB2909" t="s">
        <v>22373</v>
      </c>
      <c r="AC2909">
        <v>126</v>
      </c>
      <c r="AD2909" t="s">
        <v>24595</v>
      </c>
      <c r="AE2909" t="s">
        <v>11459</v>
      </c>
      <c r="AF2909">
        <v>10</v>
      </c>
      <c r="AG2909">
        <v>1</v>
      </c>
      <c r="AH2909">
        <v>0</v>
      </c>
      <c r="AI2909">
        <v>61.49</v>
      </c>
      <c r="AL2909" t="s">
        <v>24633</v>
      </c>
      <c r="AM2909">
        <v>7680</v>
      </c>
      <c r="AS2909">
        <v>1</v>
      </c>
      <c r="AT2909" t="s">
        <v>641</v>
      </c>
      <c r="AU2909" t="s">
        <v>202</v>
      </c>
      <c r="AV2909" t="s">
        <v>25335</v>
      </c>
      <c r="AW2909" t="s">
        <v>11447</v>
      </c>
    </row>
    <row r="2910" spans="1:49">
      <c r="A2910" s="1">
        <f>HYPERLINK("https://lsnyc.legalserver.org/matter/dynamic-profile/view/1909012","19-1909012")</f>
        <v>0</v>
      </c>
      <c r="B2910" t="s">
        <v>202</v>
      </c>
      <c r="C2910" t="s">
        <v>641</v>
      </c>
      <c r="D2910" t="s">
        <v>539</v>
      </c>
      <c r="E2910" t="s">
        <v>2530</v>
      </c>
      <c r="F2910" t="s">
        <v>4150</v>
      </c>
      <c r="G2910" t="s">
        <v>8375</v>
      </c>
      <c r="H2910" t="s">
        <v>10665</v>
      </c>
      <c r="I2910" t="s">
        <v>11389</v>
      </c>
      <c r="J2910">
        <v>11355</v>
      </c>
      <c r="K2910" t="s">
        <v>11446</v>
      </c>
      <c r="L2910" t="s">
        <v>12590</v>
      </c>
      <c r="M2910" t="s">
        <v>11601</v>
      </c>
      <c r="N2910" t="s">
        <v>14778</v>
      </c>
      <c r="O2910" t="s">
        <v>14786</v>
      </c>
      <c r="P2910" t="s">
        <v>14801</v>
      </c>
      <c r="Q2910" t="s">
        <v>11448</v>
      </c>
      <c r="S2910" t="s">
        <v>14827</v>
      </c>
      <c r="T2910" t="s">
        <v>14832</v>
      </c>
      <c r="U2910" t="s">
        <v>641</v>
      </c>
      <c r="V2910">
        <v>1800</v>
      </c>
      <c r="W2910" t="s">
        <v>14861</v>
      </c>
      <c r="X2910" t="s">
        <v>14877</v>
      </c>
      <c r="Y2910" t="s">
        <v>14883</v>
      </c>
      <c r="Z2910" t="s">
        <v>17335</v>
      </c>
      <c r="AA2910" t="s">
        <v>11459</v>
      </c>
      <c r="AB2910" t="s">
        <v>22374</v>
      </c>
      <c r="AC2910">
        <v>142</v>
      </c>
      <c r="AD2910" t="s">
        <v>24595</v>
      </c>
      <c r="AE2910" t="s">
        <v>11459</v>
      </c>
      <c r="AF2910">
        <v>17</v>
      </c>
      <c r="AG2910">
        <v>1</v>
      </c>
      <c r="AH2910">
        <v>0</v>
      </c>
      <c r="AI2910">
        <v>80.06</v>
      </c>
      <c r="AL2910" t="s">
        <v>24633</v>
      </c>
      <c r="AM2910">
        <v>10000</v>
      </c>
      <c r="AS2910">
        <v>10.4</v>
      </c>
      <c r="AT2910" t="s">
        <v>539</v>
      </c>
      <c r="AU2910" t="s">
        <v>202</v>
      </c>
      <c r="AV2910" t="s">
        <v>25335</v>
      </c>
      <c r="AW2910" t="s">
        <v>11447</v>
      </c>
    </row>
    <row r="2911" spans="1:49">
      <c r="A2911" s="1">
        <f>HYPERLINK("https://lsnyc.legalserver.org/matter/dynamic-profile/view/1892265","19-1892265")</f>
        <v>0</v>
      </c>
      <c r="B2911" t="s">
        <v>225</v>
      </c>
      <c r="C2911" t="s">
        <v>594</v>
      </c>
      <c r="D2911" t="s">
        <v>539</v>
      </c>
      <c r="E2911" t="s">
        <v>2531</v>
      </c>
      <c r="F2911" t="s">
        <v>5114</v>
      </c>
      <c r="G2911" t="s">
        <v>8376</v>
      </c>
      <c r="H2911" t="s">
        <v>11073</v>
      </c>
      <c r="I2911" t="s">
        <v>11392</v>
      </c>
      <c r="J2911">
        <v>11372</v>
      </c>
      <c r="K2911" t="s">
        <v>11446</v>
      </c>
      <c r="L2911" t="s">
        <v>12591</v>
      </c>
      <c r="M2911" t="s">
        <v>14743</v>
      </c>
      <c r="N2911" t="s">
        <v>14781</v>
      </c>
      <c r="O2911" t="s">
        <v>14788</v>
      </c>
      <c r="P2911" t="s">
        <v>14801</v>
      </c>
      <c r="S2911" t="s">
        <v>14827</v>
      </c>
      <c r="U2911" t="s">
        <v>539</v>
      </c>
      <c r="V2911">
        <v>1450</v>
      </c>
      <c r="W2911" t="s">
        <v>14861</v>
      </c>
      <c r="X2911" t="s">
        <v>14865</v>
      </c>
      <c r="Y2911" t="s">
        <v>14887</v>
      </c>
      <c r="Z2911" t="s">
        <v>17336</v>
      </c>
      <c r="AB2911" t="s">
        <v>22375</v>
      </c>
      <c r="AC2911">
        <v>0</v>
      </c>
      <c r="AF2911">
        <v>15</v>
      </c>
      <c r="AG2911">
        <v>2</v>
      </c>
      <c r="AH2911">
        <v>0</v>
      </c>
      <c r="AI2911">
        <v>38.32</v>
      </c>
      <c r="AL2911" t="s">
        <v>5011</v>
      </c>
      <c r="AM2911">
        <v>6480</v>
      </c>
      <c r="AS2911">
        <v>60.2</v>
      </c>
      <c r="AT2911" t="s">
        <v>539</v>
      </c>
      <c r="AU2911" t="s">
        <v>25310</v>
      </c>
      <c r="AV2911" t="s">
        <v>25335</v>
      </c>
      <c r="AW2911" t="s">
        <v>11447</v>
      </c>
    </row>
    <row r="2912" spans="1:49">
      <c r="A2912" s="1">
        <f>HYPERLINK("https://lsnyc.legalserver.org/matter/dynamic-profile/view/1912714","19-1912714")</f>
        <v>0</v>
      </c>
      <c r="B2912" t="s">
        <v>293</v>
      </c>
      <c r="C2912" t="s">
        <v>578</v>
      </c>
      <c r="D2912" t="s">
        <v>506</v>
      </c>
      <c r="E2912" t="s">
        <v>2532</v>
      </c>
      <c r="F2912" t="s">
        <v>5115</v>
      </c>
      <c r="G2912" t="s">
        <v>8377</v>
      </c>
      <c r="H2912" t="s">
        <v>10541</v>
      </c>
      <c r="I2912" t="s">
        <v>11404</v>
      </c>
      <c r="J2912">
        <v>11106</v>
      </c>
      <c r="K2912" t="s">
        <v>11446</v>
      </c>
      <c r="L2912" t="s">
        <v>12592</v>
      </c>
      <c r="M2912" t="s">
        <v>14744</v>
      </c>
      <c r="N2912" t="s">
        <v>14781</v>
      </c>
      <c r="O2912" t="s">
        <v>14788</v>
      </c>
      <c r="P2912" t="s">
        <v>14801</v>
      </c>
      <c r="Q2912" t="s">
        <v>11448</v>
      </c>
      <c r="S2912" t="s">
        <v>14828</v>
      </c>
      <c r="T2912" t="s">
        <v>14834</v>
      </c>
      <c r="U2912" t="s">
        <v>506</v>
      </c>
      <c r="V2912">
        <v>250</v>
      </c>
      <c r="W2912" t="s">
        <v>14861</v>
      </c>
      <c r="X2912" t="s">
        <v>14865</v>
      </c>
      <c r="Y2912" t="s">
        <v>14894</v>
      </c>
      <c r="Z2912" t="s">
        <v>17337</v>
      </c>
      <c r="AB2912" t="s">
        <v>22376</v>
      </c>
      <c r="AC2912">
        <v>16</v>
      </c>
      <c r="AD2912" t="s">
        <v>24602</v>
      </c>
      <c r="AE2912" t="s">
        <v>11459</v>
      </c>
      <c r="AF2912">
        <v>1</v>
      </c>
      <c r="AG2912">
        <v>2</v>
      </c>
      <c r="AH2912">
        <v>1</v>
      </c>
      <c r="AI2912">
        <v>8.720000000000001</v>
      </c>
      <c r="AL2912" t="s">
        <v>5011</v>
      </c>
      <c r="AM2912">
        <v>1860</v>
      </c>
      <c r="AP2912" t="s">
        <v>24942</v>
      </c>
      <c r="AQ2912" t="s">
        <v>24986</v>
      </c>
      <c r="AR2912" t="s">
        <v>25045</v>
      </c>
      <c r="AS2912">
        <v>6.18</v>
      </c>
      <c r="AT2912" t="s">
        <v>506</v>
      </c>
      <c r="AU2912" t="s">
        <v>25233</v>
      </c>
      <c r="AV2912" t="s">
        <v>25335</v>
      </c>
      <c r="AW2912" t="s">
        <v>11447</v>
      </c>
    </row>
    <row r="2913" spans="1:49">
      <c r="A2913" s="1">
        <f>HYPERLINK("https://lsnyc.legalserver.org/matter/dynamic-profile/view/1912922","19-1912922")</f>
        <v>0</v>
      </c>
      <c r="B2913" t="s">
        <v>122</v>
      </c>
      <c r="C2913" t="s">
        <v>574</v>
      </c>
      <c r="D2913" t="s">
        <v>478</v>
      </c>
      <c r="E2913" t="s">
        <v>2533</v>
      </c>
      <c r="F2913" t="s">
        <v>3969</v>
      </c>
      <c r="G2913" t="s">
        <v>8378</v>
      </c>
      <c r="I2913" t="s">
        <v>11425</v>
      </c>
      <c r="J2913">
        <v>11411</v>
      </c>
      <c r="K2913" t="s">
        <v>11446</v>
      </c>
      <c r="L2913" t="s">
        <v>12593</v>
      </c>
      <c r="M2913" t="s">
        <v>14744</v>
      </c>
      <c r="N2913" t="s">
        <v>14778</v>
      </c>
      <c r="O2913" t="s">
        <v>14786</v>
      </c>
      <c r="P2913" t="s">
        <v>14801</v>
      </c>
      <c r="Q2913" t="s">
        <v>11448</v>
      </c>
      <c r="S2913" t="s">
        <v>14827</v>
      </c>
      <c r="T2913" t="s">
        <v>14832</v>
      </c>
      <c r="U2913" t="s">
        <v>574</v>
      </c>
      <c r="V2913">
        <v>1800</v>
      </c>
      <c r="W2913" t="s">
        <v>14861</v>
      </c>
      <c r="X2913" t="s">
        <v>14865</v>
      </c>
      <c r="Y2913" t="s">
        <v>14883</v>
      </c>
      <c r="Z2913" t="s">
        <v>17338</v>
      </c>
      <c r="AA2913" t="s">
        <v>11465</v>
      </c>
      <c r="AB2913" t="s">
        <v>22377</v>
      </c>
      <c r="AC2913">
        <v>2</v>
      </c>
      <c r="AD2913" t="s">
        <v>24600</v>
      </c>
      <c r="AE2913" t="s">
        <v>11459</v>
      </c>
      <c r="AF2913">
        <v>1</v>
      </c>
      <c r="AG2913">
        <v>1</v>
      </c>
      <c r="AH2913">
        <v>2</v>
      </c>
      <c r="AI2913">
        <v>0</v>
      </c>
      <c r="AM2913">
        <v>0</v>
      </c>
      <c r="AS2913">
        <v>2</v>
      </c>
      <c r="AT2913" t="s">
        <v>478</v>
      </c>
      <c r="AU2913" t="s">
        <v>99</v>
      </c>
      <c r="AV2913" t="s">
        <v>25335</v>
      </c>
      <c r="AW2913" t="s">
        <v>11447</v>
      </c>
    </row>
    <row r="2914" spans="1:49">
      <c r="A2914" s="1">
        <f>HYPERLINK("https://lsnyc.legalserver.org/matter/dynamic-profile/view/1913369","19-1913369")</f>
        <v>0</v>
      </c>
      <c r="B2914" t="s">
        <v>202</v>
      </c>
      <c r="C2914" t="s">
        <v>483</v>
      </c>
      <c r="D2914" t="s">
        <v>478</v>
      </c>
      <c r="E2914" t="s">
        <v>2534</v>
      </c>
      <c r="F2914" t="s">
        <v>1048</v>
      </c>
      <c r="G2914" t="s">
        <v>8379</v>
      </c>
      <c r="I2914" t="s">
        <v>11387</v>
      </c>
      <c r="J2914">
        <v>11432</v>
      </c>
      <c r="K2914" t="s">
        <v>11446</v>
      </c>
      <c r="L2914" t="s">
        <v>12594</v>
      </c>
      <c r="M2914" t="s">
        <v>14743</v>
      </c>
      <c r="N2914" t="s">
        <v>14778</v>
      </c>
      <c r="O2914" t="s">
        <v>14786</v>
      </c>
      <c r="P2914" t="s">
        <v>14801</v>
      </c>
      <c r="Q2914" t="s">
        <v>11448</v>
      </c>
      <c r="S2914" t="s">
        <v>14827</v>
      </c>
      <c r="T2914" t="s">
        <v>14834</v>
      </c>
      <c r="U2914" t="s">
        <v>483</v>
      </c>
      <c r="V2914">
        <v>400</v>
      </c>
      <c r="W2914" t="s">
        <v>14861</v>
      </c>
      <c r="X2914" t="s">
        <v>14865</v>
      </c>
      <c r="Y2914" t="s">
        <v>14883</v>
      </c>
      <c r="Z2914" t="s">
        <v>17339</v>
      </c>
      <c r="AA2914" t="s">
        <v>11465</v>
      </c>
      <c r="AB2914" t="s">
        <v>22378</v>
      </c>
      <c r="AC2914">
        <v>6</v>
      </c>
      <c r="AD2914" t="s">
        <v>24600</v>
      </c>
      <c r="AE2914" t="s">
        <v>11459</v>
      </c>
      <c r="AF2914">
        <v>2</v>
      </c>
      <c r="AG2914">
        <v>1</v>
      </c>
      <c r="AH2914">
        <v>2</v>
      </c>
      <c r="AI2914">
        <v>133.11</v>
      </c>
      <c r="AL2914" t="s">
        <v>5011</v>
      </c>
      <c r="AM2914">
        <v>28392</v>
      </c>
      <c r="AS2914">
        <v>1.7</v>
      </c>
      <c r="AT2914" t="s">
        <v>478</v>
      </c>
      <c r="AU2914" t="s">
        <v>99</v>
      </c>
      <c r="AV2914" t="s">
        <v>25335</v>
      </c>
      <c r="AW2914" t="s">
        <v>11447</v>
      </c>
    </row>
    <row r="2915" spans="1:49">
      <c r="A2915" s="1">
        <f>HYPERLINK("https://lsnyc.legalserver.org/matter/dynamic-profile/view/1914419","19-1914419")</f>
        <v>0</v>
      </c>
      <c r="B2915" t="s">
        <v>202</v>
      </c>
      <c r="C2915" t="s">
        <v>506</v>
      </c>
      <c r="D2915" t="s">
        <v>478</v>
      </c>
      <c r="E2915" t="s">
        <v>1258</v>
      </c>
      <c r="F2915" t="s">
        <v>5116</v>
      </c>
      <c r="G2915" t="s">
        <v>8380</v>
      </c>
      <c r="H2915" t="s">
        <v>10689</v>
      </c>
      <c r="I2915" t="s">
        <v>11408</v>
      </c>
      <c r="J2915">
        <v>11101</v>
      </c>
      <c r="K2915" t="s">
        <v>11446</v>
      </c>
      <c r="L2915" t="s">
        <v>12595</v>
      </c>
      <c r="M2915" t="s">
        <v>14743</v>
      </c>
      <c r="N2915" t="s">
        <v>14778</v>
      </c>
      <c r="O2915" t="s">
        <v>14786</v>
      </c>
      <c r="P2915" t="s">
        <v>14801</v>
      </c>
      <c r="Q2915" t="s">
        <v>11448</v>
      </c>
      <c r="S2915" t="s">
        <v>14827</v>
      </c>
      <c r="T2915" t="s">
        <v>14832</v>
      </c>
      <c r="U2915" t="s">
        <v>506</v>
      </c>
      <c r="V2915">
        <v>1034</v>
      </c>
      <c r="W2915" t="s">
        <v>14861</v>
      </c>
      <c r="X2915" t="s">
        <v>14865</v>
      </c>
      <c r="Y2915" t="s">
        <v>14883</v>
      </c>
      <c r="Z2915" t="s">
        <v>16698</v>
      </c>
      <c r="AA2915" t="s">
        <v>19591</v>
      </c>
      <c r="AB2915" t="s">
        <v>22379</v>
      </c>
      <c r="AC2915">
        <v>60</v>
      </c>
      <c r="AD2915" t="s">
        <v>24595</v>
      </c>
      <c r="AE2915" t="s">
        <v>11459</v>
      </c>
      <c r="AF2915">
        <v>22</v>
      </c>
      <c r="AG2915">
        <v>1</v>
      </c>
      <c r="AH2915">
        <v>0</v>
      </c>
      <c r="AI2915">
        <v>76.77</v>
      </c>
      <c r="AL2915" t="s">
        <v>24632</v>
      </c>
      <c r="AM2915">
        <v>9588</v>
      </c>
      <c r="AS2915">
        <v>1.3</v>
      </c>
      <c r="AT2915" t="s">
        <v>478</v>
      </c>
      <c r="AU2915" t="s">
        <v>99</v>
      </c>
      <c r="AV2915" t="s">
        <v>25334</v>
      </c>
      <c r="AW2915" t="s">
        <v>11447</v>
      </c>
    </row>
    <row r="2916" spans="1:49">
      <c r="A2916" s="1">
        <f>HYPERLINK("https://lsnyc.legalserver.org/matter/dynamic-profile/view/1908346","19-1908346")</f>
        <v>0</v>
      </c>
      <c r="B2916" t="s">
        <v>209</v>
      </c>
      <c r="C2916" t="s">
        <v>464</v>
      </c>
      <c r="D2916" t="s">
        <v>491</v>
      </c>
      <c r="E2916" t="s">
        <v>1251</v>
      </c>
      <c r="F2916" t="s">
        <v>5117</v>
      </c>
      <c r="G2916" t="s">
        <v>8381</v>
      </c>
      <c r="H2916" t="s">
        <v>10486</v>
      </c>
      <c r="I2916" t="s">
        <v>11405</v>
      </c>
      <c r="J2916">
        <v>11417</v>
      </c>
      <c r="K2916" t="s">
        <v>11446</v>
      </c>
      <c r="L2916" t="s">
        <v>12596</v>
      </c>
      <c r="M2916" t="s">
        <v>14743</v>
      </c>
      <c r="N2916" t="s">
        <v>14778</v>
      </c>
      <c r="O2916" t="s">
        <v>14786</v>
      </c>
      <c r="P2916" t="s">
        <v>14801</v>
      </c>
      <c r="Q2916" t="s">
        <v>11448</v>
      </c>
      <c r="S2916" t="s">
        <v>14827</v>
      </c>
      <c r="U2916" t="s">
        <v>375</v>
      </c>
      <c r="V2916">
        <v>2150</v>
      </c>
      <c r="W2916" t="s">
        <v>14861</v>
      </c>
      <c r="X2916" t="s">
        <v>14865</v>
      </c>
      <c r="Y2916" t="s">
        <v>14883</v>
      </c>
      <c r="Z2916" t="s">
        <v>17340</v>
      </c>
      <c r="AA2916" t="s">
        <v>19592</v>
      </c>
      <c r="AC2916">
        <v>2</v>
      </c>
      <c r="AD2916" t="s">
        <v>24600</v>
      </c>
      <c r="AF2916">
        <v>0</v>
      </c>
      <c r="AG2916">
        <v>1</v>
      </c>
      <c r="AH2916">
        <v>1</v>
      </c>
      <c r="AI2916">
        <v>0</v>
      </c>
      <c r="AL2916" t="s">
        <v>5011</v>
      </c>
      <c r="AM2916">
        <v>0</v>
      </c>
      <c r="AS2916">
        <v>0.7</v>
      </c>
      <c r="AT2916" t="s">
        <v>601</v>
      </c>
      <c r="AU2916" t="s">
        <v>25233</v>
      </c>
      <c r="AV2916" t="s">
        <v>25335</v>
      </c>
      <c r="AW2916" t="s">
        <v>11447</v>
      </c>
    </row>
    <row r="2917" spans="1:49">
      <c r="A2917" s="1">
        <f>HYPERLINK("https://lsnyc.legalserver.org/matter/dynamic-profile/view/1910463","19-1910463")</f>
        <v>0</v>
      </c>
      <c r="B2917" t="s">
        <v>59</v>
      </c>
      <c r="C2917" t="s">
        <v>508</v>
      </c>
      <c r="D2917" t="s">
        <v>491</v>
      </c>
      <c r="E2917" t="s">
        <v>1066</v>
      </c>
      <c r="F2917" t="s">
        <v>5118</v>
      </c>
      <c r="G2917" t="s">
        <v>8382</v>
      </c>
      <c r="H2917" t="s">
        <v>10954</v>
      </c>
      <c r="I2917" t="s">
        <v>11389</v>
      </c>
      <c r="J2917">
        <v>11367</v>
      </c>
      <c r="K2917" t="s">
        <v>11446</v>
      </c>
      <c r="L2917" t="s">
        <v>12597</v>
      </c>
      <c r="M2917" t="s">
        <v>14743</v>
      </c>
      <c r="N2917" t="s">
        <v>14778</v>
      </c>
      <c r="O2917" t="s">
        <v>14786</v>
      </c>
      <c r="P2917" t="s">
        <v>14801</v>
      </c>
      <c r="Q2917" t="s">
        <v>11448</v>
      </c>
      <c r="S2917" t="s">
        <v>14827</v>
      </c>
      <c r="T2917" t="s">
        <v>14832</v>
      </c>
      <c r="U2917" t="s">
        <v>508</v>
      </c>
      <c r="V2917">
        <v>238</v>
      </c>
      <c r="W2917" t="s">
        <v>14861</v>
      </c>
      <c r="X2917" t="s">
        <v>14865</v>
      </c>
      <c r="Y2917" t="s">
        <v>14883</v>
      </c>
      <c r="Z2917" t="s">
        <v>17341</v>
      </c>
      <c r="AA2917" t="s">
        <v>11459</v>
      </c>
      <c r="AB2917" t="s">
        <v>22380</v>
      </c>
      <c r="AC2917">
        <v>28</v>
      </c>
      <c r="AD2917" t="s">
        <v>24597</v>
      </c>
      <c r="AE2917" t="s">
        <v>11459</v>
      </c>
      <c r="AF2917">
        <v>2</v>
      </c>
      <c r="AG2917">
        <v>1</v>
      </c>
      <c r="AH2917">
        <v>0</v>
      </c>
      <c r="AI2917">
        <v>116.57</v>
      </c>
      <c r="AL2917" t="s">
        <v>5011</v>
      </c>
      <c r="AM2917">
        <v>14560</v>
      </c>
      <c r="AS2917">
        <v>2.1</v>
      </c>
      <c r="AT2917" t="s">
        <v>478</v>
      </c>
      <c r="AU2917" t="s">
        <v>292</v>
      </c>
      <c r="AV2917" t="s">
        <v>25335</v>
      </c>
      <c r="AW2917" t="s">
        <v>11447</v>
      </c>
    </row>
    <row r="2918" spans="1:49">
      <c r="A2918" s="1">
        <f>HYPERLINK("https://lsnyc.legalserver.org/matter/dynamic-profile/view/1911124","19-1911124")</f>
        <v>0</v>
      </c>
      <c r="B2918" t="s">
        <v>291</v>
      </c>
      <c r="C2918" t="s">
        <v>475</v>
      </c>
      <c r="D2918" t="s">
        <v>592</v>
      </c>
      <c r="E2918" t="s">
        <v>1715</v>
      </c>
      <c r="F2918" t="s">
        <v>5119</v>
      </c>
      <c r="G2918" t="s">
        <v>8383</v>
      </c>
      <c r="H2918">
        <v>2</v>
      </c>
      <c r="I2918" t="s">
        <v>11417</v>
      </c>
      <c r="J2918">
        <v>11693</v>
      </c>
      <c r="K2918" t="s">
        <v>11446</v>
      </c>
      <c r="L2918" t="s">
        <v>12598</v>
      </c>
      <c r="M2918" t="s">
        <v>14743</v>
      </c>
      <c r="N2918" t="s">
        <v>14781</v>
      </c>
      <c r="O2918" t="s">
        <v>14789</v>
      </c>
      <c r="P2918" t="s">
        <v>14801</v>
      </c>
      <c r="Q2918" t="s">
        <v>11448</v>
      </c>
      <c r="S2918" t="s">
        <v>14827</v>
      </c>
      <c r="U2918" t="s">
        <v>475</v>
      </c>
      <c r="V2918">
        <v>2500</v>
      </c>
      <c r="W2918" t="s">
        <v>14861</v>
      </c>
      <c r="X2918" t="s">
        <v>14865</v>
      </c>
      <c r="Y2918" t="s">
        <v>14887</v>
      </c>
      <c r="Z2918" t="s">
        <v>17342</v>
      </c>
      <c r="AA2918" t="s">
        <v>19593</v>
      </c>
      <c r="AB2918" t="s">
        <v>22381</v>
      </c>
      <c r="AC2918">
        <v>4</v>
      </c>
      <c r="AD2918" t="s">
        <v>11479</v>
      </c>
      <c r="AE2918" t="s">
        <v>11459</v>
      </c>
      <c r="AF2918">
        <v>1</v>
      </c>
      <c r="AG2918">
        <v>1</v>
      </c>
      <c r="AH2918">
        <v>3</v>
      </c>
      <c r="AI2918">
        <v>41.01</v>
      </c>
      <c r="AL2918" t="s">
        <v>5011</v>
      </c>
      <c r="AM2918">
        <v>10560</v>
      </c>
      <c r="AS2918">
        <v>14.05</v>
      </c>
      <c r="AT2918" t="s">
        <v>537</v>
      </c>
      <c r="AU2918" t="s">
        <v>292</v>
      </c>
      <c r="AV2918" t="s">
        <v>25335</v>
      </c>
      <c r="AW2918" t="s">
        <v>11447</v>
      </c>
    </row>
    <row r="2919" spans="1:49">
      <c r="A2919" s="1">
        <f>HYPERLINK("https://lsnyc.legalserver.org/matter/dynamic-profile/view/1913386","19-1913386")</f>
        <v>0</v>
      </c>
      <c r="B2919" t="s">
        <v>68</v>
      </c>
      <c r="C2919" t="s">
        <v>483</v>
      </c>
      <c r="D2919" t="s">
        <v>537</v>
      </c>
      <c r="E2919" t="s">
        <v>2535</v>
      </c>
      <c r="F2919" t="s">
        <v>5120</v>
      </c>
      <c r="G2919" t="s">
        <v>8384</v>
      </c>
      <c r="I2919" t="s">
        <v>11424</v>
      </c>
      <c r="J2919">
        <v>11372</v>
      </c>
      <c r="K2919" t="s">
        <v>11446</v>
      </c>
      <c r="L2919" t="s">
        <v>12599</v>
      </c>
      <c r="M2919" t="s">
        <v>14743</v>
      </c>
      <c r="N2919" t="s">
        <v>14778</v>
      </c>
      <c r="O2919" t="s">
        <v>14786</v>
      </c>
      <c r="P2919" t="s">
        <v>14801</v>
      </c>
      <c r="S2919" t="s">
        <v>14827</v>
      </c>
      <c r="U2919" t="s">
        <v>537</v>
      </c>
      <c r="V2919">
        <v>808</v>
      </c>
      <c r="W2919" t="s">
        <v>14861</v>
      </c>
      <c r="X2919" t="s">
        <v>14865</v>
      </c>
      <c r="Y2919" t="s">
        <v>14883</v>
      </c>
      <c r="Z2919" t="s">
        <v>17343</v>
      </c>
      <c r="AB2919" t="s">
        <v>22382</v>
      </c>
      <c r="AC2919">
        <v>50</v>
      </c>
      <c r="AD2919" t="s">
        <v>24595</v>
      </c>
      <c r="AE2919" t="s">
        <v>11459</v>
      </c>
      <c r="AF2919">
        <v>5</v>
      </c>
      <c r="AG2919">
        <v>1</v>
      </c>
      <c r="AH2919">
        <v>0</v>
      </c>
      <c r="AI2919">
        <v>82.05</v>
      </c>
      <c r="AM2919">
        <v>10248</v>
      </c>
      <c r="AS2919">
        <v>3.05</v>
      </c>
      <c r="AT2919" t="s">
        <v>521</v>
      </c>
      <c r="AU2919" t="s">
        <v>99</v>
      </c>
      <c r="AV2919" t="s">
        <v>25334</v>
      </c>
      <c r="AW2919" t="s">
        <v>11447</v>
      </c>
    </row>
    <row r="2920" spans="1:49">
      <c r="A2920" s="1">
        <f>HYPERLINK("https://lsnyc.legalserver.org/matter/dynamic-profile/view/1914457","19-1914457")</f>
        <v>0</v>
      </c>
      <c r="B2920" t="s">
        <v>99</v>
      </c>
      <c r="C2920" t="s">
        <v>506</v>
      </c>
      <c r="D2920" t="s">
        <v>521</v>
      </c>
      <c r="E2920" t="s">
        <v>2536</v>
      </c>
      <c r="F2920" t="s">
        <v>2002</v>
      </c>
      <c r="G2920" t="s">
        <v>8385</v>
      </c>
      <c r="H2920" t="s">
        <v>10527</v>
      </c>
      <c r="I2920" t="s">
        <v>11424</v>
      </c>
      <c r="J2920">
        <v>11372</v>
      </c>
      <c r="K2920" t="s">
        <v>11446</v>
      </c>
      <c r="L2920" t="s">
        <v>12600</v>
      </c>
      <c r="M2920" t="s">
        <v>14744</v>
      </c>
      <c r="N2920" t="s">
        <v>14778</v>
      </c>
      <c r="O2920" t="s">
        <v>14786</v>
      </c>
      <c r="P2920" t="s">
        <v>14801</v>
      </c>
      <c r="Q2920" t="s">
        <v>11448</v>
      </c>
      <c r="S2920" t="s">
        <v>14827</v>
      </c>
      <c r="T2920" t="s">
        <v>14834</v>
      </c>
      <c r="U2920" t="s">
        <v>521</v>
      </c>
      <c r="V2920">
        <v>1575</v>
      </c>
      <c r="W2920" t="s">
        <v>14861</v>
      </c>
      <c r="X2920" t="s">
        <v>14865</v>
      </c>
      <c r="Y2920" t="s">
        <v>14883</v>
      </c>
      <c r="Z2920" t="s">
        <v>17344</v>
      </c>
      <c r="AB2920" t="s">
        <v>22383</v>
      </c>
      <c r="AC2920">
        <v>46</v>
      </c>
      <c r="AE2920" t="s">
        <v>11459</v>
      </c>
      <c r="AF2920">
        <v>3</v>
      </c>
      <c r="AG2920">
        <v>1</v>
      </c>
      <c r="AH2920">
        <v>0</v>
      </c>
      <c r="AI2920">
        <v>99.92</v>
      </c>
      <c r="AM2920">
        <v>12480</v>
      </c>
      <c r="AS2920">
        <v>0.9</v>
      </c>
      <c r="AT2920" t="s">
        <v>521</v>
      </c>
      <c r="AU2920" t="s">
        <v>99</v>
      </c>
      <c r="AV2920" t="s">
        <v>25335</v>
      </c>
      <c r="AW2920" t="s">
        <v>11447</v>
      </c>
    </row>
    <row r="2921" spans="1:49">
      <c r="A2921" s="1">
        <f>HYPERLINK("https://lsnyc.legalserver.org/matter/dynamic-profile/view/1904048","19-1904048")</f>
        <v>0</v>
      </c>
      <c r="B2921" t="s">
        <v>271</v>
      </c>
      <c r="C2921" t="s">
        <v>338</v>
      </c>
      <c r="E2921" t="s">
        <v>1347</v>
      </c>
      <c r="F2921" t="s">
        <v>3848</v>
      </c>
      <c r="G2921" t="s">
        <v>6542</v>
      </c>
      <c r="H2921">
        <v>11</v>
      </c>
      <c r="I2921" t="s">
        <v>11387</v>
      </c>
      <c r="J2921">
        <v>11435</v>
      </c>
      <c r="K2921" t="s">
        <v>11446</v>
      </c>
      <c r="L2921" t="s">
        <v>12601</v>
      </c>
      <c r="M2921" t="s">
        <v>14744</v>
      </c>
      <c r="N2921" t="s">
        <v>14781</v>
      </c>
      <c r="P2921" t="s">
        <v>14801</v>
      </c>
      <c r="Q2921" t="s">
        <v>11448</v>
      </c>
      <c r="S2921" t="s">
        <v>14827</v>
      </c>
      <c r="T2921" t="s">
        <v>14832</v>
      </c>
      <c r="U2921" t="s">
        <v>621</v>
      </c>
      <c r="V2921">
        <v>802</v>
      </c>
      <c r="W2921" t="s">
        <v>14861</v>
      </c>
      <c r="X2921" t="s">
        <v>14865</v>
      </c>
      <c r="Z2921" t="s">
        <v>17345</v>
      </c>
      <c r="AB2921" t="s">
        <v>22384</v>
      </c>
      <c r="AC2921">
        <v>24</v>
      </c>
      <c r="AD2921" t="s">
        <v>24595</v>
      </c>
      <c r="AE2921" t="s">
        <v>11459</v>
      </c>
      <c r="AF2921">
        <v>35</v>
      </c>
      <c r="AG2921">
        <v>1</v>
      </c>
      <c r="AH2921">
        <v>0</v>
      </c>
      <c r="AI2921">
        <v>0</v>
      </c>
      <c r="AL2921" t="s">
        <v>5011</v>
      </c>
      <c r="AM2921">
        <v>0</v>
      </c>
      <c r="AS2921">
        <v>81.09999999999999</v>
      </c>
      <c r="AT2921" t="s">
        <v>509</v>
      </c>
      <c r="AU2921" t="s">
        <v>271</v>
      </c>
      <c r="AV2921" t="s">
        <v>25335</v>
      </c>
      <c r="AW2921" t="s">
        <v>11447</v>
      </c>
    </row>
    <row r="2922" spans="1:49">
      <c r="A2922" s="1">
        <f>HYPERLINK("https://lsnyc.legalserver.org/matter/dynamic-profile/view/1904064","19-1904064")</f>
        <v>0</v>
      </c>
      <c r="B2922" t="s">
        <v>271</v>
      </c>
      <c r="C2922" t="s">
        <v>621</v>
      </c>
      <c r="E2922" t="s">
        <v>2537</v>
      </c>
      <c r="F2922" t="s">
        <v>5121</v>
      </c>
      <c r="G2922" t="s">
        <v>8386</v>
      </c>
      <c r="I2922" t="s">
        <v>11438</v>
      </c>
      <c r="J2922">
        <v>11419</v>
      </c>
      <c r="K2922" t="s">
        <v>11446</v>
      </c>
      <c r="L2922" t="s">
        <v>12602</v>
      </c>
      <c r="M2922" t="s">
        <v>14764</v>
      </c>
      <c r="N2922" t="s">
        <v>14778</v>
      </c>
      <c r="P2922" t="s">
        <v>14801</v>
      </c>
      <c r="Q2922" t="s">
        <v>11448</v>
      </c>
      <c r="S2922" t="s">
        <v>14827</v>
      </c>
      <c r="T2922" t="s">
        <v>14832</v>
      </c>
      <c r="U2922" t="s">
        <v>621</v>
      </c>
      <c r="V2922">
        <v>0</v>
      </c>
      <c r="W2922" t="s">
        <v>14861</v>
      </c>
      <c r="X2922" t="s">
        <v>14865</v>
      </c>
      <c r="Z2922" t="s">
        <v>17346</v>
      </c>
      <c r="AB2922" t="s">
        <v>22385</v>
      </c>
      <c r="AC2922">
        <v>1</v>
      </c>
      <c r="AD2922" t="s">
        <v>24600</v>
      </c>
      <c r="AE2922" t="s">
        <v>11459</v>
      </c>
      <c r="AF2922">
        <v>19</v>
      </c>
      <c r="AG2922">
        <v>1</v>
      </c>
      <c r="AH2922">
        <v>0</v>
      </c>
      <c r="AI2922">
        <v>70.14</v>
      </c>
      <c r="AL2922" t="s">
        <v>5011</v>
      </c>
      <c r="AM2922">
        <v>8760</v>
      </c>
      <c r="AS2922">
        <v>0.6</v>
      </c>
      <c r="AT2922" t="s">
        <v>332</v>
      </c>
      <c r="AU2922" t="s">
        <v>292</v>
      </c>
      <c r="AV2922" t="s">
        <v>25335</v>
      </c>
      <c r="AW2922" t="s">
        <v>11447</v>
      </c>
    </row>
    <row r="2923" spans="1:49">
      <c r="A2923" s="1">
        <f>HYPERLINK("https://lsnyc.legalserver.org/matter/dynamic-profile/view/1903932","19-1903932")</f>
        <v>0</v>
      </c>
      <c r="B2923" t="s">
        <v>209</v>
      </c>
      <c r="C2923" t="s">
        <v>378</v>
      </c>
      <c r="E2923" t="s">
        <v>2538</v>
      </c>
      <c r="F2923" t="s">
        <v>5122</v>
      </c>
      <c r="G2923" t="s">
        <v>8387</v>
      </c>
      <c r="H2923" t="s">
        <v>10589</v>
      </c>
      <c r="I2923" t="s">
        <v>11389</v>
      </c>
      <c r="J2923">
        <v>11367</v>
      </c>
      <c r="K2923" t="s">
        <v>11446</v>
      </c>
      <c r="L2923" t="s">
        <v>12603</v>
      </c>
      <c r="M2923" t="s">
        <v>14744</v>
      </c>
      <c r="N2923" t="s">
        <v>14778</v>
      </c>
      <c r="P2923" t="s">
        <v>14801</v>
      </c>
      <c r="Q2923" t="s">
        <v>11448</v>
      </c>
      <c r="S2923" t="s">
        <v>14827</v>
      </c>
      <c r="T2923" t="s">
        <v>14837</v>
      </c>
      <c r="U2923" t="s">
        <v>607</v>
      </c>
      <c r="V2923">
        <v>2000</v>
      </c>
      <c r="W2923" t="s">
        <v>14861</v>
      </c>
      <c r="Z2923" t="s">
        <v>17347</v>
      </c>
      <c r="AB2923" t="s">
        <v>22386</v>
      </c>
      <c r="AC2923">
        <v>16</v>
      </c>
      <c r="AD2923" t="s">
        <v>24595</v>
      </c>
      <c r="AF2923">
        <v>2</v>
      </c>
      <c r="AG2923">
        <v>2</v>
      </c>
      <c r="AH2923">
        <v>1</v>
      </c>
      <c r="AI2923">
        <v>60.95</v>
      </c>
      <c r="AL2923" t="s">
        <v>24632</v>
      </c>
      <c r="AM2923">
        <v>13000</v>
      </c>
      <c r="AS2923">
        <v>1.93</v>
      </c>
      <c r="AT2923" t="s">
        <v>455</v>
      </c>
      <c r="AU2923" t="s">
        <v>209</v>
      </c>
      <c r="AV2923" t="s">
        <v>25335</v>
      </c>
      <c r="AW2923" t="s">
        <v>11447</v>
      </c>
    </row>
    <row r="2924" spans="1:49">
      <c r="A2924" s="1">
        <f>HYPERLINK("https://lsnyc.legalserver.org/matter/dynamic-profile/view/1904365","19-1904365")</f>
        <v>0</v>
      </c>
      <c r="B2924" t="s">
        <v>179</v>
      </c>
      <c r="C2924" t="s">
        <v>607</v>
      </c>
      <c r="E2924" t="s">
        <v>1240</v>
      </c>
      <c r="F2924" t="s">
        <v>3739</v>
      </c>
      <c r="G2924" t="s">
        <v>6516</v>
      </c>
      <c r="H2924" t="s">
        <v>10481</v>
      </c>
      <c r="I2924" t="s">
        <v>11390</v>
      </c>
      <c r="J2924">
        <v>11368</v>
      </c>
      <c r="K2924" t="s">
        <v>11446</v>
      </c>
      <c r="L2924" t="s">
        <v>11513</v>
      </c>
      <c r="M2924" t="s">
        <v>14744</v>
      </c>
      <c r="N2924" t="s">
        <v>14781</v>
      </c>
      <c r="P2924" t="s">
        <v>14801</v>
      </c>
      <c r="Q2924" t="s">
        <v>11448</v>
      </c>
      <c r="S2924" t="s">
        <v>14827</v>
      </c>
      <c r="T2924" t="s">
        <v>14834</v>
      </c>
      <c r="U2924" t="s">
        <v>607</v>
      </c>
      <c r="V2924">
        <v>819</v>
      </c>
      <c r="W2924" t="s">
        <v>14861</v>
      </c>
      <c r="X2924" t="s">
        <v>14863</v>
      </c>
      <c r="Z2924" t="s">
        <v>15140</v>
      </c>
      <c r="AB2924" t="s">
        <v>20302</v>
      </c>
      <c r="AC2924">
        <v>10</v>
      </c>
      <c r="AD2924" t="s">
        <v>24595</v>
      </c>
      <c r="AE2924" t="s">
        <v>11459</v>
      </c>
      <c r="AF2924">
        <v>35</v>
      </c>
      <c r="AG2924">
        <v>1</v>
      </c>
      <c r="AH2924">
        <v>0</v>
      </c>
      <c r="AI2924">
        <v>116.64</v>
      </c>
      <c r="AL2924" t="s">
        <v>5011</v>
      </c>
      <c r="AM2924">
        <v>14568</v>
      </c>
      <c r="AS2924">
        <v>6.95</v>
      </c>
      <c r="AT2924" t="s">
        <v>372</v>
      </c>
      <c r="AU2924" t="s">
        <v>179</v>
      </c>
      <c r="AV2924" t="s">
        <v>25335</v>
      </c>
      <c r="AW2924" t="s">
        <v>11447</v>
      </c>
    </row>
    <row r="2925" spans="1:49">
      <c r="A2925" s="1">
        <f>HYPERLINK("https://lsnyc.legalserver.org/matter/dynamic-profile/view/1904495","19-1904495")</f>
        <v>0</v>
      </c>
      <c r="B2925" t="s">
        <v>122</v>
      </c>
      <c r="C2925" t="s">
        <v>493</v>
      </c>
      <c r="E2925" t="s">
        <v>2539</v>
      </c>
      <c r="F2925" t="s">
        <v>5123</v>
      </c>
      <c r="G2925" t="s">
        <v>8388</v>
      </c>
      <c r="H2925" t="s">
        <v>10524</v>
      </c>
      <c r="I2925" t="s">
        <v>11396</v>
      </c>
      <c r="J2925">
        <v>11365</v>
      </c>
      <c r="K2925" t="s">
        <v>11446</v>
      </c>
      <c r="L2925" t="s">
        <v>12604</v>
      </c>
      <c r="M2925" t="s">
        <v>14744</v>
      </c>
      <c r="N2925" t="s">
        <v>14778</v>
      </c>
      <c r="P2925" t="s">
        <v>14801</v>
      </c>
      <c r="Q2925" t="s">
        <v>11448</v>
      </c>
      <c r="S2925" t="s">
        <v>14828</v>
      </c>
      <c r="T2925" t="s">
        <v>14832</v>
      </c>
      <c r="U2925" t="s">
        <v>493</v>
      </c>
      <c r="V2925">
        <v>263</v>
      </c>
      <c r="W2925" t="s">
        <v>14861</v>
      </c>
      <c r="X2925" t="s">
        <v>14865</v>
      </c>
      <c r="Z2925" t="s">
        <v>17348</v>
      </c>
      <c r="AA2925" t="s">
        <v>19594</v>
      </c>
      <c r="AB2925" t="s">
        <v>22387</v>
      </c>
      <c r="AC2925">
        <v>28</v>
      </c>
      <c r="AD2925" t="s">
        <v>24597</v>
      </c>
      <c r="AE2925" t="s">
        <v>11459</v>
      </c>
      <c r="AF2925">
        <v>5</v>
      </c>
      <c r="AG2925">
        <v>1</v>
      </c>
      <c r="AH2925">
        <v>0</v>
      </c>
      <c r="AI2925">
        <v>82.34</v>
      </c>
      <c r="AL2925" t="s">
        <v>5011</v>
      </c>
      <c r="AM2925">
        <v>10284</v>
      </c>
      <c r="AS2925">
        <v>1.3</v>
      </c>
      <c r="AT2925" t="s">
        <v>493</v>
      </c>
      <c r="AU2925" t="s">
        <v>292</v>
      </c>
      <c r="AV2925" t="s">
        <v>25335</v>
      </c>
      <c r="AW2925" t="s">
        <v>11447</v>
      </c>
    </row>
    <row r="2926" spans="1:49">
      <c r="A2926" s="1">
        <f>HYPERLINK("https://lsnyc.legalserver.org/matter/dynamic-profile/view/1905238","19-1905238")</f>
        <v>0</v>
      </c>
      <c r="B2926" t="s">
        <v>209</v>
      </c>
      <c r="C2926" t="s">
        <v>480</v>
      </c>
      <c r="E2926" t="s">
        <v>2007</v>
      </c>
      <c r="F2926" t="s">
        <v>5124</v>
      </c>
      <c r="G2926" t="s">
        <v>8389</v>
      </c>
      <c r="H2926" t="s">
        <v>10705</v>
      </c>
      <c r="I2926" t="s">
        <v>11415</v>
      </c>
      <c r="J2926">
        <v>11356</v>
      </c>
      <c r="K2926" t="s">
        <v>11446</v>
      </c>
      <c r="L2926" t="s">
        <v>12605</v>
      </c>
      <c r="M2926" t="s">
        <v>14743</v>
      </c>
      <c r="N2926" t="s">
        <v>14778</v>
      </c>
      <c r="P2926" t="s">
        <v>14801</v>
      </c>
      <c r="Q2926" t="s">
        <v>11448</v>
      </c>
      <c r="S2926" t="s">
        <v>14827</v>
      </c>
      <c r="T2926" t="s">
        <v>14834</v>
      </c>
      <c r="U2926" t="s">
        <v>480</v>
      </c>
      <c r="V2926">
        <v>3200</v>
      </c>
      <c r="W2926" t="s">
        <v>14861</v>
      </c>
      <c r="X2926" t="s">
        <v>14865</v>
      </c>
      <c r="Z2926" t="s">
        <v>15885</v>
      </c>
      <c r="AB2926" t="s">
        <v>22388</v>
      </c>
      <c r="AC2926">
        <v>2</v>
      </c>
      <c r="AD2926" t="s">
        <v>11479</v>
      </c>
      <c r="AE2926" t="s">
        <v>11459</v>
      </c>
      <c r="AF2926">
        <v>1</v>
      </c>
      <c r="AG2926">
        <v>3</v>
      </c>
      <c r="AH2926">
        <v>4</v>
      </c>
      <c r="AI2926">
        <v>66.65000000000001</v>
      </c>
      <c r="AL2926" t="s">
        <v>5011</v>
      </c>
      <c r="AM2926">
        <v>26000</v>
      </c>
      <c r="AS2926">
        <v>1.67</v>
      </c>
      <c r="AT2926" t="s">
        <v>553</v>
      </c>
      <c r="AU2926" t="s">
        <v>292</v>
      </c>
      <c r="AV2926" t="s">
        <v>25335</v>
      </c>
      <c r="AW2926" t="s">
        <v>11447</v>
      </c>
    </row>
    <row r="2927" spans="1:49">
      <c r="A2927" s="1">
        <f>HYPERLINK("https://lsnyc.legalserver.org/matter/dynamic-profile/view/1905233","19-1905233")</f>
        <v>0</v>
      </c>
      <c r="B2927" t="s">
        <v>147</v>
      </c>
      <c r="C2927" t="s">
        <v>480</v>
      </c>
      <c r="E2927" t="s">
        <v>2540</v>
      </c>
      <c r="F2927" t="s">
        <v>5125</v>
      </c>
      <c r="G2927" t="s">
        <v>8390</v>
      </c>
      <c r="H2927" t="s">
        <v>11074</v>
      </c>
      <c r="I2927" t="s">
        <v>11417</v>
      </c>
      <c r="J2927">
        <v>11693</v>
      </c>
      <c r="K2927" t="s">
        <v>11446</v>
      </c>
      <c r="L2927" t="s">
        <v>12606</v>
      </c>
      <c r="M2927" t="s">
        <v>14744</v>
      </c>
      <c r="N2927" t="s">
        <v>14778</v>
      </c>
      <c r="P2927" t="s">
        <v>14801</v>
      </c>
      <c r="Q2927" t="s">
        <v>11448</v>
      </c>
      <c r="S2927" t="s">
        <v>14828</v>
      </c>
      <c r="T2927" t="s">
        <v>14832</v>
      </c>
      <c r="U2927" t="s">
        <v>480</v>
      </c>
      <c r="V2927">
        <v>215</v>
      </c>
      <c r="W2927" t="s">
        <v>14861</v>
      </c>
      <c r="X2927" t="s">
        <v>14865</v>
      </c>
      <c r="Z2927" t="s">
        <v>17349</v>
      </c>
      <c r="AB2927" t="s">
        <v>22389</v>
      </c>
      <c r="AC2927">
        <v>42</v>
      </c>
      <c r="AD2927" t="s">
        <v>24597</v>
      </c>
      <c r="AE2927" t="s">
        <v>11459</v>
      </c>
      <c r="AF2927">
        <v>3</v>
      </c>
      <c r="AG2927">
        <v>2</v>
      </c>
      <c r="AH2927">
        <v>0</v>
      </c>
      <c r="AI2927">
        <v>70.95999999999999</v>
      </c>
      <c r="AL2927" t="s">
        <v>5011</v>
      </c>
      <c r="AM2927">
        <v>12000</v>
      </c>
      <c r="AS2927">
        <v>1.2</v>
      </c>
      <c r="AT2927" t="s">
        <v>603</v>
      </c>
      <c r="AU2927" t="s">
        <v>292</v>
      </c>
      <c r="AV2927" t="s">
        <v>25335</v>
      </c>
      <c r="AW2927" t="s">
        <v>11447</v>
      </c>
    </row>
    <row r="2928" spans="1:49">
      <c r="A2928" s="1">
        <f>HYPERLINK("https://lsnyc.legalserver.org/matter/dynamic-profile/view/1905378","19-1905378")</f>
        <v>0</v>
      </c>
      <c r="B2928" t="s">
        <v>271</v>
      </c>
      <c r="C2928" t="s">
        <v>619</v>
      </c>
      <c r="E2928" t="s">
        <v>2541</v>
      </c>
      <c r="F2928" t="s">
        <v>5126</v>
      </c>
      <c r="G2928" t="s">
        <v>6714</v>
      </c>
      <c r="H2928" t="s">
        <v>10465</v>
      </c>
      <c r="I2928" t="s">
        <v>11409</v>
      </c>
      <c r="J2928">
        <v>11377</v>
      </c>
      <c r="K2928" t="s">
        <v>11446</v>
      </c>
      <c r="L2928" t="s">
        <v>12607</v>
      </c>
      <c r="M2928" t="s">
        <v>14744</v>
      </c>
      <c r="N2928" t="s">
        <v>14778</v>
      </c>
      <c r="P2928" t="s">
        <v>14801</v>
      </c>
      <c r="Q2928" t="s">
        <v>11448</v>
      </c>
      <c r="S2928" t="s">
        <v>14827</v>
      </c>
      <c r="T2928" t="s">
        <v>14832</v>
      </c>
      <c r="U2928" t="s">
        <v>619</v>
      </c>
      <c r="V2928">
        <v>2500</v>
      </c>
      <c r="W2928" t="s">
        <v>14861</v>
      </c>
      <c r="X2928" t="s">
        <v>14865</v>
      </c>
      <c r="Z2928" t="s">
        <v>17350</v>
      </c>
      <c r="AB2928" t="s">
        <v>22390</v>
      </c>
      <c r="AC2928">
        <v>2</v>
      </c>
      <c r="AD2928" t="s">
        <v>24600</v>
      </c>
      <c r="AE2928" t="s">
        <v>24617</v>
      </c>
      <c r="AF2928">
        <v>3</v>
      </c>
      <c r="AG2928">
        <v>3</v>
      </c>
      <c r="AH2928">
        <v>2</v>
      </c>
      <c r="AI2928">
        <v>207.58</v>
      </c>
      <c r="AL2928" t="s">
        <v>5011</v>
      </c>
      <c r="AM2928">
        <v>62626.56</v>
      </c>
      <c r="AS2928">
        <v>2.77</v>
      </c>
      <c r="AT2928" t="s">
        <v>377</v>
      </c>
      <c r="AU2928" t="s">
        <v>99</v>
      </c>
      <c r="AV2928" t="s">
        <v>25335</v>
      </c>
      <c r="AW2928" t="s">
        <v>11447</v>
      </c>
    </row>
    <row r="2929" spans="1:49">
      <c r="A2929" s="1">
        <f>HYPERLINK("https://lsnyc.legalserver.org/matter/dynamic-profile/view/1905822","19-1905822")</f>
        <v>0</v>
      </c>
      <c r="B2929" t="s">
        <v>147</v>
      </c>
      <c r="C2929" t="s">
        <v>500</v>
      </c>
      <c r="E2929" t="s">
        <v>1789</v>
      </c>
      <c r="F2929" t="s">
        <v>5127</v>
      </c>
      <c r="G2929" t="s">
        <v>8391</v>
      </c>
      <c r="H2929" t="s">
        <v>10646</v>
      </c>
      <c r="I2929" t="s">
        <v>11421</v>
      </c>
      <c r="J2929">
        <v>11427</v>
      </c>
      <c r="K2929" t="s">
        <v>11446</v>
      </c>
      <c r="L2929" t="s">
        <v>12608</v>
      </c>
      <c r="M2929" t="s">
        <v>14743</v>
      </c>
      <c r="N2929" t="s">
        <v>14778</v>
      </c>
      <c r="P2929" t="s">
        <v>14801</v>
      </c>
      <c r="Q2929" t="s">
        <v>11448</v>
      </c>
      <c r="S2929" t="s">
        <v>14827</v>
      </c>
      <c r="T2929" t="s">
        <v>14832</v>
      </c>
      <c r="U2929" t="s">
        <v>500</v>
      </c>
      <c r="V2929">
        <v>775</v>
      </c>
      <c r="W2929" t="s">
        <v>14861</v>
      </c>
      <c r="X2929" t="s">
        <v>14865</v>
      </c>
      <c r="Z2929" t="s">
        <v>16907</v>
      </c>
      <c r="AA2929" t="s">
        <v>19595</v>
      </c>
      <c r="AB2929" t="s">
        <v>22391</v>
      </c>
      <c r="AC2929">
        <v>2</v>
      </c>
      <c r="AD2929" t="s">
        <v>11479</v>
      </c>
      <c r="AE2929" t="s">
        <v>11459</v>
      </c>
      <c r="AF2929">
        <v>22</v>
      </c>
      <c r="AG2929">
        <v>1</v>
      </c>
      <c r="AH2929">
        <v>0</v>
      </c>
      <c r="AI2929">
        <v>18.94</v>
      </c>
      <c r="AL2929" t="s">
        <v>5011</v>
      </c>
      <c r="AM2929">
        <v>2366</v>
      </c>
      <c r="AS2929">
        <v>1.55</v>
      </c>
      <c r="AT2929" t="s">
        <v>380</v>
      </c>
      <c r="AU2929" t="s">
        <v>292</v>
      </c>
      <c r="AV2929" t="s">
        <v>25335</v>
      </c>
      <c r="AW2929" t="s">
        <v>11447</v>
      </c>
    </row>
    <row r="2930" spans="1:49">
      <c r="A2930" s="1">
        <f>HYPERLINK("https://lsnyc.legalserver.org/matter/dynamic-profile/view/1905838","19-1905838")</f>
        <v>0</v>
      </c>
      <c r="B2930" t="s">
        <v>271</v>
      </c>
      <c r="C2930" t="s">
        <v>500</v>
      </c>
      <c r="E2930" t="s">
        <v>1430</v>
      </c>
      <c r="F2930" t="s">
        <v>1210</v>
      </c>
      <c r="G2930" t="s">
        <v>8392</v>
      </c>
      <c r="H2930" t="s">
        <v>10814</v>
      </c>
      <c r="I2930" t="s">
        <v>11387</v>
      </c>
      <c r="J2930">
        <v>11435</v>
      </c>
      <c r="K2930" t="s">
        <v>11446</v>
      </c>
      <c r="L2930" t="s">
        <v>12609</v>
      </c>
      <c r="M2930" t="s">
        <v>14744</v>
      </c>
      <c r="N2930" t="s">
        <v>14778</v>
      </c>
      <c r="P2930" t="s">
        <v>14801</v>
      </c>
      <c r="Q2930" t="s">
        <v>11448</v>
      </c>
      <c r="S2930" t="s">
        <v>14827</v>
      </c>
      <c r="T2930" t="s">
        <v>14832</v>
      </c>
      <c r="U2930" t="s">
        <v>500</v>
      </c>
      <c r="V2930">
        <v>164</v>
      </c>
      <c r="W2930" t="s">
        <v>14861</v>
      </c>
      <c r="X2930" t="s">
        <v>14865</v>
      </c>
      <c r="Z2930" t="s">
        <v>17284</v>
      </c>
      <c r="AA2930" t="s">
        <v>19596</v>
      </c>
      <c r="AB2930" t="s">
        <v>22392</v>
      </c>
      <c r="AC2930">
        <v>75</v>
      </c>
      <c r="AD2930" t="s">
        <v>11479</v>
      </c>
      <c r="AE2930" t="s">
        <v>11459</v>
      </c>
      <c r="AF2930">
        <v>8</v>
      </c>
      <c r="AG2930">
        <v>1</v>
      </c>
      <c r="AH2930">
        <v>0</v>
      </c>
      <c r="AI2930">
        <v>77.81999999999999</v>
      </c>
      <c r="AL2930" t="s">
        <v>5011</v>
      </c>
      <c r="AM2930">
        <v>9720</v>
      </c>
      <c r="AS2930">
        <v>2.55</v>
      </c>
      <c r="AT2930" t="s">
        <v>373</v>
      </c>
      <c r="AU2930" t="s">
        <v>292</v>
      </c>
      <c r="AV2930" t="s">
        <v>25335</v>
      </c>
      <c r="AW2930" t="s">
        <v>11447</v>
      </c>
    </row>
    <row r="2931" spans="1:49">
      <c r="A2931" s="1">
        <f>HYPERLINK("https://lsnyc.legalserver.org/matter/dynamic-profile/view/1905858","19-1905858")</f>
        <v>0</v>
      </c>
      <c r="B2931" t="s">
        <v>147</v>
      </c>
      <c r="C2931" t="s">
        <v>500</v>
      </c>
      <c r="E2931" t="s">
        <v>1982</v>
      </c>
      <c r="F2931" t="s">
        <v>5128</v>
      </c>
      <c r="G2931" t="s">
        <v>8393</v>
      </c>
      <c r="H2931" t="s">
        <v>10666</v>
      </c>
      <c r="I2931" t="s">
        <v>11409</v>
      </c>
      <c r="J2931">
        <v>11377</v>
      </c>
      <c r="K2931" t="s">
        <v>11446</v>
      </c>
      <c r="L2931" t="s">
        <v>12610</v>
      </c>
      <c r="M2931" t="s">
        <v>14743</v>
      </c>
      <c r="N2931" t="s">
        <v>14778</v>
      </c>
      <c r="P2931" t="s">
        <v>14801</v>
      </c>
      <c r="Q2931" t="s">
        <v>11448</v>
      </c>
      <c r="S2931" t="s">
        <v>14827</v>
      </c>
      <c r="T2931" t="s">
        <v>14832</v>
      </c>
      <c r="U2931" t="s">
        <v>500</v>
      </c>
      <c r="V2931">
        <v>2100</v>
      </c>
      <c r="W2931" t="s">
        <v>14861</v>
      </c>
      <c r="X2931" t="s">
        <v>14865</v>
      </c>
      <c r="Z2931" t="s">
        <v>17351</v>
      </c>
      <c r="AB2931" t="s">
        <v>22393</v>
      </c>
      <c r="AC2931">
        <v>6</v>
      </c>
      <c r="AD2931" t="s">
        <v>11479</v>
      </c>
      <c r="AE2931" t="s">
        <v>11459</v>
      </c>
      <c r="AF2931">
        <v>6</v>
      </c>
      <c r="AG2931">
        <v>2</v>
      </c>
      <c r="AH2931">
        <v>2</v>
      </c>
      <c r="AI2931">
        <v>174.76</v>
      </c>
      <c r="AL2931" t="s">
        <v>5011</v>
      </c>
      <c r="AM2931">
        <v>45000</v>
      </c>
      <c r="AS2931">
        <v>0.93</v>
      </c>
      <c r="AT2931" t="s">
        <v>380</v>
      </c>
      <c r="AU2931" t="s">
        <v>292</v>
      </c>
      <c r="AV2931" t="s">
        <v>25335</v>
      </c>
      <c r="AW2931" t="s">
        <v>11447</v>
      </c>
    </row>
    <row r="2932" spans="1:49">
      <c r="A2932" s="1">
        <f>HYPERLINK("https://lsnyc.legalserver.org/matter/dynamic-profile/view/1905844","19-1905844")</f>
        <v>0</v>
      </c>
      <c r="B2932" t="s">
        <v>124</v>
      </c>
      <c r="C2932" t="s">
        <v>500</v>
      </c>
      <c r="E2932" t="s">
        <v>2542</v>
      </c>
      <c r="F2932" t="s">
        <v>5129</v>
      </c>
      <c r="G2932" t="s">
        <v>8394</v>
      </c>
      <c r="H2932" t="s">
        <v>10493</v>
      </c>
      <c r="I2932" t="s">
        <v>11390</v>
      </c>
      <c r="J2932">
        <v>11368</v>
      </c>
      <c r="K2932" t="s">
        <v>11446</v>
      </c>
      <c r="L2932" t="s">
        <v>12611</v>
      </c>
      <c r="M2932" t="s">
        <v>14744</v>
      </c>
      <c r="N2932" t="s">
        <v>14778</v>
      </c>
      <c r="P2932" t="s">
        <v>14801</v>
      </c>
      <c r="Q2932" t="s">
        <v>11448</v>
      </c>
      <c r="S2932" t="s">
        <v>14827</v>
      </c>
      <c r="T2932" t="s">
        <v>14833</v>
      </c>
      <c r="U2932" t="s">
        <v>500</v>
      </c>
      <c r="V2932">
        <v>1888</v>
      </c>
      <c r="W2932" t="s">
        <v>14861</v>
      </c>
      <c r="X2932" t="s">
        <v>14865</v>
      </c>
      <c r="Z2932" t="s">
        <v>17352</v>
      </c>
      <c r="AA2932" t="s">
        <v>19597</v>
      </c>
      <c r="AB2932" t="s">
        <v>22394</v>
      </c>
      <c r="AC2932">
        <v>180</v>
      </c>
      <c r="AD2932" t="s">
        <v>11479</v>
      </c>
      <c r="AE2932" t="s">
        <v>24613</v>
      </c>
      <c r="AF2932">
        <v>10</v>
      </c>
      <c r="AG2932">
        <v>2</v>
      </c>
      <c r="AH2932">
        <v>0</v>
      </c>
      <c r="AI2932">
        <v>193.87</v>
      </c>
      <c r="AL2932" t="s">
        <v>5011</v>
      </c>
      <c r="AM2932">
        <v>32784</v>
      </c>
      <c r="AS2932">
        <v>0.3</v>
      </c>
      <c r="AT2932" t="s">
        <v>500</v>
      </c>
      <c r="AU2932" t="s">
        <v>292</v>
      </c>
      <c r="AV2932" t="s">
        <v>25335</v>
      </c>
      <c r="AW2932" t="s">
        <v>11447</v>
      </c>
    </row>
    <row r="2933" spans="1:49">
      <c r="A2933" s="1">
        <f>HYPERLINK("https://lsnyc.legalserver.org/matter/dynamic-profile/view/1906170","19-1906170")</f>
        <v>0</v>
      </c>
      <c r="B2933" t="s">
        <v>147</v>
      </c>
      <c r="C2933" t="s">
        <v>553</v>
      </c>
      <c r="E2933" t="s">
        <v>2543</v>
      </c>
      <c r="F2933" t="s">
        <v>5130</v>
      </c>
      <c r="G2933" t="s">
        <v>8395</v>
      </c>
      <c r="I2933" t="s">
        <v>11387</v>
      </c>
      <c r="J2933">
        <v>11435</v>
      </c>
      <c r="K2933" t="s">
        <v>11446</v>
      </c>
      <c r="L2933" t="s">
        <v>12612</v>
      </c>
      <c r="M2933" t="s">
        <v>14743</v>
      </c>
      <c r="N2933" t="s">
        <v>14778</v>
      </c>
      <c r="P2933" t="s">
        <v>14801</v>
      </c>
      <c r="Q2933" t="s">
        <v>11448</v>
      </c>
      <c r="S2933" t="s">
        <v>14827</v>
      </c>
      <c r="T2933" t="s">
        <v>14832</v>
      </c>
      <c r="U2933" t="s">
        <v>553</v>
      </c>
      <c r="V2933">
        <v>750</v>
      </c>
      <c r="W2933" t="s">
        <v>14861</v>
      </c>
      <c r="X2933" t="s">
        <v>14865</v>
      </c>
      <c r="Z2933" t="s">
        <v>17353</v>
      </c>
      <c r="AA2933" t="s">
        <v>19598</v>
      </c>
      <c r="AB2933" t="s">
        <v>22395</v>
      </c>
      <c r="AC2933">
        <v>2</v>
      </c>
      <c r="AD2933" t="s">
        <v>11479</v>
      </c>
      <c r="AE2933" t="s">
        <v>11459</v>
      </c>
      <c r="AF2933">
        <v>8</v>
      </c>
      <c r="AG2933">
        <v>5</v>
      </c>
      <c r="AH2933">
        <v>2</v>
      </c>
      <c r="AI2933">
        <v>0</v>
      </c>
      <c r="AL2933" t="s">
        <v>5011</v>
      </c>
      <c r="AM2933">
        <v>0</v>
      </c>
      <c r="AS2933">
        <v>3.1</v>
      </c>
      <c r="AT2933" t="s">
        <v>574</v>
      </c>
      <c r="AU2933" t="s">
        <v>292</v>
      </c>
      <c r="AV2933" t="s">
        <v>25335</v>
      </c>
      <c r="AW2933" t="s">
        <v>11447</v>
      </c>
    </row>
    <row r="2934" spans="1:49">
      <c r="A2934" s="1">
        <f>HYPERLINK("https://lsnyc.legalserver.org/matter/dynamic-profile/view/1906255","19-1906255")</f>
        <v>0</v>
      </c>
      <c r="B2934" t="s">
        <v>248</v>
      </c>
      <c r="C2934" t="s">
        <v>553</v>
      </c>
      <c r="E2934" t="s">
        <v>2544</v>
      </c>
      <c r="F2934" t="s">
        <v>4013</v>
      </c>
      <c r="G2934" t="s">
        <v>8396</v>
      </c>
      <c r="H2934" t="s">
        <v>11075</v>
      </c>
      <c r="I2934" t="s">
        <v>11420</v>
      </c>
      <c r="J2934">
        <v>11104</v>
      </c>
      <c r="K2934" t="s">
        <v>11446</v>
      </c>
      <c r="L2934" t="s">
        <v>12613</v>
      </c>
      <c r="M2934" t="s">
        <v>14744</v>
      </c>
      <c r="N2934" t="s">
        <v>14781</v>
      </c>
      <c r="P2934" t="s">
        <v>14801</v>
      </c>
      <c r="Q2934" t="s">
        <v>11446</v>
      </c>
      <c r="S2934" t="s">
        <v>14827</v>
      </c>
      <c r="T2934" t="s">
        <v>14834</v>
      </c>
      <c r="U2934" t="s">
        <v>553</v>
      </c>
      <c r="V2934">
        <v>1645</v>
      </c>
      <c r="W2934" t="s">
        <v>14861</v>
      </c>
      <c r="X2934" t="s">
        <v>14865</v>
      </c>
      <c r="Z2934" t="s">
        <v>17354</v>
      </c>
      <c r="AB2934" t="s">
        <v>22396</v>
      </c>
      <c r="AC2934">
        <v>70</v>
      </c>
      <c r="AD2934" t="s">
        <v>24595</v>
      </c>
      <c r="AE2934" t="s">
        <v>11459</v>
      </c>
      <c r="AF2934">
        <v>2</v>
      </c>
      <c r="AG2934">
        <v>1</v>
      </c>
      <c r="AH2934">
        <v>0</v>
      </c>
      <c r="AI2934">
        <v>0</v>
      </c>
      <c r="AL2934" t="s">
        <v>24647</v>
      </c>
      <c r="AM2934">
        <v>0</v>
      </c>
      <c r="AS2934">
        <v>74.05</v>
      </c>
      <c r="AT2934" t="s">
        <v>509</v>
      </c>
      <c r="AU2934" t="s">
        <v>25233</v>
      </c>
      <c r="AV2934" t="s">
        <v>25335</v>
      </c>
      <c r="AW2934" t="s">
        <v>11447</v>
      </c>
    </row>
    <row r="2935" spans="1:49">
      <c r="A2935" s="1">
        <f>HYPERLINK("https://lsnyc.legalserver.org/matter/dynamic-profile/view/1905006","19-1905006")</f>
        <v>0</v>
      </c>
      <c r="B2935" t="s">
        <v>209</v>
      </c>
      <c r="C2935" t="s">
        <v>593</v>
      </c>
      <c r="E2935" t="s">
        <v>1307</v>
      </c>
      <c r="F2935" t="s">
        <v>3682</v>
      </c>
      <c r="G2935" t="s">
        <v>8397</v>
      </c>
      <c r="H2935" t="s">
        <v>10464</v>
      </c>
      <c r="I2935" t="s">
        <v>11387</v>
      </c>
      <c r="J2935">
        <v>11435</v>
      </c>
      <c r="K2935" t="s">
        <v>11446</v>
      </c>
      <c r="L2935" t="s">
        <v>12614</v>
      </c>
      <c r="M2935" t="s">
        <v>14743</v>
      </c>
      <c r="N2935" t="s">
        <v>14778</v>
      </c>
      <c r="P2935" t="s">
        <v>14801</v>
      </c>
      <c r="Q2935" t="s">
        <v>11446</v>
      </c>
      <c r="S2935" t="s">
        <v>14827</v>
      </c>
      <c r="T2935" t="s">
        <v>14832</v>
      </c>
      <c r="U2935" t="s">
        <v>553</v>
      </c>
      <c r="V2935">
        <v>1712</v>
      </c>
      <c r="W2935" t="s">
        <v>14861</v>
      </c>
      <c r="X2935" t="s">
        <v>14865</v>
      </c>
      <c r="Z2935" t="s">
        <v>17355</v>
      </c>
      <c r="AA2935" t="s">
        <v>19599</v>
      </c>
      <c r="AB2935" t="s">
        <v>22397</v>
      </c>
      <c r="AC2935">
        <v>3</v>
      </c>
      <c r="AD2935" t="s">
        <v>24600</v>
      </c>
      <c r="AE2935" t="s">
        <v>11459</v>
      </c>
      <c r="AF2935">
        <v>2</v>
      </c>
      <c r="AG2935">
        <v>1</v>
      </c>
      <c r="AH2935">
        <v>3</v>
      </c>
      <c r="AI2935">
        <v>35.51</v>
      </c>
      <c r="AL2935" t="s">
        <v>5011</v>
      </c>
      <c r="AM2935">
        <v>9144</v>
      </c>
      <c r="AS2935">
        <v>2.14</v>
      </c>
      <c r="AT2935" t="s">
        <v>455</v>
      </c>
      <c r="AU2935" t="s">
        <v>25233</v>
      </c>
      <c r="AV2935" t="s">
        <v>25335</v>
      </c>
      <c r="AW2935" t="s">
        <v>11447</v>
      </c>
    </row>
    <row r="2936" spans="1:49">
      <c r="A2936" s="1">
        <f>HYPERLINK("https://lsnyc.legalserver.org/matter/dynamic-profile/view/1905332","19-1905332")</f>
        <v>0</v>
      </c>
      <c r="B2936" t="s">
        <v>209</v>
      </c>
      <c r="C2936" t="s">
        <v>619</v>
      </c>
      <c r="E2936" t="s">
        <v>1496</v>
      </c>
      <c r="F2936" t="s">
        <v>5131</v>
      </c>
      <c r="G2936" t="s">
        <v>8398</v>
      </c>
      <c r="H2936" t="s">
        <v>10648</v>
      </c>
      <c r="I2936" t="s">
        <v>11409</v>
      </c>
      <c r="J2936">
        <v>11377</v>
      </c>
      <c r="K2936" t="s">
        <v>11446</v>
      </c>
      <c r="L2936" t="s">
        <v>12615</v>
      </c>
      <c r="M2936" t="s">
        <v>14743</v>
      </c>
      <c r="N2936" t="s">
        <v>14778</v>
      </c>
      <c r="P2936" t="s">
        <v>14801</v>
      </c>
      <c r="Q2936" t="s">
        <v>11448</v>
      </c>
      <c r="S2936" t="s">
        <v>14827</v>
      </c>
      <c r="T2936" t="s">
        <v>14832</v>
      </c>
      <c r="U2936" t="s">
        <v>553</v>
      </c>
      <c r="V2936">
        <v>1850</v>
      </c>
      <c r="W2936" t="s">
        <v>14861</v>
      </c>
      <c r="X2936" t="s">
        <v>14865</v>
      </c>
      <c r="Z2936" t="s">
        <v>17356</v>
      </c>
      <c r="AB2936" t="s">
        <v>22398</v>
      </c>
      <c r="AC2936">
        <v>2</v>
      </c>
      <c r="AD2936" t="s">
        <v>24600</v>
      </c>
      <c r="AE2936" t="s">
        <v>11459</v>
      </c>
      <c r="AF2936">
        <v>9</v>
      </c>
      <c r="AG2936">
        <v>3</v>
      </c>
      <c r="AH2936">
        <v>1</v>
      </c>
      <c r="AI2936">
        <v>99.63</v>
      </c>
      <c r="AL2936" t="s">
        <v>24632</v>
      </c>
      <c r="AM2936">
        <v>25656</v>
      </c>
      <c r="AS2936">
        <v>1.95</v>
      </c>
      <c r="AT2936" t="s">
        <v>372</v>
      </c>
      <c r="AU2936" t="s">
        <v>25233</v>
      </c>
      <c r="AV2936" t="s">
        <v>25335</v>
      </c>
      <c r="AW2936" t="s">
        <v>11447</v>
      </c>
    </row>
    <row r="2937" spans="1:49">
      <c r="A2937" s="1">
        <f>HYPERLINK("https://lsnyc.legalserver.org/matter/dynamic-profile/view/1874541","18-1874541")</f>
        <v>0</v>
      </c>
      <c r="B2937" t="s">
        <v>179</v>
      </c>
      <c r="C2937" t="s">
        <v>786</v>
      </c>
      <c r="E2937" t="s">
        <v>2545</v>
      </c>
      <c r="F2937" t="s">
        <v>3639</v>
      </c>
      <c r="G2937" t="s">
        <v>7449</v>
      </c>
      <c r="H2937" t="s">
        <v>10547</v>
      </c>
      <c r="I2937" t="s">
        <v>11407</v>
      </c>
      <c r="J2937">
        <v>11415</v>
      </c>
      <c r="K2937" t="s">
        <v>11446</v>
      </c>
      <c r="L2937" t="s">
        <v>12616</v>
      </c>
      <c r="M2937" t="s">
        <v>14744</v>
      </c>
      <c r="N2937" t="s">
        <v>14781</v>
      </c>
      <c r="P2937" t="s">
        <v>14801</v>
      </c>
      <c r="Q2937" t="s">
        <v>11448</v>
      </c>
      <c r="S2937" t="s">
        <v>14827</v>
      </c>
      <c r="T2937" t="s">
        <v>14832</v>
      </c>
      <c r="U2937" t="s">
        <v>354</v>
      </c>
      <c r="V2937">
        <v>1700</v>
      </c>
      <c r="W2937" t="s">
        <v>14861</v>
      </c>
      <c r="X2937" t="s">
        <v>14865</v>
      </c>
      <c r="Z2937" t="s">
        <v>17357</v>
      </c>
      <c r="AA2937" t="s">
        <v>19600</v>
      </c>
      <c r="AB2937" t="s">
        <v>22399</v>
      </c>
      <c r="AC2937">
        <v>42</v>
      </c>
      <c r="AE2937" t="s">
        <v>11459</v>
      </c>
      <c r="AF2937">
        <v>1</v>
      </c>
      <c r="AG2937">
        <v>3</v>
      </c>
      <c r="AH2937">
        <v>0</v>
      </c>
      <c r="AI2937">
        <v>46.2</v>
      </c>
      <c r="AK2937" t="s">
        <v>24630</v>
      </c>
      <c r="AL2937" t="s">
        <v>5011</v>
      </c>
      <c r="AM2937">
        <v>9600</v>
      </c>
      <c r="AO2937" t="s">
        <v>24930</v>
      </c>
      <c r="AP2937" t="s">
        <v>14755</v>
      </c>
      <c r="AQ2937" t="s">
        <v>24989</v>
      </c>
      <c r="AR2937" t="s">
        <v>25062</v>
      </c>
      <c r="AS2937">
        <v>10.5</v>
      </c>
      <c r="AT2937" t="s">
        <v>331</v>
      </c>
      <c r="AU2937" t="s">
        <v>292</v>
      </c>
      <c r="AW2937" t="s">
        <v>11447</v>
      </c>
    </row>
    <row r="2938" spans="1:49">
      <c r="A2938" s="1">
        <f>HYPERLINK("https://lsnyc.legalserver.org/matter/dynamic-profile/view/1906915","19-1906915")</f>
        <v>0</v>
      </c>
      <c r="B2938" t="s">
        <v>248</v>
      </c>
      <c r="C2938" t="s">
        <v>354</v>
      </c>
      <c r="E2938" t="s">
        <v>2546</v>
      </c>
      <c r="F2938" t="s">
        <v>4018</v>
      </c>
      <c r="G2938" t="s">
        <v>8399</v>
      </c>
      <c r="H2938" t="s">
        <v>10464</v>
      </c>
      <c r="I2938" t="s">
        <v>11411</v>
      </c>
      <c r="J2938">
        <v>11418</v>
      </c>
      <c r="K2938" t="s">
        <v>11446</v>
      </c>
      <c r="L2938" t="s">
        <v>12617</v>
      </c>
      <c r="M2938" t="s">
        <v>14743</v>
      </c>
      <c r="N2938" t="s">
        <v>14778</v>
      </c>
      <c r="P2938" t="s">
        <v>14801</v>
      </c>
      <c r="Q2938" t="s">
        <v>11448</v>
      </c>
      <c r="S2938" t="s">
        <v>14827</v>
      </c>
      <c r="T2938" t="s">
        <v>14832</v>
      </c>
      <c r="U2938" t="s">
        <v>354</v>
      </c>
      <c r="V2938">
        <v>1100</v>
      </c>
      <c r="W2938" t="s">
        <v>14861</v>
      </c>
      <c r="X2938" t="s">
        <v>14865</v>
      </c>
      <c r="Z2938" t="s">
        <v>17358</v>
      </c>
      <c r="AB2938" t="s">
        <v>22400</v>
      </c>
      <c r="AC2938">
        <v>9</v>
      </c>
      <c r="AD2938" t="s">
        <v>11479</v>
      </c>
      <c r="AE2938" t="s">
        <v>11459</v>
      </c>
      <c r="AF2938">
        <v>1</v>
      </c>
      <c r="AG2938">
        <v>2</v>
      </c>
      <c r="AH2938">
        <v>1</v>
      </c>
      <c r="AI2938">
        <v>187.53</v>
      </c>
      <c r="AL2938" t="s">
        <v>5011</v>
      </c>
      <c r="AM2938">
        <v>40000</v>
      </c>
      <c r="AS2938">
        <v>1.7</v>
      </c>
      <c r="AT2938" t="s">
        <v>462</v>
      </c>
      <c r="AU2938" t="s">
        <v>292</v>
      </c>
      <c r="AV2938" t="s">
        <v>25335</v>
      </c>
      <c r="AW2938" t="s">
        <v>11447</v>
      </c>
    </row>
    <row r="2939" spans="1:49">
      <c r="A2939" s="1">
        <f>HYPERLINK("https://lsnyc.legalserver.org/matter/dynamic-profile/view/1907263","19-1907263")</f>
        <v>0</v>
      </c>
      <c r="B2939" t="s">
        <v>179</v>
      </c>
      <c r="C2939" t="s">
        <v>366</v>
      </c>
      <c r="E2939" t="s">
        <v>1218</v>
      </c>
      <c r="F2939" t="s">
        <v>5132</v>
      </c>
      <c r="G2939" t="s">
        <v>8400</v>
      </c>
      <c r="H2939" t="s">
        <v>10464</v>
      </c>
      <c r="I2939" t="s">
        <v>11405</v>
      </c>
      <c r="J2939">
        <v>11416</v>
      </c>
      <c r="K2939" t="s">
        <v>11446</v>
      </c>
      <c r="L2939" t="s">
        <v>12618</v>
      </c>
      <c r="M2939" t="s">
        <v>14743</v>
      </c>
      <c r="N2939" t="s">
        <v>14781</v>
      </c>
      <c r="P2939" t="s">
        <v>14801</v>
      </c>
      <c r="Q2939" t="s">
        <v>11448</v>
      </c>
      <c r="S2939" t="s">
        <v>14827</v>
      </c>
      <c r="U2939" t="s">
        <v>366</v>
      </c>
      <c r="V2939">
        <v>2700</v>
      </c>
      <c r="W2939" t="s">
        <v>14861</v>
      </c>
      <c r="X2939" t="s">
        <v>14865</v>
      </c>
      <c r="Z2939" t="s">
        <v>17359</v>
      </c>
      <c r="AB2939" t="s">
        <v>22401</v>
      </c>
      <c r="AC2939">
        <v>5</v>
      </c>
      <c r="AD2939" t="s">
        <v>11479</v>
      </c>
      <c r="AE2939" t="s">
        <v>11459</v>
      </c>
      <c r="AF2939">
        <v>12</v>
      </c>
      <c r="AG2939">
        <v>2</v>
      </c>
      <c r="AH2939">
        <v>2</v>
      </c>
      <c r="AI2939">
        <v>85.44</v>
      </c>
      <c r="AL2939" t="s">
        <v>5011</v>
      </c>
      <c r="AM2939">
        <v>22000</v>
      </c>
      <c r="AS2939">
        <v>18.3</v>
      </c>
      <c r="AT2939" t="s">
        <v>574</v>
      </c>
      <c r="AU2939" t="s">
        <v>292</v>
      </c>
      <c r="AV2939" t="s">
        <v>25335</v>
      </c>
      <c r="AW2939" t="s">
        <v>11447</v>
      </c>
    </row>
    <row r="2940" spans="1:49">
      <c r="A2940" s="1">
        <f>HYPERLINK("https://lsnyc.legalserver.org/matter/dynamic-profile/view/1907470","19-1907470")</f>
        <v>0</v>
      </c>
      <c r="B2940" t="s">
        <v>147</v>
      </c>
      <c r="C2940" t="s">
        <v>465</v>
      </c>
      <c r="E2940" t="s">
        <v>2547</v>
      </c>
      <c r="F2940" t="s">
        <v>3896</v>
      </c>
      <c r="G2940" t="s">
        <v>8401</v>
      </c>
      <c r="H2940" t="s">
        <v>10646</v>
      </c>
      <c r="I2940" t="s">
        <v>11387</v>
      </c>
      <c r="J2940">
        <v>11435</v>
      </c>
      <c r="K2940" t="s">
        <v>11446</v>
      </c>
      <c r="L2940" t="s">
        <v>12619</v>
      </c>
      <c r="M2940" t="s">
        <v>14743</v>
      </c>
      <c r="N2940" t="s">
        <v>14778</v>
      </c>
      <c r="P2940" t="s">
        <v>14801</v>
      </c>
      <c r="Q2940" t="s">
        <v>11448</v>
      </c>
      <c r="S2940" t="s">
        <v>14827</v>
      </c>
      <c r="U2940" t="s">
        <v>465</v>
      </c>
      <c r="V2940">
        <v>2257</v>
      </c>
      <c r="W2940" t="s">
        <v>14861</v>
      </c>
      <c r="X2940" t="s">
        <v>14865</v>
      </c>
      <c r="Z2940" t="s">
        <v>17360</v>
      </c>
      <c r="AA2940" t="s">
        <v>19601</v>
      </c>
      <c r="AB2940" t="s">
        <v>22402</v>
      </c>
      <c r="AC2940">
        <v>2</v>
      </c>
      <c r="AD2940" t="s">
        <v>11479</v>
      </c>
      <c r="AE2940" t="s">
        <v>24616</v>
      </c>
      <c r="AF2940">
        <v>1</v>
      </c>
      <c r="AG2940">
        <v>2</v>
      </c>
      <c r="AH2940">
        <v>5</v>
      </c>
      <c r="AI2940">
        <v>12.3</v>
      </c>
      <c r="AL2940" t="s">
        <v>5011</v>
      </c>
      <c r="AM2940">
        <v>4800</v>
      </c>
      <c r="AS2940">
        <v>0.97</v>
      </c>
      <c r="AT2940" t="s">
        <v>458</v>
      </c>
      <c r="AU2940" t="s">
        <v>292</v>
      </c>
      <c r="AV2940" t="s">
        <v>25335</v>
      </c>
      <c r="AW2940" t="s">
        <v>11447</v>
      </c>
    </row>
    <row r="2941" spans="1:49">
      <c r="A2941" s="1">
        <f>HYPERLINK("https://lsnyc.legalserver.org/matter/dynamic-profile/view/1907512","19-1907512")</f>
        <v>0</v>
      </c>
      <c r="B2941" t="s">
        <v>271</v>
      </c>
      <c r="C2941" t="s">
        <v>465</v>
      </c>
      <c r="E2941" t="s">
        <v>1430</v>
      </c>
      <c r="F2941" t="s">
        <v>5133</v>
      </c>
      <c r="G2941" t="s">
        <v>8402</v>
      </c>
      <c r="H2941" t="s">
        <v>10461</v>
      </c>
      <c r="I2941" t="s">
        <v>11411</v>
      </c>
      <c r="J2941">
        <v>11418</v>
      </c>
      <c r="K2941" t="s">
        <v>11446</v>
      </c>
      <c r="L2941" t="s">
        <v>12620</v>
      </c>
      <c r="M2941" t="s">
        <v>14744</v>
      </c>
      <c r="N2941" t="s">
        <v>14778</v>
      </c>
      <c r="P2941" t="s">
        <v>14801</v>
      </c>
      <c r="Q2941" t="s">
        <v>11448</v>
      </c>
      <c r="S2941" t="s">
        <v>14827</v>
      </c>
      <c r="T2941" t="s">
        <v>14837</v>
      </c>
      <c r="U2941" t="s">
        <v>465</v>
      </c>
      <c r="V2941">
        <v>1433</v>
      </c>
      <c r="W2941" t="s">
        <v>14861</v>
      </c>
      <c r="X2941" t="s">
        <v>14865</v>
      </c>
      <c r="Z2941" t="s">
        <v>16499</v>
      </c>
      <c r="AA2941" t="s">
        <v>19602</v>
      </c>
      <c r="AB2941" t="s">
        <v>22403</v>
      </c>
      <c r="AC2941">
        <v>72</v>
      </c>
      <c r="AD2941" t="s">
        <v>24595</v>
      </c>
      <c r="AE2941" t="s">
        <v>11459</v>
      </c>
      <c r="AF2941">
        <v>15</v>
      </c>
      <c r="AG2941">
        <v>1</v>
      </c>
      <c r="AH2941">
        <v>1</v>
      </c>
      <c r="AI2941">
        <v>62.73</v>
      </c>
      <c r="AL2941" t="s">
        <v>5011</v>
      </c>
      <c r="AM2941">
        <v>10608</v>
      </c>
      <c r="AS2941">
        <v>2</v>
      </c>
      <c r="AT2941" t="s">
        <v>472</v>
      </c>
      <c r="AU2941" t="s">
        <v>99</v>
      </c>
      <c r="AV2941" t="s">
        <v>25335</v>
      </c>
      <c r="AW2941" t="s">
        <v>11447</v>
      </c>
    </row>
    <row r="2942" spans="1:49">
      <c r="A2942" s="1">
        <f>HYPERLINK("https://lsnyc.legalserver.org/matter/dynamic-profile/view/1907475","19-1907475")</f>
        <v>0</v>
      </c>
      <c r="B2942" t="s">
        <v>294</v>
      </c>
      <c r="C2942" t="s">
        <v>465</v>
      </c>
      <c r="E2942" t="s">
        <v>2548</v>
      </c>
      <c r="F2942" t="s">
        <v>1395</v>
      </c>
      <c r="G2942" t="s">
        <v>8403</v>
      </c>
      <c r="H2942" t="s">
        <v>10689</v>
      </c>
      <c r="I2942" t="s">
        <v>11396</v>
      </c>
      <c r="J2942">
        <v>11365</v>
      </c>
      <c r="K2942" t="s">
        <v>11446</v>
      </c>
      <c r="L2942" t="s">
        <v>12621</v>
      </c>
      <c r="M2942" t="s">
        <v>14744</v>
      </c>
      <c r="N2942" t="s">
        <v>14781</v>
      </c>
      <c r="P2942" t="s">
        <v>14801</v>
      </c>
      <c r="Q2942" t="s">
        <v>11448</v>
      </c>
      <c r="S2942" t="s">
        <v>14827</v>
      </c>
      <c r="U2942" t="s">
        <v>465</v>
      </c>
      <c r="V2942">
        <v>489</v>
      </c>
      <c r="W2942" t="s">
        <v>14861</v>
      </c>
      <c r="X2942" t="s">
        <v>14865</v>
      </c>
      <c r="Z2942" t="s">
        <v>17361</v>
      </c>
      <c r="AA2942" t="s">
        <v>19603</v>
      </c>
      <c r="AB2942" t="s">
        <v>22404</v>
      </c>
      <c r="AC2942">
        <v>28</v>
      </c>
      <c r="AD2942" t="s">
        <v>24597</v>
      </c>
      <c r="AE2942" t="s">
        <v>11459</v>
      </c>
      <c r="AF2942">
        <v>10</v>
      </c>
      <c r="AG2942">
        <v>2</v>
      </c>
      <c r="AH2942">
        <v>2</v>
      </c>
      <c r="AI2942">
        <v>69.90000000000001</v>
      </c>
      <c r="AL2942" t="s">
        <v>5011</v>
      </c>
      <c r="AM2942">
        <v>18000</v>
      </c>
      <c r="AS2942">
        <v>50.5</v>
      </c>
      <c r="AT2942" t="s">
        <v>491</v>
      </c>
      <c r="AU2942" t="s">
        <v>292</v>
      </c>
      <c r="AV2942" t="s">
        <v>25335</v>
      </c>
      <c r="AW2942" t="s">
        <v>11447</v>
      </c>
    </row>
    <row r="2943" spans="1:49">
      <c r="A2943" s="1">
        <f>HYPERLINK("https://lsnyc.legalserver.org/matter/dynamic-profile/view/1907554","19-1907554")</f>
        <v>0</v>
      </c>
      <c r="B2943" t="s">
        <v>74</v>
      </c>
      <c r="C2943" t="s">
        <v>524</v>
      </c>
      <c r="E2943" t="s">
        <v>2549</v>
      </c>
      <c r="F2943" t="s">
        <v>5134</v>
      </c>
      <c r="G2943" t="s">
        <v>8404</v>
      </c>
      <c r="I2943" t="s">
        <v>11383</v>
      </c>
      <c r="J2943">
        <v>10473</v>
      </c>
      <c r="K2943" t="s">
        <v>11446</v>
      </c>
      <c r="L2943" t="s">
        <v>11704</v>
      </c>
      <c r="M2943" t="s">
        <v>14753</v>
      </c>
      <c r="N2943" t="s">
        <v>14778</v>
      </c>
      <c r="P2943" t="s">
        <v>14801</v>
      </c>
      <c r="Q2943" t="s">
        <v>11448</v>
      </c>
      <c r="S2943" t="s">
        <v>14828</v>
      </c>
      <c r="T2943" t="s">
        <v>14832</v>
      </c>
      <c r="U2943" t="s">
        <v>465</v>
      </c>
      <c r="V2943">
        <v>900</v>
      </c>
      <c r="W2943" t="s">
        <v>14861</v>
      </c>
      <c r="X2943" t="s">
        <v>14755</v>
      </c>
      <c r="Z2943" t="s">
        <v>17362</v>
      </c>
      <c r="AB2943" t="s">
        <v>22405</v>
      </c>
      <c r="AC2943">
        <v>3</v>
      </c>
      <c r="AD2943" t="s">
        <v>24600</v>
      </c>
      <c r="AE2943" t="s">
        <v>24610</v>
      </c>
      <c r="AF2943">
        <v>55</v>
      </c>
      <c r="AG2943">
        <v>1</v>
      </c>
      <c r="AH2943">
        <v>0</v>
      </c>
      <c r="AI2943">
        <v>110.87</v>
      </c>
      <c r="AL2943" t="s">
        <v>5011</v>
      </c>
      <c r="AM2943">
        <v>13848</v>
      </c>
      <c r="AS2943">
        <v>2.07</v>
      </c>
      <c r="AT2943" t="s">
        <v>471</v>
      </c>
      <c r="AU2943" t="s">
        <v>25233</v>
      </c>
      <c r="AV2943" t="s">
        <v>25335</v>
      </c>
      <c r="AW2943" t="s">
        <v>11447</v>
      </c>
    </row>
    <row r="2944" spans="1:49">
      <c r="A2944" s="1">
        <f>HYPERLINK("https://lsnyc.legalserver.org/matter/dynamic-profile/view/1907327","19-1907327")</f>
        <v>0</v>
      </c>
      <c r="B2944" t="s">
        <v>209</v>
      </c>
      <c r="C2944" t="s">
        <v>366</v>
      </c>
      <c r="E2944" t="s">
        <v>1330</v>
      </c>
      <c r="F2944" t="s">
        <v>3696</v>
      </c>
      <c r="G2944" t="s">
        <v>8405</v>
      </c>
      <c r="H2944" t="s">
        <v>10787</v>
      </c>
      <c r="I2944" t="s">
        <v>11404</v>
      </c>
      <c r="J2944">
        <v>11106</v>
      </c>
      <c r="K2944" t="s">
        <v>11446</v>
      </c>
      <c r="L2944" t="s">
        <v>12622</v>
      </c>
      <c r="M2944" t="s">
        <v>14744</v>
      </c>
      <c r="N2944" t="s">
        <v>14778</v>
      </c>
      <c r="P2944" t="s">
        <v>14801</v>
      </c>
      <c r="Q2944" t="s">
        <v>11448</v>
      </c>
      <c r="S2944" t="s">
        <v>14828</v>
      </c>
      <c r="U2944" t="s">
        <v>377</v>
      </c>
      <c r="V2944">
        <v>560</v>
      </c>
      <c r="W2944" t="s">
        <v>14861</v>
      </c>
      <c r="X2944" t="s">
        <v>14865</v>
      </c>
      <c r="Z2944" t="s">
        <v>17363</v>
      </c>
      <c r="AB2944" t="s">
        <v>22406</v>
      </c>
      <c r="AC2944">
        <v>48</v>
      </c>
      <c r="AD2944" t="s">
        <v>24602</v>
      </c>
      <c r="AE2944" t="s">
        <v>11459</v>
      </c>
      <c r="AF2944">
        <v>20</v>
      </c>
      <c r="AG2944">
        <v>2</v>
      </c>
      <c r="AH2944">
        <v>0</v>
      </c>
      <c r="AI2944">
        <v>107.63</v>
      </c>
      <c r="AL2944" t="s">
        <v>5011</v>
      </c>
      <c r="AM2944">
        <v>18200</v>
      </c>
      <c r="AS2944">
        <v>2.43</v>
      </c>
      <c r="AT2944" t="s">
        <v>375</v>
      </c>
      <c r="AU2944" t="s">
        <v>25233</v>
      </c>
      <c r="AV2944" t="s">
        <v>25335</v>
      </c>
      <c r="AW2944" t="s">
        <v>11447</v>
      </c>
    </row>
    <row r="2945" spans="1:49">
      <c r="A2945" s="1">
        <f>HYPERLINK("https://lsnyc.legalserver.org/matter/dynamic-profile/view/1907952","19-1907952")</f>
        <v>0</v>
      </c>
      <c r="B2945" t="s">
        <v>293</v>
      </c>
      <c r="C2945" t="s">
        <v>458</v>
      </c>
      <c r="E2945" t="s">
        <v>2550</v>
      </c>
      <c r="F2945" t="s">
        <v>4209</v>
      </c>
      <c r="G2945" t="s">
        <v>8406</v>
      </c>
      <c r="H2945">
        <v>2</v>
      </c>
      <c r="I2945" t="s">
        <v>11419</v>
      </c>
      <c r="J2945">
        <v>11420</v>
      </c>
      <c r="K2945" t="s">
        <v>11446</v>
      </c>
      <c r="L2945" t="s">
        <v>12623</v>
      </c>
      <c r="M2945" t="s">
        <v>14743</v>
      </c>
      <c r="N2945" t="s">
        <v>14781</v>
      </c>
      <c r="P2945" t="s">
        <v>14801</v>
      </c>
      <c r="Q2945" t="s">
        <v>11448</v>
      </c>
      <c r="S2945" t="s">
        <v>14827</v>
      </c>
      <c r="U2945" t="s">
        <v>458</v>
      </c>
      <c r="V2945">
        <v>269</v>
      </c>
      <c r="W2945" t="s">
        <v>14861</v>
      </c>
      <c r="X2945" t="s">
        <v>14865</v>
      </c>
      <c r="Z2945" t="s">
        <v>17364</v>
      </c>
      <c r="AA2945" t="s">
        <v>11465</v>
      </c>
      <c r="AB2945" t="s">
        <v>22407</v>
      </c>
      <c r="AC2945">
        <v>2</v>
      </c>
      <c r="AD2945" t="s">
        <v>11479</v>
      </c>
      <c r="AE2945" t="s">
        <v>24610</v>
      </c>
      <c r="AF2945">
        <v>6</v>
      </c>
      <c r="AG2945">
        <v>1</v>
      </c>
      <c r="AH2945">
        <v>0</v>
      </c>
      <c r="AI2945">
        <v>80.06</v>
      </c>
      <c r="AL2945" t="s">
        <v>24632</v>
      </c>
      <c r="AM2945">
        <v>10000</v>
      </c>
      <c r="AO2945" t="s">
        <v>24932</v>
      </c>
      <c r="AP2945" t="s">
        <v>24941</v>
      </c>
      <c r="AQ2945" t="s">
        <v>24986</v>
      </c>
      <c r="AR2945" t="s">
        <v>25063</v>
      </c>
      <c r="AS2945">
        <v>26.3</v>
      </c>
      <c r="AT2945" t="s">
        <v>506</v>
      </c>
      <c r="AU2945" t="s">
        <v>292</v>
      </c>
      <c r="AV2945" t="s">
        <v>25335</v>
      </c>
      <c r="AW2945" t="s">
        <v>11447</v>
      </c>
    </row>
    <row r="2946" spans="1:49">
      <c r="A2946" s="1">
        <f>HYPERLINK("https://lsnyc.legalserver.org/matter/dynamic-profile/view/1907993","19-1907993")</f>
        <v>0</v>
      </c>
      <c r="B2946" t="s">
        <v>248</v>
      </c>
      <c r="C2946" t="s">
        <v>458</v>
      </c>
      <c r="E2946" t="s">
        <v>2551</v>
      </c>
      <c r="F2946" t="s">
        <v>5135</v>
      </c>
      <c r="G2946" t="s">
        <v>8407</v>
      </c>
      <c r="H2946" t="s">
        <v>10648</v>
      </c>
      <c r="I2946" t="s">
        <v>11387</v>
      </c>
      <c r="J2946">
        <v>11436</v>
      </c>
      <c r="K2946" t="s">
        <v>11446</v>
      </c>
      <c r="L2946" t="s">
        <v>12624</v>
      </c>
      <c r="M2946" t="s">
        <v>14743</v>
      </c>
      <c r="N2946" t="s">
        <v>14779</v>
      </c>
      <c r="P2946" t="s">
        <v>14801</v>
      </c>
      <c r="Q2946" t="s">
        <v>11448</v>
      </c>
      <c r="S2946" t="s">
        <v>14827</v>
      </c>
      <c r="T2946" t="s">
        <v>14832</v>
      </c>
      <c r="U2946" t="s">
        <v>458</v>
      </c>
      <c r="V2946">
        <v>0</v>
      </c>
      <c r="W2946" t="s">
        <v>14861</v>
      </c>
      <c r="X2946" t="s">
        <v>14865</v>
      </c>
      <c r="Z2946" t="s">
        <v>17365</v>
      </c>
      <c r="AB2946" t="s">
        <v>22408</v>
      </c>
      <c r="AC2946">
        <v>2</v>
      </c>
      <c r="AE2946" t="s">
        <v>11459</v>
      </c>
      <c r="AF2946">
        <v>56</v>
      </c>
      <c r="AG2946">
        <v>2</v>
      </c>
      <c r="AH2946">
        <v>1</v>
      </c>
      <c r="AI2946">
        <v>129.4</v>
      </c>
      <c r="AL2946" t="s">
        <v>5011</v>
      </c>
      <c r="AM2946">
        <v>27600</v>
      </c>
      <c r="AS2946">
        <v>1.92</v>
      </c>
      <c r="AT2946" t="s">
        <v>578</v>
      </c>
      <c r="AU2946" t="s">
        <v>25233</v>
      </c>
      <c r="AV2946" t="s">
        <v>25335</v>
      </c>
      <c r="AW2946" t="s">
        <v>11447</v>
      </c>
    </row>
    <row r="2947" spans="1:49">
      <c r="A2947" s="1">
        <f>HYPERLINK("https://lsnyc.legalserver.org/matter/dynamic-profile/view/1908093","19-1908093")</f>
        <v>0</v>
      </c>
      <c r="B2947" t="s">
        <v>248</v>
      </c>
      <c r="C2947" t="s">
        <v>455</v>
      </c>
      <c r="E2947" t="s">
        <v>2552</v>
      </c>
      <c r="F2947" t="s">
        <v>5136</v>
      </c>
      <c r="G2947" t="s">
        <v>8408</v>
      </c>
      <c r="H2947" t="s">
        <v>10743</v>
      </c>
      <c r="I2947" t="s">
        <v>11387</v>
      </c>
      <c r="J2947">
        <v>11435</v>
      </c>
      <c r="K2947" t="s">
        <v>11446</v>
      </c>
      <c r="L2947" t="s">
        <v>12625</v>
      </c>
      <c r="M2947" t="s">
        <v>14743</v>
      </c>
      <c r="N2947" t="s">
        <v>14781</v>
      </c>
      <c r="P2947" t="s">
        <v>14801</v>
      </c>
      <c r="Q2947" t="s">
        <v>11448</v>
      </c>
      <c r="S2947" t="s">
        <v>14827</v>
      </c>
      <c r="T2947" t="s">
        <v>14832</v>
      </c>
      <c r="U2947" t="s">
        <v>455</v>
      </c>
      <c r="V2947">
        <v>1450</v>
      </c>
      <c r="W2947" t="s">
        <v>14861</v>
      </c>
      <c r="Z2947" t="s">
        <v>17366</v>
      </c>
      <c r="AA2947" t="s">
        <v>19604</v>
      </c>
      <c r="AB2947" t="s">
        <v>22409</v>
      </c>
      <c r="AC2947">
        <v>2</v>
      </c>
      <c r="AD2947" t="s">
        <v>24600</v>
      </c>
      <c r="AE2947" t="s">
        <v>24610</v>
      </c>
      <c r="AF2947">
        <v>22</v>
      </c>
      <c r="AG2947">
        <v>3</v>
      </c>
      <c r="AH2947">
        <v>0</v>
      </c>
      <c r="AI2947">
        <v>78.76000000000001</v>
      </c>
      <c r="AL2947" t="s">
        <v>5011</v>
      </c>
      <c r="AM2947">
        <v>16800</v>
      </c>
      <c r="AS2947">
        <v>16.4</v>
      </c>
      <c r="AT2947" t="s">
        <v>516</v>
      </c>
      <c r="AU2947" t="s">
        <v>25233</v>
      </c>
      <c r="AV2947" t="s">
        <v>25335</v>
      </c>
      <c r="AW2947" t="s">
        <v>11447</v>
      </c>
    </row>
    <row r="2948" spans="1:49">
      <c r="A2948" s="1">
        <f>HYPERLINK("https://lsnyc.legalserver.org/matter/dynamic-profile/view/1908058","19-1908058")</f>
        <v>0</v>
      </c>
      <c r="B2948" t="s">
        <v>248</v>
      </c>
      <c r="C2948" t="s">
        <v>455</v>
      </c>
      <c r="E2948" t="s">
        <v>2553</v>
      </c>
      <c r="F2948" t="s">
        <v>5137</v>
      </c>
      <c r="G2948" t="s">
        <v>8409</v>
      </c>
      <c r="H2948" t="s">
        <v>10464</v>
      </c>
      <c r="I2948" t="s">
        <v>11407</v>
      </c>
      <c r="J2948">
        <v>11415</v>
      </c>
      <c r="K2948" t="s">
        <v>11446</v>
      </c>
      <c r="L2948" t="s">
        <v>12626</v>
      </c>
      <c r="M2948" t="s">
        <v>14744</v>
      </c>
      <c r="N2948" t="s">
        <v>14781</v>
      </c>
      <c r="P2948" t="s">
        <v>14801</v>
      </c>
      <c r="Q2948" t="s">
        <v>11448</v>
      </c>
      <c r="S2948" t="s">
        <v>14827</v>
      </c>
      <c r="T2948" t="s">
        <v>14837</v>
      </c>
      <c r="U2948" t="s">
        <v>455</v>
      </c>
      <c r="V2948">
        <v>1825</v>
      </c>
      <c r="W2948" t="s">
        <v>14861</v>
      </c>
      <c r="X2948" t="s">
        <v>14865</v>
      </c>
      <c r="Z2948" t="s">
        <v>17367</v>
      </c>
      <c r="AA2948" t="s">
        <v>19605</v>
      </c>
      <c r="AB2948" t="s">
        <v>22410</v>
      </c>
      <c r="AC2948">
        <v>46</v>
      </c>
      <c r="AD2948" t="s">
        <v>11479</v>
      </c>
      <c r="AE2948" t="s">
        <v>11459</v>
      </c>
      <c r="AF2948">
        <v>1</v>
      </c>
      <c r="AG2948">
        <v>2</v>
      </c>
      <c r="AH2948">
        <v>3</v>
      </c>
      <c r="AI2948">
        <v>122.64</v>
      </c>
      <c r="AL2948" t="s">
        <v>5011</v>
      </c>
      <c r="AM2948">
        <v>37000</v>
      </c>
      <c r="AO2948" t="s">
        <v>24932</v>
      </c>
      <c r="AP2948" t="s">
        <v>24942</v>
      </c>
      <c r="AQ2948" t="s">
        <v>24986</v>
      </c>
      <c r="AR2948" t="s">
        <v>25064</v>
      </c>
      <c r="AS2948">
        <v>15.83</v>
      </c>
      <c r="AT2948" t="s">
        <v>559</v>
      </c>
      <c r="AU2948" t="s">
        <v>25233</v>
      </c>
      <c r="AV2948" t="s">
        <v>25335</v>
      </c>
      <c r="AW2948" t="s">
        <v>11447</v>
      </c>
    </row>
    <row r="2949" spans="1:49">
      <c r="A2949" s="1">
        <f>HYPERLINK("https://lsnyc.legalserver.org/matter/dynamic-profile/view/1908284","19-1908284")</f>
        <v>0</v>
      </c>
      <c r="B2949" t="s">
        <v>124</v>
      </c>
      <c r="C2949" t="s">
        <v>375</v>
      </c>
      <c r="E2949" t="s">
        <v>1296</v>
      </c>
      <c r="F2949" t="s">
        <v>5138</v>
      </c>
      <c r="G2949" t="s">
        <v>8410</v>
      </c>
      <c r="H2949" t="s">
        <v>10705</v>
      </c>
      <c r="I2949" t="s">
        <v>11419</v>
      </c>
      <c r="J2949">
        <v>11420</v>
      </c>
      <c r="K2949" t="s">
        <v>11446</v>
      </c>
      <c r="L2949" t="s">
        <v>12627</v>
      </c>
      <c r="M2949" t="s">
        <v>14743</v>
      </c>
      <c r="N2949" t="s">
        <v>14778</v>
      </c>
      <c r="P2949" t="s">
        <v>14801</v>
      </c>
      <c r="Q2949" t="s">
        <v>11448</v>
      </c>
      <c r="S2949" t="s">
        <v>14827</v>
      </c>
      <c r="T2949" t="s">
        <v>14832</v>
      </c>
      <c r="U2949" t="s">
        <v>375</v>
      </c>
      <c r="V2949">
        <v>2500</v>
      </c>
      <c r="W2949" t="s">
        <v>14861</v>
      </c>
      <c r="X2949" t="s">
        <v>14865</v>
      </c>
      <c r="Z2949" t="s">
        <v>17368</v>
      </c>
      <c r="AA2949" t="s">
        <v>19606</v>
      </c>
      <c r="AB2949" t="s">
        <v>22411</v>
      </c>
      <c r="AC2949">
        <v>2</v>
      </c>
      <c r="AD2949" t="s">
        <v>11479</v>
      </c>
      <c r="AE2949" t="s">
        <v>11459</v>
      </c>
      <c r="AF2949">
        <v>1</v>
      </c>
      <c r="AG2949">
        <v>2</v>
      </c>
      <c r="AH2949">
        <v>2</v>
      </c>
      <c r="AI2949">
        <v>97.09</v>
      </c>
      <c r="AL2949" t="s">
        <v>5011</v>
      </c>
      <c r="AM2949">
        <v>25000</v>
      </c>
      <c r="AS2949">
        <v>1.4</v>
      </c>
      <c r="AT2949" t="s">
        <v>604</v>
      </c>
      <c r="AU2949" t="s">
        <v>292</v>
      </c>
      <c r="AV2949" t="s">
        <v>25335</v>
      </c>
      <c r="AW2949" t="s">
        <v>11447</v>
      </c>
    </row>
    <row r="2950" spans="1:49">
      <c r="A2950" s="1">
        <f>HYPERLINK("https://lsnyc.legalserver.org/matter/dynamic-profile/view/1908275","19-1908275")</f>
        <v>0</v>
      </c>
      <c r="B2950" t="s">
        <v>144</v>
      </c>
      <c r="C2950" t="s">
        <v>375</v>
      </c>
      <c r="E2950" t="s">
        <v>2554</v>
      </c>
      <c r="F2950" t="s">
        <v>5139</v>
      </c>
      <c r="G2950" t="s">
        <v>8411</v>
      </c>
      <c r="H2950" t="s">
        <v>10559</v>
      </c>
      <c r="I2950" t="s">
        <v>11404</v>
      </c>
      <c r="J2950">
        <v>11102</v>
      </c>
      <c r="K2950" t="s">
        <v>11446</v>
      </c>
      <c r="L2950" t="s">
        <v>12575</v>
      </c>
      <c r="M2950" t="s">
        <v>14750</v>
      </c>
      <c r="N2950" t="s">
        <v>14778</v>
      </c>
      <c r="P2950" t="s">
        <v>14801</v>
      </c>
      <c r="Q2950" t="s">
        <v>11448</v>
      </c>
      <c r="S2950" t="s">
        <v>14828</v>
      </c>
      <c r="U2950" t="s">
        <v>375</v>
      </c>
      <c r="V2950">
        <v>561</v>
      </c>
      <c r="W2950" t="s">
        <v>14861</v>
      </c>
      <c r="X2950" t="s">
        <v>14865</v>
      </c>
      <c r="Z2950" t="s">
        <v>16972</v>
      </c>
      <c r="AA2950" t="s">
        <v>19607</v>
      </c>
      <c r="AB2950" t="s">
        <v>22412</v>
      </c>
      <c r="AC2950">
        <v>42</v>
      </c>
      <c r="AD2950" t="s">
        <v>24597</v>
      </c>
      <c r="AE2950" t="s">
        <v>11459</v>
      </c>
      <c r="AF2950">
        <v>2</v>
      </c>
      <c r="AG2950">
        <v>1</v>
      </c>
      <c r="AH2950">
        <v>0</v>
      </c>
      <c r="AI2950">
        <v>136.11</v>
      </c>
      <c r="AL2950" t="s">
        <v>5011</v>
      </c>
      <c r="AM2950">
        <v>17000</v>
      </c>
      <c r="AS2950">
        <v>0.5</v>
      </c>
      <c r="AT2950" t="s">
        <v>375</v>
      </c>
      <c r="AU2950" t="s">
        <v>292</v>
      </c>
      <c r="AV2950" t="s">
        <v>25335</v>
      </c>
      <c r="AW2950" t="s">
        <v>11447</v>
      </c>
    </row>
    <row r="2951" spans="1:49">
      <c r="A2951" s="1">
        <f>HYPERLINK("https://lsnyc.legalserver.org/matter/dynamic-profile/view/1908480","19-1908480")</f>
        <v>0</v>
      </c>
      <c r="B2951" t="s">
        <v>122</v>
      </c>
      <c r="C2951" t="s">
        <v>466</v>
      </c>
      <c r="E2951" t="s">
        <v>1506</v>
      </c>
      <c r="F2951" t="s">
        <v>5140</v>
      </c>
      <c r="G2951" t="s">
        <v>8412</v>
      </c>
      <c r="I2951" t="s">
        <v>11397</v>
      </c>
      <c r="J2951">
        <v>11378</v>
      </c>
      <c r="K2951" t="s">
        <v>11446</v>
      </c>
      <c r="L2951" t="s">
        <v>12628</v>
      </c>
      <c r="M2951" t="s">
        <v>14743</v>
      </c>
      <c r="N2951" t="s">
        <v>14778</v>
      </c>
      <c r="P2951" t="s">
        <v>14801</v>
      </c>
      <c r="Q2951" t="s">
        <v>11448</v>
      </c>
      <c r="S2951" t="s">
        <v>14827</v>
      </c>
      <c r="T2951" t="s">
        <v>14832</v>
      </c>
      <c r="U2951" t="s">
        <v>466</v>
      </c>
      <c r="V2951">
        <v>1600</v>
      </c>
      <c r="W2951" t="s">
        <v>14861</v>
      </c>
      <c r="X2951" t="s">
        <v>14865</v>
      </c>
      <c r="Z2951" t="s">
        <v>16067</v>
      </c>
      <c r="AB2951" t="s">
        <v>22413</v>
      </c>
      <c r="AC2951">
        <v>3</v>
      </c>
      <c r="AD2951" t="s">
        <v>11479</v>
      </c>
      <c r="AE2951" t="s">
        <v>11459</v>
      </c>
      <c r="AF2951">
        <v>13</v>
      </c>
      <c r="AG2951">
        <v>2</v>
      </c>
      <c r="AH2951">
        <v>0</v>
      </c>
      <c r="AI2951">
        <v>165.58</v>
      </c>
      <c r="AL2951" t="s">
        <v>24632</v>
      </c>
      <c r="AM2951">
        <v>28000</v>
      </c>
      <c r="AS2951">
        <v>1.3</v>
      </c>
      <c r="AT2951" t="s">
        <v>466</v>
      </c>
      <c r="AU2951" t="s">
        <v>292</v>
      </c>
      <c r="AV2951" t="s">
        <v>25335</v>
      </c>
      <c r="AW2951" t="s">
        <v>11447</v>
      </c>
    </row>
    <row r="2952" spans="1:49">
      <c r="A2952" s="1">
        <f>HYPERLINK("https://lsnyc.legalserver.org/matter/dynamic-profile/view/1908607","19-1908607")</f>
        <v>0</v>
      </c>
      <c r="B2952" t="s">
        <v>294</v>
      </c>
      <c r="C2952" t="s">
        <v>497</v>
      </c>
      <c r="E2952" t="s">
        <v>1552</v>
      </c>
      <c r="F2952" t="s">
        <v>5141</v>
      </c>
      <c r="G2952" t="s">
        <v>8413</v>
      </c>
      <c r="H2952" t="s">
        <v>10547</v>
      </c>
      <c r="I2952" t="s">
        <v>11393</v>
      </c>
      <c r="J2952">
        <v>11374</v>
      </c>
      <c r="K2952" t="s">
        <v>11446</v>
      </c>
      <c r="L2952" t="s">
        <v>12629</v>
      </c>
      <c r="M2952" t="s">
        <v>14744</v>
      </c>
      <c r="N2952" t="s">
        <v>14781</v>
      </c>
      <c r="P2952" t="s">
        <v>14801</v>
      </c>
      <c r="Q2952" t="s">
        <v>11448</v>
      </c>
      <c r="S2952" t="s">
        <v>14827</v>
      </c>
      <c r="T2952" t="s">
        <v>14832</v>
      </c>
      <c r="U2952" t="s">
        <v>497</v>
      </c>
      <c r="V2952">
        <v>1303.53</v>
      </c>
      <c r="W2952" t="s">
        <v>14861</v>
      </c>
      <c r="X2952" t="s">
        <v>14865</v>
      </c>
      <c r="Z2952" t="s">
        <v>15005</v>
      </c>
      <c r="AB2952" t="s">
        <v>22414</v>
      </c>
      <c r="AC2952">
        <v>36</v>
      </c>
      <c r="AD2952" t="s">
        <v>24595</v>
      </c>
      <c r="AE2952" t="s">
        <v>11459</v>
      </c>
      <c r="AF2952">
        <v>7</v>
      </c>
      <c r="AG2952">
        <v>1</v>
      </c>
      <c r="AH2952">
        <v>1</v>
      </c>
      <c r="AI2952">
        <v>0</v>
      </c>
      <c r="AL2952" t="s">
        <v>5011</v>
      </c>
      <c r="AM2952">
        <v>0</v>
      </c>
      <c r="AQ2952" t="s">
        <v>24986</v>
      </c>
      <c r="AS2952">
        <v>11.7</v>
      </c>
      <c r="AT2952" t="s">
        <v>490</v>
      </c>
      <c r="AU2952" t="s">
        <v>292</v>
      </c>
      <c r="AV2952" t="s">
        <v>25335</v>
      </c>
      <c r="AW2952" t="s">
        <v>11447</v>
      </c>
    </row>
    <row r="2953" spans="1:49">
      <c r="A2953" s="1">
        <f>HYPERLINK("https://lsnyc.legalserver.org/matter/dynamic-profile/view/1908642","19-1908642")</f>
        <v>0</v>
      </c>
      <c r="B2953" t="s">
        <v>147</v>
      </c>
      <c r="C2953" t="s">
        <v>497</v>
      </c>
      <c r="E2953" t="s">
        <v>1886</v>
      </c>
      <c r="F2953" t="s">
        <v>4209</v>
      </c>
      <c r="G2953" t="s">
        <v>8414</v>
      </c>
      <c r="H2953" t="s">
        <v>10578</v>
      </c>
      <c r="I2953" t="s">
        <v>11390</v>
      </c>
      <c r="J2953">
        <v>11368</v>
      </c>
      <c r="K2953" t="s">
        <v>11446</v>
      </c>
      <c r="L2953" t="s">
        <v>12630</v>
      </c>
      <c r="M2953" t="s">
        <v>14744</v>
      </c>
      <c r="N2953" t="s">
        <v>14778</v>
      </c>
      <c r="P2953" t="s">
        <v>14801</v>
      </c>
      <c r="Q2953" t="s">
        <v>11448</v>
      </c>
      <c r="S2953" t="s">
        <v>14827</v>
      </c>
      <c r="T2953" t="s">
        <v>14837</v>
      </c>
      <c r="U2953" t="s">
        <v>497</v>
      </c>
      <c r="V2953">
        <v>1450</v>
      </c>
      <c r="W2953" t="s">
        <v>14861</v>
      </c>
      <c r="X2953" t="s">
        <v>14865</v>
      </c>
      <c r="Z2953" t="s">
        <v>17133</v>
      </c>
      <c r="AB2953" t="s">
        <v>22415</v>
      </c>
      <c r="AC2953">
        <v>2</v>
      </c>
      <c r="AD2953" t="s">
        <v>24600</v>
      </c>
      <c r="AE2953" t="s">
        <v>11459</v>
      </c>
      <c r="AF2953">
        <v>0</v>
      </c>
      <c r="AG2953">
        <v>2</v>
      </c>
      <c r="AH2953">
        <v>2</v>
      </c>
      <c r="AI2953">
        <v>0</v>
      </c>
      <c r="AL2953" t="s">
        <v>5011</v>
      </c>
      <c r="AM2953">
        <v>0</v>
      </c>
      <c r="AS2953">
        <v>1.3</v>
      </c>
      <c r="AT2953" t="s">
        <v>497</v>
      </c>
      <c r="AU2953" t="s">
        <v>292</v>
      </c>
      <c r="AV2953" t="s">
        <v>25335</v>
      </c>
      <c r="AW2953" t="s">
        <v>11447</v>
      </c>
    </row>
    <row r="2954" spans="1:49">
      <c r="A2954" s="1">
        <f>HYPERLINK("https://lsnyc.legalserver.org/matter/dynamic-profile/view/1908618","19-1908618")</f>
        <v>0</v>
      </c>
      <c r="B2954" t="s">
        <v>227</v>
      </c>
      <c r="C2954" t="s">
        <v>497</v>
      </c>
      <c r="E2954" t="s">
        <v>2030</v>
      </c>
      <c r="F2954" t="s">
        <v>4690</v>
      </c>
      <c r="G2954" t="s">
        <v>8415</v>
      </c>
      <c r="H2954" t="s">
        <v>10665</v>
      </c>
      <c r="I2954" t="s">
        <v>11387</v>
      </c>
      <c r="J2954">
        <v>11435</v>
      </c>
      <c r="K2954" t="s">
        <v>11446</v>
      </c>
      <c r="L2954" t="s">
        <v>12631</v>
      </c>
      <c r="M2954" t="s">
        <v>14744</v>
      </c>
      <c r="N2954" t="s">
        <v>14781</v>
      </c>
      <c r="P2954" t="s">
        <v>14801</v>
      </c>
      <c r="Q2954" t="s">
        <v>11448</v>
      </c>
      <c r="S2954" t="s">
        <v>14827</v>
      </c>
      <c r="T2954" t="s">
        <v>14832</v>
      </c>
      <c r="U2954" t="s">
        <v>497</v>
      </c>
      <c r="V2954">
        <v>649</v>
      </c>
      <c r="W2954" t="s">
        <v>14861</v>
      </c>
      <c r="X2954" t="s">
        <v>14865</v>
      </c>
      <c r="Z2954" t="s">
        <v>17369</v>
      </c>
      <c r="AA2954" t="s">
        <v>19608</v>
      </c>
      <c r="AB2954" t="s">
        <v>22416</v>
      </c>
      <c r="AC2954">
        <v>56</v>
      </c>
      <c r="AD2954" t="s">
        <v>11479</v>
      </c>
      <c r="AE2954" t="s">
        <v>11459</v>
      </c>
      <c r="AF2954">
        <v>11</v>
      </c>
      <c r="AG2954">
        <v>1</v>
      </c>
      <c r="AH2954">
        <v>2</v>
      </c>
      <c r="AI2954">
        <v>13.53</v>
      </c>
      <c r="AL2954" t="s">
        <v>5011</v>
      </c>
      <c r="AM2954">
        <v>2886</v>
      </c>
      <c r="AS2954">
        <v>45.6</v>
      </c>
      <c r="AT2954" t="s">
        <v>654</v>
      </c>
      <c r="AU2954" t="s">
        <v>292</v>
      </c>
      <c r="AV2954" t="s">
        <v>25335</v>
      </c>
      <c r="AW2954" t="s">
        <v>11447</v>
      </c>
    </row>
    <row r="2955" spans="1:49">
      <c r="A2955" s="1">
        <f>HYPERLINK("https://lsnyc.legalserver.org/matter/dynamic-profile/view/1908640","19-1908640")</f>
        <v>0</v>
      </c>
      <c r="B2955" t="s">
        <v>147</v>
      </c>
      <c r="C2955" t="s">
        <v>497</v>
      </c>
      <c r="E2955" t="s">
        <v>2555</v>
      </c>
      <c r="F2955" t="s">
        <v>5142</v>
      </c>
      <c r="G2955" t="s">
        <v>8416</v>
      </c>
      <c r="H2955" t="s">
        <v>10705</v>
      </c>
      <c r="I2955" t="s">
        <v>11397</v>
      </c>
      <c r="J2955">
        <v>11378</v>
      </c>
      <c r="K2955" t="s">
        <v>11446</v>
      </c>
      <c r="L2955" t="s">
        <v>12632</v>
      </c>
      <c r="M2955" t="s">
        <v>14743</v>
      </c>
      <c r="N2955" t="s">
        <v>14778</v>
      </c>
      <c r="P2955" t="s">
        <v>14801</v>
      </c>
      <c r="Q2955" t="s">
        <v>11448</v>
      </c>
      <c r="S2955" t="s">
        <v>14827</v>
      </c>
      <c r="U2955" t="s">
        <v>497</v>
      </c>
      <c r="V2955">
        <v>1800</v>
      </c>
      <c r="W2955" t="s">
        <v>14861</v>
      </c>
      <c r="X2955" t="s">
        <v>14865</v>
      </c>
      <c r="Z2955" t="s">
        <v>17370</v>
      </c>
      <c r="AB2955" t="s">
        <v>22417</v>
      </c>
      <c r="AC2955">
        <v>0</v>
      </c>
      <c r="AD2955" t="s">
        <v>11479</v>
      </c>
      <c r="AE2955" t="s">
        <v>11459</v>
      </c>
      <c r="AF2955">
        <v>0</v>
      </c>
      <c r="AG2955">
        <v>4</v>
      </c>
      <c r="AH2955">
        <v>1</v>
      </c>
      <c r="AI2955">
        <v>147.17</v>
      </c>
      <c r="AL2955" t="s">
        <v>5011</v>
      </c>
      <c r="AM2955">
        <v>44400</v>
      </c>
      <c r="AS2955">
        <v>1.47</v>
      </c>
      <c r="AT2955" t="s">
        <v>574</v>
      </c>
      <c r="AU2955" t="s">
        <v>292</v>
      </c>
      <c r="AV2955" t="s">
        <v>25335</v>
      </c>
      <c r="AW2955" t="s">
        <v>11447</v>
      </c>
    </row>
    <row r="2956" spans="1:49">
      <c r="A2956" s="1">
        <f>HYPERLINK("https://lsnyc.legalserver.org/matter/dynamic-profile/view/1908729","19-1908729")</f>
        <v>0</v>
      </c>
      <c r="B2956" t="s">
        <v>68</v>
      </c>
      <c r="C2956" t="s">
        <v>410</v>
      </c>
      <c r="E2956" t="s">
        <v>1104</v>
      </c>
      <c r="F2956" t="s">
        <v>3619</v>
      </c>
      <c r="G2956" t="s">
        <v>6359</v>
      </c>
      <c r="H2956" t="s">
        <v>10507</v>
      </c>
      <c r="I2956" t="s">
        <v>11389</v>
      </c>
      <c r="J2956">
        <v>11367</v>
      </c>
      <c r="K2956" t="s">
        <v>11446</v>
      </c>
      <c r="L2956" t="s">
        <v>12633</v>
      </c>
      <c r="M2956" t="s">
        <v>14744</v>
      </c>
      <c r="N2956" t="s">
        <v>14778</v>
      </c>
      <c r="P2956" t="s">
        <v>14801</v>
      </c>
      <c r="Q2956" t="s">
        <v>11448</v>
      </c>
      <c r="S2956" t="s">
        <v>14827</v>
      </c>
      <c r="U2956" t="s">
        <v>410</v>
      </c>
      <c r="V2956">
        <v>850</v>
      </c>
      <c r="W2956" t="s">
        <v>14861</v>
      </c>
      <c r="X2956" t="s">
        <v>14868</v>
      </c>
      <c r="Z2956" t="s">
        <v>14985</v>
      </c>
      <c r="AB2956" t="s">
        <v>20165</v>
      </c>
      <c r="AC2956">
        <v>0</v>
      </c>
      <c r="AD2956" t="s">
        <v>24598</v>
      </c>
      <c r="AE2956" t="s">
        <v>11459</v>
      </c>
      <c r="AF2956">
        <v>47</v>
      </c>
      <c r="AG2956">
        <v>1</v>
      </c>
      <c r="AH2956">
        <v>0</v>
      </c>
      <c r="AI2956">
        <v>0</v>
      </c>
      <c r="AL2956" t="s">
        <v>5011</v>
      </c>
      <c r="AM2956">
        <v>0</v>
      </c>
      <c r="AS2956">
        <v>2.8</v>
      </c>
      <c r="AT2956" t="s">
        <v>486</v>
      </c>
      <c r="AU2956" t="s">
        <v>292</v>
      </c>
      <c r="AV2956" t="s">
        <v>25335</v>
      </c>
      <c r="AW2956" t="s">
        <v>11447</v>
      </c>
    </row>
    <row r="2957" spans="1:49">
      <c r="A2957" s="1">
        <f>HYPERLINK("https://lsnyc.legalserver.org/matter/dynamic-profile/view/1908960","19-1908960")</f>
        <v>0</v>
      </c>
      <c r="B2957" t="s">
        <v>271</v>
      </c>
      <c r="C2957" t="s">
        <v>640</v>
      </c>
      <c r="E2957" t="s">
        <v>1620</v>
      </c>
      <c r="F2957" t="s">
        <v>5143</v>
      </c>
      <c r="G2957" t="s">
        <v>8417</v>
      </c>
      <c r="H2957" t="s">
        <v>10569</v>
      </c>
      <c r="I2957" t="s">
        <v>11420</v>
      </c>
      <c r="J2957">
        <v>11104</v>
      </c>
      <c r="K2957" t="s">
        <v>11446</v>
      </c>
      <c r="L2957" t="s">
        <v>12634</v>
      </c>
      <c r="M2957" t="s">
        <v>14743</v>
      </c>
      <c r="N2957" t="s">
        <v>14781</v>
      </c>
      <c r="P2957" t="s">
        <v>14801</v>
      </c>
      <c r="Q2957" t="s">
        <v>11448</v>
      </c>
      <c r="S2957" t="s">
        <v>14827</v>
      </c>
      <c r="U2957" t="s">
        <v>640</v>
      </c>
      <c r="V2957">
        <v>1101.58</v>
      </c>
      <c r="W2957" t="s">
        <v>14861</v>
      </c>
      <c r="X2957" t="s">
        <v>14868</v>
      </c>
      <c r="Z2957" t="s">
        <v>17015</v>
      </c>
      <c r="AB2957" t="s">
        <v>22418</v>
      </c>
      <c r="AC2957">
        <v>7</v>
      </c>
      <c r="AD2957" t="s">
        <v>11479</v>
      </c>
      <c r="AE2957" t="s">
        <v>11459</v>
      </c>
      <c r="AF2957">
        <v>23</v>
      </c>
      <c r="AG2957">
        <v>1</v>
      </c>
      <c r="AH2957">
        <v>0</v>
      </c>
      <c r="AI2957">
        <v>48.04</v>
      </c>
      <c r="AL2957" t="s">
        <v>5011</v>
      </c>
      <c r="AM2957">
        <v>6000</v>
      </c>
      <c r="AS2957">
        <v>35.63</v>
      </c>
      <c r="AT2957" t="s">
        <v>478</v>
      </c>
      <c r="AU2957" t="s">
        <v>292</v>
      </c>
      <c r="AV2957" t="s">
        <v>25335</v>
      </c>
      <c r="AW2957" t="s">
        <v>11447</v>
      </c>
    </row>
    <row r="2958" spans="1:49">
      <c r="A2958" s="1">
        <f>HYPERLINK("https://lsnyc.legalserver.org/matter/dynamic-profile/view/1908952","19-1908952")</f>
        <v>0</v>
      </c>
      <c r="B2958" t="s">
        <v>293</v>
      </c>
      <c r="C2958" t="s">
        <v>640</v>
      </c>
      <c r="E2958" t="s">
        <v>2556</v>
      </c>
      <c r="F2958" t="s">
        <v>5144</v>
      </c>
      <c r="G2958" t="s">
        <v>8418</v>
      </c>
      <c r="H2958" t="s">
        <v>10481</v>
      </c>
      <c r="I2958" t="s">
        <v>11387</v>
      </c>
      <c r="J2958">
        <v>11432</v>
      </c>
      <c r="K2958" t="s">
        <v>11446</v>
      </c>
      <c r="L2958" t="s">
        <v>12635</v>
      </c>
      <c r="M2958" t="s">
        <v>14743</v>
      </c>
      <c r="N2958" t="s">
        <v>14781</v>
      </c>
      <c r="P2958" t="s">
        <v>14801</v>
      </c>
      <c r="Q2958" t="s">
        <v>11448</v>
      </c>
      <c r="S2958" t="s">
        <v>14827</v>
      </c>
      <c r="T2958" t="s">
        <v>14832</v>
      </c>
      <c r="U2958" t="s">
        <v>640</v>
      </c>
      <c r="V2958">
        <v>845.89</v>
      </c>
      <c r="W2958" t="s">
        <v>14861</v>
      </c>
      <c r="X2958" t="s">
        <v>14865</v>
      </c>
      <c r="Z2958" t="s">
        <v>17371</v>
      </c>
      <c r="AA2958" t="s">
        <v>11465</v>
      </c>
      <c r="AB2958" t="s">
        <v>22419</v>
      </c>
      <c r="AC2958">
        <v>16</v>
      </c>
      <c r="AD2958" t="s">
        <v>24595</v>
      </c>
      <c r="AE2958" t="s">
        <v>11459</v>
      </c>
      <c r="AF2958">
        <v>24</v>
      </c>
      <c r="AG2958">
        <v>1</v>
      </c>
      <c r="AH2958">
        <v>0</v>
      </c>
      <c r="AI2958">
        <v>64.05</v>
      </c>
      <c r="AL2958" t="s">
        <v>5011</v>
      </c>
      <c r="AM2958">
        <v>8000</v>
      </c>
      <c r="AS2958">
        <v>16.8</v>
      </c>
      <c r="AT2958" t="s">
        <v>14845</v>
      </c>
      <c r="AU2958" t="s">
        <v>292</v>
      </c>
      <c r="AV2958" t="s">
        <v>25335</v>
      </c>
      <c r="AW2958" t="s">
        <v>11447</v>
      </c>
    </row>
    <row r="2959" spans="1:49">
      <c r="A2959" s="1">
        <f>HYPERLINK("https://lsnyc.legalserver.org/matter/dynamic-profile/view/1909525","19-1909525")</f>
        <v>0</v>
      </c>
      <c r="B2959" t="s">
        <v>147</v>
      </c>
      <c r="C2959" t="s">
        <v>640</v>
      </c>
      <c r="E2959" t="s">
        <v>1330</v>
      </c>
      <c r="F2959" t="s">
        <v>5145</v>
      </c>
      <c r="G2959" t="s">
        <v>8419</v>
      </c>
      <c r="H2959" t="s">
        <v>10481</v>
      </c>
      <c r="I2959" t="s">
        <v>11409</v>
      </c>
      <c r="J2959">
        <v>11377</v>
      </c>
      <c r="K2959" t="s">
        <v>11446</v>
      </c>
      <c r="L2959" t="s">
        <v>12636</v>
      </c>
      <c r="M2959" t="s">
        <v>14744</v>
      </c>
      <c r="P2959" t="s">
        <v>14801</v>
      </c>
      <c r="S2959" t="s">
        <v>14827</v>
      </c>
      <c r="U2959" t="s">
        <v>640</v>
      </c>
      <c r="V2959">
        <v>687</v>
      </c>
      <c r="W2959" t="s">
        <v>14861</v>
      </c>
      <c r="X2959" t="s">
        <v>14865</v>
      </c>
      <c r="Z2959" t="s">
        <v>17372</v>
      </c>
      <c r="AB2959" t="s">
        <v>22420</v>
      </c>
      <c r="AC2959">
        <v>6</v>
      </c>
      <c r="AE2959" t="s">
        <v>24613</v>
      </c>
      <c r="AF2959">
        <v>46</v>
      </c>
      <c r="AG2959">
        <v>1</v>
      </c>
      <c r="AH2959">
        <v>0</v>
      </c>
      <c r="AI2959">
        <v>88.06999999999999</v>
      </c>
      <c r="AL2959" t="s">
        <v>24632</v>
      </c>
      <c r="AM2959">
        <v>11000</v>
      </c>
      <c r="AS2959">
        <v>1.5</v>
      </c>
      <c r="AT2959" t="s">
        <v>640</v>
      </c>
      <c r="AU2959" t="s">
        <v>99</v>
      </c>
      <c r="AW2959" t="s">
        <v>11447</v>
      </c>
    </row>
    <row r="2960" spans="1:49">
      <c r="A2960" s="1">
        <f>HYPERLINK("https://lsnyc.legalserver.org/matter/dynamic-profile/view/1908905","19-1908905")</f>
        <v>0</v>
      </c>
      <c r="B2960" t="s">
        <v>122</v>
      </c>
      <c r="C2960" t="s">
        <v>640</v>
      </c>
      <c r="E2960" t="s">
        <v>2557</v>
      </c>
      <c r="F2960" t="s">
        <v>5146</v>
      </c>
      <c r="G2960" t="s">
        <v>8420</v>
      </c>
      <c r="I2960" t="s">
        <v>11404</v>
      </c>
      <c r="J2960">
        <v>11105</v>
      </c>
      <c r="K2960" t="s">
        <v>11446</v>
      </c>
      <c r="L2960" t="s">
        <v>12637</v>
      </c>
      <c r="M2960" t="s">
        <v>14743</v>
      </c>
      <c r="N2960" t="s">
        <v>14778</v>
      </c>
      <c r="P2960" t="s">
        <v>14801</v>
      </c>
      <c r="Q2960" t="s">
        <v>11448</v>
      </c>
      <c r="S2960" t="s">
        <v>14827</v>
      </c>
      <c r="T2960" t="s">
        <v>14832</v>
      </c>
      <c r="U2960" t="s">
        <v>640</v>
      </c>
      <c r="V2960">
        <v>1800</v>
      </c>
      <c r="W2960" t="s">
        <v>14861</v>
      </c>
      <c r="X2960" t="s">
        <v>14865</v>
      </c>
      <c r="Z2960" t="s">
        <v>17373</v>
      </c>
      <c r="AB2960" t="s">
        <v>22421</v>
      </c>
      <c r="AC2960">
        <v>2</v>
      </c>
      <c r="AD2960" t="s">
        <v>24600</v>
      </c>
      <c r="AE2960" t="s">
        <v>11459</v>
      </c>
      <c r="AF2960">
        <v>3</v>
      </c>
      <c r="AG2960">
        <v>3</v>
      </c>
      <c r="AH2960">
        <v>0</v>
      </c>
      <c r="AI2960">
        <v>1172.06</v>
      </c>
      <c r="AL2960" t="s">
        <v>5011</v>
      </c>
      <c r="AM2960">
        <v>250000</v>
      </c>
      <c r="AS2960">
        <v>1.5</v>
      </c>
      <c r="AT2960" t="s">
        <v>640</v>
      </c>
      <c r="AU2960" t="s">
        <v>99</v>
      </c>
      <c r="AW2960" t="s">
        <v>11447</v>
      </c>
    </row>
    <row r="2961" spans="1:49">
      <c r="A2961" s="1">
        <f>HYPERLINK("https://lsnyc.legalserver.org/matter/dynamic-profile/view/1908329","19-1908329")</f>
        <v>0</v>
      </c>
      <c r="B2961" t="s">
        <v>99</v>
      </c>
      <c r="C2961" t="s">
        <v>375</v>
      </c>
      <c r="E2961" t="s">
        <v>2558</v>
      </c>
      <c r="F2961" t="s">
        <v>5147</v>
      </c>
      <c r="G2961" t="s">
        <v>8421</v>
      </c>
      <c r="H2961">
        <v>3</v>
      </c>
      <c r="I2961" t="s">
        <v>11389</v>
      </c>
      <c r="J2961">
        <v>11355</v>
      </c>
      <c r="K2961" t="s">
        <v>11446</v>
      </c>
      <c r="L2961" t="s">
        <v>12638</v>
      </c>
      <c r="M2961" t="s">
        <v>14743</v>
      </c>
      <c r="N2961" t="s">
        <v>14778</v>
      </c>
      <c r="P2961" t="s">
        <v>14801</v>
      </c>
      <c r="Q2961" t="s">
        <v>11448</v>
      </c>
      <c r="S2961" t="s">
        <v>14827</v>
      </c>
      <c r="T2961" t="s">
        <v>14835</v>
      </c>
      <c r="U2961" t="s">
        <v>641</v>
      </c>
      <c r="V2961">
        <v>750</v>
      </c>
      <c r="W2961" t="s">
        <v>14861</v>
      </c>
      <c r="X2961" t="s">
        <v>14865</v>
      </c>
      <c r="Z2961" t="s">
        <v>17374</v>
      </c>
      <c r="AA2961" t="s">
        <v>11459</v>
      </c>
      <c r="AB2961" t="s">
        <v>22422</v>
      </c>
      <c r="AC2961">
        <v>2</v>
      </c>
      <c r="AD2961" t="s">
        <v>24607</v>
      </c>
      <c r="AE2961" t="s">
        <v>11459</v>
      </c>
      <c r="AF2961">
        <v>2</v>
      </c>
      <c r="AG2961">
        <v>1</v>
      </c>
      <c r="AH2961">
        <v>0</v>
      </c>
      <c r="AI2961">
        <v>160.13</v>
      </c>
      <c r="AM2961">
        <v>20000</v>
      </c>
      <c r="AS2961">
        <v>3.9</v>
      </c>
      <c r="AT2961" t="s">
        <v>460</v>
      </c>
      <c r="AU2961" t="s">
        <v>99</v>
      </c>
      <c r="AV2961" t="s">
        <v>25335</v>
      </c>
      <c r="AW2961" t="s">
        <v>11447</v>
      </c>
    </row>
    <row r="2962" spans="1:49">
      <c r="A2962" s="1">
        <f>HYPERLINK("https://lsnyc.legalserver.org/matter/dynamic-profile/view/1909200","19-1909200")</f>
        <v>0</v>
      </c>
      <c r="B2962" t="s">
        <v>74</v>
      </c>
      <c r="C2962" t="s">
        <v>462</v>
      </c>
      <c r="E2962" t="s">
        <v>2559</v>
      </c>
      <c r="F2962" t="s">
        <v>4130</v>
      </c>
      <c r="G2962" t="s">
        <v>8422</v>
      </c>
      <c r="H2962">
        <v>1</v>
      </c>
      <c r="I2962" t="s">
        <v>11415</v>
      </c>
      <c r="J2962">
        <v>11356</v>
      </c>
      <c r="K2962" t="s">
        <v>11446</v>
      </c>
      <c r="L2962" t="s">
        <v>12639</v>
      </c>
      <c r="M2962" t="s">
        <v>14744</v>
      </c>
      <c r="N2962" t="s">
        <v>14778</v>
      </c>
      <c r="P2962" t="s">
        <v>14801</v>
      </c>
      <c r="Q2962" t="s">
        <v>11448</v>
      </c>
      <c r="S2962" t="s">
        <v>14827</v>
      </c>
      <c r="U2962" t="s">
        <v>462</v>
      </c>
      <c r="V2962">
        <v>2700</v>
      </c>
      <c r="W2962" t="s">
        <v>14861</v>
      </c>
      <c r="X2962" t="s">
        <v>14867</v>
      </c>
      <c r="Z2962" t="s">
        <v>16137</v>
      </c>
      <c r="AB2962" t="s">
        <v>22423</v>
      </c>
      <c r="AC2962">
        <v>2</v>
      </c>
      <c r="AE2962" t="s">
        <v>11459</v>
      </c>
      <c r="AF2962">
        <v>1</v>
      </c>
      <c r="AG2962">
        <v>4</v>
      </c>
      <c r="AH2962">
        <v>0</v>
      </c>
      <c r="AI2962">
        <v>60.82</v>
      </c>
      <c r="AL2962" t="s">
        <v>5011</v>
      </c>
      <c r="AM2962">
        <v>15660</v>
      </c>
      <c r="AS2962">
        <v>3.1</v>
      </c>
      <c r="AT2962" t="s">
        <v>506</v>
      </c>
      <c r="AU2962" t="s">
        <v>292</v>
      </c>
      <c r="AV2962" t="s">
        <v>25335</v>
      </c>
      <c r="AW2962" t="s">
        <v>11447</v>
      </c>
    </row>
    <row r="2963" spans="1:49">
      <c r="A2963" s="1">
        <f>HYPERLINK("https://lsnyc.legalserver.org/matter/dynamic-profile/view/1909349","19-1909349")</f>
        <v>0</v>
      </c>
      <c r="B2963" t="s">
        <v>138</v>
      </c>
      <c r="C2963" t="s">
        <v>589</v>
      </c>
      <c r="E2963" t="s">
        <v>1860</v>
      </c>
      <c r="F2963" t="s">
        <v>5148</v>
      </c>
      <c r="G2963" t="s">
        <v>8423</v>
      </c>
      <c r="H2963" t="s">
        <v>10870</v>
      </c>
      <c r="I2963" t="s">
        <v>11395</v>
      </c>
      <c r="J2963">
        <v>11373</v>
      </c>
      <c r="K2963" t="s">
        <v>11446</v>
      </c>
      <c r="N2963" t="s">
        <v>14781</v>
      </c>
      <c r="P2963" t="s">
        <v>14801</v>
      </c>
      <c r="S2963" t="s">
        <v>14827</v>
      </c>
      <c r="U2963" t="s">
        <v>589</v>
      </c>
      <c r="V2963">
        <v>974.1799999999999</v>
      </c>
      <c r="W2963" t="s">
        <v>14861</v>
      </c>
      <c r="X2963" t="s">
        <v>14865</v>
      </c>
      <c r="Z2963" t="s">
        <v>17375</v>
      </c>
      <c r="AB2963" t="s">
        <v>22424</v>
      </c>
      <c r="AC2963">
        <v>170</v>
      </c>
      <c r="AE2963" t="s">
        <v>24613</v>
      </c>
      <c r="AF2963">
        <v>44</v>
      </c>
      <c r="AG2963">
        <v>1</v>
      </c>
      <c r="AH2963">
        <v>0</v>
      </c>
      <c r="AI2963">
        <v>86.47</v>
      </c>
      <c r="AL2963" t="s">
        <v>24632</v>
      </c>
      <c r="AM2963">
        <v>10800</v>
      </c>
      <c r="AS2963">
        <v>9.199999999999999</v>
      </c>
      <c r="AT2963" t="s">
        <v>654</v>
      </c>
      <c r="AU2963" t="s">
        <v>99</v>
      </c>
      <c r="AW2963" t="s">
        <v>11447</v>
      </c>
    </row>
    <row r="2964" spans="1:49">
      <c r="A2964" s="1">
        <f>HYPERLINK("https://lsnyc.legalserver.org/matter/dynamic-profile/view/1909266","19-1909266")</f>
        <v>0</v>
      </c>
      <c r="B2964" t="s">
        <v>291</v>
      </c>
      <c r="C2964" t="s">
        <v>589</v>
      </c>
      <c r="E2964" t="s">
        <v>2560</v>
      </c>
      <c r="F2964" t="s">
        <v>5149</v>
      </c>
      <c r="G2964" t="s">
        <v>8424</v>
      </c>
      <c r="I2964" t="s">
        <v>11423</v>
      </c>
      <c r="J2964">
        <v>11413</v>
      </c>
      <c r="K2964" t="s">
        <v>11446</v>
      </c>
      <c r="L2964" t="s">
        <v>12640</v>
      </c>
      <c r="M2964" t="s">
        <v>14743</v>
      </c>
      <c r="N2964" t="s">
        <v>14781</v>
      </c>
      <c r="P2964" t="s">
        <v>14801</v>
      </c>
      <c r="Q2964" t="s">
        <v>11448</v>
      </c>
      <c r="S2964" t="s">
        <v>14827</v>
      </c>
      <c r="T2964" t="s">
        <v>14832</v>
      </c>
      <c r="U2964" t="s">
        <v>589</v>
      </c>
      <c r="V2964">
        <v>2000</v>
      </c>
      <c r="W2964" t="s">
        <v>14861</v>
      </c>
      <c r="X2964" t="s">
        <v>14865</v>
      </c>
      <c r="Z2964" t="s">
        <v>17376</v>
      </c>
      <c r="AB2964" t="s">
        <v>22425</v>
      </c>
      <c r="AC2964">
        <v>1</v>
      </c>
      <c r="AD2964" t="s">
        <v>11479</v>
      </c>
      <c r="AE2964" t="s">
        <v>11459</v>
      </c>
      <c r="AF2964">
        <v>-1</v>
      </c>
      <c r="AG2964">
        <v>2</v>
      </c>
      <c r="AH2964">
        <v>1</v>
      </c>
      <c r="AI2964">
        <v>109.7</v>
      </c>
      <c r="AL2964" t="s">
        <v>5011</v>
      </c>
      <c r="AM2964">
        <v>23400</v>
      </c>
      <c r="AS2964">
        <v>40</v>
      </c>
      <c r="AT2964" t="s">
        <v>495</v>
      </c>
      <c r="AU2964" t="s">
        <v>292</v>
      </c>
      <c r="AV2964" t="s">
        <v>25335</v>
      </c>
      <c r="AW2964" t="s">
        <v>11447</v>
      </c>
    </row>
    <row r="2965" spans="1:49">
      <c r="A2965" s="1">
        <f>HYPERLINK("https://lsnyc.legalserver.org/matter/dynamic-profile/view/1909477","19-1909477")</f>
        <v>0</v>
      </c>
      <c r="B2965" t="s">
        <v>294</v>
      </c>
      <c r="C2965" t="s">
        <v>488</v>
      </c>
      <c r="E2965" t="s">
        <v>2561</v>
      </c>
      <c r="F2965" t="s">
        <v>4541</v>
      </c>
      <c r="G2965" t="s">
        <v>8425</v>
      </c>
      <c r="H2965" t="s">
        <v>11076</v>
      </c>
      <c r="I2965" t="s">
        <v>11411</v>
      </c>
      <c r="J2965">
        <v>11418</v>
      </c>
      <c r="K2965" t="s">
        <v>11446</v>
      </c>
      <c r="L2965" t="s">
        <v>12641</v>
      </c>
      <c r="M2965" t="s">
        <v>14744</v>
      </c>
      <c r="N2965" t="s">
        <v>14781</v>
      </c>
      <c r="P2965" t="s">
        <v>14801</v>
      </c>
      <c r="Q2965" t="s">
        <v>11448</v>
      </c>
      <c r="S2965" t="s">
        <v>14827</v>
      </c>
      <c r="U2965" t="s">
        <v>488</v>
      </c>
      <c r="V2965">
        <v>1071.11</v>
      </c>
      <c r="W2965" t="s">
        <v>14861</v>
      </c>
      <c r="X2965" t="s">
        <v>14865</v>
      </c>
      <c r="Z2965" t="s">
        <v>17377</v>
      </c>
      <c r="AA2965" t="s">
        <v>19609</v>
      </c>
      <c r="AB2965" t="s">
        <v>22426</v>
      </c>
      <c r="AC2965">
        <v>195</v>
      </c>
      <c r="AD2965" t="s">
        <v>24595</v>
      </c>
      <c r="AE2965" t="s">
        <v>11459</v>
      </c>
      <c r="AF2965">
        <v>6</v>
      </c>
      <c r="AG2965">
        <v>2</v>
      </c>
      <c r="AH2965">
        <v>0</v>
      </c>
      <c r="AI2965">
        <v>0</v>
      </c>
      <c r="AL2965" t="s">
        <v>5011</v>
      </c>
      <c r="AM2965">
        <v>0</v>
      </c>
      <c r="AS2965">
        <v>7.9</v>
      </c>
      <c r="AT2965" t="s">
        <v>495</v>
      </c>
      <c r="AU2965" t="s">
        <v>292</v>
      </c>
      <c r="AV2965" t="s">
        <v>25335</v>
      </c>
      <c r="AW2965" t="s">
        <v>11447</v>
      </c>
    </row>
    <row r="2966" spans="1:49">
      <c r="A2966" s="1">
        <f>HYPERLINK("https://lsnyc.legalserver.org/matter/dynamic-profile/view/1909571","19-1909571")</f>
        <v>0</v>
      </c>
      <c r="B2966" t="s">
        <v>227</v>
      </c>
      <c r="C2966" t="s">
        <v>488</v>
      </c>
      <c r="E2966" t="s">
        <v>1578</v>
      </c>
      <c r="F2966" t="s">
        <v>3623</v>
      </c>
      <c r="G2966" t="s">
        <v>8426</v>
      </c>
      <c r="H2966" t="s">
        <v>11004</v>
      </c>
      <c r="I2966" t="s">
        <v>11390</v>
      </c>
      <c r="J2966">
        <v>11368</v>
      </c>
      <c r="K2966" t="s">
        <v>11446</v>
      </c>
      <c r="L2966" t="s">
        <v>12642</v>
      </c>
      <c r="M2966" t="s">
        <v>14744</v>
      </c>
      <c r="N2966" t="s">
        <v>14778</v>
      </c>
      <c r="P2966" t="s">
        <v>14801</v>
      </c>
      <c r="S2966" t="s">
        <v>14827</v>
      </c>
      <c r="U2966" t="s">
        <v>488</v>
      </c>
      <c r="V2966">
        <v>1650</v>
      </c>
      <c r="W2966" t="s">
        <v>14861</v>
      </c>
      <c r="X2966" t="s">
        <v>14865</v>
      </c>
      <c r="Z2966" t="s">
        <v>17378</v>
      </c>
      <c r="AA2966">
        <v>18810191</v>
      </c>
      <c r="AB2966" t="s">
        <v>22427</v>
      </c>
      <c r="AC2966">
        <v>126</v>
      </c>
      <c r="AD2966" t="s">
        <v>24595</v>
      </c>
      <c r="AE2966" t="s">
        <v>11459</v>
      </c>
      <c r="AF2966">
        <v>3</v>
      </c>
      <c r="AG2966">
        <v>1</v>
      </c>
      <c r="AH2966">
        <v>1</v>
      </c>
      <c r="AI2966">
        <v>0</v>
      </c>
      <c r="AM2966">
        <v>0</v>
      </c>
      <c r="AS2966">
        <v>4.2</v>
      </c>
      <c r="AT2966" t="s">
        <v>505</v>
      </c>
      <c r="AU2966" t="s">
        <v>99</v>
      </c>
      <c r="AV2966" t="s">
        <v>25335</v>
      </c>
      <c r="AW2966" t="s">
        <v>11447</v>
      </c>
    </row>
    <row r="2967" spans="1:49">
      <c r="A2967" s="1">
        <f>HYPERLINK("https://lsnyc.legalserver.org/matter/dynamic-profile/view/1909485","19-1909485")</f>
        <v>0</v>
      </c>
      <c r="B2967" t="s">
        <v>124</v>
      </c>
      <c r="C2967" t="s">
        <v>488</v>
      </c>
      <c r="E2967" t="s">
        <v>1407</v>
      </c>
      <c r="F2967" t="s">
        <v>5150</v>
      </c>
      <c r="G2967" t="s">
        <v>8427</v>
      </c>
      <c r="H2967" t="s">
        <v>10646</v>
      </c>
      <c r="I2967" t="s">
        <v>11415</v>
      </c>
      <c r="J2967">
        <v>11356</v>
      </c>
      <c r="K2967" t="s">
        <v>11446</v>
      </c>
      <c r="L2967" t="s">
        <v>12643</v>
      </c>
      <c r="M2967" t="s">
        <v>14743</v>
      </c>
      <c r="N2967" t="s">
        <v>14778</v>
      </c>
      <c r="P2967" t="s">
        <v>14801</v>
      </c>
      <c r="Q2967" t="s">
        <v>11448</v>
      </c>
      <c r="S2967" t="s">
        <v>14827</v>
      </c>
      <c r="T2967" t="s">
        <v>14832</v>
      </c>
      <c r="U2967" t="s">
        <v>488</v>
      </c>
      <c r="V2967">
        <v>1500</v>
      </c>
      <c r="W2967" t="s">
        <v>14861</v>
      </c>
      <c r="X2967" t="s">
        <v>14865</v>
      </c>
      <c r="Z2967" t="s">
        <v>17379</v>
      </c>
      <c r="AB2967" t="s">
        <v>22428</v>
      </c>
      <c r="AC2967">
        <v>3</v>
      </c>
      <c r="AD2967" t="s">
        <v>11479</v>
      </c>
      <c r="AE2967" t="s">
        <v>11459</v>
      </c>
      <c r="AF2967">
        <v>14</v>
      </c>
      <c r="AG2967">
        <v>2</v>
      </c>
      <c r="AH2967">
        <v>0</v>
      </c>
      <c r="AI2967">
        <v>69.54000000000001</v>
      </c>
      <c r="AL2967" t="s">
        <v>24632</v>
      </c>
      <c r="AM2967">
        <v>11760</v>
      </c>
      <c r="AS2967">
        <v>0.57</v>
      </c>
      <c r="AT2967" t="s">
        <v>508</v>
      </c>
      <c r="AU2967" t="s">
        <v>292</v>
      </c>
      <c r="AV2967" t="s">
        <v>25335</v>
      </c>
      <c r="AW2967" t="s">
        <v>11447</v>
      </c>
    </row>
    <row r="2968" spans="1:49">
      <c r="A2968" s="1">
        <f>HYPERLINK("https://lsnyc.legalserver.org/matter/dynamic-profile/view/1906406","19-1906406")</f>
        <v>0</v>
      </c>
      <c r="B2968" t="s">
        <v>204</v>
      </c>
      <c r="C2968" t="s">
        <v>485</v>
      </c>
      <c r="E2968" t="s">
        <v>1440</v>
      </c>
      <c r="F2968" t="s">
        <v>5151</v>
      </c>
      <c r="G2968" t="s">
        <v>8428</v>
      </c>
      <c r="H2968" t="s">
        <v>10705</v>
      </c>
      <c r="I2968" t="s">
        <v>11396</v>
      </c>
      <c r="J2968">
        <v>11365</v>
      </c>
      <c r="K2968" t="s">
        <v>11446</v>
      </c>
      <c r="L2968" t="s">
        <v>12644</v>
      </c>
      <c r="M2968" t="s">
        <v>14743</v>
      </c>
      <c r="N2968" t="s">
        <v>14778</v>
      </c>
      <c r="P2968" t="s">
        <v>14801</v>
      </c>
      <c r="Q2968" t="s">
        <v>11448</v>
      </c>
      <c r="S2968" t="s">
        <v>14827</v>
      </c>
      <c r="T2968" t="s">
        <v>14832</v>
      </c>
      <c r="U2968" t="s">
        <v>463</v>
      </c>
      <c r="V2968">
        <v>2400</v>
      </c>
      <c r="W2968" t="s">
        <v>14861</v>
      </c>
      <c r="X2968" t="s">
        <v>14865</v>
      </c>
      <c r="Z2968" t="s">
        <v>15692</v>
      </c>
      <c r="AA2968" t="s">
        <v>19610</v>
      </c>
      <c r="AB2968" t="s">
        <v>22429</v>
      </c>
      <c r="AC2968">
        <v>3</v>
      </c>
      <c r="AD2968" t="s">
        <v>24600</v>
      </c>
      <c r="AE2968" t="s">
        <v>24610</v>
      </c>
      <c r="AF2968">
        <v>3</v>
      </c>
      <c r="AG2968">
        <v>3</v>
      </c>
      <c r="AH2968">
        <v>1</v>
      </c>
      <c r="AI2968">
        <v>39.75</v>
      </c>
      <c r="AL2968" t="s">
        <v>5011</v>
      </c>
      <c r="AM2968">
        <v>10236</v>
      </c>
      <c r="AS2968">
        <v>2.55</v>
      </c>
      <c r="AT2968" t="s">
        <v>640</v>
      </c>
      <c r="AU2968" t="s">
        <v>292</v>
      </c>
      <c r="AV2968" t="s">
        <v>25335</v>
      </c>
      <c r="AW2968" t="s">
        <v>11447</v>
      </c>
    </row>
    <row r="2969" spans="1:49">
      <c r="A2969" s="1">
        <f>HYPERLINK("https://lsnyc.legalserver.org/matter/dynamic-profile/view/1909610","19-1909610")</f>
        <v>0</v>
      </c>
      <c r="B2969" t="s">
        <v>147</v>
      </c>
      <c r="C2969" t="s">
        <v>463</v>
      </c>
      <c r="E2969" t="s">
        <v>1215</v>
      </c>
      <c r="F2969" t="s">
        <v>4053</v>
      </c>
      <c r="G2969" t="s">
        <v>8429</v>
      </c>
      <c r="I2969" t="s">
        <v>11419</v>
      </c>
      <c r="J2969">
        <v>11420</v>
      </c>
      <c r="K2969" t="s">
        <v>11446</v>
      </c>
      <c r="L2969" t="s">
        <v>12645</v>
      </c>
      <c r="M2969" t="s">
        <v>14744</v>
      </c>
      <c r="N2969" t="s">
        <v>14778</v>
      </c>
      <c r="P2969" t="s">
        <v>14801</v>
      </c>
      <c r="Q2969" t="s">
        <v>11448</v>
      </c>
      <c r="S2969" t="s">
        <v>14827</v>
      </c>
      <c r="T2969" t="s">
        <v>14832</v>
      </c>
      <c r="U2969" t="s">
        <v>463</v>
      </c>
      <c r="V2969">
        <v>1600</v>
      </c>
      <c r="W2969" t="s">
        <v>14861</v>
      </c>
      <c r="X2969" t="s">
        <v>14865</v>
      </c>
      <c r="Z2969" t="s">
        <v>17380</v>
      </c>
      <c r="AB2969" t="s">
        <v>22430</v>
      </c>
      <c r="AC2969">
        <v>3</v>
      </c>
      <c r="AD2969" t="s">
        <v>11479</v>
      </c>
      <c r="AE2969" t="s">
        <v>11459</v>
      </c>
      <c r="AF2969">
        <v>5</v>
      </c>
      <c r="AG2969">
        <v>2</v>
      </c>
      <c r="AH2969">
        <v>1</v>
      </c>
      <c r="AI2969">
        <v>93.61</v>
      </c>
      <c r="AL2969" t="s">
        <v>5011</v>
      </c>
      <c r="AM2969">
        <v>19968</v>
      </c>
      <c r="AS2969">
        <v>1.1</v>
      </c>
      <c r="AT2969" t="s">
        <v>478</v>
      </c>
      <c r="AU2969" t="s">
        <v>292</v>
      </c>
      <c r="AV2969" t="s">
        <v>25335</v>
      </c>
      <c r="AW2969" t="s">
        <v>11447</v>
      </c>
    </row>
    <row r="2970" spans="1:49">
      <c r="A2970" s="1">
        <f>HYPERLINK("https://lsnyc.legalserver.org/matter/dynamic-profile/view/1909602","19-1909602")</f>
        <v>0</v>
      </c>
      <c r="B2970" t="s">
        <v>179</v>
      </c>
      <c r="C2970" t="s">
        <v>463</v>
      </c>
      <c r="E2970" t="s">
        <v>2562</v>
      </c>
      <c r="F2970" t="s">
        <v>5152</v>
      </c>
      <c r="G2970" t="s">
        <v>8430</v>
      </c>
      <c r="I2970" t="s">
        <v>11390</v>
      </c>
      <c r="J2970">
        <v>11368</v>
      </c>
      <c r="K2970" t="s">
        <v>11446</v>
      </c>
      <c r="L2970" t="s">
        <v>12646</v>
      </c>
      <c r="M2970" t="s">
        <v>14743</v>
      </c>
      <c r="N2970" t="s">
        <v>14778</v>
      </c>
      <c r="P2970" t="s">
        <v>14801</v>
      </c>
      <c r="Q2970" t="s">
        <v>11448</v>
      </c>
      <c r="S2970" t="s">
        <v>14827</v>
      </c>
      <c r="T2970" t="s">
        <v>14832</v>
      </c>
      <c r="U2970" t="s">
        <v>463</v>
      </c>
      <c r="V2970">
        <v>1700</v>
      </c>
      <c r="W2970" t="s">
        <v>14861</v>
      </c>
      <c r="X2970" t="s">
        <v>14865</v>
      </c>
      <c r="Z2970" t="s">
        <v>17381</v>
      </c>
      <c r="AB2970" t="s">
        <v>22431</v>
      </c>
      <c r="AC2970">
        <v>2</v>
      </c>
      <c r="AD2970" t="s">
        <v>11479</v>
      </c>
      <c r="AE2970" t="s">
        <v>11459</v>
      </c>
      <c r="AF2970">
        <v>2</v>
      </c>
      <c r="AG2970">
        <v>3</v>
      </c>
      <c r="AH2970">
        <v>1</v>
      </c>
      <c r="AI2970">
        <v>177.94</v>
      </c>
      <c r="AL2970" t="s">
        <v>5011</v>
      </c>
      <c r="AM2970">
        <v>45820</v>
      </c>
      <c r="AS2970">
        <v>0.75</v>
      </c>
      <c r="AT2970" t="s">
        <v>463</v>
      </c>
      <c r="AU2970" t="s">
        <v>292</v>
      </c>
      <c r="AV2970" t="s">
        <v>25335</v>
      </c>
      <c r="AW2970" t="s">
        <v>11447</v>
      </c>
    </row>
    <row r="2971" spans="1:49">
      <c r="A2971" s="1">
        <f>HYPERLINK("https://lsnyc.legalserver.org/matter/dynamic-profile/view/1907965","19-1907965")</f>
        <v>0</v>
      </c>
      <c r="B2971" t="s">
        <v>204</v>
      </c>
      <c r="C2971" t="s">
        <v>458</v>
      </c>
      <c r="E2971" t="s">
        <v>1209</v>
      </c>
      <c r="F2971" t="s">
        <v>5153</v>
      </c>
      <c r="G2971" t="s">
        <v>8431</v>
      </c>
      <c r="H2971" t="s">
        <v>10486</v>
      </c>
      <c r="I2971" t="s">
        <v>11397</v>
      </c>
      <c r="J2971">
        <v>11378</v>
      </c>
      <c r="K2971" t="s">
        <v>11446</v>
      </c>
      <c r="L2971" t="s">
        <v>12647</v>
      </c>
      <c r="M2971" t="s">
        <v>14743</v>
      </c>
      <c r="N2971" t="s">
        <v>14778</v>
      </c>
      <c r="P2971" t="s">
        <v>14801</v>
      </c>
      <c r="Q2971" t="s">
        <v>11448</v>
      </c>
      <c r="S2971" t="s">
        <v>14827</v>
      </c>
      <c r="T2971" t="s">
        <v>14832</v>
      </c>
      <c r="U2971" t="s">
        <v>504</v>
      </c>
      <c r="V2971">
        <v>1400</v>
      </c>
      <c r="W2971" t="s">
        <v>14861</v>
      </c>
      <c r="X2971" t="s">
        <v>14865</v>
      </c>
      <c r="Z2971" t="s">
        <v>16770</v>
      </c>
      <c r="AA2971" t="s">
        <v>11459</v>
      </c>
      <c r="AB2971" t="s">
        <v>22432</v>
      </c>
      <c r="AC2971">
        <v>2</v>
      </c>
      <c r="AD2971" t="s">
        <v>24600</v>
      </c>
      <c r="AE2971" t="s">
        <v>11459</v>
      </c>
      <c r="AF2971">
        <v>4</v>
      </c>
      <c r="AG2971">
        <v>1</v>
      </c>
      <c r="AH2971">
        <v>0</v>
      </c>
      <c r="AI2971">
        <v>2.56</v>
      </c>
      <c r="AL2971" t="s">
        <v>5011</v>
      </c>
      <c r="AM2971">
        <v>320</v>
      </c>
      <c r="AS2971">
        <v>2.2</v>
      </c>
      <c r="AT2971" t="s">
        <v>464</v>
      </c>
      <c r="AU2971" t="s">
        <v>25233</v>
      </c>
      <c r="AV2971" t="s">
        <v>25335</v>
      </c>
      <c r="AW2971" t="s">
        <v>11447</v>
      </c>
    </row>
    <row r="2972" spans="1:49">
      <c r="A2972" s="1">
        <f>HYPERLINK("https://lsnyc.legalserver.org/matter/dynamic-profile/view/1909685","19-1909685")</f>
        <v>0</v>
      </c>
      <c r="B2972" t="s">
        <v>204</v>
      </c>
      <c r="C2972" t="s">
        <v>463</v>
      </c>
      <c r="E2972" t="s">
        <v>2563</v>
      </c>
      <c r="F2972" t="s">
        <v>5154</v>
      </c>
      <c r="G2972" t="s">
        <v>8432</v>
      </c>
      <c r="H2972" t="s">
        <v>10595</v>
      </c>
      <c r="I2972" t="s">
        <v>11387</v>
      </c>
      <c r="J2972">
        <v>11435</v>
      </c>
      <c r="K2972" t="s">
        <v>11446</v>
      </c>
      <c r="L2972" t="s">
        <v>12648</v>
      </c>
      <c r="M2972" t="s">
        <v>14744</v>
      </c>
      <c r="N2972" t="s">
        <v>14778</v>
      </c>
      <c r="P2972" t="s">
        <v>14801</v>
      </c>
      <c r="Q2972" t="s">
        <v>11448</v>
      </c>
      <c r="S2972" t="s">
        <v>14827</v>
      </c>
      <c r="T2972" t="s">
        <v>14837</v>
      </c>
      <c r="U2972" t="s">
        <v>504</v>
      </c>
      <c r="V2972">
        <v>1950</v>
      </c>
      <c r="W2972" t="s">
        <v>14861</v>
      </c>
      <c r="X2972" t="s">
        <v>14865</v>
      </c>
      <c r="Z2972" t="s">
        <v>17382</v>
      </c>
      <c r="AA2972" t="s">
        <v>11459</v>
      </c>
      <c r="AC2972">
        <v>7</v>
      </c>
      <c r="AD2972" t="s">
        <v>24600</v>
      </c>
      <c r="AE2972" t="s">
        <v>11459</v>
      </c>
      <c r="AF2972">
        <v>4</v>
      </c>
      <c r="AG2972">
        <v>2</v>
      </c>
      <c r="AH2972">
        <v>1</v>
      </c>
      <c r="AI2972">
        <v>131.27</v>
      </c>
      <c r="AL2972" t="s">
        <v>5011</v>
      </c>
      <c r="AM2972">
        <v>28000</v>
      </c>
      <c r="AS2972">
        <v>2.03</v>
      </c>
      <c r="AT2972" t="s">
        <v>504</v>
      </c>
      <c r="AU2972" t="s">
        <v>25233</v>
      </c>
      <c r="AV2972" t="s">
        <v>25335</v>
      </c>
      <c r="AW2972" t="s">
        <v>11447</v>
      </c>
    </row>
    <row r="2973" spans="1:49">
      <c r="A2973" s="1">
        <f>HYPERLINK("https://lsnyc.legalserver.org/matter/dynamic-profile/view/1909823","19-1909823")</f>
        <v>0</v>
      </c>
      <c r="B2973" t="s">
        <v>138</v>
      </c>
      <c r="C2973" t="s">
        <v>504</v>
      </c>
      <c r="E2973" t="s">
        <v>2226</v>
      </c>
      <c r="F2973" t="s">
        <v>5155</v>
      </c>
      <c r="G2973" t="s">
        <v>7846</v>
      </c>
      <c r="H2973" t="s">
        <v>11008</v>
      </c>
      <c r="I2973" t="s">
        <v>11390</v>
      </c>
      <c r="J2973">
        <v>11368</v>
      </c>
      <c r="K2973" t="s">
        <v>11446</v>
      </c>
      <c r="L2973" t="s">
        <v>12649</v>
      </c>
      <c r="M2973" t="s">
        <v>14744</v>
      </c>
      <c r="N2973" t="s">
        <v>14778</v>
      </c>
      <c r="P2973" t="s">
        <v>14801</v>
      </c>
      <c r="S2973" t="s">
        <v>14829</v>
      </c>
      <c r="U2973" t="s">
        <v>504</v>
      </c>
      <c r="V2973">
        <v>1469</v>
      </c>
      <c r="W2973" t="s">
        <v>14861</v>
      </c>
      <c r="X2973" t="s">
        <v>14865</v>
      </c>
      <c r="Z2973" t="s">
        <v>17383</v>
      </c>
      <c r="AB2973" t="s">
        <v>22433</v>
      </c>
      <c r="AC2973">
        <v>200</v>
      </c>
      <c r="AD2973" t="s">
        <v>11479</v>
      </c>
      <c r="AE2973" t="s">
        <v>11459</v>
      </c>
      <c r="AF2973">
        <v>28</v>
      </c>
      <c r="AG2973">
        <v>4</v>
      </c>
      <c r="AH2973">
        <v>0</v>
      </c>
      <c r="AI2973">
        <v>217.48</v>
      </c>
      <c r="AL2973" t="s">
        <v>5011</v>
      </c>
      <c r="AM2973">
        <v>56000</v>
      </c>
      <c r="AS2973">
        <v>7</v>
      </c>
      <c r="AT2973" t="s">
        <v>586</v>
      </c>
      <c r="AU2973" t="s">
        <v>99</v>
      </c>
      <c r="AW2973" t="s">
        <v>11447</v>
      </c>
    </row>
    <row r="2974" spans="1:49">
      <c r="A2974" s="1">
        <f>HYPERLINK("https://lsnyc.legalserver.org/matter/dynamic-profile/view/1910037","19-1910037")</f>
        <v>0</v>
      </c>
      <c r="B2974" t="s">
        <v>122</v>
      </c>
      <c r="C2974" t="s">
        <v>471</v>
      </c>
      <c r="E2974" t="s">
        <v>1134</v>
      </c>
      <c r="F2974" t="s">
        <v>5156</v>
      </c>
      <c r="G2974" t="s">
        <v>8433</v>
      </c>
      <c r="H2974" t="s">
        <v>10705</v>
      </c>
      <c r="I2974" t="s">
        <v>11405</v>
      </c>
      <c r="J2974">
        <v>11416</v>
      </c>
      <c r="K2974" t="s">
        <v>11446</v>
      </c>
      <c r="L2974" t="s">
        <v>12650</v>
      </c>
      <c r="M2974" t="s">
        <v>14743</v>
      </c>
      <c r="N2974" t="s">
        <v>14778</v>
      </c>
      <c r="P2974" t="s">
        <v>14801</v>
      </c>
      <c r="Q2974" t="s">
        <v>11448</v>
      </c>
      <c r="S2974" t="s">
        <v>14827</v>
      </c>
      <c r="T2974" t="s">
        <v>14832</v>
      </c>
      <c r="U2974" t="s">
        <v>471</v>
      </c>
      <c r="V2974">
        <v>1450</v>
      </c>
      <c r="W2974" t="s">
        <v>14861</v>
      </c>
      <c r="X2974" t="s">
        <v>14865</v>
      </c>
      <c r="Z2974" t="s">
        <v>17384</v>
      </c>
      <c r="AA2974" t="s">
        <v>19611</v>
      </c>
      <c r="AB2974" t="s">
        <v>22434</v>
      </c>
      <c r="AC2974">
        <v>2</v>
      </c>
      <c r="AD2974" t="s">
        <v>24600</v>
      </c>
      <c r="AE2974" t="s">
        <v>11459</v>
      </c>
      <c r="AF2974">
        <v>9</v>
      </c>
      <c r="AG2974">
        <v>1</v>
      </c>
      <c r="AH2974">
        <v>3</v>
      </c>
      <c r="AI2974">
        <v>63.36</v>
      </c>
      <c r="AL2974" t="s">
        <v>5011</v>
      </c>
      <c r="AM2974">
        <v>16316</v>
      </c>
      <c r="AS2974">
        <v>1.3</v>
      </c>
      <c r="AT2974" t="s">
        <v>471</v>
      </c>
      <c r="AU2974" t="s">
        <v>292</v>
      </c>
      <c r="AV2974" t="s">
        <v>25335</v>
      </c>
      <c r="AW2974" t="s">
        <v>11447</v>
      </c>
    </row>
    <row r="2975" spans="1:49">
      <c r="A2975" s="1">
        <f>HYPERLINK("https://lsnyc.legalserver.org/matter/dynamic-profile/view/1910047","19-1910047")</f>
        <v>0</v>
      </c>
      <c r="B2975" t="s">
        <v>147</v>
      </c>
      <c r="C2975" t="s">
        <v>471</v>
      </c>
      <c r="E2975" t="s">
        <v>1057</v>
      </c>
      <c r="F2975" t="s">
        <v>5157</v>
      </c>
      <c r="G2975" t="s">
        <v>8434</v>
      </c>
      <c r="I2975" t="s">
        <v>11422</v>
      </c>
      <c r="J2975">
        <v>11413</v>
      </c>
      <c r="K2975" t="s">
        <v>11446</v>
      </c>
      <c r="L2975" t="s">
        <v>12651</v>
      </c>
      <c r="M2975" t="s">
        <v>14743</v>
      </c>
      <c r="N2975" t="s">
        <v>14778</v>
      </c>
      <c r="P2975" t="s">
        <v>14801</v>
      </c>
      <c r="Q2975" t="s">
        <v>11448</v>
      </c>
      <c r="S2975" t="s">
        <v>14827</v>
      </c>
      <c r="U2975" t="s">
        <v>471</v>
      </c>
      <c r="V2975">
        <v>800</v>
      </c>
      <c r="W2975" t="s">
        <v>14861</v>
      </c>
      <c r="X2975" t="s">
        <v>14865</v>
      </c>
      <c r="Z2975" t="s">
        <v>17385</v>
      </c>
      <c r="AA2975" t="s">
        <v>19612</v>
      </c>
      <c r="AB2975" t="s">
        <v>22435</v>
      </c>
      <c r="AC2975">
        <v>1</v>
      </c>
      <c r="AD2975" t="s">
        <v>11479</v>
      </c>
      <c r="AE2975" t="s">
        <v>11459</v>
      </c>
      <c r="AF2975">
        <v>4</v>
      </c>
      <c r="AG2975">
        <v>1</v>
      </c>
      <c r="AH2975">
        <v>0</v>
      </c>
      <c r="AI2975">
        <v>67.25</v>
      </c>
      <c r="AL2975" t="s">
        <v>5011</v>
      </c>
      <c r="AM2975">
        <v>8400</v>
      </c>
      <c r="AS2975">
        <v>1.47</v>
      </c>
      <c r="AT2975" t="s">
        <v>574</v>
      </c>
      <c r="AU2975" t="s">
        <v>292</v>
      </c>
      <c r="AV2975" t="s">
        <v>25335</v>
      </c>
      <c r="AW2975" t="s">
        <v>11447</v>
      </c>
    </row>
    <row r="2976" spans="1:49">
      <c r="A2976" s="1">
        <f>HYPERLINK("https://lsnyc.legalserver.org/matter/dynamic-profile/view/1910052","19-1910052")</f>
        <v>0</v>
      </c>
      <c r="B2976" t="s">
        <v>122</v>
      </c>
      <c r="C2976" t="s">
        <v>471</v>
      </c>
      <c r="E2976" t="s">
        <v>1301</v>
      </c>
      <c r="F2976" t="s">
        <v>3650</v>
      </c>
      <c r="G2976" t="s">
        <v>8435</v>
      </c>
      <c r="H2976" t="s">
        <v>11077</v>
      </c>
      <c r="I2976" t="s">
        <v>11422</v>
      </c>
      <c r="J2976">
        <v>11413</v>
      </c>
      <c r="K2976" t="s">
        <v>11446</v>
      </c>
      <c r="L2976" t="s">
        <v>12652</v>
      </c>
      <c r="M2976" t="s">
        <v>14743</v>
      </c>
      <c r="N2976" t="s">
        <v>14778</v>
      </c>
      <c r="P2976" t="s">
        <v>14801</v>
      </c>
      <c r="Q2976" t="s">
        <v>11448</v>
      </c>
      <c r="S2976" t="s">
        <v>14827</v>
      </c>
      <c r="T2976" t="s">
        <v>14834</v>
      </c>
      <c r="U2976" t="s">
        <v>471</v>
      </c>
      <c r="V2976">
        <v>800</v>
      </c>
      <c r="W2976" t="s">
        <v>14861</v>
      </c>
      <c r="X2976" t="s">
        <v>14865</v>
      </c>
      <c r="Z2976" t="s">
        <v>17386</v>
      </c>
      <c r="AA2976" t="s">
        <v>19613</v>
      </c>
      <c r="AB2976" t="s">
        <v>22436</v>
      </c>
      <c r="AC2976">
        <v>1</v>
      </c>
      <c r="AD2976" t="s">
        <v>11479</v>
      </c>
      <c r="AE2976" t="s">
        <v>24616</v>
      </c>
      <c r="AF2976">
        <v>4</v>
      </c>
      <c r="AG2976">
        <v>1</v>
      </c>
      <c r="AH2976">
        <v>0</v>
      </c>
      <c r="AI2976">
        <v>81.67</v>
      </c>
      <c r="AL2976" t="s">
        <v>5011</v>
      </c>
      <c r="AM2976">
        <v>10200</v>
      </c>
      <c r="AS2976">
        <v>1.3</v>
      </c>
      <c r="AT2976" t="s">
        <v>471</v>
      </c>
      <c r="AU2976" t="s">
        <v>292</v>
      </c>
      <c r="AV2976" t="s">
        <v>25335</v>
      </c>
      <c r="AW2976" t="s">
        <v>11447</v>
      </c>
    </row>
    <row r="2977" spans="1:49">
      <c r="A2977" s="1">
        <f>HYPERLINK("https://lsnyc.legalserver.org/matter/dynamic-profile/view/1910030","19-1910030")</f>
        <v>0</v>
      </c>
      <c r="B2977" t="s">
        <v>290</v>
      </c>
      <c r="C2977" t="s">
        <v>471</v>
      </c>
      <c r="E2977" t="s">
        <v>1209</v>
      </c>
      <c r="F2977" t="s">
        <v>5158</v>
      </c>
      <c r="G2977" t="s">
        <v>8436</v>
      </c>
      <c r="I2977" t="s">
        <v>11407</v>
      </c>
      <c r="J2977">
        <v>11415</v>
      </c>
      <c r="K2977" t="s">
        <v>11446</v>
      </c>
      <c r="L2977" t="s">
        <v>12653</v>
      </c>
      <c r="M2977" t="s">
        <v>14744</v>
      </c>
      <c r="N2977" t="s">
        <v>14781</v>
      </c>
      <c r="P2977" t="s">
        <v>14801</v>
      </c>
      <c r="Q2977" t="s">
        <v>11448</v>
      </c>
      <c r="S2977" t="s">
        <v>14827</v>
      </c>
      <c r="U2977" t="s">
        <v>471</v>
      </c>
      <c r="V2977">
        <v>1260</v>
      </c>
      <c r="W2977" t="s">
        <v>14861</v>
      </c>
      <c r="X2977" t="s">
        <v>14865</v>
      </c>
      <c r="Z2977" t="s">
        <v>17387</v>
      </c>
      <c r="AA2977" t="s">
        <v>19614</v>
      </c>
      <c r="AB2977" t="s">
        <v>22437</v>
      </c>
      <c r="AC2977">
        <v>48</v>
      </c>
      <c r="AD2977" t="s">
        <v>11479</v>
      </c>
      <c r="AE2977" t="s">
        <v>11459</v>
      </c>
      <c r="AF2977">
        <v>23</v>
      </c>
      <c r="AG2977">
        <v>1</v>
      </c>
      <c r="AH2977">
        <v>0</v>
      </c>
      <c r="AI2977">
        <v>84.06999999999999</v>
      </c>
      <c r="AL2977" t="s">
        <v>5011</v>
      </c>
      <c r="AM2977">
        <v>10500</v>
      </c>
      <c r="AS2977">
        <v>12.6</v>
      </c>
      <c r="AT2977" t="s">
        <v>603</v>
      </c>
      <c r="AU2977" t="s">
        <v>292</v>
      </c>
      <c r="AV2977" t="s">
        <v>25335</v>
      </c>
      <c r="AW2977" t="s">
        <v>11447</v>
      </c>
    </row>
    <row r="2978" spans="1:49">
      <c r="A2978" s="1">
        <f>HYPERLINK("https://lsnyc.legalserver.org/matter/dynamic-profile/view/1910059","19-1910059")</f>
        <v>0</v>
      </c>
      <c r="B2978" t="s">
        <v>147</v>
      </c>
      <c r="C2978" t="s">
        <v>471</v>
      </c>
      <c r="E2978" t="s">
        <v>2564</v>
      </c>
      <c r="F2978" t="s">
        <v>4468</v>
      </c>
      <c r="G2978" t="s">
        <v>8437</v>
      </c>
      <c r="I2978" t="s">
        <v>11409</v>
      </c>
      <c r="J2978">
        <v>11377</v>
      </c>
      <c r="K2978" t="s">
        <v>11446</v>
      </c>
      <c r="L2978" t="s">
        <v>12654</v>
      </c>
      <c r="M2978" t="s">
        <v>14743</v>
      </c>
      <c r="N2978" t="s">
        <v>14778</v>
      </c>
      <c r="P2978" t="s">
        <v>14801</v>
      </c>
      <c r="Q2978" t="s">
        <v>11448</v>
      </c>
      <c r="S2978" t="s">
        <v>14827</v>
      </c>
      <c r="U2978" t="s">
        <v>471</v>
      </c>
      <c r="V2978">
        <v>2050</v>
      </c>
      <c r="W2978" t="s">
        <v>14861</v>
      </c>
      <c r="X2978" t="s">
        <v>14865</v>
      </c>
      <c r="Z2978" t="s">
        <v>15242</v>
      </c>
      <c r="AA2978" t="s">
        <v>19615</v>
      </c>
      <c r="AB2978" t="s">
        <v>22438</v>
      </c>
      <c r="AC2978">
        <v>2</v>
      </c>
      <c r="AD2978" t="s">
        <v>11479</v>
      </c>
      <c r="AE2978" t="s">
        <v>11459</v>
      </c>
      <c r="AF2978">
        <v>1</v>
      </c>
      <c r="AG2978">
        <v>2</v>
      </c>
      <c r="AH2978">
        <v>2</v>
      </c>
      <c r="AI2978">
        <v>130.49</v>
      </c>
      <c r="AL2978" t="s">
        <v>5011</v>
      </c>
      <c r="AM2978">
        <v>33600</v>
      </c>
      <c r="AS2978">
        <v>2.55</v>
      </c>
      <c r="AT2978" t="s">
        <v>574</v>
      </c>
      <c r="AU2978" t="s">
        <v>292</v>
      </c>
      <c r="AV2978" t="s">
        <v>25335</v>
      </c>
      <c r="AW2978" t="s">
        <v>11447</v>
      </c>
    </row>
    <row r="2979" spans="1:49">
      <c r="A2979" s="1">
        <f>HYPERLINK("https://lsnyc.legalserver.org/matter/dynamic-profile/view/1910071","19-1910071")</f>
        <v>0</v>
      </c>
      <c r="B2979" t="s">
        <v>179</v>
      </c>
      <c r="C2979" t="s">
        <v>471</v>
      </c>
      <c r="E2979" t="s">
        <v>1860</v>
      </c>
      <c r="F2979" t="s">
        <v>4373</v>
      </c>
      <c r="G2979" t="s">
        <v>8438</v>
      </c>
      <c r="H2979">
        <v>403</v>
      </c>
      <c r="I2979" t="s">
        <v>11424</v>
      </c>
      <c r="J2979">
        <v>11372</v>
      </c>
      <c r="K2979" t="s">
        <v>11446</v>
      </c>
      <c r="L2979" t="s">
        <v>12655</v>
      </c>
      <c r="M2979" t="s">
        <v>14743</v>
      </c>
      <c r="N2979" t="s">
        <v>14779</v>
      </c>
      <c r="P2979" t="s">
        <v>14801</v>
      </c>
      <c r="Q2979" t="s">
        <v>11448</v>
      </c>
      <c r="S2979" t="s">
        <v>14827</v>
      </c>
      <c r="U2979" t="s">
        <v>471</v>
      </c>
      <c r="V2979">
        <v>1800</v>
      </c>
      <c r="W2979" t="s">
        <v>14861</v>
      </c>
      <c r="X2979" t="s">
        <v>14865</v>
      </c>
      <c r="Z2979" t="s">
        <v>17388</v>
      </c>
      <c r="AB2979" t="s">
        <v>22439</v>
      </c>
      <c r="AC2979">
        <v>0</v>
      </c>
      <c r="AD2979" t="s">
        <v>11479</v>
      </c>
      <c r="AE2979" t="s">
        <v>11459</v>
      </c>
      <c r="AF2979">
        <v>29</v>
      </c>
      <c r="AG2979">
        <v>1</v>
      </c>
      <c r="AH2979">
        <v>0</v>
      </c>
      <c r="AI2979">
        <v>195.03</v>
      </c>
      <c r="AL2979" t="s">
        <v>24632</v>
      </c>
      <c r="AM2979">
        <v>24359.04</v>
      </c>
      <c r="AS2979">
        <v>0.4</v>
      </c>
      <c r="AT2979" t="s">
        <v>471</v>
      </c>
      <c r="AU2979" t="s">
        <v>292</v>
      </c>
      <c r="AV2979" t="s">
        <v>25335</v>
      </c>
      <c r="AW2979" t="s">
        <v>11447</v>
      </c>
    </row>
    <row r="2980" spans="1:49">
      <c r="A2980" s="1">
        <f>HYPERLINK("https://lsnyc.legalserver.org/matter/dynamic-profile/view/1910419","19-1910419")</f>
        <v>0</v>
      </c>
      <c r="B2980" t="s">
        <v>138</v>
      </c>
      <c r="C2980" t="s">
        <v>508</v>
      </c>
      <c r="E2980" t="s">
        <v>1338</v>
      </c>
      <c r="F2980" t="s">
        <v>5159</v>
      </c>
      <c r="G2980" t="s">
        <v>8439</v>
      </c>
      <c r="H2980" t="s">
        <v>10610</v>
      </c>
      <c r="I2980" t="s">
        <v>11387</v>
      </c>
      <c r="J2980">
        <v>11435</v>
      </c>
      <c r="K2980" t="s">
        <v>11446</v>
      </c>
      <c r="L2980" t="s">
        <v>12656</v>
      </c>
      <c r="M2980" t="s">
        <v>14743</v>
      </c>
      <c r="N2980" t="s">
        <v>14778</v>
      </c>
      <c r="P2980" t="s">
        <v>14801</v>
      </c>
      <c r="Q2980" t="s">
        <v>11448</v>
      </c>
      <c r="S2980" t="s">
        <v>14827</v>
      </c>
      <c r="U2980" t="s">
        <v>508</v>
      </c>
      <c r="V2980">
        <v>1150</v>
      </c>
      <c r="W2980" t="s">
        <v>14861</v>
      </c>
      <c r="X2980" t="s">
        <v>14865</v>
      </c>
      <c r="Z2980" t="s">
        <v>17389</v>
      </c>
      <c r="AB2980" t="s">
        <v>22440</v>
      </c>
      <c r="AC2980">
        <v>2</v>
      </c>
      <c r="AD2980" t="s">
        <v>11479</v>
      </c>
      <c r="AE2980" t="s">
        <v>11459</v>
      </c>
      <c r="AF2980">
        <v>3</v>
      </c>
      <c r="AG2980">
        <v>1</v>
      </c>
      <c r="AH2980">
        <v>0</v>
      </c>
      <c r="AI2980">
        <v>0</v>
      </c>
      <c r="AL2980" t="s">
        <v>5011</v>
      </c>
      <c r="AM2980">
        <v>0</v>
      </c>
      <c r="AS2980">
        <v>1</v>
      </c>
      <c r="AT2980" t="s">
        <v>508</v>
      </c>
      <c r="AU2980" t="s">
        <v>292</v>
      </c>
      <c r="AV2980" t="s">
        <v>25335</v>
      </c>
      <c r="AW2980" t="s">
        <v>11447</v>
      </c>
    </row>
    <row r="2981" spans="1:49">
      <c r="A2981" s="1">
        <f>HYPERLINK("https://lsnyc.legalserver.org/matter/dynamic-profile/view/1910506","19-1910506")</f>
        <v>0</v>
      </c>
      <c r="B2981" t="s">
        <v>248</v>
      </c>
      <c r="C2981" t="s">
        <v>508</v>
      </c>
      <c r="E2981" t="s">
        <v>2565</v>
      </c>
      <c r="F2981" t="s">
        <v>3716</v>
      </c>
      <c r="G2981" t="s">
        <v>8440</v>
      </c>
      <c r="H2981" t="s">
        <v>10448</v>
      </c>
      <c r="I2981" t="s">
        <v>11396</v>
      </c>
      <c r="J2981">
        <v>11365</v>
      </c>
      <c r="K2981" t="s">
        <v>11446</v>
      </c>
      <c r="L2981" t="s">
        <v>12657</v>
      </c>
      <c r="M2981" t="s">
        <v>14743</v>
      </c>
      <c r="N2981" t="s">
        <v>14779</v>
      </c>
      <c r="P2981" t="s">
        <v>14801</v>
      </c>
      <c r="Q2981" t="s">
        <v>11448</v>
      </c>
      <c r="S2981" t="s">
        <v>14828</v>
      </c>
      <c r="T2981" t="s">
        <v>14832</v>
      </c>
      <c r="U2981" t="s">
        <v>508</v>
      </c>
      <c r="V2981">
        <v>640</v>
      </c>
      <c r="W2981" t="s">
        <v>14861</v>
      </c>
      <c r="X2981" t="s">
        <v>14865</v>
      </c>
      <c r="Z2981" t="s">
        <v>16741</v>
      </c>
      <c r="AA2981" t="s">
        <v>19616</v>
      </c>
      <c r="AB2981" t="s">
        <v>22441</v>
      </c>
      <c r="AC2981">
        <v>6</v>
      </c>
      <c r="AD2981" t="s">
        <v>24602</v>
      </c>
      <c r="AE2981" t="s">
        <v>14755</v>
      </c>
      <c r="AF2981">
        <v>27</v>
      </c>
      <c r="AG2981">
        <v>1</v>
      </c>
      <c r="AH2981">
        <v>0</v>
      </c>
      <c r="AI2981">
        <v>16.35</v>
      </c>
      <c r="AL2981" t="s">
        <v>5011</v>
      </c>
      <c r="AM2981">
        <v>2042.4</v>
      </c>
      <c r="AS2981">
        <v>2</v>
      </c>
      <c r="AT2981" t="s">
        <v>551</v>
      </c>
      <c r="AU2981" t="s">
        <v>25233</v>
      </c>
      <c r="AV2981" t="s">
        <v>25334</v>
      </c>
      <c r="AW2981" t="s">
        <v>11447</v>
      </c>
    </row>
    <row r="2982" spans="1:49">
      <c r="A2982" s="1">
        <f>HYPERLINK("https://lsnyc.legalserver.org/matter/dynamic-profile/view/1910444","19-1910444")</f>
        <v>0</v>
      </c>
      <c r="B2982" t="s">
        <v>271</v>
      </c>
      <c r="C2982" t="s">
        <v>508</v>
      </c>
      <c r="E2982" t="s">
        <v>2566</v>
      </c>
      <c r="F2982" t="s">
        <v>5160</v>
      </c>
      <c r="G2982" t="s">
        <v>8441</v>
      </c>
      <c r="H2982" t="s">
        <v>10705</v>
      </c>
      <c r="I2982" t="s">
        <v>11433</v>
      </c>
      <c r="J2982">
        <v>11369</v>
      </c>
      <c r="K2982" t="s">
        <v>11446</v>
      </c>
      <c r="L2982" t="s">
        <v>12658</v>
      </c>
      <c r="M2982" t="s">
        <v>14744</v>
      </c>
      <c r="N2982" t="s">
        <v>14778</v>
      </c>
      <c r="P2982" t="s">
        <v>14801</v>
      </c>
      <c r="Q2982" t="s">
        <v>11448</v>
      </c>
      <c r="S2982" t="s">
        <v>14827</v>
      </c>
      <c r="U2982" t="s">
        <v>508</v>
      </c>
      <c r="V2982">
        <v>1800</v>
      </c>
      <c r="W2982" t="s">
        <v>14861</v>
      </c>
      <c r="X2982" t="s">
        <v>14865</v>
      </c>
      <c r="Z2982" t="s">
        <v>17390</v>
      </c>
      <c r="AB2982" t="s">
        <v>22442</v>
      </c>
      <c r="AC2982">
        <v>2</v>
      </c>
      <c r="AD2982" t="s">
        <v>11479</v>
      </c>
      <c r="AE2982" t="s">
        <v>11459</v>
      </c>
      <c r="AF2982">
        <v>3</v>
      </c>
      <c r="AG2982">
        <v>2</v>
      </c>
      <c r="AH2982">
        <v>4</v>
      </c>
      <c r="AI2982">
        <v>45.68</v>
      </c>
      <c r="AL2982" t="s">
        <v>5011</v>
      </c>
      <c r="AM2982">
        <v>15800</v>
      </c>
      <c r="AS2982">
        <v>1.45</v>
      </c>
      <c r="AT2982" t="s">
        <v>586</v>
      </c>
      <c r="AU2982" t="s">
        <v>292</v>
      </c>
      <c r="AV2982" t="s">
        <v>25335</v>
      </c>
      <c r="AW2982" t="s">
        <v>11447</v>
      </c>
    </row>
    <row r="2983" spans="1:49">
      <c r="A2983" s="1">
        <f>HYPERLINK("https://lsnyc.legalserver.org/matter/dynamic-profile/view/1910451","19-1910451")</f>
        <v>0</v>
      </c>
      <c r="B2983" t="s">
        <v>138</v>
      </c>
      <c r="C2983" t="s">
        <v>508</v>
      </c>
      <c r="E2983" t="s">
        <v>1025</v>
      </c>
      <c r="F2983" t="s">
        <v>3898</v>
      </c>
      <c r="G2983" t="s">
        <v>8442</v>
      </c>
      <c r="I2983" t="s">
        <v>11399</v>
      </c>
      <c r="J2983">
        <v>11421</v>
      </c>
      <c r="K2983" t="s">
        <v>11446</v>
      </c>
      <c r="L2983" t="s">
        <v>12659</v>
      </c>
      <c r="M2983" t="s">
        <v>14743</v>
      </c>
      <c r="N2983" t="s">
        <v>14781</v>
      </c>
      <c r="P2983" t="s">
        <v>14801</v>
      </c>
      <c r="Q2983" t="s">
        <v>11448</v>
      </c>
      <c r="S2983" t="s">
        <v>14827</v>
      </c>
      <c r="U2983" t="s">
        <v>508</v>
      </c>
      <c r="V2983">
        <v>2500</v>
      </c>
      <c r="W2983" t="s">
        <v>14861</v>
      </c>
      <c r="X2983" t="s">
        <v>14865</v>
      </c>
      <c r="Z2983" t="s">
        <v>17391</v>
      </c>
      <c r="AB2983" t="s">
        <v>19344</v>
      </c>
      <c r="AC2983">
        <v>2</v>
      </c>
      <c r="AD2983" t="s">
        <v>11479</v>
      </c>
      <c r="AE2983" t="s">
        <v>11459</v>
      </c>
      <c r="AF2983">
        <v>1</v>
      </c>
      <c r="AG2983">
        <v>1</v>
      </c>
      <c r="AH2983">
        <v>2</v>
      </c>
      <c r="AI2983">
        <v>65.64</v>
      </c>
      <c r="AL2983" t="s">
        <v>24632</v>
      </c>
      <c r="AM2983">
        <v>14000</v>
      </c>
      <c r="AS2983">
        <v>0.9</v>
      </c>
      <c r="AT2983" t="s">
        <v>508</v>
      </c>
      <c r="AU2983" t="s">
        <v>292</v>
      </c>
      <c r="AV2983" t="s">
        <v>25335</v>
      </c>
      <c r="AW2983" t="s">
        <v>11447</v>
      </c>
    </row>
    <row r="2984" spans="1:49">
      <c r="A2984" s="1">
        <f>HYPERLINK("https://lsnyc.legalserver.org/matter/dynamic-profile/view/1910405","19-1910405")</f>
        <v>0</v>
      </c>
      <c r="B2984" t="s">
        <v>271</v>
      </c>
      <c r="C2984" t="s">
        <v>508</v>
      </c>
      <c r="E2984" t="s">
        <v>1688</v>
      </c>
      <c r="F2984" t="s">
        <v>3717</v>
      </c>
      <c r="G2984" t="s">
        <v>8443</v>
      </c>
      <c r="H2984" t="s">
        <v>10705</v>
      </c>
      <c r="I2984" t="s">
        <v>11433</v>
      </c>
      <c r="J2984">
        <v>11370</v>
      </c>
      <c r="K2984" t="s">
        <v>11446</v>
      </c>
      <c r="L2984" t="s">
        <v>12660</v>
      </c>
      <c r="M2984" t="s">
        <v>14743</v>
      </c>
      <c r="N2984" t="s">
        <v>14778</v>
      </c>
      <c r="P2984" t="s">
        <v>14801</v>
      </c>
      <c r="Q2984" t="s">
        <v>11448</v>
      </c>
      <c r="S2984" t="s">
        <v>14827</v>
      </c>
      <c r="U2984" t="s">
        <v>508</v>
      </c>
      <c r="V2984">
        <v>900</v>
      </c>
      <c r="W2984" t="s">
        <v>14861</v>
      </c>
      <c r="X2984" t="s">
        <v>14865</v>
      </c>
      <c r="Z2984" t="s">
        <v>17392</v>
      </c>
      <c r="AA2984" t="s">
        <v>19617</v>
      </c>
      <c r="AB2984" t="s">
        <v>22443</v>
      </c>
      <c r="AC2984">
        <v>2</v>
      </c>
      <c r="AD2984" t="s">
        <v>11479</v>
      </c>
      <c r="AE2984" t="s">
        <v>11459</v>
      </c>
      <c r="AF2984">
        <v>1</v>
      </c>
      <c r="AG2984">
        <v>1</v>
      </c>
      <c r="AH2984">
        <v>2</v>
      </c>
      <c r="AI2984">
        <v>121.89</v>
      </c>
      <c r="AL2984" t="s">
        <v>5011</v>
      </c>
      <c r="AM2984">
        <v>26000</v>
      </c>
      <c r="AS2984">
        <v>1</v>
      </c>
      <c r="AT2984" t="s">
        <v>604</v>
      </c>
      <c r="AU2984" t="s">
        <v>292</v>
      </c>
      <c r="AV2984" t="s">
        <v>25335</v>
      </c>
      <c r="AW2984" t="s">
        <v>11447</v>
      </c>
    </row>
    <row r="2985" spans="1:49">
      <c r="A2985" s="1">
        <f>HYPERLINK("https://lsnyc.legalserver.org/matter/dynamic-profile/view/1910633","19-1910633")</f>
        <v>0</v>
      </c>
      <c r="B2985" t="s">
        <v>227</v>
      </c>
      <c r="C2985" t="s">
        <v>644</v>
      </c>
      <c r="E2985" t="s">
        <v>2567</v>
      </c>
      <c r="F2985" t="s">
        <v>5161</v>
      </c>
      <c r="G2985" t="s">
        <v>8444</v>
      </c>
      <c r="I2985" t="s">
        <v>11387</v>
      </c>
      <c r="J2985">
        <v>11435</v>
      </c>
      <c r="K2985" t="s">
        <v>11446</v>
      </c>
      <c r="L2985" t="s">
        <v>12661</v>
      </c>
      <c r="M2985" t="s">
        <v>14743</v>
      </c>
      <c r="N2985" t="s">
        <v>14778</v>
      </c>
      <c r="P2985" t="s">
        <v>14801</v>
      </c>
      <c r="Q2985" t="s">
        <v>11448</v>
      </c>
      <c r="S2985" t="s">
        <v>14827</v>
      </c>
      <c r="U2985" t="s">
        <v>644</v>
      </c>
      <c r="V2985">
        <v>500</v>
      </c>
      <c r="W2985" t="s">
        <v>14861</v>
      </c>
      <c r="X2985" t="s">
        <v>14865</v>
      </c>
      <c r="Z2985" t="s">
        <v>17393</v>
      </c>
      <c r="AB2985" t="s">
        <v>19344</v>
      </c>
      <c r="AC2985">
        <v>2</v>
      </c>
      <c r="AD2985" t="s">
        <v>11479</v>
      </c>
      <c r="AE2985" t="s">
        <v>11459</v>
      </c>
      <c r="AF2985">
        <v>10</v>
      </c>
      <c r="AG2985">
        <v>1</v>
      </c>
      <c r="AH2985">
        <v>0</v>
      </c>
      <c r="AI2985">
        <v>0</v>
      </c>
      <c r="AL2985" t="s">
        <v>5011</v>
      </c>
      <c r="AM2985">
        <v>0</v>
      </c>
      <c r="AS2985">
        <v>3</v>
      </c>
      <c r="AT2985" t="s">
        <v>477</v>
      </c>
      <c r="AU2985" t="s">
        <v>292</v>
      </c>
      <c r="AV2985" t="s">
        <v>25335</v>
      </c>
      <c r="AW2985" t="s">
        <v>11447</v>
      </c>
    </row>
    <row r="2986" spans="1:49">
      <c r="A2986" s="1">
        <f>HYPERLINK("https://lsnyc.legalserver.org/matter/dynamic-profile/view/1910597","19-1910597")</f>
        <v>0</v>
      </c>
      <c r="B2986" t="s">
        <v>124</v>
      </c>
      <c r="C2986" t="s">
        <v>644</v>
      </c>
      <c r="E2986" t="s">
        <v>2568</v>
      </c>
      <c r="F2986" t="s">
        <v>3650</v>
      </c>
      <c r="G2986" t="s">
        <v>6760</v>
      </c>
      <c r="H2986" t="s">
        <v>10575</v>
      </c>
      <c r="I2986" t="s">
        <v>11409</v>
      </c>
      <c r="J2986">
        <v>11377</v>
      </c>
      <c r="K2986" t="s">
        <v>11446</v>
      </c>
      <c r="L2986" t="s">
        <v>12662</v>
      </c>
      <c r="M2986" t="s">
        <v>14743</v>
      </c>
      <c r="N2986" t="s">
        <v>14778</v>
      </c>
      <c r="P2986" t="s">
        <v>14801</v>
      </c>
      <c r="Q2986" t="s">
        <v>11448</v>
      </c>
      <c r="S2986" t="s">
        <v>14827</v>
      </c>
      <c r="T2986" t="s">
        <v>14832</v>
      </c>
      <c r="U2986" t="s">
        <v>644</v>
      </c>
      <c r="V2986">
        <v>2120</v>
      </c>
      <c r="W2986" t="s">
        <v>14861</v>
      </c>
      <c r="X2986" t="s">
        <v>14865</v>
      </c>
      <c r="Z2986" t="s">
        <v>17394</v>
      </c>
      <c r="AA2986" t="s">
        <v>19618</v>
      </c>
      <c r="AB2986" t="s">
        <v>19344</v>
      </c>
      <c r="AC2986">
        <v>6</v>
      </c>
      <c r="AD2986" t="s">
        <v>11479</v>
      </c>
      <c r="AE2986" t="s">
        <v>11459</v>
      </c>
      <c r="AF2986">
        <v>15</v>
      </c>
      <c r="AG2986">
        <v>1</v>
      </c>
      <c r="AH2986">
        <v>3</v>
      </c>
      <c r="AI2986">
        <v>12.72</v>
      </c>
      <c r="AL2986" t="s">
        <v>24632</v>
      </c>
      <c r="AM2986">
        <v>3276</v>
      </c>
      <c r="AS2986">
        <v>0.55</v>
      </c>
      <c r="AT2986" t="s">
        <v>460</v>
      </c>
      <c r="AU2986" t="s">
        <v>292</v>
      </c>
      <c r="AV2986" t="s">
        <v>25335</v>
      </c>
      <c r="AW2986" t="s">
        <v>11447</v>
      </c>
    </row>
    <row r="2987" spans="1:49">
      <c r="A2987" s="1">
        <f>HYPERLINK("https://lsnyc.legalserver.org/matter/dynamic-profile/view/1910616","19-1910616")</f>
        <v>0</v>
      </c>
      <c r="B2987" t="s">
        <v>204</v>
      </c>
      <c r="C2987" t="s">
        <v>644</v>
      </c>
      <c r="E2987" t="s">
        <v>1025</v>
      </c>
      <c r="F2987" t="s">
        <v>4522</v>
      </c>
      <c r="G2987" t="s">
        <v>8445</v>
      </c>
      <c r="H2987" t="s">
        <v>10705</v>
      </c>
      <c r="I2987" t="s">
        <v>11397</v>
      </c>
      <c r="J2987">
        <v>11378</v>
      </c>
      <c r="K2987" t="s">
        <v>11446</v>
      </c>
      <c r="L2987" t="s">
        <v>12663</v>
      </c>
      <c r="M2987" t="s">
        <v>14744</v>
      </c>
      <c r="N2987" t="s">
        <v>14781</v>
      </c>
      <c r="P2987" t="s">
        <v>14801</v>
      </c>
      <c r="Q2987" t="s">
        <v>11448</v>
      </c>
      <c r="S2987" t="s">
        <v>14827</v>
      </c>
      <c r="T2987" t="s">
        <v>14832</v>
      </c>
      <c r="U2987" t="s">
        <v>644</v>
      </c>
      <c r="V2987">
        <v>1300</v>
      </c>
      <c r="W2987" t="s">
        <v>14861</v>
      </c>
      <c r="X2987" t="s">
        <v>14865</v>
      </c>
      <c r="Z2987" t="s">
        <v>644</v>
      </c>
      <c r="AA2987" t="s">
        <v>19619</v>
      </c>
      <c r="AB2987" t="s">
        <v>22444</v>
      </c>
      <c r="AC2987">
        <v>1</v>
      </c>
      <c r="AD2987" t="s">
        <v>24600</v>
      </c>
      <c r="AE2987" t="s">
        <v>24615</v>
      </c>
      <c r="AF2987">
        <v>12</v>
      </c>
      <c r="AG2987">
        <v>1</v>
      </c>
      <c r="AH2987">
        <v>1</v>
      </c>
      <c r="AI2987">
        <v>70.95999999999999</v>
      </c>
      <c r="AL2987" t="s">
        <v>24632</v>
      </c>
      <c r="AM2987">
        <v>12000</v>
      </c>
      <c r="AS2987">
        <v>15.05</v>
      </c>
      <c r="AT2987" t="s">
        <v>521</v>
      </c>
      <c r="AU2987" t="s">
        <v>292</v>
      </c>
      <c r="AV2987" t="s">
        <v>25335</v>
      </c>
      <c r="AW2987" t="s">
        <v>11447</v>
      </c>
    </row>
    <row r="2988" spans="1:49">
      <c r="A2988" s="1">
        <f>HYPERLINK("https://lsnyc.legalserver.org/matter/dynamic-profile/view/1910609","19-1910609")</f>
        <v>0</v>
      </c>
      <c r="B2988" t="s">
        <v>179</v>
      </c>
      <c r="C2988" t="s">
        <v>644</v>
      </c>
      <c r="E2988" t="s">
        <v>2569</v>
      </c>
      <c r="F2988" t="s">
        <v>5162</v>
      </c>
      <c r="G2988" t="s">
        <v>8446</v>
      </c>
      <c r="H2988">
        <v>57</v>
      </c>
      <c r="I2988" t="s">
        <v>11396</v>
      </c>
      <c r="J2988">
        <v>11365</v>
      </c>
      <c r="K2988" t="s">
        <v>11446</v>
      </c>
      <c r="L2988" t="s">
        <v>12664</v>
      </c>
      <c r="M2988" t="s">
        <v>14743</v>
      </c>
      <c r="N2988" t="s">
        <v>14781</v>
      </c>
      <c r="P2988" t="s">
        <v>14801</v>
      </c>
      <c r="Q2988" t="s">
        <v>11448</v>
      </c>
      <c r="S2988" t="s">
        <v>14827</v>
      </c>
      <c r="U2988" t="s">
        <v>644</v>
      </c>
      <c r="V2988">
        <v>1100</v>
      </c>
      <c r="W2988" t="s">
        <v>14861</v>
      </c>
      <c r="X2988" t="s">
        <v>14865</v>
      </c>
      <c r="Z2988" t="s">
        <v>17395</v>
      </c>
      <c r="AB2988" t="s">
        <v>22445</v>
      </c>
      <c r="AC2988">
        <v>30</v>
      </c>
      <c r="AD2988" t="s">
        <v>11479</v>
      </c>
      <c r="AE2988" t="s">
        <v>11459</v>
      </c>
      <c r="AF2988">
        <v>6</v>
      </c>
      <c r="AG2988">
        <v>1</v>
      </c>
      <c r="AH2988">
        <v>0</v>
      </c>
      <c r="AI2988">
        <v>80.06</v>
      </c>
      <c r="AL2988" t="s">
        <v>5011</v>
      </c>
      <c r="AM2988">
        <v>10000</v>
      </c>
      <c r="AS2988">
        <v>3.7</v>
      </c>
      <c r="AT2988" t="s">
        <v>478</v>
      </c>
      <c r="AU2988" t="s">
        <v>292</v>
      </c>
      <c r="AV2988" t="s">
        <v>25335</v>
      </c>
      <c r="AW2988" t="s">
        <v>11447</v>
      </c>
    </row>
    <row r="2989" spans="1:49">
      <c r="A2989" s="1">
        <f>HYPERLINK("https://lsnyc.legalserver.org/matter/dynamic-profile/view/1910731","19-1910731")</f>
        <v>0</v>
      </c>
      <c r="B2989" t="s">
        <v>144</v>
      </c>
      <c r="C2989" t="s">
        <v>663</v>
      </c>
      <c r="E2989" t="s">
        <v>2570</v>
      </c>
      <c r="F2989" t="s">
        <v>5163</v>
      </c>
      <c r="G2989" t="s">
        <v>8447</v>
      </c>
      <c r="I2989" t="s">
        <v>11436</v>
      </c>
      <c r="J2989">
        <v>11426</v>
      </c>
      <c r="K2989" t="s">
        <v>11446</v>
      </c>
      <c r="L2989" t="s">
        <v>12665</v>
      </c>
      <c r="M2989" t="s">
        <v>14743</v>
      </c>
      <c r="N2989" t="s">
        <v>14778</v>
      </c>
      <c r="P2989" t="s">
        <v>14801</v>
      </c>
      <c r="Q2989" t="s">
        <v>11448</v>
      </c>
      <c r="S2989" t="s">
        <v>14827</v>
      </c>
      <c r="U2989" t="s">
        <v>663</v>
      </c>
      <c r="V2989">
        <v>1600</v>
      </c>
      <c r="W2989" t="s">
        <v>14861</v>
      </c>
      <c r="X2989" t="s">
        <v>14865</v>
      </c>
      <c r="Z2989" t="s">
        <v>17396</v>
      </c>
      <c r="AB2989" t="s">
        <v>22446</v>
      </c>
      <c r="AC2989">
        <v>3</v>
      </c>
      <c r="AD2989" t="s">
        <v>11479</v>
      </c>
      <c r="AE2989" t="s">
        <v>11459</v>
      </c>
      <c r="AF2989">
        <v>-1</v>
      </c>
      <c r="AG2989">
        <v>2</v>
      </c>
      <c r="AH2989">
        <v>0</v>
      </c>
      <c r="AI2989">
        <v>67.42</v>
      </c>
      <c r="AL2989" t="s">
        <v>5011</v>
      </c>
      <c r="AM2989">
        <v>11400</v>
      </c>
      <c r="AS2989">
        <v>1.4</v>
      </c>
      <c r="AT2989" t="s">
        <v>663</v>
      </c>
      <c r="AU2989" t="s">
        <v>292</v>
      </c>
      <c r="AV2989" t="s">
        <v>25335</v>
      </c>
      <c r="AW2989" t="s">
        <v>11447</v>
      </c>
    </row>
    <row r="2990" spans="1:49">
      <c r="A2990" s="1">
        <f>HYPERLINK("https://lsnyc.legalserver.org/matter/dynamic-profile/view/1910709","19-1910709")</f>
        <v>0</v>
      </c>
      <c r="B2990" t="s">
        <v>271</v>
      </c>
      <c r="C2990" t="s">
        <v>663</v>
      </c>
      <c r="E2990" t="s">
        <v>2571</v>
      </c>
      <c r="F2990" t="s">
        <v>5164</v>
      </c>
      <c r="G2990" t="s">
        <v>8448</v>
      </c>
      <c r="H2990">
        <v>5</v>
      </c>
      <c r="I2990" t="s">
        <v>11404</v>
      </c>
      <c r="J2990">
        <v>11102</v>
      </c>
      <c r="K2990" t="s">
        <v>11446</v>
      </c>
      <c r="L2990" t="s">
        <v>12666</v>
      </c>
      <c r="M2990" t="s">
        <v>14743</v>
      </c>
      <c r="N2990" t="s">
        <v>14781</v>
      </c>
      <c r="P2990" t="s">
        <v>14801</v>
      </c>
      <c r="Q2990" t="s">
        <v>11448</v>
      </c>
      <c r="S2990" t="s">
        <v>14827</v>
      </c>
      <c r="T2990" t="s">
        <v>14832</v>
      </c>
      <c r="U2990" t="s">
        <v>663</v>
      </c>
      <c r="V2990">
        <v>1518.75</v>
      </c>
      <c r="W2990" t="s">
        <v>14861</v>
      </c>
      <c r="X2990" t="s">
        <v>14871</v>
      </c>
      <c r="Z2990" t="s">
        <v>17397</v>
      </c>
      <c r="AA2990" t="s">
        <v>19620</v>
      </c>
      <c r="AB2990" t="s">
        <v>22447</v>
      </c>
      <c r="AC2990">
        <v>8</v>
      </c>
      <c r="AD2990" t="s">
        <v>24595</v>
      </c>
      <c r="AE2990" t="s">
        <v>24616</v>
      </c>
      <c r="AF2990">
        <v>5</v>
      </c>
      <c r="AG2990">
        <v>1</v>
      </c>
      <c r="AH2990">
        <v>2</v>
      </c>
      <c r="AI2990">
        <v>81.55</v>
      </c>
      <c r="AL2990" t="s">
        <v>24647</v>
      </c>
      <c r="AM2990">
        <v>17394</v>
      </c>
      <c r="AS2990">
        <v>11.25</v>
      </c>
      <c r="AT2990" t="s">
        <v>516</v>
      </c>
      <c r="AU2990" t="s">
        <v>99</v>
      </c>
      <c r="AV2990" t="s">
        <v>25334</v>
      </c>
      <c r="AW2990" t="s">
        <v>11447</v>
      </c>
    </row>
    <row r="2991" spans="1:49">
      <c r="A2991" s="1">
        <f>HYPERLINK("https://lsnyc.legalserver.org/matter/dynamic-profile/view/1910697","19-1910697")</f>
        <v>0</v>
      </c>
      <c r="B2991" t="s">
        <v>147</v>
      </c>
      <c r="C2991" t="s">
        <v>663</v>
      </c>
      <c r="E2991" t="s">
        <v>2572</v>
      </c>
      <c r="F2991" t="s">
        <v>4084</v>
      </c>
      <c r="G2991" t="s">
        <v>8449</v>
      </c>
      <c r="H2991" t="s">
        <v>10464</v>
      </c>
      <c r="I2991" t="s">
        <v>11387</v>
      </c>
      <c r="J2991">
        <v>11436</v>
      </c>
      <c r="K2991" t="s">
        <v>11446</v>
      </c>
      <c r="L2991" t="s">
        <v>12667</v>
      </c>
      <c r="M2991" t="s">
        <v>14743</v>
      </c>
      <c r="N2991" t="s">
        <v>14778</v>
      </c>
      <c r="P2991" t="s">
        <v>14801</v>
      </c>
      <c r="Q2991" t="s">
        <v>11448</v>
      </c>
      <c r="S2991" t="s">
        <v>14827</v>
      </c>
      <c r="U2991" t="s">
        <v>663</v>
      </c>
      <c r="V2991">
        <v>1450</v>
      </c>
      <c r="W2991" t="s">
        <v>14861</v>
      </c>
      <c r="X2991" t="s">
        <v>14865</v>
      </c>
      <c r="Z2991" t="s">
        <v>14994</v>
      </c>
      <c r="AA2991" t="s">
        <v>19621</v>
      </c>
      <c r="AB2991" t="s">
        <v>22448</v>
      </c>
      <c r="AC2991">
        <v>2</v>
      </c>
      <c r="AD2991" t="s">
        <v>11479</v>
      </c>
      <c r="AE2991" t="s">
        <v>11459</v>
      </c>
      <c r="AF2991">
        <v>10</v>
      </c>
      <c r="AG2991">
        <v>1</v>
      </c>
      <c r="AH2991">
        <v>1</v>
      </c>
      <c r="AI2991">
        <v>94.62</v>
      </c>
      <c r="AL2991" t="s">
        <v>5011</v>
      </c>
      <c r="AM2991">
        <v>16000</v>
      </c>
      <c r="AS2991">
        <v>1.4</v>
      </c>
      <c r="AT2991" t="s">
        <v>663</v>
      </c>
      <c r="AU2991" t="s">
        <v>292</v>
      </c>
      <c r="AV2991" t="s">
        <v>25335</v>
      </c>
      <c r="AW2991" t="s">
        <v>11447</v>
      </c>
    </row>
    <row r="2992" spans="1:49">
      <c r="A2992" s="1">
        <f>HYPERLINK("https://lsnyc.legalserver.org/matter/dynamic-profile/view/1910719","19-1910719")</f>
        <v>0</v>
      </c>
      <c r="B2992" t="s">
        <v>290</v>
      </c>
      <c r="C2992" t="s">
        <v>663</v>
      </c>
      <c r="E2992" t="s">
        <v>2573</v>
      </c>
      <c r="F2992" t="s">
        <v>5165</v>
      </c>
      <c r="G2992" t="s">
        <v>8450</v>
      </c>
      <c r="H2992" t="s">
        <v>10482</v>
      </c>
      <c r="I2992" t="s">
        <v>11411</v>
      </c>
      <c r="J2992">
        <v>11418</v>
      </c>
      <c r="K2992" t="s">
        <v>11446</v>
      </c>
      <c r="L2992" t="s">
        <v>12668</v>
      </c>
      <c r="M2992" t="s">
        <v>14744</v>
      </c>
      <c r="N2992" t="s">
        <v>14778</v>
      </c>
      <c r="P2992" t="s">
        <v>14801</v>
      </c>
      <c r="Q2992" t="s">
        <v>11448</v>
      </c>
      <c r="S2992" t="s">
        <v>14827</v>
      </c>
      <c r="U2992" t="s">
        <v>663</v>
      </c>
      <c r="V2992">
        <v>1758</v>
      </c>
      <c r="W2992" t="s">
        <v>14861</v>
      </c>
      <c r="X2992" t="s">
        <v>14865</v>
      </c>
      <c r="Z2992" t="s">
        <v>17398</v>
      </c>
      <c r="AB2992" t="s">
        <v>22449</v>
      </c>
      <c r="AC2992">
        <v>150</v>
      </c>
      <c r="AD2992" t="s">
        <v>11479</v>
      </c>
      <c r="AE2992" t="s">
        <v>24610</v>
      </c>
      <c r="AF2992">
        <v>5</v>
      </c>
      <c r="AG2992">
        <v>2</v>
      </c>
      <c r="AH2992">
        <v>0</v>
      </c>
      <c r="AI2992">
        <v>124.61</v>
      </c>
      <c r="AL2992" t="s">
        <v>5011</v>
      </c>
      <c r="AM2992">
        <v>21072</v>
      </c>
      <c r="AS2992">
        <v>3.85</v>
      </c>
      <c r="AT2992" t="s">
        <v>476</v>
      </c>
      <c r="AU2992" t="s">
        <v>292</v>
      </c>
      <c r="AV2992" t="s">
        <v>25335</v>
      </c>
      <c r="AW2992" t="s">
        <v>11447</v>
      </c>
    </row>
    <row r="2993" spans="1:49">
      <c r="A2993" s="1">
        <f>HYPERLINK("https://lsnyc.legalserver.org/matter/dynamic-profile/view/1910712","19-1910712")</f>
        <v>0</v>
      </c>
      <c r="B2993" t="s">
        <v>167</v>
      </c>
      <c r="C2993" t="s">
        <v>663</v>
      </c>
      <c r="E2993" t="s">
        <v>2574</v>
      </c>
      <c r="F2993" t="s">
        <v>5166</v>
      </c>
      <c r="G2993" t="s">
        <v>8451</v>
      </c>
      <c r="H2993" t="s">
        <v>10542</v>
      </c>
      <c r="I2993" t="s">
        <v>11407</v>
      </c>
      <c r="J2993">
        <v>11415</v>
      </c>
      <c r="K2993" t="s">
        <v>11446</v>
      </c>
      <c r="L2993" t="s">
        <v>12669</v>
      </c>
      <c r="M2993" t="s">
        <v>14743</v>
      </c>
      <c r="N2993" t="s">
        <v>14778</v>
      </c>
      <c r="P2993" t="s">
        <v>14801</v>
      </c>
      <c r="Q2993" t="s">
        <v>11448</v>
      </c>
      <c r="S2993" t="s">
        <v>14827</v>
      </c>
      <c r="T2993" t="s">
        <v>14832</v>
      </c>
      <c r="U2993" t="s">
        <v>663</v>
      </c>
      <c r="V2993">
        <v>1598.35</v>
      </c>
      <c r="W2993" t="s">
        <v>14861</v>
      </c>
      <c r="X2993" t="s">
        <v>14865</v>
      </c>
      <c r="Z2993" t="s">
        <v>17399</v>
      </c>
      <c r="AB2993" t="s">
        <v>22450</v>
      </c>
      <c r="AC2993">
        <v>36</v>
      </c>
      <c r="AD2993" t="s">
        <v>11479</v>
      </c>
      <c r="AE2993" t="s">
        <v>11459</v>
      </c>
      <c r="AF2993">
        <v>1</v>
      </c>
      <c r="AG2993">
        <v>1</v>
      </c>
      <c r="AH2993">
        <v>0</v>
      </c>
      <c r="AI2993">
        <v>172.94</v>
      </c>
      <c r="AL2993" t="s">
        <v>5011</v>
      </c>
      <c r="AM2993">
        <v>21600</v>
      </c>
      <c r="AS2993">
        <v>0.9</v>
      </c>
      <c r="AT2993" t="s">
        <v>663</v>
      </c>
      <c r="AU2993" t="s">
        <v>292</v>
      </c>
      <c r="AV2993" t="s">
        <v>25335</v>
      </c>
      <c r="AW2993" t="s">
        <v>11447</v>
      </c>
    </row>
    <row r="2994" spans="1:49">
      <c r="A2994" s="1">
        <f>HYPERLINK("https://lsnyc.legalserver.org/matter/dynamic-profile/view/1911132","19-1911132")</f>
        <v>0</v>
      </c>
      <c r="B2994" t="s">
        <v>227</v>
      </c>
      <c r="C2994" t="s">
        <v>475</v>
      </c>
      <c r="E2994" t="s">
        <v>2575</v>
      </c>
      <c r="F2994" t="s">
        <v>3714</v>
      </c>
      <c r="G2994" t="s">
        <v>8452</v>
      </c>
      <c r="I2994" t="s">
        <v>11405</v>
      </c>
      <c r="J2994">
        <v>11417</v>
      </c>
      <c r="K2994" t="s">
        <v>11446</v>
      </c>
      <c r="L2994" t="s">
        <v>12670</v>
      </c>
      <c r="M2994" t="s">
        <v>14743</v>
      </c>
      <c r="N2994" t="s">
        <v>14778</v>
      </c>
      <c r="P2994" t="s">
        <v>14801</v>
      </c>
      <c r="Q2994" t="s">
        <v>11448</v>
      </c>
      <c r="S2994" t="s">
        <v>14827</v>
      </c>
      <c r="T2994" t="s">
        <v>14832</v>
      </c>
      <c r="U2994" t="s">
        <v>475</v>
      </c>
      <c r="V2994">
        <v>1982</v>
      </c>
      <c r="W2994" t="s">
        <v>14861</v>
      </c>
      <c r="X2994" t="s">
        <v>14865</v>
      </c>
      <c r="Z2994" t="s">
        <v>17400</v>
      </c>
      <c r="AB2994" t="s">
        <v>22451</v>
      </c>
      <c r="AC2994">
        <v>1</v>
      </c>
      <c r="AD2994" t="s">
        <v>11479</v>
      </c>
      <c r="AE2994" t="s">
        <v>24610</v>
      </c>
      <c r="AF2994">
        <v>11</v>
      </c>
      <c r="AG2994">
        <v>1</v>
      </c>
      <c r="AH2994">
        <v>2</v>
      </c>
      <c r="AI2994">
        <v>196.91</v>
      </c>
      <c r="AL2994" t="s">
        <v>5011</v>
      </c>
      <c r="AM2994">
        <v>42000</v>
      </c>
      <c r="AS2994">
        <v>3.13</v>
      </c>
      <c r="AT2994" t="s">
        <v>509</v>
      </c>
      <c r="AU2994" t="s">
        <v>292</v>
      </c>
      <c r="AV2994" t="s">
        <v>25335</v>
      </c>
      <c r="AW2994" t="s">
        <v>11447</v>
      </c>
    </row>
    <row r="2995" spans="1:49">
      <c r="A2995" s="1">
        <f>HYPERLINK("https://lsnyc.legalserver.org/matter/dynamic-profile/view/1911267","19-1911267")</f>
        <v>0</v>
      </c>
      <c r="B2995" t="s">
        <v>271</v>
      </c>
      <c r="C2995" t="s">
        <v>511</v>
      </c>
      <c r="E2995" t="s">
        <v>1111</v>
      </c>
      <c r="F2995" t="s">
        <v>5167</v>
      </c>
      <c r="G2995" t="s">
        <v>8453</v>
      </c>
      <c r="H2995" t="s">
        <v>11078</v>
      </c>
      <c r="I2995" t="s">
        <v>11389</v>
      </c>
      <c r="J2995">
        <v>11367</v>
      </c>
      <c r="K2995" t="s">
        <v>11446</v>
      </c>
      <c r="L2995" t="s">
        <v>12671</v>
      </c>
      <c r="M2995" t="s">
        <v>14744</v>
      </c>
      <c r="N2995" t="s">
        <v>14781</v>
      </c>
      <c r="P2995" t="s">
        <v>14801</v>
      </c>
      <c r="S2995" t="s">
        <v>14827</v>
      </c>
      <c r="U2995" t="s">
        <v>511</v>
      </c>
      <c r="V2995">
        <v>992.5700000000001</v>
      </c>
      <c r="W2995" t="s">
        <v>14861</v>
      </c>
      <c r="X2995" t="s">
        <v>14877</v>
      </c>
      <c r="Z2995" t="s">
        <v>17401</v>
      </c>
      <c r="AB2995" t="s">
        <v>22452</v>
      </c>
      <c r="AC2995">
        <v>0</v>
      </c>
      <c r="AD2995" t="s">
        <v>24595</v>
      </c>
      <c r="AE2995" t="s">
        <v>24613</v>
      </c>
      <c r="AF2995">
        <v>52</v>
      </c>
      <c r="AG2995">
        <v>1</v>
      </c>
      <c r="AH2995">
        <v>0</v>
      </c>
      <c r="AI2995">
        <v>202.44</v>
      </c>
      <c r="AM2995">
        <v>25285.2</v>
      </c>
      <c r="AS2995">
        <v>21.3</v>
      </c>
      <c r="AT2995" t="s">
        <v>477</v>
      </c>
      <c r="AU2995" t="s">
        <v>99</v>
      </c>
      <c r="AW2995" t="s">
        <v>11447</v>
      </c>
    </row>
    <row r="2996" spans="1:49">
      <c r="A2996" s="1">
        <f>HYPERLINK("https://lsnyc.legalserver.org/matter/dynamic-profile/view/1911472","19-1911472")</f>
        <v>0</v>
      </c>
      <c r="B2996" t="s">
        <v>204</v>
      </c>
      <c r="C2996" t="s">
        <v>486</v>
      </c>
      <c r="E2996" t="s">
        <v>1633</v>
      </c>
      <c r="F2996" t="s">
        <v>3877</v>
      </c>
      <c r="G2996" t="s">
        <v>8454</v>
      </c>
      <c r="H2996" t="s">
        <v>10646</v>
      </c>
      <c r="I2996" t="s">
        <v>11436</v>
      </c>
      <c r="J2996">
        <v>11426</v>
      </c>
      <c r="K2996" t="s">
        <v>11446</v>
      </c>
      <c r="L2996" t="s">
        <v>12672</v>
      </c>
      <c r="M2996" t="s">
        <v>14743</v>
      </c>
      <c r="N2996" t="s">
        <v>14781</v>
      </c>
      <c r="P2996" t="s">
        <v>14801</v>
      </c>
      <c r="Q2996" t="s">
        <v>11448</v>
      </c>
      <c r="S2996" t="s">
        <v>14827</v>
      </c>
      <c r="U2996" t="s">
        <v>486</v>
      </c>
      <c r="V2996">
        <v>500</v>
      </c>
      <c r="W2996" t="s">
        <v>14861</v>
      </c>
      <c r="X2996" t="s">
        <v>14865</v>
      </c>
      <c r="Z2996" t="s">
        <v>15082</v>
      </c>
      <c r="AA2996" t="s">
        <v>19622</v>
      </c>
      <c r="AB2996" t="s">
        <v>22453</v>
      </c>
      <c r="AC2996">
        <v>2</v>
      </c>
      <c r="AD2996" t="s">
        <v>11479</v>
      </c>
      <c r="AE2996" t="s">
        <v>11459</v>
      </c>
      <c r="AF2996">
        <v>3</v>
      </c>
      <c r="AG2996">
        <v>1</v>
      </c>
      <c r="AH2996">
        <v>2</v>
      </c>
      <c r="AI2996">
        <v>21.94</v>
      </c>
      <c r="AL2996" t="s">
        <v>5011</v>
      </c>
      <c r="AM2996">
        <v>4680</v>
      </c>
      <c r="AS2996">
        <v>22.32</v>
      </c>
      <c r="AT2996" t="s">
        <v>580</v>
      </c>
      <c r="AU2996" t="s">
        <v>292</v>
      </c>
      <c r="AV2996" t="s">
        <v>25335</v>
      </c>
      <c r="AW2996" t="s">
        <v>11447</v>
      </c>
    </row>
    <row r="2997" spans="1:49">
      <c r="A2997" s="1">
        <f>HYPERLINK("https://lsnyc.legalserver.org/matter/dynamic-profile/view/1911494","19-1911494")</f>
        <v>0</v>
      </c>
      <c r="B2997" t="s">
        <v>122</v>
      </c>
      <c r="C2997" t="s">
        <v>486</v>
      </c>
      <c r="E2997" t="s">
        <v>1247</v>
      </c>
      <c r="F2997" t="s">
        <v>5168</v>
      </c>
      <c r="G2997" t="s">
        <v>8455</v>
      </c>
      <c r="H2997" t="s">
        <v>10474</v>
      </c>
      <c r="I2997" t="s">
        <v>11387</v>
      </c>
      <c r="J2997">
        <v>11432</v>
      </c>
      <c r="K2997" t="s">
        <v>11446</v>
      </c>
      <c r="L2997" t="s">
        <v>12673</v>
      </c>
      <c r="M2997" t="s">
        <v>14744</v>
      </c>
      <c r="N2997" t="s">
        <v>14782</v>
      </c>
      <c r="P2997" t="s">
        <v>14801</v>
      </c>
      <c r="Q2997" t="s">
        <v>11448</v>
      </c>
      <c r="S2997" t="s">
        <v>14827</v>
      </c>
      <c r="T2997" t="s">
        <v>14832</v>
      </c>
      <c r="U2997" t="s">
        <v>486</v>
      </c>
      <c r="V2997">
        <v>1216</v>
      </c>
      <c r="W2997" t="s">
        <v>14861</v>
      </c>
      <c r="X2997" t="s">
        <v>14865</v>
      </c>
      <c r="Z2997" t="s">
        <v>17402</v>
      </c>
      <c r="AA2997" t="s">
        <v>19623</v>
      </c>
      <c r="AB2997" t="s">
        <v>22454</v>
      </c>
      <c r="AC2997">
        <v>72</v>
      </c>
      <c r="AD2997" t="s">
        <v>11479</v>
      </c>
      <c r="AE2997" t="s">
        <v>24615</v>
      </c>
      <c r="AF2997">
        <v>18</v>
      </c>
      <c r="AG2997">
        <v>2</v>
      </c>
      <c r="AH2997">
        <v>2</v>
      </c>
      <c r="AI2997">
        <v>30.29</v>
      </c>
      <c r="AL2997" t="s">
        <v>5011</v>
      </c>
      <c r="AM2997">
        <v>7800</v>
      </c>
      <c r="AS2997">
        <v>1.5</v>
      </c>
      <c r="AT2997" t="s">
        <v>571</v>
      </c>
      <c r="AU2997" t="s">
        <v>292</v>
      </c>
      <c r="AV2997" t="s">
        <v>25335</v>
      </c>
      <c r="AW2997" t="s">
        <v>11447</v>
      </c>
    </row>
    <row r="2998" spans="1:49">
      <c r="A2998" s="1">
        <f>HYPERLINK("https://lsnyc.legalserver.org/matter/dynamic-profile/view/1911481","19-1911481")</f>
        <v>0</v>
      </c>
      <c r="B2998" t="s">
        <v>294</v>
      </c>
      <c r="C2998" t="s">
        <v>486</v>
      </c>
      <c r="E2998" t="s">
        <v>2576</v>
      </c>
      <c r="F2998" t="s">
        <v>5169</v>
      </c>
      <c r="G2998" t="s">
        <v>8456</v>
      </c>
      <c r="H2998">
        <v>1</v>
      </c>
      <c r="I2998" t="s">
        <v>11418</v>
      </c>
      <c r="J2998">
        <v>11413</v>
      </c>
      <c r="K2998" t="s">
        <v>11446</v>
      </c>
      <c r="L2998" t="s">
        <v>12674</v>
      </c>
      <c r="M2998" t="s">
        <v>14743</v>
      </c>
      <c r="N2998" t="s">
        <v>14778</v>
      </c>
      <c r="P2998" t="s">
        <v>14801</v>
      </c>
      <c r="Q2998" t="s">
        <v>11448</v>
      </c>
      <c r="S2998" t="s">
        <v>14827</v>
      </c>
      <c r="T2998" t="s">
        <v>14832</v>
      </c>
      <c r="U2998" t="s">
        <v>486</v>
      </c>
      <c r="V2998">
        <v>1500</v>
      </c>
      <c r="W2998" t="s">
        <v>14861</v>
      </c>
      <c r="X2998" t="s">
        <v>14865</v>
      </c>
      <c r="Z2998" t="s">
        <v>17403</v>
      </c>
      <c r="AA2998" t="s">
        <v>19624</v>
      </c>
      <c r="AB2998" t="s">
        <v>22455</v>
      </c>
      <c r="AC2998">
        <v>34</v>
      </c>
      <c r="AD2998" t="s">
        <v>24596</v>
      </c>
      <c r="AE2998" t="s">
        <v>11459</v>
      </c>
      <c r="AF2998">
        <v>5</v>
      </c>
      <c r="AG2998">
        <v>1</v>
      </c>
      <c r="AH2998">
        <v>0</v>
      </c>
      <c r="AI2998">
        <v>62.45</v>
      </c>
      <c r="AL2998" t="s">
        <v>5011</v>
      </c>
      <c r="AM2998">
        <v>7800</v>
      </c>
      <c r="AS2998">
        <v>0.9</v>
      </c>
      <c r="AT2998" t="s">
        <v>578</v>
      </c>
      <c r="AU2998" t="s">
        <v>292</v>
      </c>
      <c r="AV2998" t="s">
        <v>25335</v>
      </c>
      <c r="AW2998" t="s">
        <v>11447</v>
      </c>
    </row>
    <row r="2999" spans="1:49">
      <c r="A2999" s="1">
        <f>HYPERLINK("https://lsnyc.legalserver.org/matter/dynamic-profile/view/1911501","19-1911501")</f>
        <v>0</v>
      </c>
      <c r="B2999" t="s">
        <v>294</v>
      </c>
      <c r="C2999" t="s">
        <v>486</v>
      </c>
      <c r="E2999" t="s">
        <v>1372</v>
      </c>
      <c r="F2999" t="s">
        <v>3939</v>
      </c>
      <c r="G2999" t="s">
        <v>8457</v>
      </c>
      <c r="H2999" t="s">
        <v>10744</v>
      </c>
      <c r="I2999" t="s">
        <v>11404</v>
      </c>
      <c r="J2999">
        <v>11102</v>
      </c>
      <c r="K2999" t="s">
        <v>11446</v>
      </c>
      <c r="L2999" t="s">
        <v>12675</v>
      </c>
      <c r="M2999" t="s">
        <v>14743</v>
      </c>
      <c r="N2999" t="s">
        <v>14778</v>
      </c>
      <c r="P2999" t="s">
        <v>14801</v>
      </c>
      <c r="Q2999" t="s">
        <v>11448</v>
      </c>
      <c r="S2999" t="s">
        <v>14827</v>
      </c>
      <c r="T2999" t="s">
        <v>14832</v>
      </c>
      <c r="U2999" t="s">
        <v>486</v>
      </c>
      <c r="V2999">
        <v>2400</v>
      </c>
      <c r="W2999" t="s">
        <v>14861</v>
      </c>
      <c r="X2999" t="s">
        <v>14865</v>
      </c>
      <c r="Z2999" t="s">
        <v>17404</v>
      </c>
      <c r="AA2999" t="s">
        <v>19625</v>
      </c>
      <c r="AB2999" t="s">
        <v>22456</v>
      </c>
      <c r="AC2999">
        <v>3</v>
      </c>
      <c r="AD2999" t="s">
        <v>24600</v>
      </c>
      <c r="AE2999" t="s">
        <v>24610</v>
      </c>
      <c r="AF2999">
        <v>2</v>
      </c>
      <c r="AG2999">
        <v>3</v>
      </c>
      <c r="AH2999">
        <v>2</v>
      </c>
      <c r="AI2999">
        <v>82.44</v>
      </c>
      <c r="AL2999" t="s">
        <v>24632</v>
      </c>
      <c r="AM2999">
        <v>24872</v>
      </c>
      <c r="AS2999">
        <v>1.25</v>
      </c>
      <c r="AT2999" t="s">
        <v>586</v>
      </c>
      <c r="AU2999" t="s">
        <v>292</v>
      </c>
      <c r="AV2999" t="s">
        <v>25335</v>
      </c>
      <c r="AW2999" t="s">
        <v>11447</v>
      </c>
    </row>
    <row r="3000" spans="1:49">
      <c r="A3000" s="1">
        <f>HYPERLINK("https://lsnyc.legalserver.org/matter/dynamic-profile/view/1911511","19-1911511")</f>
        <v>0</v>
      </c>
      <c r="B3000" t="s">
        <v>294</v>
      </c>
      <c r="C3000" t="s">
        <v>486</v>
      </c>
      <c r="E3000" t="s">
        <v>2577</v>
      </c>
      <c r="F3000" t="s">
        <v>5170</v>
      </c>
      <c r="G3000" t="s">
        <v>8458</v>
      </c>
      <c r="H3000" t="s">
        <v>10717</v>
      </c>
      <c r="I3000" t="s">
        <v>11393</v>
      </c>
      <c r="J3000">
        <v>11374</v>
      </c>
      <c r="K3000" t="s">
        <v>11446</v>
      </c>
      <c r="L3000" t="s">
        <v>12676</v>
      </c>
      <c r="M3000" t="s">
        <v>14743</v>
      </c>
      <c r="N3000" t="s">
        <v>14778</v>
      </c>
      <c r="P3000" t="s">
        <v>14801</v>
      </c>
      <c r="Q3000" t="s">
        <v>11448</v>
      </c>
      <c r="S3000" t="s">
        <v>14827</v>
      </c>
      <c r="T3000" t="s">
        <v>14832</v>
      </c>
      <c r="U3000" t="s">
        <v>486</v>
      </c>
      <c r="V3000">
        <v>2050</v>
      </c>
      <c r="W3000" t="s">
        <v>14861</v>
      </c>
      <c r="X3000" t="s">
        <v>14865</v>
      </c>
      <c r="Z3000" t="s">
        <v>17405</v>
      </c>
      <c r="AB3000" t="s">
        <v>22457</v>
      </c>
      <c r="AC3000">
        <v>60</v>
      </c>
      <c r="AD3000" t="s">
        <v>24595</v>
      </c>
      <c r="AE3000" t="s">
        <v>11459</v>
      </c>
      <c r="AF3000">
        <v>5</v>
      </c>
      <c r="AG3000">
        <v>1</v>
      </c>
      <c r="AH3000">
        <v>0</v>
      </c>
      <c r="AI3000">
        <v>112.09</v>
      </c>
      <c r="AL3000" t="s">
        <v>24636</v>
      </c>
      <c r="AM3000">
        <v>14000</v>
      </c>
      <c r="AS3000">
        <v>4.45</v>
      </c>
      <c r="AT3000" t="s">
        <v>14845</v>
      </c>
      <c r="AU3000" t="s">
        <v>292</v>
      </c>
      <c r="AV3000" t="s">
        <v>25335</v>
      </c>
      <c r="AW3000" t="s">
        <v>11447</v>
      </c>
    </row>
    <row r="3001" spans="1:49">
      <c r="A3001" s="1">
        <f>HYPERLINK("https://lsnyc.legalserver.org/matter/dynamic-profile/view/1911506","19-1911506")</f>
        <v>0</v>
      </c>
      <c r="B3001" t="s">
        <v>122</v>
      </c>
      <c r="C3001" t="s">
        <v>486</v>
      </c>
      <c r="E3001" t="s">
        <v>2578</v>
      </c>
      <c r="F3001" t="s">
        <v>5171</v>
      </c>
      <c r="G3001" t="s">
        <v>8459</v>
      </c>
      <c r="I3001" t="s">
        <v>11404</v>
      </c>
      <c r="J3001">
        <v>11103</v>
      </c>
      <c r="K3001" t="s">
        <v>11446</v>
      </c>
      <c r="L3001" t="s">
        <v>12677</v>
      </c>
      <c r="M3001" t="s">
        <v>14743</v>
      </c>
      <c r="N3001" t="s">
        <v>14782</v>
      </c>
      <c r="P3001" t="s">
        <v>14801</v>
      </c>
      <c r="Q3001" t="s">
        <v>11448</v>
      </c>
      <c r="S3001" t="s">
        <v>14827</v>
      </c>
      <c r="U3001" t="s">
        <v>486</v>
      </c>
      <c r="V3001">
        <v>1500</v>
      </c>
      <c r="W3001" t="s">
        <v>14861</v>
      </c>
      <c r="X3001" t="s">
        <v>14865</v>
      </c>
      <c r="Z3001" t="s">
        <v>17406</v>
      </c>
      <c r="AB3001" t="s">
        <v>22458</v>
      </c>
      <c r="AC3001">
        <v>1</v>
      </c>
      <c r="AD3001" t="s">
        <v>11479</v>
      </c>
      <c r="AE3001" t="s">
        <v>11459</v>
      </c>
      <c r="AF3001">
        <v>6</v>
      </c>
      <c r="AG3001">
        <v>1</v>
      </c>
      <c r="AH3001">
        <v>0</v>
      </c>
      <c r="AI3001">
        <v>144.12</v>
      </c>
      <c r="AL3001" t="s">
        <v>5011</v>
      </c>
      <c r="AM3001">
        <v>18000</v>
      </c>
      <c r="AS3001">
        <v>1.5</v>
      </c>
      <c r="AT3001" t="s">
        <v>486</v>
      </c>
      <c r="AU3001" t="s">
        <v>292</v>
      </c>
      <c r="AV3001" t="s">
        <v>25335</v>
      </c>
      <c r="AW3001" t="s">
        <v>11447</v>
      </c>
    </row>
    <row r="3002" spans="1:49">
      <c r="A3002" s="1">
        <f>HYPERLINK("https://lsnyc.legalserver.org/matter/dynamic-profile/view/1911597","19-1911597")</f>
        <v>0</v>
      </c>
      <c r="B3002" t="s">
        <v>144</v>
      </c>
      <c r="C3002" t="s">
        <v>526</v>
      </c>
      <c r="E3002" t="s">
        <v>2579</v>
      </c>
      <c r="F3002" t="s">
        <v>3558</v>
      </c>
      <c r="G3002" t="s">
        <v>8460</v>
      </c>
      <c r="H3002" t="s">
        <v>10610</v>
      </c>
      <c r="I3002" t="s">
        <v>11422</v>
      </c>
      <c r="J3002">
        <v>11413</v>
      </c>
      <c r="K3002" t="s">
        <v>11446</v>
      </c>
      <c r="L3002" t="s">
        <v>12678</v>
      </c>
      <c r="M3002" t="s">
        <v>14764</v>
      </c>
      <c r="N3002" t="s">
        <v>14781</v>
      </c>
      <c r="P3002" t="s">
        <v>14801</v>
      </c>
      <c r="Q3002" t="s">
        <v>11448</v>
      </c>
      <c r="S3002" t="s">
        <v>14827</v>
      </c>
      <c r="T3002" t="s">
        <v>14836</v>
      </c>
      <c r="U3002" t="s">
        <v>526</v>
      </c>
      <c r="V3002">
        <v>1300</v>
      </c>
      <c r="W3002" t="s">
        <v>14861</v>
      </c>
      <c r="X3002" t="s">
        <v>14863</v>
      </c>
      <c r="Z3002" t="s">
        <v>17407</v>
      </c>
      <c r="AB3002" t="s">
        <v>22459</v>
      </c>
      <c r="AC3002">
        <v>2</v>
      </c>
      <c r="AD3002" t="s">
        <v>11479</v>
      </c>
      <c r="AE3002" t="s">
        <v>11459</v>
      </c>
      <c r="AF3002">
        <v>1</v>
      </c>
      <c r="AG3002">
        <v>1</v>
      </c>
      <c r="AH3002">
        <v>0</v>
      </c>
      <c r="AI3002">
        <v>232.19</v>
      </c>
      <c r="AL3002" t="s">
        <v>5011</v>
      </c>
      <c r="AM3002">
        <v>29000</v>
      </c>
      <c r="AS3002">
        <v>13.5</v>
      </c>
      <c r="AT3002" t="s">
        <v>537</v>
      </c>
      <c r="AU3002" t="s">
        <v>292</v>
      </c>
      <c r="AV3002" t="s">
        <v>25335</v>
      </c>
      <c r="AW3002" t="s">
        <v>11447</v>
      </c>
    </row>
    <row r="3003" spans="1:49">
      <c r="A3003" s="1">
        <f>HYPERLINK("https://lsnyc.legalserver.org/matter/dynamic-profile/view/1911756","19-1911756")</f>
        <v>0</v>
      </c>
      <c r="B3003" t="s">
        <v>59</v>
      </c>
      <c r="C3003" t="s">
        <v>505</v>
      </c>
      <c r="E3003" t="s">
        <v>2580</v>
      </c>
      <c r="F3003" t="s">
        <v>3662</v>
      </c>
      <c r="G3003" t="s">
        <v>8461</v>
      </c>
      <c r="H3003" t="s">
        <v>10486</v>
      </c>
      <c r="I3003" t="s">
        <v>11390</v>
      </c>
      <c r="J3003">
        <v>11368</v>
      </c>
      <c r="K3003" t="s">
        <v>11446</v>
      </c>
      <c r="L3003" t="s">
        <v>12679</v>
      </c>
      <c r="M3003" t="s">
        <v>14744</v>
      </c>
      <c r="N3003" t="s">
        <v>14778</v>
      </c>
      <c r="P3003" t="s">
        <v>14801</v>
      </c>
      <c r="Q3003" t="s">
        <v>11448</v>
      </c>
      <c r="S3003" t="s">
        <v>14827</v>
      </c>
      <c r="T3003" t="s">
        <v>14832</v>
      </c>
      <c r="U3003" t="s">
        <v>505</v>
      </c>
      <c r="V3003">
        <v>800</v>
      </c>
      <c r="W3003" t="s">
        <v>14861</v>
      </c>
      <c r="X3003" t="s">
        <v>14865</v>
      </c>
      <c r="Z3003" t="s">
        <v>17408</v>
      </c>
      <c r="AB3003" t="s">
        <v>22460</v>
      </c>
      <c r="AC3003">
        <v>6</v>
      </c>
      <c r="AD3003" t="s">
        <v>24595</v>
      </c>
      <c r="AE3003" t="s">
        <v>11459</v>
      </c>
      <c r="AF3003">
        <v>6</v>
      </c>
      <c r="AG3003">
        <v>2</v>
      </c>
      <c r="AH3003">
        <v>0</v>
      </c>
      <c r="AI3003">
        <v>0</v>
      </c>
      <c r="AL3003" t="s">
        <v>24632</v>
      </c>
      <c r="AM3003">
        <v>0</v>
      </c>
      <c r="AS3003">
        <v>1.9</v>
      </c>
      <c r="AT3003" t="s">
        <v>490</v>
      </c>
      <c r="AU3003" t="s">
        <v>25233</v>
      </c>
      <c r="AV3003" t="s">
        <v>25335</v>
      </c>
      <c r="AW3003" t="s">
        <v>11447</v>
      </c>
    </row>
    <row r="3004" spans="1:49">
      <c r="A3004" s="1">
        <f>HYPERLINK("https://lsnyc.legalserver.org/matter/dynamic-profile/view/1906358","19-1906358")</f>
        <v>0</v>
      </c>
      <c r="B3004" t="s">
        <v>227</v>
      </c>
      <c r="C3004" t="s">
        <v>485</v>
      </c>
      <c r="E3004" t="s">
        <v>2581</v>
      </c>
      <c r="F3004" t="s">
        <v>4042</v>
      </c>
      <c r="G3004" t="s">
        <v>8462</v>
      </c>
      <c r="H3004" t="s">
        <v>10541</v>
      </c>
      <c r="I3004" t="s">
        <v>11416</v>
      </c>
      <c r="J3004">
        <v>11361</v>
      </c>
      <c r="K3004" t="s">
        <v>11446</v>
      </c>
      <c r="L3004" t="s">
        <v>12680</v>
      </c>
      <c r="M3004" t="s">
        <v>14744</v>
      </c>
      <c r="N3004" t="s">
        <v>14781</v>
      </c>
      <c r="P3004" t="s">
        <v>14801</v>
      </c>
      <c r="Q3004" t="s">
        <v>11448</v>
      </c>
      <c r="S3004" t="s">
        <v>14827</v>
      </c>
      <c r="T3004" t="s">
        <v>14834</v>
      </c>
      <c r="U3004" t="s">
        <v>505</v>
      </c>
      <c r="V3004">
        <v>1878</v>
      </c>
      <c r="W3004" t="s">
        <v>14861</v>
      </c>
      <c r="X3004" t="s">
        <v>14865</v>
      </c>
      <c r="Z3004" t="s">
        <v>16682</v>
      </c>
      <c r="AA3004" t="s">
        <v>19626</v>
      </c>
      <c r="AB3004" t="s">
        <v>22461</v>
      </c>
      <c r="AC3004">
        <v>19</v>
      </c>
      <c r="AD3004" t="s">
        <v>24595</v>
      </c>
      <c r="AE3004" t="s">
        <v>11459</v>
      </c>
      <c r="AF3004">
        <v>5</v>
      </c>
      <c r="AG3004">
        <v>1</v>
      </c>
      <c r="AH3004">
        <v>2</v>
      </c>
      <c r="AI3004">
        <v>101.27</v>
      </c>
      <c r="AL3004" t="s">
        <v>5011</v>
      </c>
      <c r="AM3004">
        <v>21600</v>
      </c>
      <c r="AS3004">
        <v>36.05</v>
      </c>
      <c r="AT3004" t="s">
        <v>495</v>
      </c>
      <c r="AU3004" t="s">
        <v>292</v>
      </c>
      <c r="AV3004" t="s">
        <v>25335</v>
      </c>
      <c r="AW3004" t="s">
        <v>11447</v>
      </c>
    </row>
    <row r="3005" spans="1:49">
      <c r="A3005" s="1">
        <f>HYPERLINK("https://lsnyc.legalserver.org/matter/dynamic-profile/view/1911674","19-1911674")</f>
        <v>0</v>
      </c>
      <c r="B3005" t="s">
        <v>202</v>
      </c>
      <c r="C3005" t="s">
        <v>505</v>
      </c>
      <c r="E3005" t="s">
        <v>2361</v>
      </c>
      <c r="F3005" t="s">
        <v>3742</v>
      </c>
      <c r="G3005" t="s">
        <v>8463</v>
      </c>
      <c r="H3005">
        <v>383</v>
      </c>
      <c r="I3005" t="s">
        <v>11399</v>
      </c>
      <c r="J3005">
        <v>11421</v>
      </c>
      <c r="K3005" t="s">
        <v>11446</v>
      </c>
      <c r="L3005" t="s">
        <v>12681</v>
      </c>
      <c r="M3005" t="s">
        <v>14744</v>
      </c>
      <c r="N3005" t="s">
        <v>14778</v>
      </c>
      <c r="P3005" t="s">
        <v>14801</v>
      </c>
      <c r="Q3005" t="s">
        <v>11448</v>
      </c>
      <c r="S3005" t="s">
        <v>14827</v>
      </c>
      <c r="T3005" t="s">
        <v>14832</v>
      </c>
      <c r="U3005" t="s">
        <v>505</v>
      </c>
      <c r="V3005">
        <v>1727.84</v>
      </c>
      <c r="W3005" t="s">
        <v>14861</v>
      </c>
      <c r="X3005" t="s">
        <v>14865</v>
      </c>
      <c r="Z3005" t="s">
        <v>17409</v>
      </c>
      <c r="AA3005" t="s">
        <v>11459</v>
      </c>
      <c r="AB3005" t="s">
        <v>22462</v>
      </c>
      <c r="AC3005">
        <v>66</v>
      </c>
      <c r="AD3005" t="s">
        <v>24595</v>
      </c>
      <c r="AE3005" t="s">
        <v>11459</v>
      </c>
      <c r="AF3005">
        <v>1</v>
      </c>
      <c r="AG3005">
        <v>1</v>
      </c>
      <c r="AH3005">
        <v>1</v>
      </c>
      <c r="AI3005">
        <v>191.32</v>
      </c>
      <c r="AL3005" t="s">
        <v>5011</v>
      </c>
      <c r="AM3005">
        <v>32352</v>
      </c>
      <c r="AS3005">
        <v>1.7</v>
      </c>
      <c r="AT3005" t="s">
        <v>483</v>
      </c>
      <c r="AU3005" t="s">
        <v>292</v>
      </c>
      <c r="AV3005" t="s">
        <v>25335</v>
      </c>
      <c r="AW3005" t="s">
        <v>11447</v>
      </c>
    </row>
    <row r="3006" spans="1:49">
      <c r="A3006" s="1">
        <f>HYPERLINK("https://lsnyc.legalserver.org/matter/dynamic-profile/view/1911893","19-1911893")</f>
        <v>0</v>
      </c>
      <c r="B3006" t="s">
        <v>248</v>
      </c>
      <c r="C3006" t="s">
        <v>645</v>
      </c>
      <c r="E3006" t="s">
        <v>2582</v>
      </c>
      <c r="F3006" t="s">
        <v>5172</v>
      </c>
      <c r="G3006" t="s">
        <v>8464</v>
      </c>
      <c r="H3006" t="s">
        <v>10575</v>
      </c>
      <c r="I3006" t="s">
        <v>11396</v>
      </c>
      <c r="J3006">
        <v>11365</v>
      </c>
      <c r="K3006" t="s">
        <v>11446</v>
      </c>
      <c r="L3006" t="s">
        <v>12682</v>
      </c>
      <c r="M3006" t="s">
        <v>14744</v>
      </c>
      <c r="N3006" t="s">
        <v>14779</v>
      </c>
      <c r="P3006" t="s">
        <v>14801</v>
      </c>
      <c r="Q3006" t="s">
        <v>11448</v>
      </c>
      <c r="S3006" t="s">
        <v>14827</v>
      </c>
      <c r="T3006" t="s">
        <v>14832</v>
      </c>
      <c r="U3006" t="s">
        <v>645</v>
      </c>
      <c r="V3006">
        <v>1745</v>
      </c>
      <c r="W3006" t="s">
        <v>14861</v>
      </c>
      <c r="X3006" t="s">
        <v>14865</v>
      </c>
      <c r="Z3006" t="s">
        <v>17410</v>
      </c>
      <c r="AA3006" t="s">
        <v>19627</v>
      </c>
      <c r="AB3006" t="s">
        <v>22463</v>
      </c>
      <c r="AC3006">
        <v>8</v>
      </c>
      <c r="AD3006" t="s">
        <v>24600</v>
      </c>
      <c r="AE3006" t="s">
        <v>11459</v>
      </c>
      <c r="AF3006">
        <v>5</v>
      </c>
      <c r="AG3006">
        <v>2</v>
      </c>
      <c r="AH3006">
        <v>2</v>
      </c>
      <c r="AI3006">
        <v>95.15000000000001</v>
      </c>
      <c r="AL3006" t="s">
        <v>5011</v>
      </c>
      <c r="AM3006">
        <v>24500</v>
      </c>
      <c r="AS3006">
        <v>1.83</v>
      </c>
      <c r="AT3006" t="s">
        <v>489</v>
      </c>
      <c r="AU3006" t="s">
        <v>25233</v>
      </c>
      <c r="AV3006" t="s">
        <v>25335</v>
      </c>
      <c r="AW3006" t="s">
        <v>11447</v>
      </c>
    </row>
    <row r="3007" spans="1:49">
      <c r="A3007" s="1">
        <f>HYPERLINK("https://lsnyc.legalserver.org/matter/dynamic-profile/view/1911814","19-1911814")</f>
        <v>0</v>
      </c>
      <c r="B3007" t="s">
        <v>147</v>
      </c>
      <c r="C3007" t="s">
        <v>645</v>
      </c>
      <c r="E3007" t="s">
        <v>2583</v>
      </c>
      <c r="F3007" t="s">
        <v>2339</v>
      </c>
      <c r="G3007" t="s">
        <v>8465</v>
      </c>
      <c r="H3007" t="s">
        <v>10646</v>
      </c>
      <c r="I3007" t="s">
        <v>11402</v>
      </c>
      <c r="J3007">
        <v>11422</v>
      </c>
      <c r="K3007" t="s">
        <v>11447</v>
      </c>
      <c r="L3007" t="s">
        <v>12683</v>
      </c>
      <c r="M3007" t="s">
        <v>14743</v>
      </c>
      <c r="N3007" t="s">
        <v>14782</v>
      </c>
      <c r="P3007" t="s">
        <v>14801</v>
      </c>
      <c r="Q3007" t="s">
        <v>11448</v>
      </c>
      <c r="S3007" t="s">
        <v>14827</v>
      </c>
      <c r="U3007" t="s">
        <v>645</v>
      </c>
      <c r="V3007">
        <v>1000</v>
      </c>
      <c r="W3007" t="s">
        <v>14861</v>
      </c>
      <c r="X3007" t="s">
        <v>14865</v>
      </c>
      <c r="Z3007" t="s">
        <v>17411</v>
      </c>
      <c r="AB3007" t="s">
        <v>22464</v>
      </c>
      <c r="AC3007">
        <v>2</v>
      </c>
      <c r="AD3007" t="s">
        <v>11479</v>
      </c>
      <c r="AE3007" t="s">
        <v>11459</v>
      </c>
      <c r="AF3007">
        <v>2</v>
      </c>
      <c r="AG3007">
        <v>1</v>
      </c>
      <c r="AH3007">
        <v>0</v>
      </c>
      <c r="AI3007">
        <v>97.42</v>
      </c>
      <c r="AL3007" t="s">
        <v>24641</v>
      </c>
      <c r="AM3007">
        <v>12168</v>
      </c>
      <c r="AS3007">
        <v>3.1</v>
      </c>
      <c r="AT3007" t="s">
        <v>478</v>
      </c>
      <c r="AU3007" t="s">
        <v>292</v>
      </c>
      <c r="AV3007" t="s">
        <v>25335</v>
      </c>
      <c r="AW3007" t="s">
        <v>11447</v>
      </c>
    </row>
    <row r="3008" spans="1:49">
      <c r="A3008" s="1">
        <f>HYPERLINK("https://lsnyc.legalserver.org/matter/dynamic-profile/view/1911806","19-1911806")</f>
        <v>0</v>
      </c>
      <c r="B3008" t="s">
        <v>227</v>
      </c>
      <c r="C3008" t="s">
        <v>645</v>
      </c>
      <c r="E3008" t="s">
        <v>2584</v>
      </c>
      <c r="F3008" t="s">
        <v>3975</v>
      </c>
      <c r="G3008" t="s">
        <v>8465</v>
      </c>
      <c r="H3008" t="s">
        <v>10705</v>
      </c>
      <c r="I3008" t="s">
        <v>11402</v>
      </c>
      <c r="J3008">
        <v>11422</v>
      </c>
      <c r="K3008" t="s">
        <v>11446</v>
      </c>
      <c r="L3008" t="s">
        <v>12684</v>
      </c>
      <c r="M3008" t="s">
        <v>14743</v>
      </c>
      <c r="N3008" t="s">
        <v>14778</v>
      </c>
      <c r="P3008" t="s">
        <v>14801</v>
      </c>
      <c r="Q3008" t="s">
        <v>11448</v>
      </c>
      <c r="S3008" t="s">
        <v>14827</v>
      </c>
      <c r="T3008" t="s">
        <v>14832</v>
      </c>
      <c r="U3008" t="s">
        <v>645</v>
      </c>
      <c r="V3008">
        <v>1850</v>
      </c>
      <c r="W3008" t="s">
        <v>14861</v>
      </c>
      <c r="X3008" t="s">
        <v>14865</v>
      </c>
      <c r="Z3008" t="s">
        <v>17412</v>
      </c>
      <c r="AA3008" t="s">
        <v>19628</v>
      </c>
      <c r="AB3008" t="s">
        <v>22465</v>
      </c>
      <c r="AC3008">
        <v>2</v>
      </c>
      <c r="AD3008" t="s">
        <v>11479</v>
      </c>
      <c r="AE3008" t="s">
        <v>11459</v>
      </c>
      <c r="AF3008">
        <v>1</v>
      </c>
      <c r="AG3008">
        <v>1</v>
      </c>
      <c r="AH3008">
        <v>1</v>
      </c>
      <c r="AI3008">
        <v>141.93</v>
      </c>
      <c r="AL3008" t="s">
        <v>5011</v>
      </c>
      <c r="AM3008">
        <v>24000</v>
      </c>
      <c r="AS3008">
        <v>3.12</v>
      </c>
      <c r="AT3008" t="s">
        <v>509</v>
      </c>
      <c r="AU3008" t="s">
        <v>292</v>
      </c>
      <c r="AV3008" t="s">
        <v>25335</v>
      </c>
      <c r="AW3008" t="s">
        <v>11447</v>
      </c>
    </row>
    <row r="3009" spans="1:49">
      <c r="A3009" s="1">
        <f>HYPERLINK("https://lsnyc.legalserver.org/matter/dynamic-profile/view/1911931","19-1911931")</f>
        <v>0</v>
      </c>
      <c r="B3009" t="s">
        <v>248</v>
      </c>
      <c r="C3009" t="s">
        <v>586</v>
      </c>
      <c r="E3009" t="s">
        <v>1039</v>
      </c>
      <c r="F3009" t="s">
        <v>5173</v>
      </c>
      <c r="G3009" t="s">
        <v>8466</v>
      </c>
      <c r="H3009" t="s">
        <v>10501</v>
      </c>
      <c r="I3009" t="s">
        <v>11418</v>
      </c>
      <c r="J3009">
        <v>11412</v>
      </c>
      <c r="K3009" t="s">
        <v>11446</v>
      </c>
      <c r="L3009" t="s">
        <v>12685</v>
      </c>
      <c r="M3009" t="s">
        <v>14743</v>
      </c>
      <c r="N3009" t="s">
        <v>14779</v>
      </c>
      <c r="P3009" t="s">
        <v>14801</v>
      </c>
      <c r="Q3009" t="s">
        <v>11448</v>
      </c>
      <c r="S3009" t="s">
        <v>14827</v>
      </c>
      <c r="T3009" t="s">
        <v>14832</v>
      </c>
      <c r="U3009" t="s">
        <v>586</v>
      </c>
      <c r="V3009">
        <v>700</v>
      </c>
      <c r="W3009" t="s">
        <v>14861</v>
      </c>
      <c r="X3009" t="s">
        <v>14865</v>
      </c>
      <c r="Z3009" t="s">
        <v>17413</v>
      </c>
      <c r="AB3009" t="s">
        <v>22466</v>
      </c>
      <c r="AC3009">
        <v>2</v>
      </c>
      <c r="AD3009" t="s">
        <v>24600</v>
      </c>
      <c r="AF3009">
        <v>15</v>
      </c>
      <c r="AG3009">
        <v>1</v>
      </c>
      <c r="AH3009">
        <v>0</v>
      </c>
      <c r="AI3009">
        <v>55.24</v>
      </c>
      <c r="AL3009" t="s">
        <v>5011</v>
      </c>
      <c r="AM3009">
        <v>6900</v>
      </c>
      <c r="AS3009">
        <v>1.72</v>
      </c>
      <c r="AT3009" t="s">
        <v>537</v>
      </c>
      <c r="AU3009" t="s">
        <v>25233</v>
      </c>
      <c r="AV3009" t="s">
        <v>25335</v>
      </c>
      <c r="AW3009" t="s">
        <v>11447</v>
      </c>
    </row>
    <row r="3010" spans="1:49">
      <c r="A3010" s="1">
        <f>HYPERLINK("https://lsnyc.legalserver.org/matter/dynamic-profile/view/1912164","19-1912164")</f>
        <v>0</v>
      </c>
      <c r="B3010" t="s">
        <v>147</v>
      </c>
      <c r="C3010" t="s">
        <v>559</v>
      </c>
      <c r="E3010" t="s">
        <v>2585</v>
      </c>
      <c r="F3010" t="s">
        <v>5174</v>
      </c>
      <c r="G3010" t="s">
        <v>8467</v>
      </c>
      <c r="I3010" t="s">
        <v>11389</v>
      </c>
      <c r="J3010">
        <v>11367</v>
      </c>
      <c r="K3010" t="s">
        <v>11446</v>
      </c>
      <c r="L3010" t="s">
        <v>12686</v>
      </c>
      <c r="M3010" t="s">
        <v>14743</v>
      </c>
      <c r="P3010" t="s">
        <v>14801</v>
      </c>
      <c r="S3010" t="s">
        <v>14829</v>
      </c>
      <c r="U3010" t="s">
        <v>559</v>
      </c>
      <c r="V3010">
        <v>998</v>
      </c>
      <c r="W3010" t="s">
        <v>14861</v>
      </c>
      <c r="X3010" t="s">
        <v>14865</v>
      </c>
      <c r="Z3010" t="s">
        <v>17414</v>
      </c>
      <c r="AB3010" t="s">
        <v>22467</v>
      </c>
      <c r="AC3010">
        <v>12</v>
      </c>
      <c r="AD3010" t="s">
        <v>24595</v>
      </c>
      <c r="AE3010" t="s">
        <v>11459</v>
      </c>
      <c r="AF3010">
        <v>11</v>
      </c>
      <c r="AG3010">
        <v>1</v>
      </c>
      <c r="AH3010">
        <v>1</v>
      </c>
      <c r="AI3010">
        <v>0</v>
      </c>
      <c r="AM3010">
        <v>0</v>
      </c>
      <c r="AS3010">
        <v>1.22</v>
      </c>
      <c r="AT3010" t="s">
        <v>516</v>
      </c>
      <c r="AU3010" t="s">
        <v>99</v>
      </c>
      <c r="AV3010" t="s">
        <v>25335</v>
      </c>
      <c r="AW3010" t="s">
        <v>11447</v>
      </c>
    </row>
    <row r="3011" spans="1:49">
      <c r="A3011" s="1">
        <f>HYPERLINK("https://lsnyc.legalserver.org/matter/dynamic-profile/view/1912168","19-1912168")</f>
        <v>0</v>
      </c>
      <c r="B3011" t="s">
        <v>147</v>
      </c>
      <c r="C3011" t="s">
        <v>559</v>
      </c>
      <c r="E3011" t="s">
        <v>2586</v>
      </c>
      <c r="F3011" t="s">
        <v>5175</v>
      </c>
      <c r="G3011" t="s">
        <v>8468</v>
      </c>
      <c r="H3011" t="s">
        <v>10638</v>
      </c>
      <c r="I3011" t="s">
        <v>11404</v>
      </c>
      <c r="J3011">
        <v>11102</v>
      </c>
      <c r="K3011" t="s">
        <v>11446</v>
      </c>
      <c r="L3011" t="s">
        <v>12687</v>
      </c>
      <c r="M3011" t="s">
        <v>14744</v>
      </c>
      <c r="N3011" t="s">
        <v>14778</v>
      </c>
      <c r="P3011" t="s">
        <v>14801</v>
      </c>
      <c r="Q3011" t="s">
        <v>11448</v>
      </c>
      <c r="S3011" t="s">
        <v>14827</v>
      </c>
      <c r="U3011" t="s">
        <v>559</v>
      </c>
      <c r="V3011">
        <v>1600</v>
      </c>
      <c r="W3011" t="s">
        <v>14861</v>
      </c>
      <c r="X3011" t="s">
        <v>14865</v>
      </c>
      <c r="Z3011" t="s">
        <v>17415</v>
      </c>
      <c r="AB3011" t="s">
        <v>22468</v>
      </c>
      <c r="AC3011">
        <v>6</v>
      </c>
      <c r="AD3011" t="s">
        <v>11479</v>
      </c>
      <c r="AE3011" t="s">
        <v>11459</v>
      </c>
      <c r="AF3011">
        <v>5</v>
      </c>
      <c r="AG3011">
        <v>1</v>
      </c>
      <c r="AH3011">
        <v>0</v>
      </c>
      <c r="AI3011">
        <v>0</v>
      </c>
      <c r="AL3011" t="s">
        <v>24649</v>
      </c>
      <c r="AM3011">
        <v>0</v>
      </c>
      <c r="AS3011">
        <v>1.57</v>
      </c>
      <c r="AT3011" t="s">
        <v>574</v>
      </c>
      <c r="AU3011" t="s">
        <v>292</v>
      </c>
      <c r="AV3011" t="s">
        <v>25335</v>
      </c>
      <c r="AW3011" t="s">
        <v>11447</v>
      </c>
    </row>
    <row r="3012" spans="1:49">
      <c r="A3012" s="1">
        <f>HYPERLINK("https://lsnyc.legalserver.org/matter/dynamic-profile/view/1912199","19-1912199")</f>
        <v>0</v>
      </c>
      <c r="B3012" t="s">
        <v>147</v>
      </c>
      <c r="C3012" t="s">
        <v>559</v>
      </c>
      <c r="E3012" t="s">
        <v>2587</v>
      </c>
      <c r="F3012" t="s">
        <v>5176</v>
      </c>
      <c r="G3012" t="s">
        <v>8469</v>
      </c>
      <c r="H3012" t="s">
        <v>10705</v>
      </c>
      <c r="I3012" t="s">
        <v>11418</v>
      </c>
      <c r="J3012">
        <v>11412</v>
      </c>
      <c r="K3012" t="s">
        <v>11446</v>
      </c>
      <c r="L3012" t="s">
        <v>12688</v>
      </c>
      <c r="M3012" t="s">
        <v>14743</v>
      </c>
      <c r="N3012" t="s">
        <v>14778</v>
      </c>
      <c r="P3012" t="s">
        <v>14801</v>
      </c>
      <c r="Q3012" t="s">
        <v>11448</v>
      </c>
      <c r="S3012" t="s">
        <v>14827</v>
      </c>
      <c r="U3012" t="s">
        <v>559</v>
      </c>
      <c r="V3012">
        <v>1700</v>
      </c>
      <c r="W3012" t="s">
        <v>14861</v>
      </c>
      <c r="X3012" t="s">
        <v>14865</v>
      </c>
      <c r="Z3012" t="s">
        <v>17416</v>
      </c>
      <c r="AB3012" t="s">
        <v>22469</v>
      </c>
      <c r="AC3012">
        <v>2</v>
      </c>
      <c r="AD3012" t="s">
        <v>11479</v>
      </c>
      <c r="AE3012" t="s">
        <v>11459</v>
      </c>
      <c r="AF3012">
        <v>3</v>
      </c>
      <c r="AG3012">
        <v>2</v>
      </c>
      <c r="AH3012">
        <v>4</v>
      </c>
      <c r="AI3012">
        <v>66.48999999999999</v>
      </c>
      <c r="AL3012" t="s">
        <v>24649</v>
      </c>
      <c r="AM3012">
        <v>23000</v>
      </c>
      <c r="AS3012">
        <v>1.58</v>
      </c>
      <c r="AT3012" t="s">
        <v>574</v>
      </c>
      <c r="AU3012" t="s">
        <v>292</v>
      </c>
      <c r="AV3012" t="s">
        <v>25335</v>
      </c>
      <c r="AW3012" t="s">
        <v>11447</v>
      </c>
    </row>
    <row r="3013" spans="1:49">
      <c r="A3013" s="1">
        <f>HYPERLINK("https://lsnyc.legalserver.org/matter/dynamic-profile/view/1912210","19-1912210")</f>
        <v>0</v>
      </c>
      <c r="B3013" t="s">
        <v>124</v>
      </c>
      <c r="C3013" t="s">
        <v>559</v>
      </c>
      <c r="E3013" t="s">
        <v>1113</v>
      </c>
      <c r="F3013" t="s">
        <v>5177</v>
      </c>
      <c r="G3013" t="s">
        <v>8470</v>
      </c>
      <c r="H3013" t="s">
        <v>10522</v>
      </c>
      <c r="I3013" t="s">
        <v>11389</v>
      </c>
      <c r="J3013">
        <v>11367</v>
      </c>
      <c r="K3013" t="s">
        <v>11446</v>
      </c>
      <c r="L3013" t="s">
        <v>12689</v>
      </c>
      <c r="M3013" t="s">
        <v>14746</v>
      </c>
      <c r="N3013" t="s">
        <v>14782</v>
      </c>
      <c r="P3013" t="s">
        <v>14801</v>
      </c>
      <c r="Q3013" t="s">
        <v>11448</v>
      </c>
      <c r="S3013" t="s">
        <v>14828</v>
      </c>
      <c r="U3013" t="s">
        <v>559</v>
      </c>
      <c r="V3013">
        <v>260</v>
      </c>
      <c r="W3013" t="s">
        <v>14861</v>
      </c>
      <c r="X3013" t="s">
        <v>14865</v>
      </c>
      <c r="Z3013" t="s">
        <v>16651</v>
      </c>
      <c r="AB3013" t="s">
        <v>22470</v>
      </c>
      <c r="AC3013">
        <v>28</v>
      </c>
      <c r="AD3013" t="s">
        <v>24597</v>
      </c>
      <c r="AE3013" t="s">
        <v>11459</v>
      </c>
      <c r="AF3013">
        <v>26</v>
      </c>
      <c r="AG3013">
        <v>1</v>
      </c>
      <c r="AH3013">
        <v>0</v>
      </c>
      <c r="AI3013">
        <v>80.06</v>
      </c>
      <c r="AL3013" t="s">
        <v>5011</v>
      </c>
      <c r="AM3013">
        <v>10000</v>
      </c>
      <c r="AS3013">
        <v>0.5</v>
      </c>
      <c r="AT3013" t="s">
        <v>559</v>
      </c>
      <c r="AU3013" t="s">
        <v>292</v>
      </c>
      <c r="AV3013" t="s">
        <v>25335</v>
      </c>
      <c r="AW3013" t="s">
        <v>11447</v>
      </c>
    </row>
    <row r="3014" spans="1:49">
      <c r="A3014" s="1">
        <f>HYPERLINK("https://lsnyc.legalserver.org/matter/dynamic-profile/view/1912209","19-1912209")</f>
        <v>0</v>
      </c>
      <c r="B3014" t="s">
        <v>99</v>
      </c>
      <c r="C3014" t="s">
        <v>559</v>
      </c>
      <c r="E3014" t="s">
        <v>2154</v>
      </c>
      <c r="F3014" t="s">
        <v>5178</v>
      </c>
      <c r="G3014" t="s">
        <v>8471</v>
      </c>
      <c r="I3014" t="s">
        <v>11387</v>
      </c>
      <c r="J3014">
        <v>11432</v>
      </c>
      <c r="K3014" t="s">
        <v>11446</v>
      </c>
      <c r="L3014" t="s">
        <v>12690</v>
      </c>
      <c r="M3014" t="s">
        <v>14744</v>
      </c>
      <c r="P3014" t="s">
        <v>14801</v>
      </c>
      <c r="S3014" t="s">
        <v>14827</v>
      </c>
      <c r="U3014" t="s">
        <v>559</v>
      </c>
      <c r="V3014">
        <v>2000</v>
      </c>
      <c r="W3014" t="s">
        <v>14861</v>
      </c>
      <c r="X3014" t="s">
        <v>14865</v>
      </c>
      <c r="Z3014" t="s">
        <v>15308</v>
      </c>
      <c r="AB3014" t="s">
        <v>22471</v>
      </c>
      <c r="AC3014">
        <v>24</v>
      </c>
      <c r="AD3014" t="s">
        <v>24595</v>
      </c>
      <c r="AE3014" t="s">
        <v>11459</v>
      </c>
      <c r="AF3014">
        <v>1</v>
      </c>
      <c r="AG3014">
        <v>2</v>
      </c>
      <c r="AH3014">
        <v>2</v>
      </c>
      <c r="AI3014">
        <v>108.74</v>
      </c>
      <c r="AM3014">
        <v>28000</v>
      </c>
      <c r="AS3014">
        <v>2.4</v>
      </c>
      <c r="AT3014" t="s">
        <v>654</v>
      </c>
      <c r="AU3014" t="s">
        <v>99</v>
      </c>
      <c r="AV3014" t="s">
        <v>25335</v>
      </c>
      <c r="AW3014" t="s">
        <v>11447</v>
      </c>
    </row>
    <row r="3015" spans="1:49">
      <c r="A3015" s="1">
        <f>HYPERLINK("https://lsnyc.legalserver.org/matter/dynamic-profile/view/1912277","19-1912277")</f>
        <v>0</v>
      </c>
      <c r="B3015" t="s">
        <v>110</v>
      </c>
      <c r="C3015" t="s">
        <v>559</v>
      </c>
      <c r="E3015" t="s">
        <v>1552</v>
      </c>
      <c r="F3015" t="s">
        <v>4461</v>
      </c>
      <c r="G3015" t="s">
        <v>7453</v>
      </c>
      <c r="H3015" t="s">
        <v>10834</v>
      </c>
      <c r="I3015" t="s">
        <v>11391</v>
      </c>
      <c r="J3015">
        <v>11691</v>
      </c>
      <c r="K3015" t="s">
        <v>11446</v>
      </c>
      <c r="M3015" t="s">
        <v>14744</v>
      </c>
      <c r="N3015" t="s">
        <v>14780</v>
      </c>
      <c r="P3015" t="s">
        <v>14801</v>
      </c>
      <c r="Q3015" t="s">
        <v>11446</v>
      </c>
      <c r="S3015" t="s">
        <v>14827</v>
      </c>
      <c r="U3015" t="s">
        <v>559</v>
      </c>
      <c r="V3015">
        <v>540</v>
      </c>
      <c r="W3015" t="s">
        <v>14861</v>
      </c>
      <c r="X3015" t="s">
        <v>14876</v>
      </c>
      <c r="Z3015" t="s">
        <v>16228</v>
      </c>
      <c r="AB3015" t="s">
        <v>21304</v>
      </c>
      <c r="AC3015">
        <v>43</v>
      </c>
      <c r="AD3015" t="s">
        <v>24595</v>
      </c>
      <c r="AE3015" t="s">
        <v>11459</v>
      </c>
      <c r="AF3015">
        <v>40</v>
      </c>
      <c r="AG3015">
        <v>2</v>
      </c>
      <c r="AH3015">
        <v>0</v>
      </c>
      <c r="AI3015">
        <v>160.52</v>
      </c>
      <c r="AL3015" t="s">
        <v>5011</v>
      </c>
      <c r="AM3015">
        <v>27144</v>
      </c>
      <c r="AS3015">
        <v>0.4</v>
      </c>
      <c r="AT3015" t="s">
        <v>559</v>
      </c>
      <c r="AU3015" t="s">
        <v>292</v>
      </c>
      <c r="AV3015" t="s">
        <v>25335</v>
      </c>
      <c r="AW3015" t="s">
        <v>11447</v>
      </c>
    </row>
    <row r="3016" spans="1:49">
      <c r="A3016" s="1">
        <f>HYPERLINK("https://lsnyc.legalserver.org/matter/dynamic-profile/view/1912449","19-1912449")</f>
        <v>0</v>
      </c>
      <c r="B3016" t="s">
        <v>110</v>
      </c>
      <c r="C3016" t="s">
        <v>489</v>
      </c>
      <c r="E3016" t="s">
        <v>1932</v>
      </c>
      <c r="F3016" t="s">
        <v>4464</v>
      </c>
      <c r="G3016" t="s">
        <v>7453</v>
      </c>
      <c r="H3016" t="s">
        <v>10465</v>
      </c>
      <c r="I3016" t="s">
        <v>11391</v>
      </c>
      <c r="J3016">
        <v>11691</v>
      </c>
      <c r="K3016" t="s">
        <v>11446</v>
      </c>
      <c r="M3016" t="s">
        <v>14744</v>
      </c>
      <c r="N3016" t="s">
        <v>14780</v>
      </c>
      <c r="P3016" t="s">
        <v>14801</v>
      </c>
      <c r="Q3016" t="s">
        <v>11446</v>
      </c>
      <c r="S3016" t="s">
        <v>14827</v>
      </c>
      <c r="U3016" t="s">
        <v>489</v>
      </c>
      <c r="V3016">
        <v>675</v>
      </c>
      <c r="W3016" t="s">
        <v>14861</v>
      </c>
      <c r="X3016" t="s">
        <v>14876</v>
      </c>
      <c r="Z3016" t="s">
        <v>16232</v>
      </c>
      <c r="AB3016" t="s">
        <v>21307</v>
      </c>
      <c r="AC3016">
        <v>43</v>
      </c>
      <c r="AD3016" t="s">
        <v>24595</v>
      </c>
      <c r="AE3016" t="s">
        <v>11459</v>
      </c>
      <c r="AF3016">
        <v>8</v>
      </c>
      <c r="AG3016">
        <v>1</v>
      </c>
      <c r="AH3016">
        <v>0</v>
      </c>
      <c r="AI3016">
        <v>91.27</v>
      </c>
      <c r="AL3016" t="s">
        <v>5011</v>
      </c>
      <c r="AM3016">
        <v>11400</v>
      </c>
      <c r="AS3016">
        <v>0</v>
      </c>
      <c r="AU3016" t="s">
        <v>292</v>
      </c>
      <c r="AV3016" t="s">
        <v>25335</v>
      </c>
      <c r="AW3016" t="s">
        <v>11447</v>
      </c>
    </row>
    <row r="3017" spans="1:49">
      <c r="A3017" s="1">
        <f>HYPERLINK("https://lsnyc.legalserver.org/matter/dynamic-profile/view/1912538","19-1912538")</f>
        <v>0</v>
      </c>
      <c r="B3017" t="s">
        <v>179</v>
      </c>
      <c r="C3017" t="s">
        <v>472</v>
      </c>
      <c r="E3017" t="s">
        <v>2588</v>
      </c>
      <c r="F3017" t="s">
        <v>5179</v>
      </c>
      <c r="G3017" t="s">
        <v>8472</v>
      </c>
      <c r="H3017" t="s">
        <v>10941</v>
      </c>
      <c r="I3017" t="s">
        <v>11387</v>
      </c>
      <c r="J3017">
        <v>11432</v>
      </c>
      <c r="K3017" t="s">
        <v>11446</v>
      </c>
      <c r="L3017" t="s">
        <v>12691</v>
      </c>
      <c r="M3017" t="s">
        <v>14744</v>
      </c>
      <c r="N3017" t="s">
        <v>14782</v>
      </c>
      <c r="P3017" t="s">
        <v>14801</v>
      </c>
      <c r="Q3017" t="s">
        <v>11448</v>
      </c>
      <c r="S3017" t="s">
        <v>14827</v>
      </c>
      <c r="U3017" t="s">
        <v>472</v>
      </c>
      <c r="V3017">
        <v>1312</v>
      </c>
      <c r="W3017" t="s">
        <v>14861</v>
      </c>
      <c r="X3017" t="s">
        <v>14865</v>
      </c>
      <c r="Z3017" t="s">
        <v>17417</v>
      </c>
      <c r="AB3017" t="s">
        <v>22472</v>
      </c>
      <c r="AC3017">
        <v>96</v>
      </c>
      <c r="AD3017" t="s">
        <v>24599</v>
      </c>
      <c r="AE3017" t="s">
        <v>11459</v>
      </c>
      <c r="AF3017">
        <v>8</v>
      </c>
      <c r="AG3017">
        <v>2</v>
      </c>
      <c r="AH3017">
        <v>1</v>
      </c>
      <c r="AI3017">
        <v>54.85</v>
      </c>
      <c r="AL3017" t="s">
        <v>24632</v>
      </c>
      <c r="AM3017">
        <v>11700</v>
      </c>
      <c r="AS3017">
        <v>1.05</v>
      </c>
      <c r="AT3017" t="s">
        <v>580</v>
      </c>
      <c r="AU3017" t="s">
        <v>292</v>
      </c>
      <c r="AV3017" t="s">
        <v>25335</v>
      </c>
      <c r="AW3017" t="s">
        <v>11447</v>
      </c>
    </row>
    <row r="3018" spans="1:49">
      <c r="A3018" s="1">
        <f>HYPERLINK("https://lsnyc.legalserver.org/matter/dynamic-profile/view/1910414","19-1910414")</f>
        <v>0</v>
      </c>
      <c r="B3018" t="s">
        <v>179</v>
      </c>
      <c r="C3018" t="s">
        <v>508</v>
      </c>
      <c r="E3018" t="s">
        <v>1843</v>
      </c>
      <c r="F3018" t="s">
        <v>5180</v>
      </c>
      <c r="G3018" t="s">
        <v>8473</v>
      </c>
      <c r="H3018" t="s">
        <v>10705</v>
      </c>
      <c r="I3018" t="s">
        <v>6196</v>
      </c>
      <c r="J3018">
        <v>11423</v>
      </c>
      <c r="K3018" t="s">
        <v>11446</v>
      </c>
      <c r="L3018" t="s">
        <v>12692</v>
      </c>
      <c r="M3018" t="s">
        <v>14743</v>
      </c>
      <c r="N3018" t="s">
        <v>14781</v>
      </c>
      <c r="P3018" t="s">
        <v>14801</v>
      </c>
      <c r="Q3018" t="s">
        <v>11448</v>
      </c>
      <c r="S3018" t="s">
        <v>14827</v>
      </c>
      <c r="U3018" t="s">
        <v>472</v>
      </c>
      <c r="V3018">
        <v>800</v>
      </c>
      <c r="W3018" t="s">
        <v>14861</v>
      </c>
      <c r="X3018" t="s">
        <v>14865</v>
      </c>
      <c r="Z3018" t="s">
        <v>17418</v>
      </c>
      <c r="AA3018" t="s">
        <v>19629</v>
      </c>
      <c r="AB3018" t="s">
        <v>22473</v>
      </c>
      <c r="AC3018">
        <v>2</v>
      </c>
      <c r="AD3018" t="s">
        <v>11479</v>
      </c>
      <c r="AE3018" t="s">
        <v>24616</v>
      </c>
      <c r="AF3018">
        <v>1</v>
      </c>
      <c r="AG3018">
        <v>2</v>
      </c>
      <c r="AH3018">
        <v>0</v>
      </c>
      <c r="AI3018">
        <v>67.7</v>
      </c>
      <c r="AL3018" t="s">
        <v>5011</v>
      </c>
      <c r="AM3018">
        <v>11448</v>
      </c>
      <c r="AS3018">
        <v>5.45</v>
      </c>
      <c r="AT3018" t="s">
        <v>580</v>
      </c>
      <c r="AU3018" t="s">
        <v>292</v>
      </c>
      <c r="AV3018" t="s">
        <v>25335</v>
      </c>
      <c r="AW3018" t="s">
        <v>11447</v>
      </c>
    </row>
    <row r="3019" spans="1:49">
      <c r="A3019" s="1">
        <f>HYPERLINK("https://lsnyc.legalserver.org/matter/dynamic-profile/view/1912589","19-1912589")</f>
        <v>0</v>
      </c>
      <c r="B3019" t="s">
        <v>124</v>
      </c>
      <c r="C3019" t="s">
        <v>472</v>
      </c>
      <c r="E3019" t="s">
        <v>2589</v>
      </c>
      <c r="F3019" t="s">
        <v>5181</v>
      </c>
      <c r="G3019" t="s">
        <v>8474</v>
      </c>
      <c r="I3019" t="s">
        <v>11421</v>
      </c>
      <c r="J3019">
        <v>11428</v>
      </c>
      <c r="K3019" t="s">
        <v>11446</v>
      </c>
      <c r="L3019" t="s">
        <v>12693</v>
      </c>
      <c r="M3019" t="s">
        <v>14744</v>
      </c>
      <c r="N3019" t="s">
        <v>14778</v>
      </c>
      <c r="P3019" t="s">
        <v>14801</v>
      </c>
      <c r="Q3019" t="s">
        <v>11448</v>
      </c>
      <c r="S3019" t="s">
        <v>14827</v>
      </c>
      <c r="U3019" t="s">
        <v>472</v>
      </c>
      <c r="V3019">
        <v>1750</v>
      </c>
      <c r="W3019" t="s">
        <v>14861</v>
      </c>
      <c r="X3019" t="s">
        <v>14865</v>
      </c>
      <c r="Z3019" t="s">
        <v>16948</v>
      </c>
      <c r="AB3019" t="s">
        <v>22474</v>
      </c>
      <c r="AC3019">
        <v>1</v>
      </c>
      <c r="AD3019" t="s">
        <v>11479</v>
      </c>
      <c r="AE3019" t="s">
        <v>11459</v>
      </c>
      <c r="AF3019">
        <v>4</v>
      </c>
      <c r="AG3019">
        <v>2</v>
      </c>
      <c r="AH3019">
        <v>0</v>
      </c>
      <c r="AI3019">
        <v>79.18000000000001</v>
      </c>
      <c r="AL3019" t="s">
        <v>5011</v>
      </c>
      <c r="AM3019">
        <v>13390</v>
      </c>
      <c r="AS3019">
        <v>0.4</v>
      </c>
      <c r="AT3019" t="s">
        <v>478</v>
      </c>
      <c r="AU3019" t="s">
        <v>292</v>
      </c>
      <c r="AV3019" t="s">
        <v>25335</v>
      </c>
      <c r="AW3019" t="s">
        <v>11447</v>
      </c>
    </row>
    <row r="3020" spans="1:49">
      <c r="A3020" s="1">
        <f>HYPERLINK("https://lsnyc.legalserver.org/matter/dynamic-profile/view/1912570","19-1912570")</f>
        <v>0</v>
      </c>
      <c r="B3020" t="s">
        <v>248</v>
      </c>
      <c r="C3020" t="s">
        <v>472</v>
      </c>
      <c r="E3020" t="s">
        <v>2590</v>
      </c>
      <c r="F3020" t="s">
        <v>5182</v>
      </c>
      <c r="G3020" t="s">
        <v>8367</v>
      </c>
      <c r="H3020" t="s">
        <v>10646</v>
      </c>
      <c r="I3020" t="s">
        <v>11425</v>
      </c>
      <c r="J3020">
        <v>11411</v>
      </c>
      <c r="K3020" t="s">
        <v>11446</v>
      </c>
      <c r="L3020" t="s">
        <v>12694</v>
      </c>
      <c r="M3020" t="s">
        <v>14743</v>
      </c>
      <c r="N3020" t="s">
        <v>14779</v>
      </c>
      <c r="P3020" t="s">
        <v>14801</v>
      </c>
      <c r="Q3020" t="s">
        <v>11448</v>
      </c>
      <c r="S3020" t="s">
        <v>14827</v>
      </c>
      <c r="T3020" t="s">
        <v>14833</v>
      </c>
      <c r="U3020" t="s">
        <v>472</v>
      </c>
      <c r="V3020">
        <v>1000</v>
      </c>
      <c r="W3020" t="s">
        <v>14861</v>
      </c>
      <c r="X3020" t="s">
        <v>14865</v>
      </c>
      <c r="Z3020" t="s">
        <v>17419</v>
      </c>
      <c r="AA3020" t="s">
        <v>19630</v>
      </c>
      <c r="AB3020" t="s">
        <v>22475</v>
      </c>
      <c r="AC3020">
        <v>2</v>
      </c>
      <c r="AD3020" t="s">
        <v>11479</v>
      </c>
      <c r="AE3020" t="s">
        <v>11459</v>
      </c>
      <c r="AF3020">
        <v>6</v>
      </c>
      <c r="AG3020">
        <v>1</v>
      </c>
      <c r="AH3020">
        <v>0</v>
      </c>
      <c r="AI3020">
        <v>92.06999999999999</v>
      </c>
      <c r="AL3020" t="s">
        <v>5011</v>
      </c>
      <c r="AM3020">
        <v>11500</v>
      </c>
      <c r="AS3020">
        <v>1.9</v>
      </c>
      <c r="AT3020" t="s">
        <v>580</v>
      </c>
      <c r="AU3020" t="s">
        <v>292</v>
      </c>
      <c r="AV3020" t="s">
        <v>25335</v>
      </c>
      <c r="AW3020" t="s">
        <v>11447</v>
      </c>
    </row>
    <row r="3021" spans="1:49">
      <c r="A3021" s="1">
        <f>HYPERLINK("https://lsnyc.legalserver.org/matter/dynamic-profile/view/1912579","19-1912579")</f>
        <v>0</v>
      </c>
      <c r="B3021" t="s">
        <v>271</v>
      </c>
      <c r="C3021" t="s">
        <v>472</v>
      </c>
      <c r="E3021" t="s">
        <v>2591</v>
      </c>
      <c r="F3021" t="s">
        <v>3716</v>
      </c>
      <c r="G3021" t="s">
        <v>6342</v>
      </c>
      <c r="H3021">
        <v>1</v>
      </c>
      <c r="I3021" t="s">
        <v>11399</v>
      </c>
      <c r="J3021">
        <v>11421</v>
      </c>
      <c r="K3021" t="s">
        <v>11446</v>
      </c>
      <c r="L3021" t="s">
        <v>12695</v>
      </c>
      <c r="M3021" t="s">
        <v>14743</v>
      </c>
      <c r="N3021" t="s">
        <v>14782</v>
      </c>
      <c r="P3021" t="s">
        <v>14801</v>
      </c>
      <c r="Q3021" t="s">
        <v>11448</v>
      </c>
      <c r="S3021" t="s">
        <v>14827</v>
      </c>
      <c r="U3021" t="s">
        <v>472</v>
      </c>
      <c r="V3021">
        <v>1750</v>
      </c>
      <c r="W3021" t="s">
        <v>14861</v>
      </c>
      <c r="X3021" t="s">
        <v>14865</v>
      </c>
      <c r="Z3021" t="s">
        <v>17420</v>
      </c>
      <c r="AB3021" t="s">
        <v>22476</v>
      </c>
      <c r="AC3021">
        <v>2</v>
      </c>
      <c r="AD3021" t="s">
        <v>11479</v>
      </c>
      <c r="AE3021" t="s">
        <v>11459</v>
      </c>
      <c r="AF3021">
        <v>1</v>
      </c>
      <c r="AG3021">
        <v>2</v>
      </c>
      <c r="AH3021">
        <v>1</v>
      </c>
      <c r="AI3021">
        <v>103.14</v>
      </c>
      <c r="AL3021" t="s">
        <v>24632</v>
      </c>
      <c r="AM3021">
        <v>22000</v>
      </c>
      <c r="AS3021">
        <v>0.8</v>
      </c>
      <c r="AT3021" t="s">
        <v>654</v>
      </c>
      <c r="AU3021" t="s">
        <v>292</v>
      </c>
      <c r="AV3021" t="s">
        <v>25335</v>
      </c>
      <c r="AW3021" t="s">
        <v>11447</v>
      </c>
    </row>
    <row r="3022" spans="1:49">
      <c r="A3022" s="1">
        <f>HYPERLINK("https://lsnyc.legalserver.org/matter/dynamic-profile/view/1912554","19-1912554")</f>
        <v>0</v>
      </c>
      <c r="B3022" t="s">
        <v>248</v>
      </c>
      <c r="C3022" t="s">
        <v>472</v>
      </c>
      <c r="E3022" t="s">
        <v>1843</v>
      </c>
      <c r="F3022" t="s">
        <v>5183</v>
      </c>
      <c r="G3022" t="s">
        <v>8475</v>
      </c>
      <c r="H3022" t="s">
        <v>10705</v>
      </c>
      <c r="I3022" t="s">
        <v>11439</v>
      </c>
      <c r="J3022">
        <v>11414</v>
      </c>
      <c r="K3022" t="s">
        <v>11446</v>
      </c>
      <c r="L3022" t="s">
        <v>12696</v>
      </c>
      <c r="M3022" t="s">
        <v>14743</v>
      </c>
      <c r="N3022" t="s">
        <v>14779</v>
      </c>
      <c r="P3022" t="s">
        <v>14801</v>
      </c>
      <c r="Q3022" t="s">
        <v>11448</v>
      </c>
      <c r="S3022" t="s">
        <v>14827</v>
      </c>
      <c r="T3022" t="s">
        <v>14832</v>
      </c>
      <c r="U3022" t="s">
        <v>472</v>
      </c>
      <c r="V3022">
        <v>1400</v>
      </c>
      <c r="W3022" t="s">
        <v>14861</v>
      </c>
      <c r="X3022" t="s">
        <v>14865</v>
      </c>
      <c r="Z3022" t="s">
        <v>17421</v>
      </c>
      <c r="AB3022" t="s">
        <v>22477</v>
      </c>
      <c r="AC3022">
        <v>1</v>
      </c>
      <c r="AD3022" t="s">
        <v>11479</v>
      </c>
      <c r="AE3022" t="s">
        <v>11459</v>
      </c>
      <c r="AF3022">
        <v>2</v>
      </c>
      <c r="AG3022">
        <v>1</v>
      </c>
      <c r="AH3022">
        <v>0</v>
      </c>
      <c r="AI3022">
        <v>160.13</v>
      </c>
      <c r="AL3022" t="s">
        <v>5011</v>
      </c>
      <c r="AM3022">
        <v>20000</v>
      </c>
      <c r="AS3022">
        <v>1.65</v>
      </c>
      <c r="AT3022" t="s">
        <v>477</v>
      </c>
      <c r="AU3022" t="s">
        <v>292</v>
      </c>
      <c r="AV3022" t="s">
        <v>25335</v>
      </c>
      <c r="AW3022" t="s">
        <v>11447</v>
      </c>
    </row>
    <row r="3023" spans="1:49">
      <c r="A3023" s="1">
        <f>HYPERLINK("https://lsnyc.legalserver.org/matter/dynamic-profile/view/1912583","19-1912583")</f>
        <v>0</v>
      </c>
      <c r="B3023" t="s">
        <v>179</v>
      </c>
      <c r="C3023" t="s">
        <v>472</v>
      </c>
      <c r="E3023" t="s">
        <v>2592</v>
      </c>
      <c r="F3023" t="s">
        <v>3552</v>
      </c>
      <c r="G3023" t="s">
        <v>8476</v>
      </c>
      <c r="H3023" t="s">
        <v>11079</v>
      </c>
      <c r="I3023" t="s">
        <v>11440</v>
      </c>
      <c r="J3023">
        <v>11364</v>
      </c>
      <c r="K3023" t="s">
        <v>11446</v>
      </c>
      <c r="L3023" t="s">
        <v>12697</v>
      </c>
      <c r="M3023" t="s">
        <v>14744</v>
      </c>
      <c r="N3023" t="s">
        <v>14782</v>
      </c>
      <c r="P3023" t="s">
        <v>14801</v>
      </c>
      <c r="Q3023" t="s">
        <v>11448</v>
      </c>
      <c r="S3023" t="s">
        <v>14827</v>
      </c>
      <c r="U3023" t="s">
        <v>472</v>
      </c>
      <c r="V3023">
        <v>1886</v>
      </c>
      <c r="W3023" t="s">
        <v>14861</v>
      </c>
      <c r="X3023" t="s">
        <v>14865</v>
      </c>
      <c r="Z3023" t="s">
        <v>17422</v>
      </c>
      <c r="AB3023" t="s">
        <v>22478</v>
      </c>
      <c r="AC3023">
        <v>4</v>
      </c>
      <c r="AD3023" t="s">
        <v>11479</v>
      </c>
      <c r="AE3023" t="s">
        <v>11459</v>
      </c>
      <c r="AF3023">
        <v>-1</v>
      </c>
      <c r="AG3023">
        <v>2</v>
      </c>
      <c r="AH3023">
        <v>2</v>
      </c>
      <c r="AI3023">
        <v>170.87</v>
      </c>
      <c r="AL3023" t="s">
        <v>5011</v>
      </c>
      <c r="AM3023">
        <v>44000</v>
      </c>
      <c r="AS3023">
        <v>1</v>
      </c>
      <c r="AT3023" t="s">
        <v>472</v>
      </c>
      <c r="AU3023" t="s">
        <v>292</v>
      </c>
      <c r="AV3023" t="s">
        <v>25335</v>
      </c>
      <c r="AW3023" t="s">
        <v>11447</v>
      </c>
    </row>
    <row r="3024" spans="1:49">
      <c r="A3024" s="1">
        <f>HYPERLINK("https://lsnyc.legalserver.org/matter/dynamic-profile/view/1912551","19-1912551")</f>
        <v>0</v>
      </c>
      <c r="B3024" t="s">
        <v>179</v>
      </c>
      <c r="C3024" t="s">
        <v>472</v>
      </c>
      <c r="E3024" t="s">
        <v>2104</v>
      </c>
      <c r="F3024" t="s">
        <v>5184</v>
      </c>
      <c r="G3024" t="s">
        <v>8477</v>
      </c>
      <c r="H3024" t="s">
        <v>10610</v>
      </c>
      <c r="I3024" t="s">
        <v>11409</v>
      </c>
      <c r="J3024">
        <v>11377</v>
      </c>
      <c r="K3024" t="s">
        <v>11446</v>
      </c>
      <c r="L3024" t="s">
        <v>12698</v>
      </c>
      <c r="M3024" t="s">
        <v>14743</v>
      </c>
      <c r="N3024" t="s">
        <v>14782</v>
      </c>
      <c r="P3024" t="s">
        <v>14801</v>
      </c>
      <c r="Q3024" t="s">
        <v>11448</v>
      </c>
      <c r="S3024" t="s">
        <v>14827</v>
      </c>
      <c r="U3024" t="s">
        <v>472</v>
      </c>
      <c r="V3024">
        <v>1700</v>
      </c>
      <c r="W3024" t="s">
        <v>14861</v>
      </c>
      <c r="X3024" t="s">
        <v>14865</v>
      </c>
      <c r="Z3024" t="s">
        <v>17423</v>
      </c>
      <c r="AB3024" t="s">
        <v>22479</v>
      </c>
      <c r="AC3024">
        <v>3</v>
      </c>
      <c r="AD3024" t="s">
        <v>11479</v>
      </c>
      <c r="AE3024" t="s">
        <v>11459</v>
      </c>
      <c r="AF3024">
        <v>1</v>
      </c>
      <c r="AG3024">
        <v>1</v>
      </c>
      <c r="AH3024">
        <v>1</v>
      </c>
      <c r="AI3024">
        <v>177.41</v>
      </c>
      <c r="AL3024" t="s">
        <v>5011</v>
      </c>
      <c r="AM3024">
        <v>30000</v>
      </c>
      <c r="AS3024">
        <v>1.1</v>
      </c>
      <c r="AT3024" t="s">
        <v>472</v>
      </c>
      <c r="AU3024" t="s">
        <v>292</v>
      </c>
      <c r="AV3024" t="s">
        <v>25335</v>
      </c>
      <c r="AW3024" t="s">
        <v>11447</v>
      </c>
    </row>
    <row r="3025" spans="1:49">
      <c r="A3025" s="1">
        <f>HYPERLINK("https://lsnyc.legalserver.org/matter/dynamic-profile/view/1912111","19-1912111")</f>
        <v>0</v>
      </c>
      <c r="B3025" t="s">
        <v>68</v>
      </c>
      <c r="C3025" t="s">
        <v>551</v>
      </c>
      <c r="E3025" t="s">
        <v>2501</v>
      </c>
      <c r="F3025" t="s">
        <v>5185</v>
      </c>
      <c r="G3025" t="s">
        <v>8478</v>
      </c>
      <c r="H3025" t="s">
        <v>10648</v>
      </c>
      <c r="I3025" t="s">
        <v>11397</v>
      </c>
      <c r="J3025">
        <v>11378</v>
      </c>
      <c r="K3025" t="s">
        <v>11446</v>
      </c>
      <c r="L3025" t="s">
        <v>12699</v>
      </c>
      <c r="M3025" t="s">
        <v>14743</v>
      </c>
      <c r="N3025" t="s">
        <v>14781</v>
      </c>
      <c r="P3025" t="s">
        <v>14801</v>
      </c>
      <c r="Q3025" t="s">
        <v>11448</v>
      </c>
      <c r="S3025" t="s">
        <v>14827</v>
      </c>
      <c r="T3025" t="s">
        <v>14834</v>
      </c>
      <c r="U3025" t="s">
        <v>578</v>
      </c>
      <c r="V3025">
        <v>0</v>
      </c>
      <c r="W3025" t="s">
        <v>14861</v>
      </c>
      <c r="Z3025" t="s">
        <v>15482</v>
      </c>
      <c r="AB3025" t="s">
        <v>22480</v>
      </c>
      <c r="AC3025">
        <v>1</v>
      </c>
      <c r="AD3025" t="s">
        <v>24607</v>
      </c>
      <c r="AE3025" t="s">
        <v>11459</v>
      </c>
      <c r="AF3025">
        <v>37</v>
      </c>
      <c r="AG3025">
        <v>2</v>
      </c>
      <c r="AH3025">
        <v>0</v>
      </c>
      <c r="AI3025">
        <v>60.32</v>
      </c>
      <c r="AL3025" t="s">
        <v>5011</v>
      </c>
      <c r="AM3025">
        <v>10200</v>
      </c>
      <c r="AS3025">
        <v>7.83</v>
      </c>
      <c r="AT3025" t="s">
        <v>509</v>
      </c>
      <c r="AU3025" t="s">
        <v>25233</v>
      </c>
      <c r="AV3025" t="s">
        <v>25335</v>
      </c>
      <c r="AW3025" t="s">
        <v>11447</v>
      </c>
    </row>
    <row r="3026" spans="1:49">
      <c r="A3026" s="1">
        <f>HYPERLINK("https://lsnyc.legalserver.org/matter/dynamic-profile/view/1912773","19-1912773")</f>
        <v>0</v>
      </c>
      <c r="B3026" t="s">
        <v>294</v>
      </c>
      <c r="C3026" t="s">
        <v>470</v>
      </c>
      <c r="E3026" t="s">
        <v>2593</v>
      </c>
      <c r="F3026" t="s">
        <v>5186</v>
      </c>
      <c r="G3026" t="s">
        <v>8479</v>
      </c>
      <c r="H3026" t="s">
        <v>10635</v>
      </c>
      <c r="I3026" t="s">
        <v>11389</v>
      </c>
      <c r="J3026">
        <v>11355</v>
      </c>
      <c r="K3026" t="s">
        <v>11446</v>
      </c>
      <c r="L3026" t="s">
        <v>12700</v>
      </c>
      <c r="M3026" t="s">
        <v>14743</v>
      </c>
      <c r="N3026" t="s">
        <v>14778</v>
      </c>
      <c r="P3026" t="s">
        <v>14801</v>
      </c>
      <c r="Q3026" t="s">
        <v>11448</v>
      </c>
      <c r="S3026" t="s">
        <v>14827</v>
      </c>
      <c r="T3026" t="s">
        <v>14833</v>
      </c>
      <c r="U3026" t="s">
        <v>470</v>
      </c>
      <c r="V3026">
        <v>900</v>
      </c>
      <c r="W3026" t="s">
        <v>14861</v>
      </c>
      <c r="X3026" t="s">
        <v>14865</v>
      </c>
      <c r="Z3026" t="s">
        <v>17424</v>
      </c>
      <c r="AB3026" t="s">
        <v>22481</v>
      </c>
      <c r="AC3026">
        <v>0</v>
      </c>
      <c r="AD3026" t="s">
        <v>11479</v>
      </c>
      <c r="AE3026" t="s">
        <v>11459</v>
      </c>
      <c r="AF3026">
        <v>-1</v>
      </c>
      <c r="AG3026">
        <v>1</v>
      </c>
      <c r="AH3026">
        <v>0</v>
      </c>
      <c r="AI3026">
        <v>0</v>
      </c>
      <c r="AL3026" t="s">
        <v>24645</v>
      </c>
      <c r="AM3026">
        <v>0</v>
      </c>
      <c r="AS3026">
        <v>0.8</v>
      </c>
      <c r="AT3026" t="s">
        <v>574</v>
      </c>
      <c r="AU3026" t="s">
        <v>292</v>
      </c>
      <c r="AV3026" t="s">
        <v>25335</v>
      </c>
      <c r="AW3026" t="s">
        <v>11447</v>
      </c>
    </row>
    <row r="3027" spans="1:49">
      <c r="A3027" s="1">
        <f>HYPERLINK("https://lsnyc.legalserver.org/matter/dynamic-profile/view/1912827","19-1912827")</f>
        <v>0</v>
      </c>
      <c r="B3027" t="s">
        <v>227</v>
      </c>
      <c r="C3027" t="s">
        <v>470</v>
      </c>
      <c r="E3027" t="s">
        <v>2377</v>
      </c>
      <c r="F3027" t="s">
        <v>1395</v>
      </c>
      <c r="G3027" t="s">
        <v>8480</v>
      </c>
      <c r="H3027" t="s">
        <v>11080</v>
      </c>
      <c r="I3027" t="s">
        <v>11404</v>
      </c>
      <c r="J3027">
        <v>11102</v>
      </c>
      <c r="K3027" t="s">
        <v>11446</v>
      </c>
      <c r="L3027" t="s">
        <v>12701</v>
      </c>
      <c r="M3027" t="s">
        <v>14744</v>
      </c>
      <c r="N3027" t="s">
        <v>14778</v>
      </c>
      <c r="P3027" t="s">
        <v>14801</v>
      </c>
      <c r="Q3027" t="s">
        <v>11448</v>
      </c>
      <c r="S3027" t="s">
        <v>14828</v>
      </c>
      <c r="U3027" t="s">
        <v>470</v>
      </c>
      <c r="V3027">
        <v>450</v>
      </c>
      <c r="W3027" t="s">
        <v>14861</v>
      </c>
      <c r="X3027" t="s">
        <v>14865</v>
      </c>
      <c r="Z3027" t="s">
        <v>15143</v>
      </c>
      <c r="AA3027" t="s">
        <v>19631</v>
      </c>
      <c r="AB3027" t="s">
        <v>22482</v>
      </c>
      <c r="AC3027">
        <v>48</v>
      </c>
      <c r="AD3027" t="s">
        <v>24597</v>
      </c>
      <c r="AE3027" t="s">
        <v>11459</v>
      </c>
      <c r="AF3027">
        <v>6</v>
      </c>
      <c r="AG3027">
        <v>1</v>
      </c>
      <c r="AH3027">
        <v>1</v>
      </c>
      <c r="AI3027">
        <v>22.29</v>
      </c>
      <c r="AL3027" t="s">
        <v>5011</v>
      </c>
      <c r="AM3027">
        <v>3770</v>
      </c>
      <c r="AS3027">
        <v>2.72</v>
      </c>
      <c r="AT3027" t="s">
        <v>509</v>
      </c>
      <c r="AU3027" t="s">
        <v>292</v>
      </c>
      <c r="AV3027" t="s">
        <v>25335</v>
      </c>
      <c r="AW3027" t="s">
        <v>11447</v>
      </c>
    </row>
    <row r="3028" spans="1:49">
      <c r="A3028" s="1">
        <f>HYPERLINK("https://lsnyc.legalserver.org/matter/dynamic-profile/view/1912819","19-1912819")</f>
        <v>0</v>
      </c>
      <c r="B3028" t="s">
        <v>248</v>
      </c>
      <c r="C3028" t="s">
        <v>470</v>
      </c>
      <c r="E3028" t="s">
        <v>2594</v>
      </c>
      <c r="F3028" t="s">
        <v>5187</v>
      </c>
      <c r="G3028" t="s">
        <v>8481</v>
      </c>
      <c r="H3028" t="s">
        <v>10506</v>
      </c>
      <c r="I3028" t="s">
        <v>11439</v>
      </c>
      <c r="J3028">
        <v>11414</v>
      </c>
      <c r="K3028" t="s">
        <v>11446</v>
      </c>
      <c r="L3028" t="s">
        <v>12702</v>
      </c>
      <c r="M3028" t="s">
        <v>14743</v>
      </c>
      <c r="N3028" t="s">
        <v>14779</v>
      </c>
      <c r="P3028" t="s">
        <v>14801</v>
      </c>
      <c r="Q3028" t="s">
        <v>11448</v>
      </c>
      <c r="S3028" t="s">
        <v>14827</v>
      </c>
      <c r="U3028" t="s">
        <v>470</v>
      </c>
      <c r="V3028">
        <v>1250</v>
      </c>
      <c r="W3028" t="s">
        <v>14861</v>
      </c>
      <c r="X3028" t="s">
        <v>14865</v>
      </c>
      <c r="Z3028" t="s">
        <v>17425</v>
      </c>
      <c r="AA3028" t="s">
        <v>19632</v>
      </c>
      <c r="AB3028" t="s">
        <v>22483</v>
      </c>
      <c r="AC3028">
        <v>4</v>
      </c>
      <c r="AD3028" t="s">
        <v>11479</v>
      </c>
      <c r="AE3028" t="s">
        <v>11459</v>
      </c>
      <c r="AF3028">
        <v>16</v>
      </c>
      <c r="AG3028">
        <v>2</v>
      </c>
      <c r="AH3028">
        <v>0</v>
      </c>
      <c r="AI3028">
        <v>127.34</v>
      </c>
      <c r="AL3028" t="s">
        <v>5011</v>
      </c>
      <c r="AM3028">
        <v>21534</v>
      </c>
      <c r="AS3028">
        <v>2.37</v>
      </c>
      <c r="AT3028" t="s">
        <v>477</v>
      </c>
      <c r="AU3028" t="s">
        <v>292</v>
      </c>
      <c r="AV3028" t="s">
        <v>25335</v>
      </c>
      <c r="AW3028" t="s">
        <v>11447</v>
      </c>
    </row>
    <row r="3029" spans="1:49">
      <c r="A3029" s="1">
        <f>HYPERLINK("https://lsnyc.legalserver.org/matter/dynamic-profile/view/1912791","19-1912791")</f>
        <v>0</v>
      </c>
      <c r="B3029" t="s">
        <v>110</v>
      </c>
      <c r="C3029" t="s">
        <v>470</v>
      </c>
      <c r="E3029" t="s">
        <v>1034</v>
      </c>
      <c r="F3029" t="s">
        <v>5188</v>
      </c>
      <c r="G3029" t="s">
        <v>8482</v>
      </c>
      <c r="H3029" t="s">
        <v>10562</v>
      </c>
      <c r="I3029" t="s">
        <v>11390</v>
      </c>
      <c r="J3029">
        <v>11368</v>
      </c>
      <c r="K3029" t="s">
        <v>11446</v>
      </c>
      <c r="L3029" t="s">
        <v>12703</v>
      </c>
      <c r="M3029" t="s">
        <v>14743</v>
      </c>
      <c r="N3029" t="s">
        <v>14782</v>
      </c>
      <c r="P3029" t="s">
        <v>14801</v>
      </c>
      <c r="Q3029" t="s">
        <v>11448</v>
      </c>
      <c r="S3029" t="s">
        <v>14827</v>
      </c>
      <c r="U3029" t="s">
        <v>470</v>
      </c>
      <c r="V3029">
        <v>1125</v>
      </c>
      <c r="W3029" t="s">
        <v>14861</v>
      </c>
      <c r="X3029" t="s">
        <v>14865</v>
      </c>
      <c r="Z3029" t="s">
        <v>17426</v>
      </c>
      <c r="AA3029" t="s">
        <v>19633</v>
      </c>
      <c r="AB3029" t="s">
        <v>22484</v>
      </c>
      <c r="AC3029">
        <v>4</v>
      </c>
      <c r="AD3029" t="s">
        <v>11479</v>
      </c>
      <c r="AE3029" t="s">
        <v>11459</v>
      </c>
      <c r="AF3029">
        <v>13</v>
      </c>
      <c r="AG3029">
        <v>2</v>
      </c>
      <c r="AH3029">
        <v>0</v>
      </c>
      <c r="AI3029">
        <v>150.8</v>
      </c>
      <c r="AL3029" t="s">
        <v>5011</v>
      </c>
      <c r="AM3029">
        <v>25500</v>
      </c>
      <c r="AS3029">
        <v>1.3</v>
      </c>
      <c r="AT3029" t="s">
        <v>484</v>
      </c>
      <c r="AU3029" t="s">
        <v>292</v>
      </c>
      <c r="AV3029" t="s">
        <v>25335</v>
      </c>
      <c r="AW3029" t="s">
        <v>11447</v>
      </c>
    </row>
    <row r="3030" spans="1:49">
      <c r="A3030" s="1">
        <f>HYPERLINK("https://lsnyc.legalserver.org/matter/dynamic-profile/view/1912939","19-1912939")</f>
        <v>0</v>
      </c>
      <c r="B3030" t="s">
        <v>248</v>
      </c>
      <c r="C3030" t="s">
        <v>574</v>
      </c>
      <c r="E3030" t="s">
        <v>2595</v>
      </c>
      <c r="F3030" t="s">
        <v>5189</v>
      </c>
      <c r="G3030" t="s">
        <v>8483</v>
      </c>
      <c r="H3030" t="s">
        <v>10646</v>
      </c>
      <c r="I3030" t="s">
        <v>11423</v>
      </c>
      <c r="J3030">
        <v>11413</v>
      </c>
      <c r="K3030" t="s">
        <v>11446</v>
      </c>
      <c r="L3030" t="s">
        <v>12704</v>
      </c>
      <c r="M3030" t="s">
        <v>14743</v>
      </c>
      <c r="N3030" t="s">
        <v>14781</v>
      </c>
      <c r="P3030" t="s">
        <v>14801</v>
      </c>
      <c r="Q3030" t="s">
        <v>11448</v>
      </c>
      <c r="S3030" t="s">
        <v>14827</v>
      </c>
      <c r="T3030" t="s">
        <v>14832</v>
      </c>
      <c r="U3030" t="s">
        <v>574</v>
      </c>
      <c r="V3030">
        <v>900</v>
      </c>
      <c r="W3030" t="s">
        <v>14861</v>
      </c>
      <c r="X3030" t="s">
        <v>14865</v>
      </c>
      <c r="Z3030" t="s">
        <v>17427</v>
      </c>
      <c r="AB3030" t="s">
        <v>22485</v>
      </c>
      <c r="AC3030">
        <v>1</v>
      </c>
      <c r="AD3030" t="s">
        <v>11479</v>
      </c>
      <c r="AE3030" t="s">
        <v>11459</v>
      </c>
      <c r="AF3030">
        <v>-1</v>
      </c>
      <c r="AG3030">
        <v>1</v>
      </c>
      <c r="AH3030">
        <v>0</v>
      </c>
      <c r="AI3030">
        <v>0</v>
      </c>
      <c r="AL3030" t="s">
        <v>5011</v>
      </c>
      <c r="AM3030">
        <v>0</v>
      </c>
      <c r="AS3030">
        <v>11.3</v>
      </c>
      <c r="AT3030" t="s">
        <v>654</v>
      </c>
      <c r="AU3030" t="s">
        <v>292</v>
      </c>
      <c r="AV3030" t="s">
        <v>25335</v>
      </c>
      <c r="AW3030" t="s">
        <v>11447</v>
      </c>
    </row>
    <row r="3031" spans="1:49">
      <c r="A3031" s="1">
        <f>HYPERLINK("https://lsnyc.legalserver.org/matter/dynamic-profile/view/1912982","19-1912982")</f>
        <v>0</v>
      </c>
      <c r="B3031" t="s">
        <v>225</v>
      </c>
      <c r="C3031" t="s">
        <v>574</v>
      </c>
      <c r="E3031" t="s">
        <v>2596</v>
      </c>
      <c r="F3031" t="s">
        <v>3730</v>
      </c>
      <c r="G3031" t="s">
        <v>8484</v>
      </c>
      <c r="H3031" t="s">
        <v>10893</v>
      </c>
      <c r="I3031" t="s">
        <v>11387</v>
      </c>
      <c r="J3031">
        <v>11435</v>
      </c>
      <c r="K3031" t="s">
        <v>11446</v>
      </c>
      <c r="L3031" t="s">
        <v>12705</v>
      </c>
      <c r="M3031" t="s">
        <v>14744</v>
      </c>
      <c r="N3031" t="s">
        <v>14781</v>
      </c>
      <c r="P3031" t="s">
        <v>14801</v>
      </c>
      <c r="Q3031" t="s">
        <v>11448</v>
      </c>
      <c r="S3031" t="s">
        <v>14827</v>
      </c>
      <c r="T3031" t="s">
        <v>14832</v>
      </c>
      <c r="U3031" t="s">
        <v>603</v>
      </c>
      <c r="V3031">
        <v>1490</v>
      </c>
      <c r="W3031" t="s">
        <v>14861</v>
      </c>
      <c r="X3031" t="s">
        <v>14865</v>
      </c>
      <c r="Z3031" t="s">
        <v>17428</v>
      </c>
      <c r="AA3031" t="s">
        <v>19634</v>
      </c>
      <c r="AB3031" t="s">
        <v>22486</v>
      </c>
      <c r="AC3031">
        <v>106</v>
      </c>
      <c r="AD3031" t="s">
        <v>24600</v>
      </c>
      <c r="AE3031" t="s">
        <v>11459</v>
      </c>
      <c r="AF3031">
        <v>26</v>
      </c>
      <c r="AG3031">
        <v>1</v>
      </c>
      <c r="AH3031">
        <v>0</v>
      </c>
      <c r="AI3031">
        <v>8.74</v>
      </c>
      <c r="AL3031" t="s">
        <v>24632</v>
      </c>
      <c r="AM3031">
        <v>1092</v>
      </c>
      <c r="AS3031">
        <v>10.15</v>
      </c>
      <c r="AT3031" t="s">
        <v>654</v>
      </c>
      <c r="AU3031" t="s">
        <v>25233</v>
      </c>
      <c r="AV3031" t="s">
        <v>25335</v>
      </c>
      <c r="AW3031" t="s">
        <v>11447</v>
      </c>
    </row>
    <row r="3032" spans="1:49">
      <c r="A3032" s="1">
        <f>HYPERLINK("https://lsnyc.legalserver.org/matter/dynamic-profile/view/1913054","19-1913054")</f>
        <v>0</v>
      </c>
      <c r="B3032" t="s">
        <v>59</v>
      </c>
      <c r="C3032" t="s">
        <v>603</v>
      </c>
      <c r="E3032" t="s">
        <v>2597</v>
      </c>
      <c r="F3032" t="s">
        <v>4819</v>
      </c>
      <c r="G3032" t="s">
        <v>8485</v>
      </c>
      <c r="H3032" t="s">
        <v>10575</v>
      </c>
      <c r="I3032" t="s">
        <v>11421</v>
      </c>
      <c r="J3032">
        <v>11428</v>
      </c>
      <c r="K3032" t="s">
        <v>11446</v>
      </c>
      <c r="L3032" t="s">
        <v>12706</v>
      </c>
      <c r="M3032" t="s">
        <v>14744</v>
      </c>
      <c r="N3032" t="s">
        <v>14781</v>
      </c>
      <c r="P3032" t="s">
        <v>14801</v>
      </c>
      <c r="Q3032" t="s">
        <v>11448</v>
      </c>
      <c r="S3032" t="s">
        <v>14827</v>
      </c>
      <c r="T3032" t="s">
        <v>14836</v>
      </c>
      <c r="U3032" t="s">
        <v>603</v>
      </c>
      <c r="V3032">
        <v>1541.39</v>
      </c>
      <c r="W3032" t="s">
        <v>14861</v>
      </c>
      <c r="X3032" t="s">
        <v>14867</v>
      </c>
      <c r="Z3032" t="s">
        <v>17429</v>
      </c>
      <c r="AB3032" t="s">
        <v>22487</v>
      </c>
      <c r="AC3032">
        <v>9</v>
      </c>
      <c r="AD3032" t="s">
        <v>24595</v>
      </c>
      <c r="AE3032" t="s">
        <v>11459</v>
      </c>
      <c r="AF3032">
        <v>10</v>
      </c>
      <c r="AG3032">
        <v>1</v>
      </c>
      <c r="AH3032">
        <v>2</v>
      </c>
      <c r="AI3032">
        <v>146.27</v>
      </c>
      <c r="AL3032" t="s">
        <v>5011</v>
      </c>
      <c r="AM3032">
        <v>31200</v>
      </c>
      <c r="AO3032" t="s">
        <v>24932</v>
      </c>
      <c r="AP3032" t="s">
        <v>14755</v>
      </c>
      <c r="AQ3032" t="s">
        <v>24986</v>
      </c>
      <c r="AR3032" t="s">
        <v>25065</v>
      </c>
      <c r="AS3032">
        <v>13.23</v>
      </c>
      <c r="AT3032" t="s">
        <v>516</v>
      </c>
      <c r="AU3032" t="s">
        <v>25233</v>
      </c>
      <c r="AV3032" t="s">
        <v>25335</v>
      </c>
      <c r="AW3032" t="s">
        <v>11447</v>
      </c>
    </row>
    <row r="3033" spans="1:49">
      <c r="A3033" s="1">
        <f>HYPERLINK("https://lsnyc.legalserver.org/matter/dynamic-profile/view/1913364","19-1913364")</f>
        <v>0</v>
      </c>
      <c r="B3033" t="s">
        <v>248</v>
      </c>
      <c r="C3033" t="s">
        <v>483</v>
      </c>
      <c r="E3033" t="s">
        <v>2598</v>
      </c>
      <c r="F3033" t="s">
        <v>5190</v>
      </c>
      <c r="G3033" t="s">
        <v>8486</v>
      </c>
      <c r="H3033" t="s">
        <v>10496</v>
      </c>
      <c r="I3033" t="s">
        <v>11405</v>
      </c>
      <c r="J3033">
        <v>11416</v>
      </c>
      <c r="K3033" t="s">
        <v>11446</v>
      </c>
      <c r="L3033" t="s">
        <v>12707</v>
      </c>
      <c r="M3033" t="s">
        <v>14743</v>
      </c>
      <c r="N3033" t="s">
        <v>14779</v>
      </c>
      <c r="P3033" t="s">
        <v>14801</v>
      </c>
      <c r="S3033" t="s">
        <v>14827</v>
      </c>
      <c r="T3033" t="s">
        <v>14834</v>
      </c>
      <c r="U3033" t="s">
        <v>483</v>
      </c>
      <c r="V3033">
        <v>1775</v>
      </c>
      <c r="W3033" t="s">
        <v>14861</v>
      </c>
      <c r="X3033" t="s">
        <v>14865</v>
      </c>
      <c r="Z3033" t="s">
        <v>17430</v>
      </c>
      <c r="AB3033" t="s">
        <v>22488</v>
      </c>
      <c r="AC3033">
        <v>2</v>
      </c>
      <c r="AD3033" t="s">
        <v>24600</v>
      </c>
      <c r="AE3033" t="s">
        <v>11459</v>
      </c>
      <c r="AF3033">
        <v>5</v>
      </c>
      <c r="AG3033">
        <v>3</v>
      </c>
      <c r="AH3033">
        <v>1</v>
      </c>
      <c r="AI3033">
        <v>160.78</v>
      </c>
      <c r="AM3033">
        <v>41400</v>
      </c>
      <c r="AS3033">
        <v>2</v>
      </c>
      <c r="AT3033" t="s">
        <v>477</v>
      </c>
      <c r="AU3033" t="s">
        <v>99</v>
      </c>
      <c r="AV3033" t="s">
        <v>25335</v>
      </c>
      <c r="AW3033" t="s">
        <v>11447</v>
      </c>
    </row>
    <row r="3034" spans="1:49">
      <c r="A3034" s="1">
        <f>HYPERLINK("https://lsnyc.legalserver.org/matter/dynamic-profile/view/1913650","19-1913650")</f>
        <v>0</v>
      </c>
      <c r="B3034" t="s">
        <v>271</v>
      </c>
      <c r="C3034" t="s">
        <v>477</v>
      </c>
      <c r="E3034" t="s">
        <v>1337</v>
      </c>
      <c r="F3034" t="s">
        <v>4675</v>
      </c>
      <c r="G3034" t="s">
        <v>8487</v>
      </c>
      <c r="H3034" t="s">
        <v>10744</v>
      </c>
      <c r="I3034" t="s">
        <v>11404</v>
      </c>
      <c r="J3034">
        <v>11103</v>
      </c>
      <c r="K3034" t="s">
        <v>11446</v>
      </c>
      <c r="L3034" t="s">
        <v>12708</v>
      </c>
      <c r="M3034" t="s">
        <v>14744</v>
      </c>
      <c r="N3034" t="s">
        <v>14778</v>
      </c>
      <c r="P3034" t="s">
        <v>14801</v>
      </c>
      <c r="Q3034" t="s">
        <v>11448</v>
      </c>
      <c r="S3034" t="s">
        <v>14827</v>
      </c>
      <c r="U3034" t="s">
        <v>477</v>
      </c>
      <c r="V3034">
        <v>2600</v>
      </c>
      <c r="W3034" t="s">
        <v>14861</v>
      </c>
      <c r="X3034" t="s">
        <v>14863</v>
      </c>
      <c r="Z3034" t="s">
        <v>17431</v>
      </c>
      <c r="AB3034" t="s">
        <v>22489</v>
      </c>
      <c r="AC3034">
        <v>2</v>
      </c>
      <c r="AE3034" t="s">
        <v>11459</v>
      </c>
      <c r="AF3034">
        <v>4</v>
      </c>
      <c r="AG3034">
        <v>3</v>
      </c>
      <c r="AH3034">
        <v>1</v>
      </c>
      <c r="AI3034">
        <v>35.93</v>
      </c>
      <c r="AL3034" t="s">
        <v>5011</v>
      </c>
      <c r="AM3034">
        <v>9252</v>
      </c>
      <c r="AS3034">
        <v>4.65</v>
      </c>
      <c r="AT3034" t="s">
        <v>533</v>
      </c>
      <c r="AU3034" t="s">
        <v>292</v>
      </c>
      <c r="AV3034" t="s">
        <v>25335</v>
      </c>
      <c r="AW3034" t="s">
        <v>11447</v>
      </c>
    </row>
    <row r="3035" spans="1:49">
      <c r="A3035" s="1">
        <f>HYPERLINK("https://lsnyc.legalserver.org/matter/dynamic-profile/view/1914108","19-1914108")</f>
        <v>0</v>
      </c>
      <c r="B3035" t="s">
        <v>59</v>
      </c>
      <c r="C3035" t="s">
        <v>580</v>
      </c>
      <c r="E3035" t="s">
        <v>2599</v>
      </c>
      <c r="F3035" t="s">
        <v>5191</v>
      </c>
      <c r="G3035" t="s">
        <v>8488</v>
      </c>
      <c r="H3035" t="s">
        <v>10506</v>
      </c>
      <c r="I3035" t="s">
        <v>11405</v>
      </c>
      <c r="J3035">
        <v>11417</v>
      </c>
      <c r="K3035" t="s">
        <v>11446</v>
      </c>
      <c r="L3035" t="s">
        <v>12709</v>
      </c>
      <c r="M3035" t="s">
        <v>14743</v>
      </c>
      <c r="N3035" t="s">
        <v>14778</v>
      </c>
      <c r="P3035" t="s">
        <v>14801</v>
      </c>
      <c r="Q3035" t="s">
        <v>11448</v>
      </c>
      <c r="S3035" t="s">
        <v>14827</v>
      </c>
      <c r="T3035" t="s">
        <v>14832</v>
      </c>
      <c r="U3035" t="s">
        <v>580</v>
      </c>
      <c r="V3035">
        <v>795</v>
      </c>
      <c r="W3035" t="s">
        <v>14861</v>
      </c>
      <c r="X3035" t="s">
        <v>14865</v>
      </c>
      <c r="Z3035" t="s">
        <v>17432</v>
      </c>
      <c r="AB3035" t="s">
        <v>22490</v>
      </c>
      <c r="AC3035">
        <v>2</v>
      </c>
      <c r="AD3035" t="s">
        <v>24600</v>
      </c>
      <c r="AE3035" t="s">
        <v>11459</v>
      </c>
      <c r="AF3035">
        <v>20</v>
      </c>
      <c r="AG3035">
        <v>1</v>
      </c>
      <c r="AH3035">
        <v>0</v>
      </c>
      <c r="AI3035">
        <v>0</v>
      </c>
      <c r="AL3035" t="s">
        <v>5011</v>
      </c>
      <c r="AM3035">
        <v>0</v>
      </c>
      <c r="AS3035">
        <v>1.5</v>
      </c>
      <c r="AT3035" t="s">
        <v>580</v>
      </c>
      <c r="AU3035" t="s">
        <v>292</v>
      </c>
      <c r="AV3035" t="s">
        <v>25335</v>
      </c>
      <c r="AW3035" t="s">
        <v>11447</v>
      </c>
    </row>
    <row r="3036" spans="1:49">
      <c r="A3036" s="1">
        <f>HYPERLINK("https://lsnyc.legalserver.org/matter/dynamic-profile/view/1914114","19-1914114")</f>
        <v>0</v>
      </c>
      <c r="B3036" t="s">
        <v>248</v>
      </c>
      <c r="C3036" t="s">
        <v>580</v>
      </c>
      <c r="E3036" t="s">
        <v>1043</v>
      </c>
      <c r="F3036" t="s">
        <v>5192</v>
      </c>
      <c r="G3036" t="s">
        <v>8489</v>
      </c>
      <c r="H3036" t="s">
        <v>10506</v>
      </c>
      <c r="I3036" t="s">
        <v>11405</v>
      </c>
      <c r="J3036">
        <v>11417</v>
      </c>
      <c r="K3036" t="s">
        <v>11446</v>
      </c>
      <c r="L3036" t="s">
        <v>12710</v>
      </c>
      <c r="M3036" t="s">
        <v>14743</v>
      </c>
      <c r="N3036" t="s">
        <v>14782</v>
      </c>
      <c r="P3036" t="s">
        <v>14801</v>
      </c>
      <c r="Q3036" t="s">
        <v>11448</v>
      </c>
      <c r="S3036" t="s">
        <v>14827</v>
      </c>
      <c r="U3036" t="s">
        <v>580</v>
      </c>
      <c r="V3036">
        <v>1200</v>
      </c>
      <c r="W3036" t="s">
        <v>14861</v>
      </c>
      <c r="X3036" t="s">
        <v>14865</v>
      </c>
      <c r="Z3036" t="s">
        <v>17433</v>
      </c>
      <c r="AB3036" t="s">
        <v>22491</v>
      </c>
      <c r="AC3036">
        <v>2</v>
      </c>
      <c r="AD3036" t="s">
        <v>11479</v>
      </c>
      <c r="AE3036" t="s">
        <v>11459</v>
      </c>
      <c r="AF3036">
        <v>6</v>
      </c>
      <c r="AG3036">
        <v>1</v>
      </c>
      <c r="AH3036">
        <v>1</v>
      </c>
      <c r="AI3036">
        <v>0</v>
      </c>
      <c r="AL3036" t="s">
        <v>5011</v>
      </c>
      <c r="AM3036">
        <v>0</v>
      </c>
      <c r="AS3036">
        <v>0</v>
      </c>
      <c r="AU3036" t="s">
        <v>292</v>
      </c>
      <c r="AV3036" t="s">
        <v>25335</v>
      </c>
      <c r="AW3036" t="s">
        <v>11447</v>
      </c>
    </row>
    <row r="3037" spans="1:49">
      <c r="A3037" s="1">
        <f>HYPERLINK("https://lsnyc.legalserver.org/matter/dynamic-profile/view/1914571","19-1914571")</f>
        <v>0</v>
      </c>
      <c r="B3037" t="s">
        <v>227</v>
      </c>
      <c r="C3037" t="s">
        <v>478</v>
      </c>
      <c r="E3037" t="s">
        <v>2600</v>
      </c>
      <c r="F3037" t="s">
        <v>3685</v>
      </c>
      <c r="G3037" t="s">
        <v>8490</v>
      </c>
      <c r="H3037" t="s">
        <v>11081</v>
      </c>
      <c r="I3037" t="s">
        <v>11424</v>
      </c>
      <c r="J3037">
        <v>11372</v>
      </c>
      <c r="K3037" t="s">
        <v>11448</v>
      </c>
      <c r="L3037">
        <v>70654</v>
      </c>
      <c r="M3037" t="s">
        <v>14744</v>
      </c>
      <c r="N3037" t="s">
        <v>14782</v>
      </c>
      <c r="P3037" t="s">
        <v>14801</v>
      </c>
      <c r="Q3037" t="s">
        <v>11448</v>
      </c>
      <c r="S3037" t="s">
        <v>14827</v>
      </c>
      <c r="T3037" t="s">
        <v>14832</v>
      </c>
      <c r="U3037" t="s">
        <v>580</v>
      </c>
      <c r="V3037">
        <v>1028</v>
      </c>
      <c r="W3037" t="s">
        <v>14861</v>
      </c>
      <c r="X3037" t="s">
        <v>14865</v>
      </c>
      <c r="Z3037" t="s">
        <v>17434</v>
      </c>
      <c r="AB3037" t="s">
        <v>22492</v>
      </c>
      <c r="AC3037">
        <v>0</v>
      </c>
      <c r="AF3037">
        <v>15</v>
      </c>
      <c r="AG3037">
        <v>1</v>
      </c>
      <c r="AH3037">
        <v>0</v>
      </c>
      <c r="AI3037">
        <v>96.08</v>
      </c>
      <c r="AM3037">
        <v>12000</v>
      </c>
      <c r="AS3037">
        <v>0.5</v>
      </c>
      <c r="AT3037" t="s">
        <v>580</v>
      </c>
      <c r="AU3037" t="s">
        <v>227</v>
      </c>
      <c r="AW3037" t="s">
        <v>11447</v>
      </c>
    </row>
    <row r="3038" spans="1:49">
      <c r="A3038" s="1">
        <f>HYPERLINK("https://lsnyc.legalserver.org/matter/dynamic-profile/view/1913996","19-1913996")</f>
        <v>0</v>
      </c>
      <c r="B3038" t="s">
        <v>59</v>
      </c>
      <c r="C3038" t="s">
        <v>490</v>
      </c>
      <c r="E3038" t="s">
        <v>1057</v>
      </c>
      <c r="F3038" t="s">
        <v>3649</v>
      </c>
      <c r="G3038" t="s">
        <v>8491</v>
      </c>
      <c r="H3038" t="s">
        <v>10478</v>
      </c>
      <c r="I3038" t="s">
        <v>11387</v>
      </c>
      <c r="J3038">
        <v>11435</v>
      </c>
      <c r="K3038" t="s">
        <v>11446</v>
      </c>
      <c r="L3038" t="s">
        <v>12711</v>
      </c>
      <c r="M3038" t="s">
        <v>14744</v>
      </c>
      <c r="N3038" t="s">
        <v>14781</v>
      </c>
      <c r="P3038" t="s">
        <v>14801</v>
      </c>
      <c r="Q3038" t="s">
        <v>11448</v>
      </c>
      <c r="S3038" t="s">
        <v>14827</v>
      </c>
      <c r="T3038" t="s">
        <v>14836</v>
      </c>
      <c r="U3038" t="s">
        <v>580</v>
      </c>
      <c r="V3038">
        <v>1374.26</v>
      </c>
      <c r="W3038" t="s">
        <v>14861</v>
      </c>
      <c r="X3038" t="s">
        <v>14865</v>
      </c>
      <c r="Z3038" t="s">
        <v>17435</v>
      </c>
      <c r="AA3038" t="s">
        <v>19635</v>
      </c>
      <c r="AB3038" t="s">
        <v>22493</v>
      </c>
      <c r="AC3038">
        <v>70</v>
      </c>
      <c r="AD3038" t="s">
        <v>24595</v>
      </c>
      <c r="AE3038" t="s">
        <v>11459</v>
      </c>
      <c r="AF3038">
        <v>34</v>
      </c>
      <c r="AG3038">
        <v>2</v>
      </c>
      <c r="AH3038">
        <v>0</v>
      </c>
      <c r="AI3038">
        <v>107.16</v>
      </c>
      <c r="AL3038" t="s">
        <v>5011</v>
      </c>
      <c r="AM3038">
        <v>18120</v>
      </c>
      <c r="AO3038" t="s">
        <v>24931</v>
      </c>
      <c r="AP3038" t="s">
        <v>24964</v>
      </c>
      <c r="AQ3038" t="s">
        <v>24986</v>
      </c>
      <c r="AR3038" t="s">
        <v>25066</v>
      </c>
      <c r="AS3038">
        <v>20.63</v>
      </c>
      <c r="AT3038" t="s">
        <v>654</v>
      </c>
      <c r="AU3038" t="s">
        <v>25233</v>
      </c>
      <c r="AV3038" t="s">
        <v>25335</v>
      </c>
      <c r="AW3038" t="s">
        <v>11447</v>
      </c>
    </row>
    <row r="3039" spans="1:49">
      <c r="A3039" s="1">
        <f>HYPERLINK("https://lsnyc.legalserver.org/matter/dynamic-profile/view/1914368","19-1914368")</f>
        <v>0</v>
      </c>
      <c r="B3039" t="s">
        <v>248</v>
      </c>
      <c r="C3039" t="s">
        <v>506</v>
      </c>
      <c r="E3039" t="s">
        <v>1233</v>
      </c>
      <c r="F3039" t="s">
        <v>3909</v>
      </c>
      <c r="G3039" t="s">
        <v>8492</v>
      </c>
      <c r="H3039" t="s">
        <v>10610</v>
      </c>
      <c r="I3039" t="s">
        <v>11405</v>
      </c>
      <c r="J3039">
        <v>11416</v>
      </c>
      <c r="K3039" t="s">
        <v>11446</v>
      </c>
      <c r="L3039" t="s">
        <v>12712</v>
      </c>
      <c r="M3039" t="s">
        <v>14743</v>
      </c>
      <c r="N3039" t="s">
        <v>14782</v>
      </c>
      <c r="P3039" t="s">
        <v>14801</v>
      </c>
      <c r="Q3039" t="s">
        <v>11448</v>
      </c>
      <c r="S3039" t="s">
        <v>14827</v>
      </c>
      <c r="U3039" t="s">
        <v>506</v>
      </c>
      <c r="V3039">
        <v>800</v>
      </c>
      <c r="W3039" t="s">
        <v>14861</v>
      </c>
      <c r="X3039" t="s">
        <v>14865</v>
      </c>
      <c r="Z3039" t="s">
        <v>17436</v>
      </c>
      <c r="AA3039" t="s">
        <v>19636</v>
      </c>
      <c r="AB3039" t="s">
        <v>22494</v>
      </c>
      <c r="AC3039">
        <v>1</v>
      </c>
      <c r="AD3039" t="s">
        <v>11479</v>
      </c>
      <c r="AE3039" t="s">
        <v>11459</v>
      </c>
      <c r="AF3039">
        <v>8</v>
      </c>
      <c r="AG3039">
        <v>1</v>
      </c>
      <c r="AH3039">
        <v>0</v>
      </c>
      <c r="AI3039">
        <v>0</v>
      </c>
      <c r="AL3039" t="s">
        <v>5011</v>
      </c>
      <c r="AM3039">
        <v>0</v>
      </c>
      <c r="AS3039">
        <v>0.4</v>
      </c>
      <c r="AT3039" t="s">
        <v>506</v>
      </c>
      <c r="AU3039" t="s">
        <v>292</v>
      </c>
      <c r="AV3039" t="s">
        <v>25335</v>
      </c>
      <c r="AW3039" t="s">
        <v>11447</v>
      </c>
    </row>
    <row r="3040" spans="1:49">
      <c r="A3040" s="1">
        <f>HYPERLINK("https://lsnyc.legalserver.org/matter/dynamic-profile/view/1914363","19-1914363")</f>
        <v>0</v>
      </c>
      <c r="B3040" t="s">
        <v>191</v>
      </c>
      <c r="C3040" t="s">
        <v>506</v>
      </c>
      <c r="E3040" t="s">
        <v>2601</v>
      </c>
      <c r="F3040" t="s">
        <v>5193</v>
      </c>
      <c r="G3040" t="s">
        <v>8493</v>
      </c>
      <c r="H3040" t="s">
        <v>11043</v>
      </c>
      <c r="I3040" t="s">
        <v>11396</v>
      </c>
      <c r="J3040">
        <v>11365</v>
      </c>
      <c r="K3040" t="s">
        <v>11446</v>
      </c>
      <c r="L3040" t="s">
        <v>12713</v>
      </c>
      <c r="M3040" t="s">
        <v>14744</v>
      </c>
      <c r="N3040" t="s">
        <v>14778</v>
      </c>
      <c r="P3040" t="s">
        <v>14801</v>
      </c>
      <c r="Q3040" t="s">
        <v>11448</v>
      </c>
      <c r="S3040" t="s">
        <v>14827</v>
      </c>
      <c r="U3040" t="s">
        <v>506</v>
      </c>
      <c r="V3040">
        <v>1250</v>
      </c>
      <c r="W3040" t="s">
        <v>14861</v>
      </c>
      <c r="X3040" t="s">
        <v>14865</v>
      </c>
      <c r="Z3040" t="s">
        <v>17437</v>
      </c>
      <c r="AA3040" t="s">
        <v>19637</v>
      </c>
      <c r="AB3040" t="s">
        <v>22495</v>
      </c>
      <c r="AC3040">
        <v>2</v>
      </c>
      <c r="AD3040" t="s">
        <v>11479</v>
      </c>
      <c r="AE3040" t="s">
        <v>11459</v>
      </c>
      <c r="AF3040">
        <v>5</v>
      </c>
      <c r="AG3040">
        <v>2</v>
      </c>
      <c r="AH3040">
        <v>3</v>
      </c>
      <c r="AI3040">
        <v>0</v>
      </c>
      <c r="AL3040" t="s">
        <v>5011</v>
      </c>
      <c r="AM3040">
        <v>0</v>
      </c>
      <c r="AS3040">
        <v>0.8</v>
      </c>
      <c r="AT3040" t="s">
        <v>478</v>
      </c>
      <c r="AU3040" t="s">
        <v>292</v>
      </c>
      <c r="AV3040" t="s">
        <v>25335</v>
      </c>
      <c r="AW3040" t="s">
        <v>11447</v>
      </c>
    </row>
    <row r="3041" spans="1:49">
      <c r="A3041" s="1">
        <f>HYPERLINK("https://lsnyc.legalserver.org/matter/dynamic-profile/view/1914403","19-1914403")</f>
        <v>0</v>
      </c>
      <c r="B3041" t="s">
        <v>110</v>
      </c>
      <c r="C3041" t="s">
        <v>506</v>
      </c>
      <c r="E3041" t="s">
        <v>1181</v>
      </c>
      <c r="F3041" t="s">
        <v>5194</v>
      </c>
      <c r="G3041" t="s">
        <v>8494</v>
      </c>
      <c r="H3041" t="s">
        <v>10484</v>
      </c>
      <c r="I3041" t="s">
        <v>11399</v>
      </c>
      <c r="J3041">
        <v>11421</v>
      </c>
      <c r="K3041" t="s">
        <v>11446</v>
      </c>
      <c r="L3041" t="s">
        <v>12714</v>
      </c>
      <c r="M3041" t="s">
        <v>14743</v>
      </c>
      <c r="N3041" t="s">
        <v>14782</v>
      </c>
      <c r="P3041" t="s">
        <v>14801</v>
      </c>
      <c r="Q3041" t="s">
        <v>11448</v>
      </c>
      <c r="S3041" t="s">
        <v>14827</v>
      </c>
      <c r="U3041" t="s">
        <v>506</v>
      </c>
      <c r="V3041">
        <v>800</v>
      </c>
      <c r="W3041" t="s">
        <v>14861</v>
      </c>
      <c r="X3041" t="s">
        <v>14865</v>
      </c>
      <c r="Z3041" t="s">
        <v>17438</v>
      </c>
      <c r="AB3041" t="s">
        <v>22496</v>
      </c>
      <c r="AC3041">
        <v>3</v>
      </c>
      <c r="AD3041" t="s">
        <v>11479</v>
      </c>
      <c r="AE3041" t="s">
        <v>11459</v>
      </c>
      <c r="AF3041">
        <v>33</v>
      </c>
      <c r="AG3041">
        <v>2</v>
      </c>
      <c r="AH3041">
        <v>0</v>
      </c>
      <c r="AI3041">
        <v>108.5</v>
      </c>
      <c r="AL3041" t="s">
        <v>5011</v>
      </c>
      <c r="AM3041">
        <v>18348</v>
      </c>
      <c r="AS3041">
        <v>0.5</v>
      </c>
      <c r="AT3041" t="s">
        <v>506</v>
      </c>
      <c r="AU3041" t="s">
        <v>292</v>
      </c>
      <c r="AV3041" t="s">
        <v>25335</v>
      </c>
      <c r="AW3041" t="s">
        <v>11447</v>
      </c>
    </row>
    <row r="3042" spans="1:49">
      <c r="A3042" s="1">
        <f>HYPERLINK("https://lsnyc.legalserver.org/matter/dynamic-profile/view/1914396","19-1914396")</f>
        <v>0</v>
      </c>
      <c r="B3042" t="s">
        <v>191</v>
      </c>
      <c r="C3042" t="s">
        <v>506</v>
      </c>
      <c r="E3042" t="s">
        <v>2013</v>
      </c>
      <c r="F3042" t="s">
        <v>5195</v>
      </c>
      <c r="G3042" t="s">
        <v>8495</v>
      </c>
      <c r="H3042" t="s">
        <v>10589</v>
      </c>
      <c r="I3042" t="s">
        <v>11404</v>
      </c>
      <c r="J3042">
        <v>11105</v>
      </c>
      <c r="K3042" t="s">
        <v>11446</v>
      </c>
      <c r="L3042" t="s">
        <v>12715</v>
      </c>
      <c r="M3042" t="s">
        <v>14744</v>
      </c>
      <c r="N3042" t="s">
        <v>14778</v>
      </c>
      <c r="P3042" t="s">
        <v>14801</v>
      </c>
      <c r="Q3042" t="s">
        <v>11448</v>
      </c>
      <c r="S3042" t="s">
        <v>14827</v>
      </c>
      <c r="U3042" t="s">
        <v>506</v>
      </c>
      <c r="V3042">
        <v>1373</v>
      </c>
      <c r="W3042" t="s">
        <v>14861</v>
      </c>
      <c r="X3042" t="s">
        <v>14865</v>
      </c>
      <c r="Z3042" t="s">
        <v>14919</v>
      </c>
      <c r="AB3042" t="s">
        <v>22497</v>
      </c>
      <c r="AC3042">
        <v>9</v>
      </c>
      <c r="AD3042" t="s">
        <v>11479</v>
      </c>
      <c r="AE3042" t="s">
        <v>11459</v>
      </c>
      <c r="AF3042">
        <v>32</v>
      </c>
      <c r="AG3042">
        <v>2</v>
      </c>
      <c r="AH3042">
        <v>0</v>
      </c>
      <c r="AI3042">
        <v>113.54</v>
      </c>
      <c r="AL3042" t="s">
        <v>24632</v>
      </c>
      <c r="AM3042">
        <v>19200</v>
      </c>
      <c r="AS3042">
        <v>0.7</v>
      </c>
      <c r="AT3042" t="s">
        <v>478</v>
      </c>
      <c r="AU3042" t="s">
        <v>292</v>
      </c>
      <c r="AV3042" t="s">
        <v>25335</v>
      </c>
      <c r="AW3042" t="s">
        <v>11447</v>
      </c>
    </row>
    <row r="3043" spans="1:49">
      <c r="A3043" s="1">
        <f>HYPERLINK("https://lsnyc.legalserver.org/matter/dynamic-profile/view/1914344","19-1914344")</f>
        <v>0</v>
      </c>
      <c r="B3043" t="s">
        <v>124</v>
      </c>
      <c r="C3043" t="s">
        <v>506</v>
      </c>
      <c r="E3043" t="s">
        <v>1104</v>
      </c>
      <c r="F3043" t="s">
        <v>5196</v>
      </c>
      <c r="G3043" t="s">
        <v>8496</v>
      </c>
      <c r="H3043" t="s">
        <v>10579</v>
      </c>
      <c r="I3043" t="s">
        <v>11438</v>
      </c>
      <c r="J3043">
        <v>11419</v>
      </c>
      <c r="K3043" t="s">
        <v>11446</v>
      </c>
      <c r="L3043" t="s">
        <v>12716</v>
      </c>
      <c r="M3043" t="s">
        <v>14743</v>
      </c>
      <c r="N3043" t="s">
        <v>14782</v>
      </c>
      <c r="P3043" t="s">
        <v>14801</v>
      </c>
      <c r="Q3043" t="s">
        <v>11448</v>
      </c>
      <c r="S3043" t="s">
        <v>14827</v>
      </c>
      <c r="U3043" t="s">
        <v>506</v>
      </c>
      <c r="V3043">
        <v>1323</v>
      </c>
      <c r="W3043" t="s">
        <v>14861</v>
      </c>
      <c r="X3043" t="s">
        <v>14865</v>
      </c>
      <c r="Z3043" t="s">
        <v>17439</v>
      </c>
      <c r="AA3043" t="s">
        <v>19638</v>
      </c>
      <c r="AB3043" t="s">
        <v>22498</v>
      </c>
      <c r="AC3043">
        <v>16</v>
      </c>
      <c r="AD3043" t="s">
        <v>11479</v>
      </c>
      <c r="AE3043" t="s">
        <v>24615</v>
      </c>
      <c r="AF3043">
        <v>4</v>
      </c>
      <c r="AG3043">
        <v>1</v>
      </c>
      <c r="AH3043">
        <v>2</v>
      </c>
      <c r="AI3043">
        <v>146.27</v>
      </c>
      <c r="AL3043" t="s">
        <v>5011</v>
      </c>
      <c r="AM3043">
        <v>31200</v>
      </c>
      <c r="AS3043">
        <v>0.4</v>
      </c>
      <c r="AT3043" t="s">
        <v>506</v>
      </c>
      <c r="AU3043" t="s">
        <v>292</v>
      </c>
      <c r="AV3043" t="s">
        <v>25335</v>
      </c>
      <c r="AW3043" t="s">
        <v>11447</v>
      </c>
    </row>
    <row r="3044" spans="1:49">
      <c r="A3044" s="1">
        <f>HYPERLINK("https://lsnyc.legalserver.org/matter/dynamic-profile/view/1914513","19-1914513")</f>
        <v>0</v>
      </c>
      <c r="B3044" t="s">
        <v>74</v>
      </c>
      <c r="C3044" t="s">
        <v>478</v>
      </c>
      <c r="E3044" t="s">
        <v>1057</v>
      </c>
      <c r="F3044" t="s">
        <v>3649</v>
      </c>
      <c r="G3044" t="s">
        <v>8491</v>
      </c>
      <c r="H3044" t="s">
        <v>10478</v>
      </c>
      <c r="I3044" t="s">
        <v>11387</v>
      </c>
      <c r="J3044">
        <v>11435</v>
      </c>
      <c r="K3044" t="s">
        <v>11446</v>
      </c>
      <c r="L3044" t="s">
        <v>12711</v>
      </c>
      <c r="M3044" t="s">
        <v>14744</v>
      </c>
      <c r="N3044" t="s">
        <v>14780</v>
      </c>
      <c r="P3044" t="s">
        <v>14801</v>
      </c>
      <c r="Q3044" t="s">
        <v>11448</v>
      </c>
      <c r="S3044" t="s">
        <v>14827</v>
      </c>
      <c r="T3044" t="s">
        <v>14836</v>
      </c>
      <c r="U3044" t="s">
        <v>478</v>
      </c>
      <c r="V3044">
        <v>1374.26</v>
      </c>
      <c r="W3044" t="s">
        <v>14861</v>
      </c>
      <c r="X3044" t="s">
        <v>14865</v>
      </c>
      <c r="Z3044" t="s">
        <v>17435</v>
      </c>
      <c r="AA3044" t="s">
        <v>19635</v>
      </c>
      <c r="AB3044" t="s">
        <v>22493</v>
      </c>
      <c r="AC3044">
        <v>70</v>
      </c>
      <c r="AD3044" t="s">
        <v>24595</v>
      </c>
      <c r="AE3044" t="s">
        <v>11459</v>
      </c>
      <c r="AF3044">
        <v>34</v>
      </c>
      <c r="AG3044">
        <v>2</v>
      </c>
      <c r="AH3044">
        <v>0</v>
      </c>
      <c r="AI3044">
        <v>121.06</v>
      </c>
      <c r="AL3044" t="s">
        <v>5011</v>
      </c>
      <c r="AM3044">
        <v>20472</v>
      </c>
      <c r="AS3044">
        <v>0.3</v>
      </c>
      <c r="AT3044" t="s">
        <v>478</v>
      </c>
      <c r="AU3044" t="s">
        <v>59</v>
      </c>
      <c r="AV3044" t="s">
        <v>25335</v>
      </c>
      <c r="AW3044" t="s">
        <v>11447</v>
      </c>
    </row>
    <row r="3045" spans="1:49">
      <c r="A3045" s="1">
        <f>HYPERLINK("https://lsnyc.legalserver.org/matter/dynamic-profile/view/1914657","19-1914657")</f>
        <v>0</v>
      </c>
      <c r="B3045" t="s">
        <v>293</v>
      </c>
      <c r="C3045" t="s">
        <v>491</v>
      </c>
      <c r="E3045" t="s">
        <v>1216</v>
      </c>
      <c r="F3045" t="s">
        <v>5197</v>
      </c>
      <c r="G3045" t="s">
        <v>8497</v>
      </c>
      <c r="I3045" t="s">
        <v>11387</v>
      </c>
      <c r="J3045">
        <v>11435</v>
      </c>
      <c r="K3045" t="s">
        <v>11447</v>
      </c>
      <c r="M3045" t="s">
        <v>14743</v>
      </c>
      <c r="N3045" t="s">
        <v>14778</v>
      </c>
      <c r="P3045" t="s">
        <v>14801</v>
      </c>
      <c r="Q3045" t="s">
        <v>11448</v>
      </c>
      <c r="S3045" t="s">
        <v>14827</v>
      </c>
      <c r="U3045" t="s">
        <v>491</v>
      </c>
      <c r="V3045">
        <v>0</v>
      </c>
      <c r="W3045" t="s">
        <v>14861</v>
      </c>
      <c r="X3045" t="s">
        <v>14868</v>
      </c>
      <c r="Z3045" t="s">
        <v>17440</v>
      </c>
      <c r="AB3045" t="s">
        <v>19344</v>
      </c>
      <c r="AC3045">
        <v>1</v>
      </c>
      <c r="AD3045" t="s">
        <v>11479</v>
      </c>
      <c r="AE3045" t="s">
        <v>11459</v>
      </c>
      <c r="AF3045">
        <v>30</v>
      </c>
      <c r="AG3045">
        <v>3</v>
      </c>
      <c r="AH3045">
        <v>2</v>
      </c>
      <c r="AI3045">
        <v>28.28</v>
      </c>
      <c r="AL3045" t="s">
        <v>5011</v>
      </c>
      <c r="AM3045">
        <v>8532</v>
      </c>
      <c r="AS3045">
        <v>0.5</v>
      </c>
      <c r="AT3045" t="s">
        <v>491</v>
      </c>
      <c r="AU3045" t="s">
        <v>292</v>
      </c>
      <c r="AW3045" t="s">
        <v>11447</v>
      </c>
    </row>
    <row r="3046" spans="1:49">
      <c r="A3046" s="1">
        <f>HYPERLINK("https://lsnyc.legalserver.org/matter/dynamic-profile/view/1915036","19-1915036")</f>
        <v>0</v>
      </c>
      <c r="B3046" t="s">
        <v>122</v>
      </c>
      <c r="C3046" t="s">
        <v>521</v>
      </c>
      <c r="E3046" t="s">
        <v>1243</v>
      </c>
      <c r="F3046" t="s">
        <v>5125</v>
      </c>
      <c r="G3046" t="s">
        <v>8498</v>
      </c>
      <c r="H3046">
        <v>3</v>
      </c>
      <c r="I3046" t="s">
        <v>11394</v>
      </c>
      <c r="J3046">
        <v>11694</v>
      </c>
      <c r="K3046" t="s">
        <v>11446</v>
      </c>
      <c r="L3046" t="s">
        <v>12717</v>
      </c>
      <c r="M3046" t="s">
        <v>14743</v>
      </c>
      <c r="N3046" t="s">
        <v>14782</v>
      </c>
      <c r="P3046" t="s">
        <v>14801</v>
      </c>
      <c r="Q3046" t="s">
        <v>11448</v>
      </c>
      <c r="S3046" t="s">
        <v>14827</v>
      </c>
      <c r="U3046" t="s">
        <v>521</v>
      </c>
      <c r="V3046">
        <v>1744</v>
      </c>
      <c r="W3046" t="s">
        <v>14861</v>
      </c>
      <c r="X3046" t="s">
        <v>14865</v>
      </c>
      <c r="Z3046" t="s">
        <v>17441</v>
      </c>
      <c r="AA3046" t="s">
        <v>19639</v>
      </c>
      <c r="AB3046" t="s">
        <v>22499</v>
      </c>
      <c r="AC3046">
        <v>3</v>
      </c>
      <c r="AD3046" t="s">
        <v>11479</v>
      </c>
      <c r="AE3046" t="s">
        <v>11459</v>
      </c>
      <c r="AF3046">
        <v>7</v>
      </c>
      <c r="AG3046">
        <v>2</v>
      </c>
      <c r="AH3046">
        <v>2</v>
      </c>
      <c r="AI3046">
        <v>0</v>
      </c>
      <c r="AL3046" t="s">
        <v>5011</v>
      </c>
      <c r="AM3046">
        <v>0</v>
      </c>
      <c r="AS3046">
        <v>1.5</v>
      </c>
      <c r="AT3046" t="s">
        <v>521</v>
      </c>
      <c r="AU3046" t="s">
        <v>292</v>
      </c>
      <c r="AV3046" t="s">
        <v>25335</v>
      </c>
      <c r="AW3046" t="s">
        <v>11447</v>
      </c>
    </row>
    <row r="3047" spans="1:49">
      <c r="A3047" s="1">
        <f>HYPERLINK("https://lsnyc.legalserver.org/matter/dynamic-profile/view/1915039","19-1915039")</f>
        <v>0</v>
      </c>
      <c r="B3047" t="s">
        <v>147</v>
      </c>
      <c r="C3047" t="s">
        <v>521</v>
      </c>
      <c r="E3047" t="s">
        <v>2602</v>
      </c>
      <c r="F3047" t="s">
        <v>5198</v>
      </c>
      <c r="G3047" t="s">
        <v>8499</v>
      </c>
      <c r="H3047" t="s">
        <v>10464</v>
      </c>
      <c r="I3047" t="s">
        <v>11397</v>
      </c>
      <c r="J3047">
        <v>11378</v>
      </c>
      <c r="K3047" t="s">
        <v>11446</v>
      </c>
      <c r="L3047" t="s">
        <v>12718</v>
      </c>
      <c r="M3047" t="s">
        <v>14744</v>
      </c>
      <c r="N3047" t="s">
        <v>14782</v>
      </c>
      <c r="P3047" t="s">
        <v>14801</v>
      </c>
      <c r="Q3047" t="s">
        <v>11448</v>
      </c>
      <c r="S3047" t="s">
        <v>14827</v>
      </c>
      <c r="U3047" t="s">
        <v>521</v>
      </c>
      <c r="V3047">
        <v>1750</v>
      </c>
      <c r="W3047" t="s">
        <v>14861</v>
      </c>
      <c r="X3047" t="s">
        <v>14865</v>
      </c>
      <c r="Z3047" t="s">
        <v>17442</v>
      </c>
      <c r="AB3047" t="s">
        <v>22500</v>
      </c>
      <c r="AC3047">
        <v>0</v>
      </c>
      <c r="AD3047" t="s">
        <v>11479</v>
      </c>
      <c r="AE3047" t="s">
        <v>11459</v>
      </c>
      <c r="AF3047">
        <v>1</v>
      </c>
      <c r="AG3047">
        <v>1</v>
      </c>
      <c r="AH3047">
        <v>0</v>
      </c>
      <c r="AI3047">
        <v>112.79</v>
      </c>
      <c r="AL3047" t="s">
        <v>24639</v>
      </c>
      <c r="AM3047">
        <v>14088</v>
      </c>
      <c r="AS3047">
        <v>1.5</v>
      </c>
      <c r="AT3047" t="s">
        <v>521</v>
      </c>
      <c r="AU3047" t="s">
        <v>292</v>
      </c>
      <c r="AV3047" t="s">
        <v>25335</v>
      </c>
      <c r="AW3047" t="s">
        <v>11447</v>
      </c>
    </row>
    <row r="3048" spans="1:49">
      <c r="A3048" s="1">
        <f>HYPERLINK("https://lsnyc.legalserver.org/matter/dynamic-profile/view/1915125","19-1915125")</f>
        <v>0</v>
      </c>
      <c r="B3048" t="s">
        <v>294</v>
      </c>
      <c r="C3048" t="s">
        <v>516</v>
      </c>
      <c r="E3048" t="s">
        <v>1696</v>
      </c>
      <c r="F3048" t="s">
        <v>3918</v>
      </c>
      <c r="G3048" t="s">
        <v>6754</v>
      </c>
      <c r="H3048" t="s">
        <v>10705</v>
      </c>
      <c r="I3048" t="s">
        <v>11419</v>
      </c>
      <c r="J3048">
        <v>11420</v>
      </c>
      <c r="K3048" t="s">
        <v>11446</v>
      </c>
      <c r="L3048" t="s">
        <v>11584</v>
      </c>
      <c r="M3048" t="s">
        <v>14743</v>
      </c>
      <c r="N3048" t="s">
        <v>14782</v>
      </c>
      <c r="P3048" t="s">
        <v>14801</v>
      </c>
      <c r="Q3048" t="s">
        <v>11448</v>
      </c>
      <c r="S3048" t="s">
        <v>14827</v>
      </c>
      <c r="U3048" t="s">
        <v>516</v>
      </c>
      <c r="V3048">
        <v>1800</v>
      </c>
      <c r="W3048" t="s">
        <v>14861</v>
      </c>
      <c r="X3048" t="s">
        <v>14865</v>
      </c>
      <c r="Z3048" t="s">
        <v>15385</v>
      </c>
      <c r="AB3048" t="s">
        <v>20522</v>
      </c>
      <c r="AC3048">
        <v>2</v>
      </c>
      <c r="AD3048" t="s">
        <v>11479</v>
      </c>
      <c r="AE3048" t="s">
        <v>11459</v>
      </c>
      <c r="AF3048">
        <v>2</v>
      </c>
      <c r="AG3048">
        <v>2</v>
      </c>
      <c r="AH3048">
        <v>0</v>
      </c>
      <c r="AI3048">
        <v>0</v>
      </c>
      <c r="AL3048" t="s">
        <v>24632</v>
      </c>
      <c r="AM3048">
        <v>0</v>
      </c>
      <c r="AS3048">
        <v>0.5</v>
      </c>
      <c r="AT3048" t="s">
        <v>516</v>
      </c>
      <c r="AU3048" t="s">
        <v>292</v>
      </c>
      <c r="AV3048" t="s">
        <v>25335</v>
      </c>
      <c r="AW3048" t="s">
        <v>11447</v>
      </c>
    </row>
    <row r="3049" spans="1:49">
      <c r="A3049" s="1">
        <f>HYPERLINK("https://lsnyc.legalserver.org/matter/dynamic-profile/view/1913003","19-1913003")</f>
        <v>0</v>
      </c>
      <c r="B3049" t="s">
        <v>171</v>
      </c>
      <c r="C3049" t="s">
        <v>603</v>
      </c>
      <c r="E3049" t="s">
        <v>2603</v>
      </c>
      <c r="F3049" t="s">
        <v>1233</v>
      </c>
      <c r="G3049" t="s">
        <v>8500</v>
      </c>
      <c r="H3049" t="s">
        <v>10452</v>
      </c>
      <c r="I3049" t="s">
        <v>11412</v>
      </c>
      <c r="J3049">
        <v>11106</v>
      </c>
      <c r="K3049" t="s">
        <v>11446</v>
      </c>
      <c r="L3049" t="s">
        <v>12719</v>
      </c>
      <c r="M3049" t="s">
        <v>11601</v>
      </c>
      <c r="N3049" t="s">
        <v>14779</v>
      </c>
      <c r="P3049" t="s">
        <v>14801</v>
      </c>
      <c r="Q3049" t="s">
        <v>11448</v>
      </c>
      <c r="S3049" t="s">
        <v>14828</v>
      </c>
      <c r="T3049" t="s">
        <v>14832</v>
      </c>
      <c r="U3049" t="s">
        <v>509</v>
      </c>
      <c r="V3049">
        <v>710</v>
      </c>
      <c r="W3049" t="s">
        <v>14861</v>
      </c>
      <c r="X3049" t="s">
        <v>14755</v>
      </c>
      <c r="Z3049" t="s">
        <v>17443</v>
      </c>
      <c r="AA3049" t="s">
        <v>19640</v>
      </c>
      <c r="AB3049" t="s">
        <v>22501</v>
      </c>
      <c r="AC3049">
        <v>0</v>
      </c>
      <c r="AD3049" t="s">
        <v>24597</v>
      </c>
      <c r="AF3049">
        <v>15</v>
      </c>
      <c r="AG3049">
        <v>3</v>
      </c>
      <c r="AH3049">
        <v>0</v>
      </c>
      <c r="AI3049">
        <v>14.37</v>
      </c>
      <c r="AL3049" t="s">
        <v>24650</v>
      </c>
      <c r="AM3049">
        <v>3065.52</v>
      </c>
      <c r="AS3049">
        <v>3.4</v>
      </c>
      <c r="AT3049" t="s">
        <v>509</v>
      </c>
      <c r="AU3049" t="s">
        <v>171</v>
      </c>
      <c r="AV3049" t="s">
        <v>25335</v>
      </c>
      <c r="AW3049" t="s">
        <v>11447</v>
      </c>
    </row>
    <row r="3050" spans="1:49">
      <c r="A3050" s="1">
        <f>HYPERLINK("https://lsnyc.legalserver.org/matter/dynamic-profile/view/1915397","19-1915397")</f>
        <v>0</v>
      </c>
      <c r="B3050" t="s">
        <v>122</v>
      </c>
      <c r="C3050" t="s">
        <v>495</v>
      </c>
      <c r="E3050" t="s">
        <v>1125</v>
      </c>
      <c r="F3050" t="s">
        <v>5020</v>
      </c>
      <c r="G3050" t="s">
        <v>8501</v>
      </c>
      <c r="H3050" t="s">
        <v>10610</v>
      </c>
      <c r="I3050" t="s">
        <v>11402</v>
      </c>
      <c r="J3050">
        <v>11422</v>
      </c>
      <c r="K3050" t="s">
        <v>11446</v>
      </c>
      <c r="L3050" t="s">
        <v>12720</v>
      </c>
      <c r="M3050" t="s">
        <v>14743</v>
      </c>
      <c r="N3050" t="s">
        <v>14782</v>
      </c>
      <c r="P3050" t="s">
        <v>14801</v>
      </c>
      <c r="Q3050" t="s">
        <v>11448</v>
      </c>
      <c r="S3050" t="s">
        <v>14827</v>
      </c>
      <c r="U3050" t="s">
        <v>495</v>
      </c>
      <c r="V3050">
        <v>900</v>
      </c>
      <c r="W3050" t="s">
        <v>14861</v>
      </c>
      <c r="X3050" t="s">
        <v>14865</v>
      </c>
      <c r="Z3050" t="s">
        <v>17444</v>
      </c>
      <c r="AB3050" t="s">
        <v>22502</v>
      </c>
      <c r="AC3050">
        <v>1</v>
      </c>
      <c r="AD3050" t="s">
        <v>11479</v>
      </c>
      <c r="AE3050" t="s">
        <v>11459</v>
      </c>
      <c r="AF3050">
        <v>1</v>
      </c>
      <c r="AG3050">
        <v>1</v>
      </c>
      <c r="AH3050">
        <v>0</v>
      </c>
      <c r="AI3050">
        <v>0</v>
      </c>
      <c r="AL3050" t="s">
        <v>5011</v>
      </c>
      <c r="AM3050">
        <v>0</v>
      </c>
      <c r="AS3050">
        <v>0.4</v>
      </c>
      <c r="AT3050" t="s">
        <v>495</v>
      </c>
      <c r="AU3050" t="s">
        <v>292</v>
      </c>
      <c r="AV3050" t="s">
        <v>25335</v>
      </c>
      <c r="AW3050" t="s">
        <v>11447</v>
      </c>
    </row>
    <row r="3051" spans="1:49">
      <c r="A3051" s="1">
        <f>HYPERLINK("https://lsnyc.legalserver.org/matter/dynamic-profile/view/1915372","19-1915372")</f>
        <v>0</v>
      </c>
      <c r="B3051" t="s">
        <v>122</v>
      </c>
      <c r="C3051" t="s">
        <v>495</v>
      </c>
      <c r="E3051" t="s">
        <v>1150</v>
      </c>
      <c r="F3051" t="s">
        <v>5199</v>
      </c>
      <c r="G3051" t="s">
        <v>8392</v>
      </c>
      <c r="H3051" t="s">
        <v>10541</v>
      </c>
      <c r="I3051" t="s">
        <v>11387</v>
      </c>
      <c r="J3051">
        <v>11435</v>
      </c>
      <c r="K3051" t="s">
        <v>11446</v>
      </c>
      <c r="L3051" t="s">
        <v>12721</v>
      </c>
      <c r="M3051" t="s">
        <v>14743</v>
      </c>
      <c r="N3051" t="s">
        <v>14782</v>
      </c>
      <c r="P3051" t="s">
        <v>14801</v>
      </c>
      <c r="Q3051" t="s">
        <v>11448</v>
      </c>
      <c r="S3051" t="s">
        <v>14827</v>
      </c>
      <c r="U3051" t="s">
        <v>495</v>
      </c>
      <c r="V3051">
        <v>1800</v>
      </c>
      <c r="W3051" t="s">
        <v>14861</v>
      </c>
      <c r="X3051" t="s">
        <v>14865</v>
      </c>
      <c r="Z3051" t="s">
        <v>15482</v>
      </c>
      <c r="AA3051" t="s">
        <v>19641</v>
      </c>
      <c r="AB3051" t="s">
        <v>22503</v>
      </c>
      <c r="AC3051">
        <v>60</v>
      </c>
      <c r="AD3051" t="s">
        <v>11479</v>
      </c>
      <c r="AE3051" t="s">
        <v>11459</v>
      </c>
      <c r="AF3051">
        <v>6</v>
      </c>
      <c r="AG3051">
        <v>1</v>
      </c>
      <c r="AH3051">
        <v>0</v>
      </c>
      <c r="AI3051">
        <v>84.45</v>
      </c>
      <c r="AL3051" t="s">
        <v>5011</v>
      </c>
      <c r="AM3051">
        <v>10548</v>
      </c>
      <c r="AS3051">
        <v>1.4</v>
      </c>
      <c r="AT3051" t="s">
        <v>495</v>
      </c>
      <c r="AU3051" t="s">
        <v>292</v>
      </c>
      <c r="AV3051" t="s">
        <v>25335</v>
      </c>
      <c r="AW3051" t="s">
        <v>11447</v>
      </c>
    </row>
    <row r="3052" spans="1:49">
      <c r="A3052" s="1">
        <f>HYPERLINK("https://lsnyc.legalserver.org/matter/dynamic-profile/view/1915364","19-1915364")</f>
        <v>0</v>
      </c>
      <c r="B3052" t="s">
        <v>204</v>
      </c>
      <c r="C3052" t="s">
        <v>495</v>
      </c>
      <c r="E3052" t="s">
        <v>1025</v>
      </c>
      <c r="F3052" t="s">
        <v>4278</v>
      </c>
      <c r="G3052" t="s">
        <v>8502</v>
      </c>
      <c r="H3052" t="s">
        <v>10522</v>
      </c>
      <c r="I3052" t="s">
        <v>11424</v>
      </c>
      <c r="J3052">
        <v>11372</v>
      </c>
      <c r="K3052" t="s">
        <v>11446</v>
      </c>
      <c r="L3052" t="s">
        <v>12722</v>
      </c>
      <c r="M3052" t="s">
        <v>14743</v>
      </c>
      <c r="N3052" t="s">
        <v>14782</v>
      </c>
      <c r="P3052" t="s">
        <v>14801</v>
      </c>
      <c r="Q3052" t="s">
        <v>11448</v>
      </c>
      <c r="S3052" t="s">
        <v>14827</v>
      </c>
      <c r="U3052" t="s">
        <v>495</v>
      </c>
      <c r="V3052">
        <v>796</v>
      </c>
      <c r="W3052" t="s">
        <v>14861</v>
      </c>
      <c r="X3052" t="s">
        <v>14865</v>
      </c>
      <c r="Z3052" t="s">
        <v>17445</v>
      </c>
      <c r="AA3052" t="s">
        <v>19642</v>
      </c>
      <c r="AB3052" t="s">
        <v>22504</v>
      </c>
      <c r="AC3052">
        <v>48</v>
      </c>
      <c r="AD3052" t="s">
        <v>11479</v>
      </c>
      <c r="AE3052" t="s">
        <v>24613</v>
      </c>
      <c r="AF3052">
        <v>49</v>
      </c>
      <c r="AG3052">
        <v>1</v>
      </c>
      <c r="AH3052">
        <v>0</v>
      </c>
      <c r="AI3052">
        <v>103.09</v>
      </c>
      <c r="AL3052" t="s">
        <v>24632</v>
      </c>
      <c r="AM3052">
        <v>12876</v>
      </c>
      <c r="AS3052">
        <v>1.4</v>
      </c>
      <c r="AT3052" t="s">
        <v>495</v>
      </c>
      <c r="AU3052" t="s">
        <v>292</v>
      </c>
      <c r="AV3052" t="s">
        <v>25335</v>
      </c>
      <c r="AW3052" t="s">
        <v>11447</v>
      </c>
    </row>
    <row r="3053" spans="1:49">
      <c r="A3053" s="1">
        <f>HYPERLINK("https://lsnyc.legalserver.org/matter/dynamic-profile/view/1915393","19-1915393")</f>
        <v>0</v>
      </c>
      <c r="B3053" t="s">
        <v>124</v>
      </c>
      <c r="C3053" t="s">
        <v>495</v>
      </c>
      <c r="E3053" t="s">
        <v>1672</v>
      </c>
      <c r="F3053" t="s">
        <v>4227</v>
      </c>
      <c r="G3053" t="s">
        <v>8503</v>
      </c>
      <c r="H3053" t="s">
        <v>10581</v>
      </c>
      <c r="I3053" t="s">
        <v>11409</v>
      </c>
      <c r="J3053">
        <v>11377</v>
      </c>
      <c r="K3053" t="s">
        <v>11446</v>
      </c>
      <c r="L3053" t="s">
        <v>12723</v>
      </c>
      <c r="M3053" t="s">
        <v>14744</v>
      </c>
      <c r="N3053" t="s">
        <v>14782</v>
      </c>
      <c r="P3053" t="s">
        <v>14801</v>
      </c>
      <c r="Q3053" t="s">
        <v>11448</v>
      </c>
      <c r="S3053" t="s">
        <v>14827</v>
      </c>
      <c r="U3053" t="s">
        <v>495</v>
      </c>
      <c r="V3053">
        <v>1552</v>
      </c>
      <c r="W3053" t="s">
        <v>14861</v>
      </c>
      <c r="X3053" t="s">
        <v>14865</v>
      </c>
      <c r="Z3053" t="s">
        <v>17446</v>
      </c>
      <c r="AA3053" t="s">
        <v>19643</v>
      </c>
      <c r="AB3053" t="s">
        <v>22505</v>
      </c>
      <c r="AC3053">
        <v>105</v>
      </c>
      <c r="AD3053" t="s">
        <v>11479</v>
      </c>
      <c r="AE3053" t="s">
        <v>11459</v>
      </c>
      <c r="AF3053">
        <v>3</v>
      </c>
      <c r="AG3053">
        <v>1</v>
      </c>
      <c r="AH3053">
        <v>0</v>
      </c>
      <c r="AI3053">
        <v>107.41</v>
      </c>
      <c r="AL3053" t="s">
        <v>24632</v>
      </c>
      <c r="AM3053">
        <v>13416</v>
      </c>
      <c r="AS3053">
        <v>0.4</v>
      </c>
      <c r="AT3053" t="s">
        <v>495</v>
      </c>
      <c r="AU3053" t="s">
        <v>292</v>
      </c>
      <c r="AV3053" t="s">
        <v>25335</v>
      </c>
      <c r="AW3053" t="s">
        <v>11447</v>
      </c>
    </row>
    <row r="3054" spans="1:49">
      <c r="A3054" s="1">
        <f>HYPERLINK("https://lsnyc.legalserver.org/matter/dynamic-profile/view/1915359","19-1915359")</f>
        <v>0</v>
      </c>
      <c r="B3054" t="s">
        <v>124</v>
      </c>
      <c r="C3054" t="s">
        <v>495</v>
      </c>
      <c r="E3054" t="s">
        <v>1690</v>
      </c>
      <c r="F3054" t="s">
        <v>4643</v>
      </c>
      <c r="G3054" t="s">
        <v>8504</v>
      </c>
      <c r="H3054" t="s">
        <v>10465</v>
      </c>
      <c r="I3054" t="s">
        <v>11424</v>
      </c>
      <c r="J3054">
        <v>11372</v>
      </c>
      <c r="K3054" t="s">
        <v>11446</v>
      </c>
      <c r="L3054" t="s">
        <v>12724</v>
      </c>
      <c r="M3054" t="s">
        <v>14744</v>
      </c>
      <c r="N3054" t="s">
        <v>14782</v>
      </c>
      <c r="P3054" t="s">
        <v>14801</v>
      </c>
      <c r="Q3054" t="s">
        <v>11448</v>
      </c>
      <c r="S3054" t="s">
        <v>14827</v>
      </c>
      <c r="U3054" t="s">
        <v>495</v>
      </c>
      <c r="V3054">
        <v>578</v>
      </c>
      <c r="W3054" t="s">
        <v>14861</v>
      </c>
      <c r="X3054" t="s">
        <v>14865</v>
      </c>
      <c r="Z3054" t="s">
        <v>17447</v>
      </c>
      <c r="AB3054" t="s">
        <v>22506</v>
      </c>
      <c r="AC3054">
        <v>36</v>
      </c>
      <c r="AD3054" t="s">
        <v>24598</v>
      </c>
      <c r="AE3054" t="s">
        <v>11459</v>
      </c>
      <c r="AF3054">
        <v>15</v>
      </c>
      <c r="AG3054">
        <v>1</v>
      </c>
      <c r="AH3054">
        <v>0</v>
      </c>
      <c r="AI3054">
        <v>137.39</v>
      </c>
      <c r="AL3054" t="s">
        <v>5011</v>
      </c>
      <c r="AM3054">
        <v>17160</v>
      </c>
      <c r="AS3054">
        <v>0.4</v>
      </c>
      <c r="AT3054" t="s">
        <v>495</v>
      </c>
      <c r="AU3054" t="s">
        <v>292</v>
      </c>
      <c r="AV3054" t="s">
        <v>25335</v>
      </c>
      <c r="AW3054" t="s">
        <v>11447</v>
      </c>
    </row>
    <row r="3055" spans="1:49">
      <c r="A3055" s="1">
        <f>HYPERLINK("https://lsnyc.legalserver.org/matter/dynamic-profile/view/1886283","18-1886283")</f>
        <v>0</v>
      </c>
      <c r="B3055" t="s">
        <v>179</v>
      </c>
      <c r="C3055" t="s">
        <v>341</v>
      </c>
      <c r="E3055" t="s">
        <v>1241</v>
      </c>
      <c r="F3055" t="s">
        <v>5200</v>
      </c>
      <c r="G3055" t="s">
        <v>8505</v>
      </c>
      <c r="I3055" t="s">
        <v>11441</v>
      </c>
      <c r="J3055">
        <v>11693</v>
      </c>
      <c r="K3055" t="s">
        <v>11447</v>
      </c>
      <c r="L3055" t="s">
        <v>12725</v>
      </c>
      <c r="M3055" t="s">
        <v>14743</v>
      </c>
      <c r="N3055" t="s">
        <v>14782</v>
      </c>
      <c r="P3055" t="s">
        <v>14801</v>
      </c>
      <c r="Q3055" t="s">
        <v>11448</v>
      </c>
      <c r="S3055" t="s">
        <v>14827</v>
      </c>
      <c r="T3055" t="s">
        <v>14832</v>
      </c>
      <c r="V3055">
        <v>1200</v>
      </c>
      <c r="W3055" t="s">
        <v>14861</v>
      </c>
      <c r="X3055" t="s">
        <v>14865</v>
      </c>
      <c r="Z3055" t="s">
        <v>17448</v>
      </c>
      <c r="AB3055" t="s">
        <v>22507</v>
      </c>
      <c r="AC3055">
        <v>1</v>
      </c>
      <c r="AF3055">
        <v>7</v>
      </c>
      <c r="AG3055">
        <v>1</v>
      </c>
      <c r="AH3055">
        <v>0</v>
      </c>
      <c r="AI3055">
        <v>0</v>
      </c>
      <c r="AL3055" t="s">
        <v>5011</v>
      </c>
      <c r="AM3055">
        <v>0</v>
      </c>
      <c r="AS3055">
        <v>0</v>
      </c>
      <c r="AU3055" t="s">
        <v>85</v>
      </c>
      <c r="AW3055" t="s">
        <v>11447</v>
      </c>
    </row>
    <row r="3056" spans="1:49">
      <c r="A3056" s="1">
        <f>HYPERLINK("https://lsnyc.legalserver.org/matter/dynamic-profile/view/1910479","19-1910479")</f>
        <v>0</v>
      </c>
      <c r="B3056" t="s">
        <v>227</v>
      </c>
      <c r="C3056" t="s">
        <v>508</v>
      </c>
      <c r="E3056" t="s">
        <v>2604</v>
      </c>
      <c r="F3056" t="s">
        <v>4157</v>
      </c>
      <c r="G3056" t="s">
        <v>8506</v>
      </c>
      <c r="H3056" t="s">
        <v>10497</v>
      </c>
      <c r="I3056" t="s">
        <v>11417</v>
      </c>
      <c r="J3056">
        <v>11693</v>
      </c>
      <c r="K3056" t="s">
        <v>11447</v>
      </c>
      <c r="M3056" t="s">
        <v>14744</v>
      </c>
      <c r="N3056" t="s">
        <v>14778</v>
      </c>
      <c r="P3056" t="s">
        <v>14801</v>
      </c>
      <c r="Q3056" t="s">
        <v>11448</v>
      </c>
      <c r="S3056" t="s">
        <v>14827</v>
      </c>
      <c r="V3056">
        <v>1800</v>
      </c>
      <c r="W3056" t="s">
        <v>14861</v>
      </c>
      <c r="Z3056" t="s">
        <v>17449</v>
      </c>
      <c r="AB3056" t="s">
        <v>22508</v>
      </c>
      <c r="AC3056">
        <v>0</v>
      </c>
      <c r="AF3056">
        <v>3</v>
      </c>
      <c r="AG3056">
        <v>1</v>
      </c>
      <c r="AH3056">
        <v>0</v>
      </c>
      <c r="AI3056">
        <v>0</v>
      </c>
      <c r="AL3056" t="s">
        <v>5011</v>
      </c>
      <c r="AM3056">
        <v>0</v>
      </c>
      <c r="AS3056">
        <v>1.4</v>
      </c>
      <c r="AT3056" t="s">
        <v>508</v>
      </c>
      <c r="AU3056" t="s">
        <v>124</v>
      </c>
      <c r="AW3056" t="s">
        <v>11447</v>
      </c>
    </row>
    <row r="3057" spans="1:49">
      <c r="A3057" s="1">
        <f>HYPERLINK("https://lsnyc.legalserver.org/matter/dynamic-profile/view/1870398","18-1870398")</f>
        <v>0</v>
      </c>
      <c r="B3057" t="s">
        <v>179</v>
      </c>
      <c r="C3057" t="s">
        <v>791</v>
      </c>
      <c r="E3057" t="s">
        <v>2605</v>
      </c>
      <c r="F3057" t="s">
        <v>5201</v>
      </c>
      <c r="G3057" t="s">
        <v>8507</v>
      </c>
      <c r="H3057">
        <v>2</v>
      </c>
      <c r="I3057" t="s">
        <v>11410</v>
      </c>
      <c r="J3057">
        <v>11692</v>
      </c>
      <c r="K3057" t="s">
        <v>11447</v>
      </c>
      <c r="L3057" t="s">
        <v>12726</v>
      </c>
      <c r="M3057" t="s">
        <v>14743</v>
      </c>
      <c r="N3057" t="s">
        <v>14778</v>
      </c>
      <c r="P3057" t="s">
        <v>14801</v>
      </c>
      <c r="S3057" t="s">
        <v>14827</v>
      </c>
      <c r="V3057">
        <v>0</v>
      </c>
      <c r="W3057" t="s">
        <v>14861</v>
      </c>
      <c r="Z3057" t="s">
        <v>17450</v>
      </c>
      <c r="AB3057" t="s">
        <v>22509</v>
      </c>
      <c r="AC3057">
        <v>0</v>
      </c>
      <c r="AF3057">
        <v>0</v>
      </c>
      <c r="AG3057">
        <v>1</v>
      </c>
      <c r="AH3057">
        <v>1</v>
      </c>
      <c r="AI3057">
        <v>0</v>
      </c>
      <c r="AL3057" t="s">
        <v>5011</v>
      </c>
      <c r="AM3057">
        <v>0</v>
      </c>
      <c r="AS3057">
        <v>1.1</v>
      </c>
      <c r="AT3057" t="s">
        <v>25157</v>
      </c>
      <c r="AU3057" t="s">
        <v>99</v>
      </c>
      <c r="AW3057" t="s">
        <v>11447</v>
      </c>
    </row>
    <row r="3058" spans="1:49">
      <c r="A3058" s="1">
        <f>HYPERLINK("https://lsnyc.legalserver.org/matter/dynamic-profile/view/1910773","19-1910773")</f>
        <v>0</v>
      </c>
      <c r="B3058" t="s">
        <v>179</v>
      </c>
      <c r="C3058" t="s">
        <v>663</v>
      </c>
      <c r="E3058" t="s">
        <v>2606</v>
      </c>
      <c r="F3058" t="s">
        <v>5202</v>
      </c>
      <c r="G3058" t="s">
        <v>8508</v>
      </c>
      <c r="H3058">
        <v>4014</v>
      </c>
      <c r="I3058" t="s">
        <v>11387</v>
      </c>
      <c r="J3058">
        <v>11435</v>
      </c>
      <c r="K3058" t="s">
        <v>11446</v>
      </c>
      <c r="L3058" t="s">
        <v>12727</v>
      </c>
      <c r="M3058" t="s">
        <v>14764</v>
      </c>
      <c r="N3058" t="s">
        <v>14778</v>
      </c>
      <c r="P3058" t="s">
        <v>14801</v>
      </c>
      <c r="Q3058" t="s">
        <v>11448</v>
      </c>
      <c r="S3058" t="s">
        <v>14827</v>
      </c>
      <c r="V3058">
        <v>2500</v>
      </c>
      <c r="W3058" t="s">
        <v>14861</v>
      </c>
      <c r="X3058" t="s">
        <v>14865</v>
      </c>
      <c r="Z3058" t="s">
        <v>16751</v>
      </c>
      <c r="AA3058" t="s">
        <v>19644</v>
      </c>
      <c r="AB3058" t="s">
        <v>22510</v>
      </c>
      <c r="AC3058">
        <v>0</v>
      </c>
      <c r="AD3058" t="s">
        <v>11479</v>
      </c>
      <c r="AE3058" t="s">
        <v>11459</v>
      </c>
      <c r="AF3058">
        <v>-1</v>
      </c>
      <c r="AG3058">
        <v>2</v>
      </c>
      <c r="AH3058">
        <v>0</v>
      </c>
      <c r="AI3058">
        <v>0</v>
      </c>
      <c r="AL3058" t="s">
        <v>5011</v>
      </c>
      <c r="AM3058">
        <v>0</v>
      </c>
      <c r="AS3058">
        <v>3.83</v>
      </c>
      <c r="AT3058" t="s">
        <v>559</v>
      </c>
      <c r="AU3058" t="s">
        <v>25233</v>
      </c>
      <c r="AV3058" t="s">
        <v>25335</v>
      </c>
      <c r="AW3058" t="s">
        <v>11447</v>
      </c>
    </row>
    <row r="3059" spans="1:49">
      <c r="A3059" s="1">
        <f>HYPERLINK("https://lsnyc.legalserver.org/matter/dynamic-profile/view/1912625","19-1912625")</f>
        <v>0</v>
      </c>
      <c r="B3059" t="s">
        <v>271</v>
      </c>
      <c r="C3059" t="s">
        <v>472</v>
      </c>
      <c r="E3059" t="s">
        <v>2607</v>
      </c>
      <c r="F3059" t="s">
        <v>5203</v>
      </c>
      <c r="G3059" t="s">
        <v>8509</v>
      </c>
      <c r="H3059" t="s">
        <v>10620</v>
      </c>
      <c r="I3059" t="s">
        <v>11387</v>
      </c>
      <c r="J3059">
        <v>11435</v>
      </c>
      <c r="K3059" t="s">
        <v>11446</v>
      </c>
      <c r="L3059" t="s">
        <v>12728</v>
      </c>
      <c r="N3059" t="s">
        <v>14782</v>
      </c>
      <c r="P3059" t="s">
        <v>14801</v>
      </c>
      <c r="S3059" t="s">
        <v>14827</v>
      </c>
      <c r="V3059">
        <v>2419</v>
      </c>
      <c r="W3059" t="s">
        <v>14861</v>
      </c>
      <c r="X3059" t="s">
        <v>14865</v>
      </c>
      <c r="Z3059" t="s">
        <v>17451</v>
      </c>
      <c r="AB3059" t="s">
        <v>22511</v>
      </c>
      <c r="AC3059">
        <v>0</v>
      </c>
      <c r="AD3059" t="s">
        <v>24595</v>
      </c>
      <c r="AE3059" t="s">
        <v>11459</v>
      </c>
      <c r="AF3059">
        <v>2</v>
      </c>
      <c r="AG3059">
        <v>1</v>
      </c>
      <c r="AH3059">
        <v>1</v>
      </c>
      <c r="AI3059">
        <v>0</v>
      </c>
      <c r="AL3059" t="s">
        <v>5011</v>
      </c>
      <c r="AM3059">
        <v>0</v>
      </c>
      <c r="AS3059">
        <v>1.13</v>
      </c>
      <c r="AT3059" t="s">
        <v>472</v>
      </c>
      <c r="AU3059" t="s">
        <v>25233</v>
      </c>
      <c r="AV3059" t="s">
        <v>25335</v>
      </c>
      <c r="AW3059" t="s">
        <v>11447</v>
      </c>
    </row>
    <row r="3060" spans="1:49">
      <c r="A3060" s="1">
        <f>HYPERLINK("https://lsnyc.legalserver.org/matter/dynamic-profile/view/1886676","18-1886676")</f>
        <v>0</v>
      </c>
      <c r="B3060" t="s">
        <v>138</v>
      </c>
      <c r="C3060" t="s">
        <v>784</v>
      </c>
      <c r="E3060" t="s">
        <v>2608</v>
      </c>
      <c r="F3060" t="s">
        <v>2906</v>
      </c>
      <c r="G3060" t="s">
        <v>8510</v>
      </c>
      <c r="H3060" t="s">
        <v>10646</v>
      </c>
      <c r="I3060" t="s">
        <v>11387</v>
      </c>
      <c r="J3060">
        <v>11433</v>
      </c>
      <c r="K3060" t="s">
        <v>11446</v>
      </c>
      <c r="L3060" t="s">
        <v>12729</v>
      </c>
      <c r="M3060" t="s">
        <v>14743</v>
      </c>
      <c r="N3060" t="s">
        <v>14781</v>
      </c>
      <c r="P3060" t="s">
        <v>14801</v>
      </c>
      <c r="Q3060" t="s">
        <v>11448</v>
      </c>
      <c r="S3060" t="s">
        <v>14827</v>
      </c>
      <c r="V3060">
        <v>0</v>
      </c>
      <c r="W3060" t="s">
        <v>14861</v>
      </c>
      <c r="X3060" t="s">
        <v>14863</v>
      </c>
      <c r="Z3060" t="s">
        <v>17452</v>
      </c>
      <c r="AB3060" t="s">
        <v>19344</v>
      </c>
      <c r="AC3060">
        <v>0</v>
      </c>
      <c r="AD3060" t="s">
        <v>11479</v>
      </c>
      <c r="AF3060">
        <v>3</v>
      </c>
      <c r="AG3060">
        <v>2</v>
      </c>
      <c r="AH3060">
        <v>1</v>
      </c>
      <c r="AI3060">
        <v>0</v>
      </c>
      <c r="AL3060" t="s">
        <v>5011</v>
      </c>
      <c r="AM3060">
        <v>0</v>
      </c>
      <c r="AS3060">
        <v>14.6</v>
      </c>
      <c r="AT3060" t="s">
        <v>607</v>
      </c>
      <c r="AU3060" t="s">
        <v>292</v>
      </c>
      <c r="AW3060" t="s">
        <v>11447</v>
      </c>
    </row>
    <row r="3061" spans="1:49">
      <c r="A3061" s="1">
        <f>HYPERLINK("https://lsnyc.legalserver.org/matter/dynamic-profile/view/1886678","18-1886678")</f>
        <v>0</v>
      </c>
      <c r="B3061" t="s">
        <v>138</v>
      </c>
      <c r="C3061" t="s">
        <v>784</v>
      </c>
      <c r="E3061" t="s">
        <v>2609</v>
      </c>
      <c r="F3061" t="s">
        <v>5204</v>
      </c>
      <c r="G3061" t="s">
        <v>8511</v>
      </c>
      <c r="I3061" t="s">
        <v>11387</v>
      </c>
      <c r="J3061">
        <v>11433</v>
      </c>
      <c r="K3061" t="s">
        <v>11446</v>
      </c>
      <c r="L3061" t="s">
        <v>12730</v>
      </c>
      <c r="M3061" t="s">
        <v>14744</v>
      </c>
      <c r="N3061" t="s">
        <v>14782</v>
      </c>
      <c r="P3061" t="s">
        <v>14801</v>
      </c>
      <c r="Q3061" t="s">
        <v>11448</v>
      </c>
      <c r="S3061" t="s">
        <v>14827</v>
      </c>
      <c r="V3061">
        <v>0</v>
      </c>
      <c r="W3061" t="s">
        <v>14861</v>
      </c>
      <c r="X3061" t="s">
        <v>14863</v>
      </c>
      <c r="Z3061" t="s">
        <v>17453</v>
      </c>
      <c r="AB3061" t="s">
        <v>22512</v>
      </c>
      <c r="AC3061">
        <v>0</v>
      </c>
      <c r="AD3061" t="s">
        <v>11479</v>
      </c>
      <c r="AE3061" t="s">
        <v>24615</v>
      </c>
      <c r="AF3061">
        <v>2</v>
      </c>
      <c r="AG3061">
        <v>1</v>
      </c>
      <c r="AH3061">
        <v>1</v>
      </c>
      <c r="AI3061">
        <v>0</v>
      </c>
      <c r="AL3061" t="s">
        <v>5011</v>
      </c>
      <c r="AM3061">
        <v>0</v>
      </c>
      <c r="AS3061">
        <v>3.6</v>
      </c>
      <c r="AT3061" t="s">
        <v>754</v>
      </c>
      <c r="AU3061" t="s">
        <v>292</v>
      </c>
      <c r="AW3061" t="s">
        <v>11446</v>
      </c>
    </row>
    <row r="3062" spans="1:49">
      <c r="A3062" s="1">
        <f>HYPERLINK("https://lsnyc.legalserver.org/matter/dynamic-profile/view/0771646","15-0771646")</f>
        <v>0</v>
      </c>
      <c r="B3062" t="s">
        <v>179</v>
      </c>
      <c r="C3062" t="s">
        <v>792</v>
      </c>
      <c r="E3062" t="s">
        <v>2455</v>
      </c>
      <c r="F3062" t="s">
        <v>4134</v>
      </c>
      <c r="G3062" t="s">
        <v>8512</v>
      </c>
      <c r="H3062" t="s">
        <v>10579</v>
      </c>
      <c r="I3062" t="s">
        <v>11387</v>
      </c>
      <c r="J3062">
        <v>11432</v>
      </c>
      <c r="K3062" t="s">
        <v>11447</v>
      </c>
      <c r="L3062" t="s">
        <v>12731</v>
      </c>
      <c r="M3062" t="s">
        <v>14744</v>
      </c>
      <c r="N3062" t="s">
        <v>14781</v>
      </c>
      <c r="P3062" t="s">
        <v>14801</v>
      </c>
      <c r="S3062" t="s">
        <v>14827</v>
      </c>
      <c r="V3062">
        <v>0</v>
      </c>
      <c r="W3062" t="s">
        <v>14861</v>
      </c>
      <c r="Z3062" t="s">
        <v>17454</v>
      </c>
      <c r="AB3062" t="s">
        <v>22513</v>
      </c>
      <c r="AC3062">
        <v>0</v>
      </c>
      <c r="AF3062">
        <v>0</v>
      </c>
      <c r="AG3062">
        <v>1</v>
      </c>
      <c r="AH3062">
        <v>2</v>
      </c>
      <c r="AI3062">
        <v>0</v>
      </c>
      <c r="AL3062" t="s">
        <v>24632</v>
      </c>
      <c r="AM3062">
        <v>0</v>
      </c>
      <c r="AS3062">
        <v>26.7</v>
      </c>
      <c r="AT3062" t="s">
        <v>25158</v>
      </c>
      <c r="AU3062" t="s">
        <v>99</v>
      </c>
      <c r="AW3062" t="s">
        <v>11447</v>
      </c>
    </row>
    <row r="3063" spans="1:49">
      <c r="A3063" s="1">
        <f>HYPERLINK("https://lsnyc.legalserver.org/matter/dynamic-profile/view/1913427","19-1913427")</f>
        <v>0</v>
      </c>
      <c r="B3063" t="s">
        <v>99</v>
      </c>
      <c r="C3063" t="s">
        <v>483</v>
      </c>
      <c r="E3063" t="s">
        <v>2610</v>
      </c>
      <c r="F3063" t="s">
        <v>4611</v>
      </c>
      <c r="G3063" t="s">
        <v>8513</v>
      </c>
      <c r="I3063" t="s">
        <v>11421</v>
      </c>
      <c r="J3063">
        <v>11427</v>
      </c>
      <c r="K3063" t="s">
        <v>11446</v>
      </c>
      <c r="L3063" t="s">
        <v>12732</v>
      </c>
      <c r="M3063" t="s">
        <v>14743</v>
      </c>
      <c r="P3063" t="s">
        <v>14801</v>
      </c>
      <c r="S3063" t="s">
        <v>14827</v>
      </c>
      <c r="V3063">
        <v>1092</v>
      </c>
      <c r="W3063" t="s">
        <v>14861</v>
      </c>
      <c r="X3063" t="s">
        <v>14865</v>
      </c>
      <c r="Z3063" t="s">
        <v>17455</v>
      </c>
      <c r="AB3063" t="s">
        <v>22514</v>
      </c>
      <c r="AC3063">
        <v>150</v>
      </c>
      <c r="AD3063" t="s">
        <v>24598</v>
      </c>
      <c r="AE3063" t="s">
        <v>11459</v>
      </c>
      <c r="AF3063">
        <v>20</v>
      </c>
      <c r="AG3063">
        <v>1</v>
      </c>
      <c r="AH3063">
        <v>0</v>
      </c>
      <c r="AI3063">
        <v>0</v>
      </c>
      <c r="AM3063">
        <v>0</v>
      </c>
      <c r="AS3063">
        <v>1</v>
      </c>
      <c r="AT3063" t="s">
        <v>484</v>
      </c>
      <c r="AU3063" t="s">
        <v>99</v>
      </c>
      <c r="AW3063" t="s">
        <v>11447</v>
      </c>
    </row>
    <row r="3064" spans="1:49">
      <c r="A3064" s="1">
        <f>HYPERLINK("https://lsnyc.legalserver.org/matter/dynamic-profile/view/1907508","19-1907508")</f>
        <v>0</v>
      </c>
      <c r="B3064" t="s">
        <v>271</v>
      </c>
      <c r="C3064" t="s">
        <v>465</v>
      </c>
      <c r="E3064" t="s">
        <v>1117</v>
      </c>
      <c r="F3064" t="s">
        <v>3730</v>
      </c>
      <c r="G3064" t="s">
        <v>8514</v>
      </c>
      <c r="H3064">
        <v>2</v>
      </c>
      <c r="I3064" t="s">
        <v>11411</v>
      </c>
      <c r="J3064">
        <v>11418</v>
      </c>
      <c r="K3064" t="s">
        <v>11446</v>
      </c>
      <c r="L3064" t="s">
        <v>12733</v>
      </c>
      <c r="M3064" t="s">
        <v>14743</v>
      </c>
      <c r="N3064" t="s">
        <v>14778</v>
      </c>
      <c r="P3064" t="s">
        <v>14801</v>
      </c>
      <c r="S3064" t="s">
        <v>14827</v>
      </c>
      <c r="V3064">
        <v>1250</v>
      </c>
      <c r="W3064" t="s">
        <v>14861</v>
      </c>
      <c r="X3064" t="s">
        <v>14865</v>
      </c>
      <c r="Z3064" t="s">
        <v>17456</v>
      </c>
      <c r="AB3064" t="s">
        <v>22515</v>
      </c>
      <c r="AC3064">
        <v>3</v>
      </c>
      <c r="AF3064">
        <v>1</v>
      </c>
      <c r="AG3064">
        <v>1</v>
      </c>
      <c r="AH3064">
        <v>2</v>
      </c>
      <c r="AI3064">
        <v>0</v>
      </c>
      <c r="AM3064">
        <v>0</v>
      </c>
      <c r="AS3064">
        <v>1.2</v>
      </c>
      <c r="AT3064" t="s">
        <v>412</v>
      </c>
      <c r="AU3064" t="s">
        <v>99</v>
      </c>
      <c r="AV3064" t="s">
        <v>25335</v>
      </c>
      <c r="AW3064" t="s">
        <v>11447</v>
      </c>
    </row>
    <row r="3065" spans="1:49">
      <c r="A3065" s="1">
        <f>HYPERLINK("https://lsnyc.legalserver.org/matter/dynamic-profile/view/1907947","19-1907947")</f>
        <v>0</v>
      </c>
      <c r="B3065" t="s">
        <v>99</v>
      </c>
      <c r="C3065" t="s">
        <v>458</v>
      </c>
      <c r="E3065" t="s">
        <v>1934</v>
      </c>
      <c r="F3065" t="s">
        <v>5205</v>
      </c>
      <c r="G3065" t="s">
        <v>8515</v>
      </c>
      <c r="H3065" t="s">
        <v>10557</v>
      </c>
      <c r="I3065" t="s">
        <v>11409</v>
      </c>
      <c r="J3065">
        <v>11377</v>
      </c>
      <c r="K3065" t="s">
        <v>11448</v>
      </c>
      <c r="L3065" t="s">
        <v>11465</v>
      </c>
      <c r="M3065" t="s">
        <v>11601</v>
      </c>
      <c r="N3065" t="s">
        <v>14778</v>
      </c>
      <c r="P3065" t="s">
        <v>14801</v>
      </c>
      <c r="S3065" t="s">
        <v>14827</v>
      </c>
      <c r="V3065">
        <v>1138.94</v>
      </c>
      <c r="W3065" t="s">
        <v>14861</v>
      </c>
      <c r="X3065" t="s">
        <v>14877</v>
      </c>
      <c r="Z3065" t="s">
        <v>17457</v>
      </c>
      <c r="AB3065" t="s">
        <v>19344</v>
      </c>
      <c r="AC3065">
        <v>30</v>
      </c>
      <c r="AD3065" t="s">
        <v>24599</v>
      </c>
      <c r="AF3065">
        <v>59</v>
      </c>
      <c r="AG3065">
        <v>1</v>
      </c>
      <c r="AH3065">
        <v>0</v>
      </c>
      <c r="AI3065">
        <v>0</v>
      </c>
      <c r="AM3065">
        <v>0</v>
      </c>
      <c r="AS3065">
        <v>1</v>
      </c>
      <c r="AT3065" t="s">
        <v>458</v>
      </c>
      <c r="AU3065" t="s">
        <v>99</v>
      </c>
      <c r="AW3065" t="s">
        <v>11447</v>
      </c>
    </row>
    <row r="3066" spans="1:49">
      <c r="A3066" s="1">
        <f>HYPERLINK("https://lsnyc.legalserver.org/matter/dynamic-profile/view/1866305","18-1866305")</f>
        <v>0</v>
      </c>
      <c r="B3066" t="s">
        <v>179</v>
      </c>
      <c r="C3066" t="s">
        <v>616</v>
      </c>
      <c r="E3066" t="s">
        <v>1330</v>
      </c>
      <c r="F3066" t="s">
        <v>3662</v>
      </c>
      <c r="G3066" t="s">
        <v>8516</v>
      </c>
      <c r="H3066" t="s">
        <v>11082</v>
      </c>
      <c r="I3066" t="s">
        <v>11395</v>
      </c>
      <c r="J3066">
        <v>11373</v>
      </c>
      <c r="K3066" t="s">
        <v>11446</v>
      </c>
      <c r="L3066" t="s">
        <v>11465</v>
      </c>
      <c r="M3066" t="s">
        <v>14768</v>
      </c>
      <c r="N3066" t="s">
        <v>14778</v>
      </c>
      <c r="P3066" t="s">
        <v>14801</v>
      </c>
      <c r="S3066" t="s">
        <v>14827</v>
      </c>
      <c r="V3066">
        <v>1010</v>
      </c>
      <c r="W3066" t="s">
        <v>14861</v>
      </c>
      <c r="Z3066" t="s">
        <v>17458</v>
      </c>
      <c r="AB3066" t="s">
        <v>20443</v>
      </c>
      <c r="AC3066">
        <v>66</v>
      </c>
      <c r="AD3066" t="s">
        <v>24595</v>
      </c>
      <c r="AE3066" t="s">
        <v>24611</v>
      </c>
      <c r="AF3066">
        <v>0</v>
      </c>
      <c r="AG3066">
        <v>1</v>
      </c>
      <c r="AH3066">
        <v>0</v>
      </c>
      <c r="AI3066">
        <v>0</v>
      </c>
      <c r="AM3066">
        <v>9464</v>
      </c>
      <c r="AS3066">
        <v>74.05</v>
      </c>
      <c r="AT3066" t="s">
        <v>478</v>
      </c>
      <c r="AU3066" t="s">
        <v>99</v>
      </c>
      <c r="AV3066" t="s">
        <v>25335</v>
      </c>
      <c r="AW3066" t="s">
        <v>11447</v>
      </c>
    </row>
    <row r="3067" spans="1:49">
      <c r="A3067" s="1">
        <f>HYPERLINK("https://lsnyc.legalserver.org/matter/dynamic-profile/view/1846905","17-1846905")</f>
        <v>0</v>
      </c>
      <c r="B3067" t="s">
        <v>179</v>
      </c>
      <c r="C3067" t="s">
        <v>793</v>
      </c>
      <c r="E3067" t="s">
        <v>1404</v>
      </c>
      <c r="F3067" t="s">
        <v>5206</v>
      </c>
      <c r="G3067" t="s">
        <v>8517</v>
      </c>
      <c r="H3067" t="s">
        <v>10594</v>
      </c>
      <c r="I3067" t="s">
        <v>11392</v>
      </c>
      <c r="J3067">
        <v>11372</v>
      </c>
      <c r="K3067" t="s">
        <v>11447</v>
      </c>
      <c r="L3067" t="s">
        <v>12734</v>
      </c>
      <c r="M3067" t="s">
        <v>14744</v>
      </c>
      <c r="N3067" t="s">
        <v>14781</v>
      </c>
      <c r="P3067" t="s">
        <v>14801</v>
      </c>
      <c r="S3067" t="s">
        <v>14827</v>
      </c>
      <c r="V3067">
        <v>842.76</v>
      </c>
      <c r="W3067" t="s">
        <v>14861</v>
      </c>
      <c r="X3067" t="s">
        <v>14865</v>
      </c>
      <c r="Z3067" t="s">
        <v>17459</v>
      </c>
      <c r="AB3067" t="s">
        <v>22516</v>
      </c>
      <c r="AC3067">
        <v>36</v>
      </c>
      <c r="AD3067" t="s">
        <v>24595</v>
      </c>
      <c r="AE3067" t="s">
        <v>11459</v>
      </c>
      <c r="AF3067">
        <v>20</v>
      </c>
      <c r="AG3067">
        <v>2</v>
      </c>
      <c r="AH3067">
        <v>0</v>
      </c>
      <c r="AI3067">
        <v>0</v>
      </c>
      <c r="AM3067">
        <v>0</v>
      </c>
      <c r="AS3067">
        <v>28.75</v>
      </c>
      <c r="AT3067" t="s">
        <v>860</v>
      </c>
      <c r="AU3067" t="s">
        <v>99</v>
      </c>
      <c r="AW3067" t="s">
        <v>11447</v>
      </c>
    </row>
    <row r="3068" spans="1:49">
      <c r="A3068" s="1">
        <f>HYPERLINK("https://lsnyc.legalserver.org/matter/dynamic-profile/view/1885103","18-1885103")</f>
        <v>0</v>
      </c>
      <c r="B3068" t="s">
        <v>99</v>
      </c>
      <c r="C3068" t="s">
        <v>794</v>
      </c>
      <c r="E3068" t="s">
        <v>2611</v>
      </c>
      <c r="F3068" t="s">
        <v>3133</v>
      </c>
      <c r="G3068" t="s">
        <v>8518</v>
      </c>
      <c r="I3068" t="s">
        <v>11390</v>
      </c>
      <c r="J3068">
        <v>11368</v>
      </c>
      <c r="K3068" t="s">
        <v>11448</v>
      </c>
      <c r="L3068" t="s">
        <v>11465</v>
      </c>
      <c r="M3068" t="s">
        <v>11601</v>
      </c>
      <c r="N3068" t="s">
        <v>14778</v>
      </c>
      <c r="P3068" t="s">
        <v>14801</v>
      </c>
      <c r="S3068" t="s">
        <v>14827</v>
      </c>
      <c r="V3068">
        <v>700</v>
      </c>
      <c r="W3068" t="s">
        <v>14861</v>
      </c>
      <c r="X3068" t="s">
        <v>14871</v>
      </c>
      <c r="Z3068" t="s">
        <v>17460</v>
      </c>
      <c r="AB3068" t="s">
        <v>19344</v>
      </c>
      <c r="AC3068">
        <v>9</v>
      </c>
      <c r="AD3068" t="s">
        <v>24595</v>
      </c>
      <c r="AE3068" t="s">
        <v>11459</v>
      </c>
      <c r="AF3068">
        <v>12</v>
      </c>
      <c r="AG3068">
        <v>1</v>
      </c>
      <c r="AH3068">
        <v>3</v>
      </c>
      <c r="AI3068">
        <v>0</v>
      </c>
      <c r="AL3068" t="s">
        <v>24632</v>
      </c>
      <c r="AM3068">
        <v>0</v>
      </c>
      <c r="AS3068">
        <v>0</v>
      </c>
      <c r="AU3068" t="s">
        <v>99</v>
      </c>
      <c r="AW3068" t="s">
        <v>11448</v>
      </c>
    </row>
    <row r="3069" spans="1:49">
      <c r="A3069" s="1">
        <f>HYPERLINK("https://lsnyc.legalserver.org/matter/dynamic-profile/view/1864796","18-1864796")</f>
        <v>0</v>
      </c>
      <c r="B3069" t="s">
        <v>68</v>
      </c>
      <c r="C3069" t="s">
        <v>795</v>
      </c>
      <c r="E3069" t="s">
        <v>2612</v>
      </c>
      <c r="F3069" t="s">
        <v>5207</v>
      </c>
      <c r="G3069" t="s">
        <v>8519</v>
      </c>
      <c r="H3069" t="s">
        <v>10698</v>
      </c>
      <c r="I3069" t="s">
        <v>11442</v>
      </c>
      <c r="J3069">
        <v>11364</v>
      </c>
      <c r="K3069" t="s">
        <v>11446</v>
      </c>
      <c r="L3069" t="s">
        <v>12735</v>
      </c>
      <c r="M3069" t="s">
        <v>14744</v>
      </c>
      <c r="N3069" t="s">
        <v>14781</v>
      </c>
      <c r="P3069" t="s">
        <v>14801</v>
      </c>
      <c r="Q3069" t="s">
        <v>11448</v>
      </c>
      <c r="S3069" t="s">
        <v>14827</v>
      </c>
      <c r="V3069">
        <v>992.52</v>
      </c>
      <c r="W3069" t="s">
        <v>14861</v>
      </c>
      <c r="X3069" t="s">
        <v>14865</v>
      </c>
      <c r="Z3069" t="s">
        <v>17461</v>
      </c>
      <c r="AA3069" t="s">
        <v>11465</v>
      </c>
      <c r="AB3069" t="s">
        <v>22517</v>
      </c>
      <c r="AC3069">
        <v>4</v>
      </c>
      <c r="AD3069" t="s">
        <v>24595</v>
      </c>
      <c r="AE3069" t="s">
        <v>11459</v>
      </c>
      <c r="AF3069">
        <v>10</v>
      </c>
      <c r="AG3069">
        <v>2</v>
      </c>
      <c r="AH3069">
        <v>0</v>
      </c>
      <c r="AI3069">
        <v>0</v>
      </c>
      <c r="AL3069" t="s">
        <v>5011</v>
      </c>
      <c r="AM3069">
        <v>0</v>
      </c>
      <c r="AS3069">
        <v>50.15</v>
      </c>
      <c r="AT3069" t="s">
        <v>508</v>
      </c>
      <c r="AU3069" t="s">
        <v>83</v>
      </c>
      <c r="AW3069" t="s">
        <v>11447</v>
      </c>
    </row>
    <row r="3070" spans="1:49">
      <c r="A3070" s="1">
        <f>HYPERLINK("https://lsnyc.legalserver.org/matter/dynamic-profile/view/0829546","17-0829546")</f>
        <v>0</v>
      </c>
      <c r="B3070" t="s">
        <v>293</v>
      </c>
      <c r="C3070" t="s">
        <v>796</v>
      </c>
      <c r="E3070" t="s">
        <v>1652</v>
      </c>
      <c r="F3070" t="s">
        <v>5208</v>
      </c>
      <c r="G3070" t="s">
        <v>8520</v>
      </c>
      <c r="H3070" t="s">
        <v>10796</v>
      </c>
      <c r="I3070" t="s">
        <v>11416</v>
      </c>
      <c r="J3070">
        <v>11360</v>
      </c>
      <c r="K3070" t="s">
        <v>11447</v>
      </c>
      <c r="L3070" t="s">
        <v>12736</v>
      </c>
      <c r="M3070" t="s">
        <v>14743</v>
      </c>
      <c r="N3070" t="s">
        <v>14781</v>
      </c>
      <c r="P3070" t="s">
        <v>14801</v>
      </c>
      <c r="Q3070" t="s">
        <v>11448</v>
      </c>
      <c r="S3070" t="s">
        <v>14827</v>
      </c>
      <c r="V3070">
        <v>900</v>
      </c>
      <c r="W3070" t="s">
        <v>14861</v>
      </c>
      <c r="X3070" t="s">
        <v>14865</v>
      </c>
      <c r="Z3070" t="s">
        <v>15177</v>
      </c>
      <c r="AA3070" t="s">
        <v>11459</v>
      </c>
      <c r="AB3070" t="s">
        <v>22518</v>
      </c>
      <c r="AC3070">
        <v>60</v>
      </c>
      <c r="AD3070" t="s">
        <v>24598</v>
      </c>
      <c r="AE3070" t="s">
        <v>14755</v>
      </c>
      <c r="AF3070">
        <v>61</v>
      </c>
      <c r="AG3070">
        <v>1</v>
      </c>
      <c r="AH3070">
        <v>0</v>
      </c>
      <c r="AI3070">
        <v>0</v>
      </c>
      <c r="AM3070">
        <v>0</v>
      </c>
      <c r="AS3070">
        <v>122.9</v>
      </c>
      <c r="AT3070" t="s">
        <v>585</v>
      </c>
      <c r="AU3070" t="s">
        <v>25234</v>
      </c>
      <c r="AW3070" t="s">
        <v>11447</v>
      </c>
    </row>
    <row r="3071" spans="1:49">
      <c r="A3071" s="1">
        <f>HYPERLINK("https://lsnyc.legalserver.org/matter/dynamic-profile/view/1896827","19-1896827")</f>
        <v>0</v>
      </c>
      <c r="B3071" t="s">
        <v>138</v>
      </c>
      <c r="C3071" t="s">
        <v>656</v>
      </c>
      <c r="E3071" t="s">
        <v>2613</v>
      </c>
      <c r="F3071" t="s">
        <v>5209</v>
      </c>
      <c r="G3071" t="s">
        <v>8521</v>
      </c>
      <c r="H3071">
        <v>41</v>
      </c>
      <c r="I3071" t="s">
        <v>11389</v>
      </c>
      <c r="J3071">
        <v>11358</v>
      </c>
      <c r="K3071" t="s">
        <v>11447</v>
      </c>
      <c r="L3071" t="s">
        <v>12737</v>
      </c>
      <c r="M3071" t="s">
        <v>14770</v>
      </c>
      <c r="N3071" t="s">
        <v>14778</v>
      </c>
      <c r="P3071" t="s">
        <v>14801</v>
      </c>
      <c r="S3071" t="s">
        <v>14827</v>
      </c>
      <c r="T3071" t="s">
        <v>14832</v>
      </c>
      <c r="V3071">
        <v>0</v>
      </c>
      <c r="W3071" t="s">
        <v>14861</v>
      </c>
      <c r="X3071" t="s">
        <v>14755</v>
      </c>
      <c r="Z3071" t="s">
        <v>17462</v>
      </c>
      <c r="AB3071" t="s">
        <v>22519</v>
      </c>
      <c r="AC3071">
        <v>0</v>
      </c>
      <c r="AF3071">
        <v>0</v>
      </c>
      <c r="AG3071">
        <v>1</v>
      </c>
      <c r="AH3071">
        <v>0</v>
      </c>
      <c r="AI3071">
        <v>0</v>
      </c>
      <c r="AL3071" t="s">
        <v>5011</v>
      </c>
      <c r="AM3071">
        <v>0</v>
      </c>
      <c r="AS3071">
        <v>0.2</v>
      </c>
      <c r="AT3071" t="s">
        <v>475</v>
      </c>
      <c r="AU3071" t="s">
        <v>68</v>
      </c>
      <c r="AW3071" t="s">
        <v>11447</v>
      </c>
    </row>
    <row r="3072" spans="1:49">
      <c r="A3072" s="1">
        <f>HYPERLINK("https://lsnyc.legalserver.org/matter/dynamic-profile/view/1910125","19-1910125")</f>
        <v>0</v>
      </c>
      <c r="B3072" t="s">
        <v>99</v>
      </c>
      <c r="C3072" t="s">
        <v>471</v>
      </c>
      <c r="E3072" t="s">
        <v>1241</v>
      </c>
      <c r="F3072" t="s">
        <v>5210</v>
      </c>
      <c r="G3072" t="s">
        <v>8522</v>
      </c>
      <c r="I3072" t="s">
        <v>11404</v>
      </c>
      <c r="J3072">
        <v>11105</v>
      </c>
      <c r="K3072" t="s">
        <v>11446</v>
      </c>
      <c r="L3072" t="s">
        <v>12738</v>
      </c>
      <c r="M3072" t="s">
        <v>14744</v>
      </c>
      <c r="N3072" t="s">
        <v>14778</v>
      </c>
      <c r="P3072" t="s">
        <v>14801</v>
      </c>
      <c r="Q3072" t="s">
        <v>11448</v>
      </c>
      <c r="S3072" t="s">
        <v>14827</v>
      </c>
      <c r="T3072" t="s">
        <v>14832</v>
      </c>
      <c r="V3072">
        <v>2500</v>
      </c>
      <c r="W3072" t="s">
        <v>14861</v>
      </c>
      <c r="X3072" t="s">
        <v>14865</v>
      </c>
      <c r="Z3072" t="s">
        <v>17463</v>
      </c>
      <c r="AB3072" t="s">
        <v>22520</v>
      </c>
      <c r="AC3072">
        <v>2</v>
      </c>
      <c r="AD3072" t="s">
        <v>24600</v>
      </c>
      <c r="AE3072" t="s">
        <v>11459</v>
      </c>
      <c r="AF3072">
        <v>1</v>
      </c>
      <c r="AG3072">
        <v>2</v>
      </c>
      <c r="AH3072">
        <v>1</v>
      </c>
      <c r="AI3072">
        <v>0</v>
      </c>
      <c r="AM3072">
        <v>0</v>
      </c>
      <c r="AS3072">
        <v>2.15</v>
      </c>
      <c r="AT3072" t="s">
        <v>663</v>
      </c>
      <c r="AU3072" t="s">
        <v>99</v>
      </c>
      <c r="AW3072" t="s">
        <v>11447</v>
      </c>
    </row>
    <row r="3073" spans="1:49">
      <c r="A3073" s="1">
        <f>HYPERLINK("https://lsnyc.legalserver.org/matter/dynamic-profile/view/1888070","19-1888070")</f>
        <v>0</v>
      </c>
      <c r="B3073" t="s">
        <v>124</v>
      </c>
      <c r="C3073" t="s">
        <v>632</v>
      </c>
      <c r="E3073" t="s">
        <v>2614</v>
      </c>
      <c r="F3073" t="s">
        <v>5211</v>
      </c>
      <c r="G3073" t="s">
        <v>8523</v>
      </c>
      <c r="H3073" t="s">
        <v>10529</v>
      </c>
      <c r="I3073" t="s">
        <v>11392</v>
      </c>
      <c r="J3073">
        <v>11372</v>
      </c>
      <c r="K3073" t="s">
        <v>11446</v>
      </c>
      <c r="L3073" t="s">
        <v>12739</v>
      </c>
      <c r="M3073" t="s">
        <v>14759</v>
      </c>
      <c r="N3073" t="s">
        <v>14778</v>
      </c>
      <c r="P3073" t="s">
        <v>14801</v>
      </c>
      <c r="Q3073" t="s">
        <v>11448</v>
      </c>
      <c r="S3073" t="s">
        <v>14827</v>
      </c>
      <c r="V3073">
        <v>900</v>
      </c>
      <c r="W3073" t="s">
        <v>14861</v>
      </c>
      <c r="X3073" t="s">
        <v>14865</v>
      </c>
      <c r="Z3073" t="s">
        <v>17464</v>
      </c>
      <c r="AA3073" t="s">
        <v>19645</v>
      </c>
      <c r="AB3073" t="s">
        <v>22521</v>
      </c>
      <c r="AC3073">
        <v>0</v>
      </c>
      <c r="AD3073" t="s">
        <v>24598</v>
      </c>
      <c r="AE3073" t="s">
        <v>11459</v>
      </c>
      <c r="AF3073">
        <v>14</v>
      </c>
      <c r="AG3073">
        <v>1</v>
      </c>
      <c r="AH3073">
        <v>1</v>
      </c>
      <c r="AI3073">
        <v>1.52</v>
      </c>
      <c r="AL3073" t="s">
        <v>5011</v>
      </c>
      <c r="AM3073">
        <v>250</v>
      </c>
      <c r="AS3073">
        <v>0.2</v>
      </c>
      <c r="AT3073" t="s">
        <v>769</v>
      </c>
      <c r="AU3073" t="s">
        <v>292</v>
      </c>
      <c r="AW3073" t="s">
        <v>11446</v>
      </c>
    </row>
    <row r="3074" spans="1:49">
      <c r="A3074" s="1">
        <f>HYPERLINK("https://lsnyc.legalserver.org/matter/dynamic-profile/view/1912158","19-1912158")</f>
        <v>0</v>
      </c>
      <c r="B3074" t="s">
        <v>124</v>
      </c>
      <c r="C3074" t="s">
        <v>586</v>
      </c>
      <c r="E3074" t="s">
        <v>2615</v>
      </c>
      <c r="F3074" t="s">
        <v>5212</v>
      </c>
      <c r="G3074" t="s">
        <v>8524</v>
      </c>
      <c r="I3074" t="s">
        <v>11387</v>
      </c>
      <c r="J3074">
        <v>11433</v>
      </c>
      <c r="K3074" t="s">
        <v>11448</v>
      </c>
      <c r="L3074" t="s">
        <v>12740</v>
      </c>
      <c r="M3074" t="s">
        <v>14744</v>
      </c>
      <c r="N3074" t="s">
        <v>14781</v>
      </c>
      <c r="P3074" t="s">
        <v>14801</v>
      </c>
      <c r="S3074" t="s">
        <v>14827</v>
      </c>
      <c r="V3074">
        <v>1007</v>
      </c>
      <c r="W3074" t="s">
        <v>14861</v>
      </c>
      <c r="X3074" t="s">
        <v>14870</v>
      </c>
      <c r="Z3074" t="s">
        <v>17465</v>
      </c>
      <c r="AB3074" t="s">
        <v>22522</v>
      </c>
      <c r="AC3074">
        <v>0</v>
      </c>
      <c r="AD3074" t="s">
        <v>24595</v>
      </c>
      <c r="AE3074" t="s">
        <v>24612</v>
      </c>
      <c r="AF3074">
        <v>25</v>
      </c>
      <c r="AG3074">
        <v>1</v>
      </c>
      <c r="AH3074">
        <v>0</v>
      </c>
      <c r="AI3074">
        <v>8.81</v>
      </c>
      <c r="AL3074" t="s">
        <v>5011</v>
      </c>
      <c r="AM3074">
        <v>1100</v>
      </c>
      <c r="AS3074">
        <v>4.7</v>
      </c>
      <c r="AT3074" t="s">
        <v>580</v>
      </c>
      <c r="AU3074" t="s">
        <v>99</v>
      </c>
      <c r="AW3074" t="s">
        <v>11447</v>
      </c>
    </row>
    <row r="3075" spans="1:49">
      <c r="A3075" s="1">
        <f>HYPERLINK("https://lsnyc.legalserver.org/matter/dynamic-profile/view/1906927","19-1906927")</f>
        <v>0</v>
      </c>
      <c r="B3075" t="s">
        <v>202</v>
      </c>
      <c r="C3075" t="s">
        <v>354</v>
      </c>
      <c r="E3075" t="s">
        <v>2616</v>
      </c>
      <c r="F3075" t="s">
        <v>5213</v>
      </c>
      <c r="G3075" t="s">
        <v>8525</v>
      </c>
      <c r="H3075" t="s">
        <v>10476</v>
      </c>
      <c r="I3075" t="s">
        <v>11404</v>
      </c>
      <c r="J3075">
        <v>11106</v>
      </c>
      <c r="K3075" t="s">
        <v>11446</v>
      </c>
      <c r="L3075" t="s">
        <v>12575</v>
      </c>
      <c r="N3075" t="s">
        <v>14782</v>
      </c>
      <c r="P3075" t="s">
        <v>14801</v>
      </c>
      <c r="Q3075" t="s">
        <v>11448</v>
      </c>
      <c r="S3075" t="s">
        <v>14828</v>
      </c>
      <c r="V3075">
        <v>289</v>
      </c>
      <c r="W3075" t="s">
        <v>14861</v>
      </c>
      <c r="X3075" t="s">
        <v>14865</v>
      </c>
      <c r="Z3075" t="s">
        <v>15403</v>
      </c>
      <c r="AB3075" t="s">
        <v>22523</v>
      </c>
      <c r="AC3075">
        <v>30</v>
      </c>
      <c r="AD3075" t="s">
        <v>24597</v>
      </c>
      <c r="AE3075" t="s">
        <v>11459</v>
      </c>
      <c r="AF3075">
        <v>3</v>
      </c>
      <c r="AG3075">
        <v>1</v>
      </c>
      <c r="AH3075">
        <v>3</v>
      </c>
      <c r="AI3075">
        <v>9.24</v>
      </c>
      <c r="AL3075" t="s">
        <v>5011</v>
      </c>
      <c r="AM3075">
        <v>2379</v>
      </c>
      <c r="AS3075">
        <v>0.4</v>
      </c>
      <c r="AT3075" t="s">
        <v>508</v>
      </c>
      <c r="AU3075" t="s">
        <v>292</v>
      </c>
      <c r="AV3075" t="s">
        <v>25335</v>
      </c>
      <c r="AW3075" t="s">
        <v>11447</v>
      </c>
    </row>
    <row r="3076" spans="1:49">
      <c r="A3076" s="1">
        <f>HYPERLINK("https://lsnyc.legalserver.org/matter/dynamic-profile/view/1901603","19-1901603")</f>
        <v>0</v>
      </c>
      <c r="B3076" t="s">
        <v>110</v>
      </c>
      <c r="C3076" t="s">
        <v>459</v>
      </c>
      <c r="E3076" t="s">
        <v>1191</v>
      </c>
      <c r="F3076" t="s">
        <v>4391</v>
      </c>
      <c r="G3076" t="s">
        <v>8526</v>
      </c>
      <c r="H3076" t="s">
        <v>11083</v>
      </c>
      <c r="I3076" t="s">
        <v>11389</v>
      </c>
      <c r="J3076">
        <v>11367</v>
      </c>
      <c r="K3076" t="s">
        <v>11446</v>
      </c>
      <c r="L3076" t="s">
        <v>12741</v>
      </c>
      <c r="M3076" t="s">
        <v>14744</v>
      </c>
      <c r="N3076" t="s">
        <v>14778</v>
      </c>
      <c r="P3076" t="s">
        <v>14801</v>
      </c>
      <c r="Q3076" t="s">
        <v>11446</v>
      </c>
      <c r="S3076" t="s">
        <v>14828</v>
      </c>
      <c r="T3076" t="s">
        <v>14832</v>
      </c>
      <c r="V3076">
        <v>293</v>
      </c>
      <c r="W3076" t="s">
        <v>14861</v>
      </c>
      <c r="X3076" t="s">
        <v>14865</v>
      </c>
      <c r="Z3076" t="s">
        <v>17466</v>
      </c>
      <c r="AA3076" t="s">
        <v>19646</v>
      </c>
      <c r="AB3076" t="s">
        <v>22524</v>
      </c>
      <c r="AC3076">
        <v>28</v>
      </c>
      <c r="AD3076" t="s">
        <v>24597</v>
      </c>
      <c r="AE3076" t="s">
        <v>11459</v>
      </c>
      <c r="AF3076">
        <v>4</v>
      </c>
      <c r="AG3076">
        <v>1</v>
      </c>
      <c r="AH3076">
        <v>1</v>
      </c>
      <c r="AI3076">
        <v>10.16</v>
      </c>
      <c r="AM3076">
        <v>1718.4</v>
      </c>
      <c r="AS3076">
        <v>0.93</v>
      </c>
      <c r="AT3076" t="s">
        <v>767</v>
      </c>
      <c r="AU3076" t="s">
        <v>25233</v>
      </c>
      <c r="AV3076" t="s">
        <v>25335</v>
      </c>
      <c r="AW3076" t="s">
        <v>11447</v>
      </c>
    </row>
    <row r="3077" spans="1:49">
      <c r="A3077" s="1">
        <f>HYPERLINK("https://lsnyc.legalserver.org/matter/dynamic-profile/view/1884055","18-1884055")</f>
        <v>0</v>
      </c>
      <c r="B3077" t="s">
        <v>292</v>
      </c>
      <c r="C3077" t="s">
        <v>636</v>
      </c>
      <c r="E3077" t="s">
        <v>2617</v>
      </c>
      <c r="F3077" t="s">
        <v>3722</v>
      </c>
      <c r="G3077" t="s">
        <v>8527</v>
      </c>
      <c r="H3077" t="s">
        <v>10506</v>
      </c>
      <c r="I3077" t="s">
        <v>11387</v>
      </c>
      <c r="J3077">
        <v>11436</v>
      </c>
      <c r="K3077" t="s">
        <v>11446</v>
      </c>
      <c r="L3077" t="s">
        <v>12742</v>
      </c>
      <c r="M3077" t="s">
        <v>14743</v>
      </c>
      <c r="N3077" t="s">
        <v>14782</v>
      </c>
      <c r="P3077" t="s">
        <v>14801</v>
      </c>
      <c r="Q3077" t="s">
        <v>11448</v>
      </c>
      <c r="S3077" t="s">
        <v>14827</v>
      </c>
      <c r="V3077">
        <v>1300</v>
      </c>
      <c r="W3077" t="s">
        <v>14861</v>
      </c>
      <c r="X3077" t="s">
        <v>14865</v>
      </c>
      <c r="Z3077" t="s">
        <v>17467</v>
      </c>
      <c r="AA3077" t="s">
        <v>19647</v>
      </c>
      <c r="AB3077" t="s">
        <v>22525</v>
      </c>
      <c r="AC3077">
        <v>0</v>
      </c>
      <c r="AE3077" t="s">
        <v>11459</v>
      </c>
      <c r="AF3077">
        <v>5</v>
      </c>
      <c r="AG3077">
        <v>2</v>
      </c>
      <c r="AH3077">
        <v>0</v>
      </c>
      <c r="AI3077">
        <v>12.15</v>
      </c>
      <c r="AL3077" t="s">
        <v>5011</v>
      </c>
      <c r="AM3077">
        <v>2000</v>
      </c>
      <c r="AS3077">
        <v>0.2</v>
      </c>
      <c r="AT3077" t="s">
        <v>460</v>
      </c>
      <c r="AU3077" t="s">
        <v>292</v>
      </c>
      <c r="AW3077" t="s">
        <v>11446</v>
      </c>
    </row>
    <row r="3078" spans="1:49">
      <c r="A3078" s="1">
        <f>HYPERLINK("https://lsnyc.legalserver.org/matter/dynamic-profile/view/1912945","19-1912945")</f>
        <v>0</v>
      </c>
      <c r="B3078" t="s">
        <v>290</v>
      </c>
      <c r="C3078" t="s">
        <v>574</v>
      </c>
      <c r="E3078" t="s">
        <v>2618</v>
      </c>
      <c r="F3078" t="s">
        <v>3814</v>
      </c>
      <c r="G3078" t="s">
        <v>8528</v>
      </c>
      <c r="I3078" t="s">
        <v>11387</v>
      </c>
      <c r="J3078">
        <v>11434</v>
      </c>
      <c r="K3078" t="s">
        <v>11446</v>
      </c>
      <c r="L3078" t="s">
        <v>12743</v>
      </c>
      <c r="M3078" t="s">
        <v>14744</v>
      </c>
      <c r="P3078" t="s">
        <v>14801</v>
      </c>
      <c r="S3078" t="s">
        <v>14827</v>
      </c>
      <c r="V3078">
        <v>1515</v>
      </c>
      <c r="W3078" t="s">
        <v>14861</v>
      </c>
      <c r="Z3078" t="s">
        <v>16981</v>
      </c>
      <c r="AB3078" t="s">
        <v>22526</v>
      </c>
      <c r="AC3078">
        <v>2</v>
      </c>
      <c r="AF3078">
        <v>2</v>
      </c>
      <c r="AG3078">
        <v>1</v>
      </c>
      <c r="AH3078">
        <v>1</v>
      </c>
      <c r="AI3078">
        <v>14.99</v>
      </c>
      <c r="AM3078">
        <v>2535</v>
      </c>
      <c r="AS3078">
        <v>5</v>
      </c>
      <c r="AT3078" t="s">
        <v>516</v>
      </c>
      <c r="AU3078" t="s">
        <v>99</v>
      </c>
      <c r="AW3078" t="s">
        <v>11447</v>
      </c>
    </row>
    <row r="3079" spans="1:49">
      <c r="A3079" s="1">
        <f>HYPERLINK("https://lsnyc.legalserver.org/matter/dynamic-profile/view/1914172","19-1914172")</f>
        <v>0</v>
      </c>
      <c r="B3079" t="s">
        <v>179</v>
      </c>
      <c r="C3079" t="s">
        <v>580</v>
      </c>
      <c r="E3079" t="s">
        <v>2049</v>
      </c>
      <c r="F3079" t="s">
        <v>3856</v>
      </c>
      <c r="G3079" t="s">
        <v>8529</v>
      </c>
      <c r="H3079" t="s">
        <v>10663</v>
      </c>
      <c r="I3079" t="s">
        <v>11419</v>
      </c>
      <c r="J3079">
        <v>11420</v>
      </c>
      <c r="K3079" t="s">
        <v>11446</v>
      </c>
      <c r="L3079" t="s">
        <v>12744</v>
      </c>
      <c r="M3079" t="s">
        <v>14743</v>
      </c>
      <c r="N3079" t="s">
        <v>14782</v>
      </c>
      <c r="P3079" t="s">
        <v>14801</v>
      </c>
      <c r="Q3079" t="s">
        <v>11448</v>
      </c>
      <c r="S3079" t="s">
        <v>14827</v>
      </c>
      <c r="V3079">
        <v>0</v>
      </c>
      <c r="W3079" t="s">
        <v>14861</v>
      </c>
      <c r="X3079" t="s">
        <v>14865</v>
      </c>
      <c r="Z3079" t="s">
        <v>17468</v>
      </c>
      <c r="AA3079" t="s">
        <v>19648</v>
      </c>
      <c r="AB3079" t="s">
        <v>22527</v>
      </c>
      <c r="AC3079">
        <v>2</v>
      </c>
      <c r="AE3079" t="s">
        <v>11459</v>
      </c>
      <c r="AF3079">
        <v>1</v>
      </c>
      <c r="AG3079">
        <v>2</v>
      </c>
      <c r="AH3079">
        <v>0</v>
      </c>
      <c r="AI3079">
        <v>15.97</v>
      </c>
      <c r="AL3079" t="s">
        <v>5011</v>
      </c>
      <c r="AM3079">
        <v>2700</v>
      </c>
      <c r="AS3079">
        <v>1.33</v>
      </c>
      <c r="AT3079" t="s">
        <v>539</v>
      </c>
      <c r="AU3079" t="s">
        <v>25233</v>
      </c>
      <c r="AV3079" t="s">
        <v>25335</v>
      </c>
      <c r="AW3079" t="s">
        <v>11447</v>
      </c>
    </row>
    <row r="3080" spans="1:49">
      <c r="A3080" s="1">
        <f>HYPERLINK("https://lsnyc.legalserver.org/matter/dynamic-profile/view/1890257","19-1890257")</f>
        <v>0</v>
      </c>
      <c r="B3080" t="s">
        <v>147</v>
      </c>
      <c r="C3080" t="s">
        <v>683</v>
      </c>
      <c r="E3080" t="s">
        <v>1181</v>
      </c>
      <c r="F3080" t="s">
        <v>5089</v>
      </c>
      <c r="G3080" t="s">
        <v>8530</v>
      </c>
      <c r="H3080">
        <v>2</v>
      </c>
      <c r="I3080" t="s">
        <v>11399</v>
      </c>
      <c r="J3080">
        <v>11421</v>
      </c>
      <c r="K3080" t="s">
        <v>11446</v>
      </c>
      <c r="L3080" t="s">
        <v>12745</v>
      </c>
      <c r="M3080" t="s">
        <v>14743</v>
      </c>
      <c r="N3080" t="s">
        <v>14778</v>
      </c>
      <c r="P3080" t="s">
        <v>14801</v>
      </c>
      <c r="Q3080" t="s">
        <v>11448</v>
      </c>
      <c r="S3080" t="s">
        <v>14827</v>
      </c>
      <c r="T3080" t="s">
        <v>14834</v>
      </c>
      <c r="V3080">
        <v>750</v>
      </c>
      <c r="W3080" t="s">
        <v>14861</v>
      </c>
      <c r="X3080" t="s">
        <v>14865</v>
      </c>
      <c r="Z3080" t="s">
        <v>17067</v>
      </c>
      <c r="AB3080" t="s">
        <v>22528</v>
      </c>
      <c r="AC3080">
        <v>1</v>
      </c>
      <c r="AD3080" t="s">
        <v>24600</v>
      </c>
      <c r="AE3080" t="s">
        <v>11459</v>
      </c>
      <c r="AF3080">
        <v>5</v>
      </c>
      <c r="AG3080">
        <v>1</v>
      </c>
      <c r="AH3080">
        <v>0</v>
      </c>
      <c r="AI3080">
        <v>17.29</v>
      </c>
      <c r="AL3080" t="s">
        <v>5011</v>
      </c>
      <c r="AM3080">
        <v>2160</v>
      </c>
      <c r="AS3080">
        <v>1</v>
      </c>
      <c r="AT3080" t="s">
        <v>683</v>
      </c>
      <c r="AU3080" t="s">
        <v>99</v>
      </c>
      <c r="AV3080" t="s">
        <v>25335</v>
      </c>
      <c r="AW3080" t="s">
        <v>11447</v>
      </c>
    </row>
    <row r="3081" spans="1:49">
      <c r="A3081" s="1">
        <f>HYPERLINK("https://lsnyc.legalserver.org/matter/dynamic-profile/view/1913809","19-1913809")</f>
        <v>0</v>
      </c>
      <c r="B3081" t="s">
        <v>204</v>
      </c>
      <c r="C3081" t="s">
        <v>533</v>
      </c>
      <c r="E3081" t="s">
        <v>1132</v>
      </c>
      <c r="F3081" t="s">
        <v>5214</v>
      </c>
      <c r="G3081" t="s">
        <v>8531</v>
      </c>
      <c r="H3081" t="s">
        <v>10501</v>
      </c>
      <c r="I3081" t="s">
        <v>11422</v>
      </c>
      <c r="J3081">
        <v>11413</v>
      </c>
      <c r="K3081" t="s">
        <v>11446</v>
      </c>
      <c r="L3081" t="s">
        <v>12746</v>
      </c>
      <c r="M3081" t="s">
        <v>14743</v>
      </c>
      <c r="N3081" t="s">
        <v>14778</v>
      </c>
      <c r="P3081" t="s">
        <v>14801</v>
      </c>
      <c r="Q3081" t="s">
        <v>11448</v>
      </c>
      <c r="S3081" t="s">
        <v>14827</v>
      </c>
      <c r="V3081">
        <v>650</v>
      </c>
      <c r="W3081" t="s">
        <v>14861</v>
      </c>
      <c r="X3081" t="s">
        <v>14865</v>
      </c>
      <c r="Z3081" t="s">
        <v>17469</v>
      </c>
      <c r="AA3081" t="s">
        <v>19649</v>
      </c>
      <c r="AB3081" t="s">
        <v>22529</v>
      </c>
      <c r="AC3081">
        <v>3</v>
      </c>
      <c r="AD3081" t="s">
        <v>24600</v>
      </c>
      <c r="AE3081" t="s">
        <v>11459</v>
      </c>
      <c r="AF3081">
        <v>3</v>
      </c>
      <c r="AG3081">
        <v>1</v>
      </c>
      <c r="AH3081">
        <v>0</v>
      </c>
      <c r="AI3081">
        <v>17.58</v>
      </c>
      <c r="AL3081" t="s">
        <v>5011</v>
      </c>
      <c r="AM3081">
        <v>2196</v>
      </c>
      <c r="AS3081">
        <v>1.43</v>
      </c>
      <c r="AT3081" t="s">
        <v>539</v>
      </c>
      <c r="AU3081" t="s">
        <v>25233</v>
      </c>
      <c r="AV3081" t="s">
        <v>25335</v>
      </c>
      <c r="AW3081" t="s">
        <v>11447</v>
      </c>
    </row>
    <row r="3082" spans="1:49">
      <c r="A3082" s="1">
        <f>HYPERLINK("https://lsnyc.legalserver.org/matter/dynamic-profile/view/1889538","19-1889538")</f>
        <v>0</v>
      </c>
      <c r="B3082" t="s">
        <v>74</v>
      </c>
      <c r="C3082" t="s">
        <v>424</v>
      </c>
      <c r="E3082" t="s">
        <v>2619</v>
      </c>
      <c r="F3082" t="s">
        <v>4675</v>
      </c>
      <c r="G3082" t="s">
        <v>8532</v>
      </c>
      <c r="H3082" t="s">
        <v>10638</v>
      </c>
      <c r="I3082" t="s">
        <v>11390</v>
      </c>
      <c r="J3082">
        <v>11368</v>
      </c>
      <c r="K3082" t="s">
        <v>11446</v>
      </c>
      <c r="L3082" t="s">
        <v>12747</v>
      </c>
      <c r="M3082" t="s">
        <v>14743</v>
      </c>
      <c r="N3082" t="s">
        <v>14782</v>
      </c>
      <c r="P3082" t="s">
        <v>14801</v>
      </c>
      <c r="Q3082" t="s">
        <v>11448</v>
      </c>
      <c r="S3082" t="s">
        <v>14827</v>
      </c>
      <c r="V3082">
        <v>1350</v>
      </c>
      <c r="W3082" t="s">
        <v>14861</v>
      </c>
      <c r="X3082" t="s">
        <v>14865</v>
      </c>
      <c r="Z3082" t="s">
        <v>16610</v>
      </c>
      <c r="AA3082" t="s">
        <v>19650</v>
      </c>
      <c r="AB3082" t="s">
        <v>22530</v>
      </c>
      <c r="AC3082">
        <v>2</v>
      </c>
      <c r="AD3082" t="s">
        <v>11479</v>
      </c>
      <c r="AE3082" t="s">
        <v>11459</v>
      </c>
      <c r="AF3082">
        <v>4</v>
      </c>
      <c r="AG3082">
        <v>1</v>
      </c>
      <c r="AH3082">
        <v>1</v>
      </c>
      <c r="AI3082">
        <v>17.84</v>
      </c>
      <c r="AL3082" t="s">
        <v>5011</v>
      </c>
      <c r="AM3082">
        <v>3016</v>
      </c>
      <c r="AS3082">
        <v>0.6</v>
      </c>
      <c r="AT3082" t="s">
        <v>424</v>
      </c>
      <c r="AU3082" t="s">
        <v>292</v>
      </c>
      <c r="AW3082" t="s">
        <v>11446</v>
      </c>
    </row>
    <row r="3083" spans="1:49">
      <c r="A3083" s="1">
        <f>HYPERLINK("https://lsnyc.legalserver.org/matter/dynamic-profile/view/1913415","19-1913415")</f>
        <v>0</v>
      </c>
      <c r="B3083" t="s">
        <v>99</v>
      </c>
      <c r="C3083" t="s">
        <v>483</v>
      </c>
      <c r="E3083" t="s">
        <v>2620</v>
      </c>
      <c r="F3083" t="s">
        <v>5215</v>
      </c>
      <c r="G3083" t="s">
        <v>8533</v>
      </c>
      <c r="H3083" t="s">
        <v>10810</v>
      </c>
      <c r="I3083" t="s">
        <v>11393</v>
      </c>
      <c r="J3083">
        <v>11374</v>
      </c>
      <c r="K3083" t="s">
        <v>11446</v>
      </c>
      <c r="L3083" t="s">
        <v>12748</v>
      </c>
      <c r="M3083" t="s">
        <v>14743</v>
      </c>
      <c r="P3083" t="s">
        <v>14801</v>
      </c>
      <c r="S3083" t="s">
        <v>14827</v>
      </c>
      <c r="V3083">
        <v>700</v>
      </c>
      <c r="W3083" t="s">
        <v>14861</v>
      </c>
      <c r="X3083" t="s">
        <v>14865</v>
      </c>
      <c r="Z3083" t="s">
        <v>17470</v>
      </c>
      <c r="AB3083" t="s">
        <v>22531</v>
      </c>
      <c r="AC3083">
        <v>150</v>
      </c>
      <c r="AD3083" t="s">
        <v>24598</v>
      </c>
      <c r="AE3083" t="s">
        <v>11459</v>
      </c>
      <c r="AF3083">
        <v>2</v>
      </c>
      <c r="AG3083">
        <v>1</v>
      </c>
      <c r="AH3083">
        <v>0</v>
      </c>
      <c r="AI3083">
        <v>18.25</v>
      </c>
      <c r="AL3083" t="s">
        <v>5011</v>
      </c>
      <c r="AM3083">
        <v>2280</v>
      </c>
      <c r="AS3083">
        <v>1.5</v>
      </c>
      <c r="AT3083" t="s">
        <v>483</v>
      </c>
      <c r="AU3083" t="s">
        <v>99</v>
      </c>
      <c r="AW3083" t="s">
        <v>11447</v>
      </c>
    </row>
    <row r="3084" spans="1:49">
      <c r="A3084" s="1">
        <f>HYPERLINK("https://lsnyc.legalserver.org/matter/dynamic-profile/view/1888875","19-1888875")</f>
        <v>0</v>
      </c>
      <c r="B3084" t="s">
        <v>248</v>
      </c>
      <c r="C3084" t="s">
        <v>334</v>
      </c>
      <c r="E3084" t="s">
        <v>1301</v>
      </c>
      <c r="F3084" t="s">
        <v>5216</v>
      </c>
      <c r="G3084" t="s">
        <v>8534</v>
      </c>
      <c r="H3084" t="s">
        <v>11084</v>
      </c>
      <c r="I3084" t="s">
        <v>11418</v>
      </c>
      <c r="J3084">
        <v>11412</v>
      </c>
      <c r="K3084" t="s">
        <v>11447</v>
      </c>
      <c r="L3084" t="s">
        <v>12749</v>
      </c>
      <c r="N3084" t="s">
        <v>14778</v>
      </c>
      <c r="P3084" t="s">
        <v>14801</v>
      </c>
      <c r="S3084" t="s">
        <v>14827</v>
      </c>
      <c r="V3084">
        <v>0</v>
      </c>
      <c r="W3084" t="s">
        <v>14861</v>
      </c>
      <c r="X3084" t="s">
        <v>14865</v>
      </c>
      <c r="Z3084" t="s">
        <v>17471</v>
      </c>
      <c r="AB3084" t="s">
        <v>22532</v>
      </c>
      <c r="AC3084">
        <v>1</v>
      </c>
      <c r="AD3084" t="s">
        <v>24600</v>
      </c>
      <c r="AE3084" t="s">
        <v>11459</v>
      </c>
      <c r="AF3084">
        <v>9</v>
      </c>
      <c r="AG3084">
        <v>2</v>
      </c>
      <c r="AH3084">
        <v>0</v>
      </c>
      <c r="AI3084">
        <v>19.07</v>
      </c>
      <c r="AM3084">
        <v>3224</v>
      </c>
      <c r="AS3084">
        <v>0</v>
      </c>
      <c r="AU3084" t="s">
        <v>99</v>
      </c>
      <c r="AW3084" t="s">
        <v>11447</v>
      </c>
    </row>
    <row r="3085" spans="1:49">
      <c r="A3085" s="1">
        <f>HYPERLINK("https://lsnyc.legalserver.org/matter/dynamic-profile/view/1833346","17-1833346")</f>
        <v>0</v>
      </c>
      <c r="B3085" t="s">
        <v>179</v>
      </c>
      <c r="C3085" t="s">
        <v>797</v>
      </c>
      <c r="E3085" t="s">
        <v>1025</v>
      </c>
      <c r="F3085" t="s">
        <v>3577</v>
      </c>
      <c r="G3085" t="s">
        <v>8535</v>
      </c>
      <c r="H3085" t="s">
        <v>11071</v>
      </c>
      <c r="I3085" t="s">
        <v>11415</v>
      </c>
      <c r="J3085">
        <v>11356</v>
      </c>
      <c r="K3085" t="s">
        <v>11446</v>
      </c>
      <c r="L3085" t="s">
        <v>12750</v>
      </c>
      <c r="M3085" t="s">
        <v>14743</v>
      </c>
      <c r="N3085" t="s">
        <v>14781</v>
      </c>
      <c r="P3085" t="s">
        <v>14801</v>
      </c>
      <c r="Q3085" t="s">
        <v>11448</v>
      </c>
      <c r="S3085" t="s">
        <v>14827</v>
      </c>
      <c r="V3085">
        <v>900</v>
      </c>
      <c r="W3085" t="s">
        <v>14861</v>
      </c>
      <c r="X3085" t="s">
        <v>14873</v>
      </c>
      <c r="Z3085" t="s">
        <v>16807</v>
      </c>
      <c r="AB3085" t="s">
        <v>19344</v>
      </c>
      <c r="AC3085">
        <v>2</v>
      </c>
      <c r="AD3085" t="s">
        <v>24600</v>
      </c>
      <c r="AE3085" t="s">
        <v>11459</v>
      </c>
      <c r="AF3085">
        <v>6</v>
      </c>
      <c r="AG3085">
        <v>1</v>
      </c>
      <c r="AH3085">
        <v>3</v>
      </c>
      <c r="AI3085">
        <v>20.19</v>
      </c>
      <c r="AM3085">
        <v>4966</v>
      </c>
      <c r="AS3085">
        <v>13.1</v>
      </c>
      <c r="AT3085" t="s">
        <v>468</v>
      </c>
      <c r="AU3085" t="s">
        <v>99</v>
      </c>
      <c r="AV3085" t="s">
        <v>25335</v>
      </c>
      <c r="AW3085" t="s">
        <v>11447</v>
      </c>
    </row>
    <row r="3086" spans="1:49">
      <c r="A3086" s="1">
        <f>HYPERLINK("https://lsnyc.legalserver.org/matter/dynamic-profile/view/1888981","19-1888981")</f>
        <v>0</v>
      </c>
      <c r="B3086" t="s">
        <v>147</v>
      </c>
      <c r="C3086" t="s">
        <v>334</v>
      </c>
      <c r="E3086" t="s">
        <v>2621</v>
      </c>
      <c r="F3086" t="s">
        <v>5217</v>
      </c>
      <c r="G3086" t="s">
        <v>8536</v>
      </c>
      <c r="H3086" t="s">
        <v>10506</v>
      </c>
      <c r="I3086" t="s">
        <v>11409</v>
      </c>
      <c r="J3086">
        <v>11377</v>
      </c>
      <c r="K3086" t="s">
        <v>11446</v>
      </c>
      <c r="L3086" t="s">
        <v>12751</v>
      </c>
      <c r="M3086" t="s">
        <v>14744</v>
      </c>
      <c r="N3086" t="s">
        <v>14782</v>
      </c>
      <c r="P3086" t="s">
        <v>14801</v>
      </c>
      <c r="Q3086" t="s">
        <v>11448</v>
      </c>
      <c r="S3086" t="s">
        <v>14827</v>
      </c>
      <c r="V3086">
        <v>600</v>
      </c>
      <c r="W3086" t="s">
        <v>14861</v>
      </c>
      <c r="X3086" t="s">
        <v>14865</v>
      </c>
      <c r="Z3086" t="s">
        <v>17472</v>
      </c>
      <c r="AB3086" t="s">
        <v>22533</v>
      </c>
      <c r="AC3086">
        <v>0</v>
      </c>
      <c r="AD3086" t="s">
        <v>11479</v>
      </c>
      <c r="AE3086" t="s">
        <v>11459</v>
      </c>
      <c r="AF3086">
        <v>-1</v>
      </c>
      <c r="AG3086">
        <v>1</v>
      </c>
      <c r="AH3086">
        <v>2</v>
      </c>
      <c r="AI3086">
        <v>23.65</v>
      </c>
      <c r="AL3086" t="s">
        <v>24632</v>
      </c>
      <c r="AM3086">
        <v>5044</v>
      </c>
      <c r="AS3086">
        <v>2.1</v>
      </c>
      <c r="AT3086" t="s">
        <v>702</v>
      </c>
      <c r="AU3086" t="s">
        <v>292</v>
      </c>
      <c r="AW3086" t="s">
        <v>11446</v>
      </c>
    </row>
    <row r="3087" spans="1:49">
      <c r="A3087" s="1">
        <f>HYPERLINK("https://lsnyc.legalserver.org/matter/dynamic-profile/view/1891160","19-1891160")</f>
        <v>0</v>
      </c>
      <c r="B3087" t="s">
        <v>248</v>
      </c>
      <c r="C3087" t="s">
        <v>534</v>
      </c>
      <c r="E3087" t="s">
        <v>1057</v>
      </c>
      <c r="F3087" t="s">
        <v>5218</v>
      </c>
      <c r="G3087" t="s">
        <v>8537</v>
      </c>
      <c r="H3087" t="s">
        <v>10501</v>
      </c>
      <c r="I3087" t="s">
        <v>11413</v>
      </c>
      <c r="J3087">
        <v>11413</v>
      </c>
      <c r="K3087" t="s">
        <v>11447</v>
      </c>
      <c r="L3087" t="s">
        <v>12752</v>
      </c>
      <c r="M3087" t="s">
        <v>14743</v>
      </c>
      <c r="P3087" t="s">
        <v>14801</v>
      </c>
      <c r="S3087" t="s">
        <v>14827</v>
      </c>
      <c r="V3087">
        <v>900</v>
      </c>
      <c r="W3087" t="s">
        <v>14861</v>
      </c>
      <c r="X3087" t="s">
        <v>14865</v>
      </c>
      <c r="Z3087" t="s">
        <v>17473</v>
      </c>
      <c r="AB3087" t="s">
        <v>22534</v>
      </c>
      <c r="AC3087">
        <v>1</v>
      </c>
      <c r="AD3087" t="s">
        <v>24600</v>
      </c>
      <c r="AE3087" t="s">
        <v>11459</v>
      </c>
      <c r="AF3087">
        <v>8</v>
      </c>
      <c r="AG3087">
        <v>1</v>
      </c>
      <c r="AH3087">
        <v>0</v>
      </c>
      <c r="AI3087">
        <v>24.02</v>
      </c>
      <c r="AM3087">
        <v>3000</v>
      </c>
      <c r="AS3087">
        <v>1.56</v>
      </c>
      <c r="AT3087" t="s">
        <v>769</v>
      </c>
      <c r="AU3087" t="s">
        <v>99</v>
      </c>
      <c r="AW3087" t="s">
        <v>11447</v>
      </c>
    </row>
    <row r="3088" spans="1:49">
      <c r="A3088" s="1">
        <f>HYPERLINK("https://lsnyc.legalserver.org/matter/dynamic-profile/view/1838357","17-1838357")</f>
        <v>0</v>
      </c>
      <c r="B3088" t="s">
        <v>179</v>
      </c>
      <c r="C3088" t="s">
        <v>798</v>
      </c>
      <c r="E3088" t="s">
        <v>1448</v>
      </c>
      <c r="F3088" t="s">
        <v>5219</v>
      </c>
      <c r="G3088" t="s">
        <v>8538</v>
      </c>
      <c r="H3088">
        <v>3</v>
      </c>
      <c r="I3088" t="s">
        <v>11387</v>
      </c>
      <c r="J3088">
        <v>11432</v>
      </c>
      <c r="K3088" t="s">
        <v>11446</v>
      </c>
      <c r="L3088" t="s">
        <v>12753</v>
      </c>
      <c r="M3088" t="s">
        <v>14744</v>
      </c>
      <c r="N3088" t="s">
        <v>14778</v>
      </c>
      <c r="P3088" t="s">
        <v>14801</v>
      </c>
      <c r="Q3088" t="s">
        <v>11448</v>
      </c>
      <c r="S3088" t="s">
        <v>14827</v>
      </c>
      <c r="V3088">
        <v>2200</v>
      </c>
      <c r="W3088" t="s">
        <v>14861</v>
      </c>
      <c r="X3088" t="s">
        <v>14873</v>
      </c>
      <c r="Z3088" t="s">
        <v>17474</v>
      </c>
      <c r="AB3088" t="s">
        <v>22535</v>
      </c>
      <c r="AC3088">
        <v>2</v>
      </c>
      <c r="AD3088" t="s">
        <v>24600</v>
      </c>
      <c r="AE3088" t="s">
        <v>11459</v>
      </c>
      <c r="AF3088">
        <v>2</v>
      </c>
      <c r="AG3088">
        <v>1</v>
      </c>
      <c r="AH3088">
        <v>3</v>
      </c>
      <c r="AI3088">
        <v>24.39</v>
      </c>
      <c r="AM3088">
        <v>6000</v>
      </c>
      <c r="AS3088">
        <v>0.5</v>
      </c>
      <c r="AT3088" t="s">
        <v>798</v>
      </c>
      <c r="AU3088" t="s">
        <v>99</v>
      </c>
      <c r="AW3088" t="s">
        <v>11447</v>
      </c>
    </row>
    <row r="3089" spans="1:49">
      <c r="A3089" s="1">
        <f>HYPERLINK("https://lsnyc.legalserver.org/matter/dynamic-profile/view/0776330","15-0776330")</f>
        <v>0</v>
      </c>
      <c r="B3089" t="s">
        <v>179</v>
      </c>
      <c r="C3089" t="s">
        <v>799</v>
      </c>
      <c r="E3089" t="s">
        <v>2622</v>
      </c>
      <c r="F3089" t="s">
        <v>5220</v>
      </c>
      <c r="G3089" t="s">
        <v>8539</v>
      </c>
      <c r="H3089" t="s">
        <v>11085</v>
      </c>
      <c r="I3089" t="s">
        <v>11390</v>
      </c>
      <c r="J3089">
        <v>11368</v>
      </c>
      <c r="K3089" t="s">
        <v>11447</v>
      </c>
      <c r="M3089" t="s">
        <v>14756</v>
      </c>
      <c r="N3089" t="s">
        <v>14779</v>
      </c>
      <c r="P3089" t="s">
        <v>14801</v>
      </c>
      <c r="S3089" t="s">
        <v>14827</v>
      </c>
      <c r="V3089">
        <v>1275</v>
      </c>
      <c r="W3089" t="s">
        <v>14861</v>
      </c>
      <c r="Z3089" t="s">
        <v>17475</v>
      </c>
      <c r="AA3089" t="s">
        <v>19651</v>
      </c>
      <c r="AB3089" t="s">
        <v>22536</v>
      </c>
      <c r="AC3089">
        <v>0</v>
      </c>
      <c r="AF3089">
        <v>8</v>
      </c>
      <c r="AG3089">
        <v>1</v>
      </c>
      <c r="AH3089">
        <v>3</v>
      </c>
      <c r="AI3089">
        <v>24.45</v>
      </c>
      <c r="AL3089" t="s">
        <v>5011</v>
      </c>
      <c r="AM3089">
        <v>5928</v>
      </c>
      <c r="AS3089">
        <v>0.1</v>
      </c>
      <c r="AT3089" t="s">
        <v>25159</v>
      </c>
      <c r="AU3089" t="s">
        <v>179</v>
      </c>
      <c r="AW3089" t="s">
        <v>11447</v>
      </c>
    </row>
    <row r="3090" spans="1:49">
      <c r="A3090" s="1">
        <f>HYPERLINK("https://lsnyc.legalserver.org/matter/dynamic-profile/view/0776328","15-0776328")</f>
        <v>0</v>
      </c>
      <c r="B3090" t="s">
        <v>179</v>
      </c>
      <c r="C3090" t="s">
        <v>799</v>
      </c>
      <c r="E3090" t="s">
        <v>2622</v>
      </c>
      <c r="F3090" t="s">
        <v>5220</v>
      </c>
      <c r="G3090" t="s">
        <v>8539</v>
      </c>
      <c r="H3090" t="s">
        <v>11085</v>
      </c>
      <c r="I3090" t="s">
        <v>11390</v>
      </c>
      <c r="J3090">
        <v>11368</v>
      </c>
      <c r="K3090" t="s">
        <v>11447</v>
      </c>
      <c r="L3090" t="s">
        <v>12754</v>
      </c>
      <c r="M3090" t="s">
        <v>14743</v>
      </c>
      <c r="P3090" t="s">
        <v>14801</v>
      </c>
      <c r="S3090" t="s">
        <v>14827</v>
      </c>
      <c r="V3090">
        <v>1275</v>
      </c>
      <c r="W3090" t="s">
        <v>14861</v>
      </c>
      <c r="X3090" t="s">
        <v>14882</v>
      </c>
      <c r="Z3090" t="s">
        <v>17475</v>
      </c>
      <c r="AA3090" t="s">
        <v>19651</v>
      </c>
      <c r="AB3090" t="s">
        <v>22536</v>
      </c>
      <c r="AC3090">
        <v>0</v>
      </c>
      <c r="AD3090" t="s">
        <v>24595</v>
      </c>
      <c r="AE3090" t="s">
        <v>11459</v>
      </c>
      <c r="AF3090">
        <v>8</v>
      </c>
      <c r="AG3090">
        <v>1</v>
      </c>
      <c r="AH3090">
        <v>3</v>
      </c>
      <c r="AI3090">
        <v>24.45</v>
      </c>
      <c r="AL3090" t="s">
        <v>5011</v>
      </c>
      <c r="AM3090">
        <v>5928</v>
      </c>
      <c r="AS3090">
        <v>34.75</v>
      </c>
      <c r="AT3090" t="s">
        <v>25159</v>
      </c>
      <c r="AU3090" t="s">
        <v>179</v>
      </c>
      <c r="AW3090" t="s">
        <v>11447</v>
      </c>
    </row>
    <row r="3091" spans="1:49">
      <c r="A3091" s="1">
        <f>HYPERLINK("https://lsnyc.legalserver.org/matter/dynamic-profile/view/0776323","15-0776323")</f>
        <v>0</v>
      </c>
      <c r="B3091" t="s">
        <v>179</v>
      </c>
      <c r="C3091" t="s">
        <v>799</v>
      </c>
      <c r="E3091" t="s">
        <v>2622</v>
      </c>
      <c r="F3091" t="s">
        <v>5220</v>
      </c>
      <c r="G3091" t="s">
        <v>8539</v>
      </c>
      <c r="H3091" t="s">
        <v>11085</v>
      </c>
      <c r="I3091" t="s">
        <v>11390</v>
      </c>
      <c r="J3091">
        <v>11368</v>
      </c>
      <c r="K3091" t="s">
        <v>11446</v>
      </c>
      <c r="L3091" t="s">
        <v>12755</v>
      </c>
      <c r="M3091" t="s">
        <v>14744</v>
      </c>
      <c r="N3091" t="s">
        <v>14781</v>
      </c>
      <c r="P3091" t="s">
        <v>14801</v>
      </c>
      <c r="S3091" t="s">
        <v>14827</v>
      </c>
      <c r="V3091">
        <v>1275</v>
      </c>
      <c r="W3091" t="s">
        <v>14861</v>
      </c>
      <c r="Z3091" t="s">
        <v>17475</v>
      </c>
      <c r="AA3091" t="s">
        <v>19652</v>
      </c>
      <c r="AB3091" t="s">
        <v>22536</v>
      </c>
      <c r="AC3091">
        <v>0</v>
      </c>
      <c r="AD3091" t="s">
        <v>24595</v>
      </c>
      <c r="AF3091">
        <v>8</v>
      </c>
      <c r="AG3091">
        <v>1</v>
      </c>
      <c r="AH3091">
        <v>3</v>
      </c>
      <c r="AI3091">
        <v>24.45</v>
      </c>
      <c r="AL3091" t="s">
        <v>5011</v>
      </c>
      <c r="AM3091">
        <v>5928</v>
      </c>
      <c r="AS3091">
        <v>12.7</v>
      </c>
      <c r="AT3091" t="s">
        <v>25159</v>
      </c>
      <c r="AU3091" t="s">
        <v>179</v>
      </c>
      <c r="AV3091" t="s">
        <v>25335</v>
      </c>
      <c r="AW3091" t="s">
        <v>11447</v>
      </c>
    </row>
    <row r="3092" spans="1:49">
      <c r="A3092" s="1">
        <f>HYPERLINK("https://lsnyc.legalserver.org/matter/dynamic-profile/view/1888298","19-1888298")</f>
        <v>0</v>
      </c>
      <c r="B3092" t="s">
        <v>248</v>
      </c>
      <c r="C3092" t="s">
        <v>734</v>
      </c>
      <c r="E3092" t="s">
        <v>1292</v>
      </c>
      <c r="F3092" t="s">
        <v>5221</v>
      </c>
      <c r="G3092" t="s">
        <v>8540</v>
      </c>
      <c r="I3092" t="s">
        <v>11396</v>
      </c>
      <c r="J3092">
        <v>11365</v>
      </c>
      <c r="K3092" t="s">
        <v>11447</v>
      </c>
      <c r="L3092" t="s">
        <v>12756</v>
      </c>
      <c r="M3092" t="s">
        <v>14744</v>
      </c>
      <c r="P3092" t="s">
        <v>14801</v>
      </c>
      <c r="S3092" t="s">
        <v>14827</v>
      </c>
      <c r="V3092">
        <v>101</v>
      </c>
      <c r="W3092" t="s">
        <v>14861</v>
      </c>
      <c r="X3092" t="s">
        <v>14865</v>
      </c>
      <c r="Z3092" t="s">
        <v>17476</v>
      </c>
      <c r="AA3092" t="s">
        <v>19653</v>
      </c>
      <c r="AB3092" t="s">
        <v>22537</v>
      </c>
      <c r="AC3092">
        <v>28</v>
      </c>
      <c r="AD3092" t="s">
        <v>24597</v>
      </c>
      <c r="AE3092" t="s">
        <v>11459</v>
      </c>
      <c r="AF3092">
        <v>5</v>
      </c>
      <c r="AG3092">
        <v>1</v>
      </c>
      <c r="AH3092">
        <v>1</v>
      </c>
      <c r="AI3092">
        <v>25.52</v>
      </c>
      <c r="AL3092" t="s">
        <v>5011</v>
      </c>
      <c r="AM3092">
        <v>4200</v>
      </c>
      <c r="AS3092">
        <v>2.75</v>
      </c>
      <c r="AT3092" t="s">
        <v>577</v>
      </c>
      <c r="AU3092" t="s">
        <v>99</v>
      </c>
      <c r="AW3092" t="s">
        <v>11447</v>
      </c>
    </row>
    <row r="3093" spans="1:49">
      <c r="A3093" s="1">
        <f>HYPERLINK("https://lsnyc.legalserver.org/matter/dynamic-profile/view/1877497","18-1877497")</f>
        <v>0</v>
      </c>
      <c r="B3093" t="s">
        <v>292</v>
      </c>
      <c r="C3093" t="s">
        <v>442</v>
      </c>
      <c r="E3093" t="s">
        <v>1452</v>
      </c>
      <c r="F3093" t="s">
        <v>5222</v>
      </c>
      <c r="G3093" t="s">
        <v>8541</v>
      </c>
      <c r="H3093">
        <v>1</v>
      </c>
      <c r="I3093" t="s">
        <v>6196</v>
      </c>
      <c r="J3093">
        <v>11423</v>
      </c>
      <c r="K3093" t="s">
        <v>11446</v>
      </c>
      <c r="L3093" t="s">
        <v>12757</v>
      </c>
      <c r="M3093" t="s">
        <v>14744</v>
      </c>
      <c r="N3093" t="s">
        <v>14782</v>
      </c>
      <c r="P3093" t="s">
        <v>14801</v>
      </c>
      <c r="Q3093" t="s">
        <v>11448</v>
      </c>
      <c r="S3093" t="s">
        <v>14827</v>
      </c>
      <c r="V3093">
        <v>1995</v>
      </c>
      <c r="W3093" t="s">
        <v>14861</v>
      </c>
      <c r="X3093" t="s">
        <v>14865</v>
      </c>
      <c r="Z3093" t="s">
        <v>17477</v>
      </c>
      <c r="AA3093" t="s">
        <v>19654</v>
      </c>
      <c r="AB3093" t="s">
        <v>22538</v>
      </c>
      <c r="AC3093">
        <v>40</v>
      </c>
      <c r="AD3093" t="s">
        <v>11479</v>
      </c>
      <c r="AE3093" t="s">
        <v>24616</v>
      </c>
      <c r="AF3093">
        <v>3</v>
      </c>
      <c r="AG3093">
        <v>1</v>
      </c>
      <c r="AH3093">
        <v>4</v>
      </c>
      <c r="AI3093">
        <v>25.7</v>
      </c>
      <c r="AL3093" t="s">
        <v>5011</v>
      </c>
      <c r="AM3093">
        <v>7562</v>
      </c>
      <c r="AS3093">
        <v>0.15</v>
      </c>
      <c r="AT3093" t="s">
        <v>460</v>
      </c>
      <c r="AU3093" t="s">
        <v>292</v>
      </c>
      <c r="AW3093" t="s">
        <v>11447</v>
      </c>
    </row>
    <row r="3094" spans="1:49">
      <c r="A3094" s="1">
        <f>HYPERLINK("https://lsnyc.legalserver.org/matter/dynamic-profile/view/1855240","18-1855240")</f>
        <v>0</v>
      </c>
      <c r="B3094" t="s">
        <v>179</v>
      </c>
      <c r="C3094" t="s">
        <v>800</v>
      </c>
      <c r="E3094" t="s">
        <v>2623</v>
      </c>
      <c r="F3094" t="s">
        <v>5223</v>
      </c>
      <c r="G3094" t="s">
        <v>8542</v>
      </c>
      <c r="H3094" t="s">
        <v>10465</v>
      </c>
      <c r="I3094" t="s">
        <v>11387</v>
      </c>
      <c r="J3094">
        <v>11435</v>
      </c>
      <c r="K3094" t="s">
        <v>11446</v>
      </c>
      <c r="L3094" t="s">
        <v>12758</v>
      </c>
      <c r="M3094" t="s">
        <v>14743</v>
      </c>
      <c r="N3094" t="s">
        <v>14782</v>
      </c>
      <c r="P3094" t="s">
        <v>14801</v>
      </c>
      <c r="Q3094" t="s">
        <v>11448</v>
      </c>
      <c r="S3094" t="s">
        <v>14827</v>
      </c>
      <c r="V3094">
        <v>1956</v>
      </c>
      <c r="W3094" t="s">
        <v>14861</v>
      </c>
      <c r="X3094" t="s">
        <v>14865</v>
      </c>
      <c r="Z3094" t="s">
        <v>15909</v>
      </c>
      <c r="AA3094" t="s">
        <v>19655</v>
      </c>
      <c r="AB3094" t="s">
        <v>22539</v>
      </c>
      <c r="AC3094">
        <v>5</v>
      </c>
      <c r="AE3094" t="s">
        <v>24617</v>
      </c>
      <c r="AF3094">
        <v>2</v>
      </c>
      <c r="AG3094">
        <v>1</v>
      </c>
      <c r="AH3094">
        <v>4</v>
      </c>
      <c r="AI3094">
        <v>25.77</v>
      </c>
      <c r="AK3094" t="s">
        <v>24630</v>
      </c>
      <c r="AL3094" t="s">
        <v>5011</v>
      </c>
      <c r="AM3094">
        <v>7416</v>
      </c>
      <c r="AS3094">
        <v>13.3</v>
      </c>
      <c r="AT3094" t="s">
        <v>25132</v>
      </c>
      <c r="AU3094" t="s">
        <v>292</v>
      </c>
      <c r="AW3094" t="s">
        <v>11447</v>
      </c>
    </row>
    <row r="3095" spans="1:49">
      <c r="A3095" s="1">
        <f>HYPERLINK("https://lsnyc.legalserver.org/matter/dynamic-profile/view/1912266","19-1912266")</f>
        <v>0</v>
      </c>
      <c r="B3095" t="s">
        <v>271</v>
      </c>
      <c r="C3095" t="s">
        <v>559</v>
      </c>
      <c r="E3095" t="s">
        <v>2624</v>
      </c>
      <c r="F3095" t="s">
        <v>4777</v>
      </c>
      <c r="G3095" t="s">
        <v>8543</v>
      </c>
      <c r="I3095" t="s">
        <v>11421</v>
      </c>
      <c r="J3095">
        <v>11427</v>
      </c>
      <c r="K3095" t="s">
        <v>11446</v>
      </c>
      <c r="L3095" t="s">
        <v>12759</v>
      </c>
      <c r="M3095" t="s">
        <v>14743</v>
      </c>
      <c r="N3095" t="s">
        <v>14778</v>
      </c>
      <c r="P3095" t="s">
        <v>14801</v>
      </c>
      <c r="Q3095" t="s">
        <v>11448</v>
      </c>
      <c r="S3095" t="s">
        <v>14827</v>
      </c>
      <c r="V3095">
        <v>0</v>
      </c>
      <c r="W3095" t="s">
        <v>14861</v>
      </c>
      <c r="X3095" t="s">
        <v>14865</v>
      </c>
      <c r="Z3095" t="s">
        <v>17478</v>
      </c>
      <c r="AB3095" t="s">
        <v>22540</v>
      </c>
      <c r="AC3095">
        <v>1</v>
      </c>
      <c r="AE3095" t="s">
        <v>11459</v>
      </c>
      <c r="AF3095">
        <v>28</v>
      </c>
      <c r="AG3095">
        <v>3</v>
      </c>
      <c r="AH3095">
        <v>0</v>
      </c>
      <c r="AI3095">
        <v>28.13</v>
      </c>
      <c r="AL3095" t="s">
        <v>5011</v>
      </c>
      <c r="AM3095">
        <v>6000</v>
      </c>
      <c r="AS3095">
        <v>2.55</v>
      </c>
      <c r="AT3095" t="s">
        <v>489</v>
      </c>
      <c r="AU3095" t="s">
        <v>25233</v>
      </c>
      <c r="AV3095" t="s">
        <v>25335</v>
      </c>
      <c r="AW3095" t="s">
        <v>11447</v>
      </c>
    </row>
    <row r="3096" spans="1:49">
      <c r="A3096" s="1">
        <f>HYPERLINK("https://lsnyc.legalserver.org/matter/dynamic-profile/view/0778307","15-0778307")</f>
        <v>0</v>
      </c>
      <c r="B3096" t="s">
        <v>122</v>
      </c>
      <c r="C3096" t="s">
        <v>801</v>
      </c>
      <c r="E3096" t="s">
        <v>2582</v>
      </c>
      <c r="F3096" t="s">
        <v>5224</v>
      </c>
      <c r="G3096" t="s">
        <v>8544</v>
      </c>
      <c r="H3096" t="s">
        <v>10517</v>
      </c>
      <c r="I3096" t="s">
        <v>11404</v>
      </c>
      <c r="J3096">
        <v>11105</v>
      </c>
      <c r="K3096" t="s">
        <v>11447</v>
      </c>
      <c r="M3096" t="s">
        <v>14743</v>
      </c>
      <c r="P3096" t="s">
        <v>14801</v>
      </c>
      <c r="S3096" t="s">
        <v>14827</v>
      </c>
      <c r="V3096">
        <v>0</v>
      </c>
      <c r="W3096" t="s">
        <v>14861</v>
      </c>
      <c r="Z3096" t="s">
        <v>15688</v>
      </c>
      <c r="AB3096" t="s">
        <v>22541</v>
      </c>
      <c r="AC3096">
        <v>0</v>
      </c>
      <c r="AF3096">
        <v>0</v>
      </c>
      <c r="AG3096">
        <v>3</v>
      </c>
      <c r="AH3096">
        <v>2</v>
      </c>
      <c r="AI3096">
        <v>28.28</v>
      </c>
      <c r="AL3096" t="s">
        <v>24649</v>
      </c>
      <c r="AM3096">
        <v>8034</v>
      </c>
      <c r="AS3096">
        <v>200.8</v>
      </c>
      <c r="AT3096" t="s">
        <v>616</v>
      </c>
      <c r="AU3096" t="s">
        <v>99</v>
      </c>
      <c r="AW3096" t="s">
        <v>11447</v>
      </c>
    </row>
    <row r="3097" spans="1:49">
      <c r="A3097" s="1">
        <f>HYPERLINK("https://lsnyc.legalserver.org/matter/dynamic-profile/view/1915185","19-1915185")</f>
        <v>0</v>
      </c>
      <c r="B3097" t="s">
        <v>191</v>
      </c>
      <c r="C3097" t="s">
        <v>516</v>
      </c>
      <c r="E3097" t="s">
        <v>2625</v>
      </c>
      <c r="F3097" t="s">
        <v>4675</v>
      </c>
      <c r="G3097" t="s">
        <v>8328</v>
      </c>
      <c r="H3097" t="s">
        <v>10506</v>
      </c>
      <c r="I3097" t="s">
        <v>11420</v>
      </c>
      <c r="J3097">
        <v>11104</v>
      </c>
      <c r="K3097" t="s">
        <v>11446</v>
      </c>
      <c r="L3097" t="s">
        <v>12760</v>
      </c>
      <c r="M3097" t="s">
        <v>14743</v>
      </c>
      <c r="N3097" t="s">
        <v>14778</v>
      </c>
      <c r="P3097" t="s">
        <v>14801</v>
      </c>
      <c r="Q3097" t="s">
        <v>11448</v>
      </c>
      <c r="S3097" t="s">
        <v>14827</v>
      </c>
      <c r="V3097">
        <v>1500</v>
      </c>
      <c r="W3097" t="s">
        <v>14861</v>
      </c>
      <c r="X3097" t="s">
        <v>14865</v>
      </c>
      <c r="Z3097" t="s">
        <v>17479</v>
      </c>
      <c r="AB3097" t="s">
        <v>22542</v>
      </c>
      <c r="AC3097">
        <v>46</v>
      </c>
      <c r="AD3097" t="s">
        <v>24595</v>
      </c>
      <c r="AF3097">
        <v>1</v>
      </c>
      <c r="AG3097">
        <v>2</v>
      </c>
      <c r="AH3097">
        <v>0</v>
      </c>
      <c r="AI3097">
        <v>30.75</v>
      </c>
      <c r="AM3097">
        <v>5200</v>
      </c>
      <c r="AS3097">
        <v>1</v>
      </c>
      <c r="AT3097" t="s">
        <v>654</v>
      </c>
      <c r="AU3097" t="s">
        <v>99</v>
      </c>
      <c r="AW3097" t="s">
        <v>11447</v>
      </c>
    </row>
    <row r="3098" spans="1:49">
      <c r="A3098" s="1">
        <f>HYPERLINK("https://lsnyc.legalserver.org/matter/dynamic-profile/view/1915320","19-1915320")</f>
        <v>0</v>
      </c>
      <c r="B3098" t="s">
        <v>99</v>
      </c>
      <c r="C3098" t="s">
        <v>509</v>
      </c>
      <c r="E3098" t="s">
        <v>2626</v>
      </c>
      <c r="F3098" t="s">
        <v>5225</v>
      </c>
      <c r="G3098" t="s">
        <v>8545</v>
      </c>
      <c r="H3098" t="s">
        <v>10486</v>
      </c>
      <c r="I3098" t="s">
        <v>11405</v>
      </c>
      <c r="J3098">
        <v>11416</v>
      </c>
      <c r="K3098" t="s">
        <v>11446</v>
      </c>
      <c r="L3098" t="s">
        <v>12761</v>
      </c>
      <c r="M3098" t="s">
        <v>14744</v>
      </c>
      <c r="P3098" t="s">
        <v>14801</v>
      </c>
      <c r="S3098" t="s">
        <v>14827</v>
      </c>
      <c r="V3098">
        <v>1515</v>
      </c>
      <c r="W3098" t="s">
        <v>14861</v>
      </c>
      <c r="X3098" t="s">
        <v>14868</v>
      </c>
      <c r="Z3098" t="s">
        <v>17480</v>
      </c>
      <c r="AA3098" t="s">
        <v>19656</v>
      </c>
      <c r="AB3098" t="s">
        <v>22543</v>
      </c>
      <c r="AC3098">
        <v>2</v>
      </c>
      <c r="AD3098" t="s">
        <v>24600</v>
      </c>
      <c r="AE3098" t="s">
        <v>11459</v>
      </c>
      <c r="AF3098">
        <v>5</v>
      </c>
      <c r="AG3098">
        <v>2</v>
      </c>
      <c r="AH3098">
        <v>2</v>
      </c>
      <c r="AI3098">
        <v>34.25</v>
      </c>
      <c r="AL3098" t="s">
        <v>5011</v>
      </c>
      <c r="AM3098">
        <v>8820</v>
      </c>
      <c r="AS3098">
        <v>0.5</v>
      </c>
      <c r="AT3098" t="s">
        <v>509</v>
      </c>
      <c r="AU3098" t="s">
        <v>99</v>
      </c>
      <c r="AW3098" t="s">
        <v>11447</v>
      </c>
    </row>
    <row r="3099" spans="1:49">
      <c r="A3099" s="1">
        <f>HYPERLINK("https://lsnyc.legalserver.org/matter/dynamic-profile/view/1833621","17-1833621")</f>
        <v>0</v>
      </c>
      <c r="B3099" t="s">
        <v>99</v>
      </c>
      <c r="C3099" t="s">
        <v>802</v>
      </c>
      <c r="E3099" t="s">
        <v>2627</v>
      </c>
      <c r="F3099" t="s">
        <v>4218</v>
      </c>
      <c r="G3099" t="s">
        <v>8546</v>
      </c>
      <c r="H3099" t="s">
        <v>10481</v>
      </c>
      <c r="I3099" t="s">
        <v>11407</v>
      </c>
      <c r="J3099">
        <v>11415</v>
      </c>
      <c r="K3099" t="s">
        <v>11447</v>
      </c>
      <c r="L3099" t="s">
        <v>12762</v>
      </c>
      <c r="M3099" t="s">
        <v>14744</v>
      </c>
      <c r="N3099" t="s">
        <v>14779</v>
      </c>
      <c r="P3099" t="s">
        <v>14801</v>
      </c>
      <c r="S3099" t="s">
        <v>14827</v>
      </c>
      <c r="V3099">
        <v>2137</v>
      </c>
      <c r="W3099" t="s">
        <v>14861</v>
      </c>
      <c r="Z3099" t="s">
        <v>16153</v>
      </c>
      <c r="AB3099" t="s">
        <v>22544</v>
      </c>
      <c r="AC3099">
        <v>0</v>
      </c>
      <c r="AD3099" t="s">
        <v>24595</v>
      </c>
      <c r="AF3099">
        <v>0</v>
      </c>
      <c r="AG3099">
        <v>2</v>
      </c>
      <c r="AH3099">
        <v>1</v>
      </c>
      <c r="AI3099">
        <v>35.25</v>
      </c>
      <c r="AL3099" t="s">
        <v>24647</v>
      </c>
      <c r="AM3099">
        <v>7199</v>
      </c>
      <c r="AS3099">
        <v>3.4</v>
      </c>
      <c r="AT3099" t="s">
        <v>25160</v>
      </c>
      <c r="AU3099" t="s">
        <v>99</v>
      </c>
      <c r="AW3099" t="s">
        <v>11447</v>
      </c>
    </row>
    <row r="3100" spans="1:49">
      <c r="A3100" s="1">
        <f>HYPERLINK("https://lsnyc.legalserver.org/matter/dynamic-profile/view/1838744","17-1838744")</f>
        <v>0</v>
      </c>
      <c r="B3100" t="s">
        <v>179</v>
      </c>
      <c r="C3100" t="s">
        <v>803</v>
      </c>
      <c r="E3100" t="s">
        <v>1025</v>
      </c>
      <c r="F3100" t="s">
        <v>3627</v>
      </c>
      <c r="G3100" t="s">
        <v>8547</v>
      </c>
      <c r="H3100">
        <v>2</v>
      </c>
      <c r="I3100" t="s">
        <v>11399</v>
      </c>
      <c r="J3100">
        <v>11421</v>
      </c>
      <c r="K3100" t="s">
        <v>11446</v>
      </c>
      <c r="L3100" t="s">
        <v>12763</v>
      </c>
      <c r="M3100" t="s">
        <v>14743</v>
      </c>
      <c r="N3100" t="s">
        <v>14781</v>
      </c>
      <c r="P3100" t="s">
        <v>14801</v>
      </c>
      <c r="Q3100" t="s">
        <v>11448</v>
      </c>
      <c r="S3100" t="s">
        <v>14827</v>
      </c>
      <c r="V3100">
        <v>1515</v>
      </c>
      <c r="W3100" t="s">
        <v>14861</v>
      </c>
      <c r="X3100" t="s">
        <v>14874</v>
      </c>
      <c r="Z3100" t="s">
        <v>17481</v>
      </c>
      <c r="AB3100" t="s">
        <v>22545</v>
      </c>
      <c r="AC3100">
        <v>2</v>
      </c>
      <c r="AD3100" t="s">
        <v>24600</v>
      </c>
      <c r="AE3100" t="s">
        <v>11459</v>
      </c>
      <c r="AF3100">
        <v>10</v>
      </c>
      <c r="AG3100">
        <v>3</v>
      </c>
      <c r="AH3100">
        <v>1</v>
      </c>
      <c r="AI3100">
        <v>36</v>
      </c>
      <c r="AM3100">
        <v>8856</v>
      </c>
      <c r="AS3100">
        <v>19.85</v>
      </c>
      <c r="AT3100" t="s">
        <v>25126</v>
      </c>
      <c r="AU3100" t="s">
        <v>99</v>
      </c>
      <c r="AV3100" t="s">
        <v>25335</v>
      </c>
      <c r="AW3100" t="s">
        <v>11447</v>
      </c>
    </row>
    <row r="3101" spans="1:49">
      <c r="A3101" s="1">
        <f>HYPERLINK("https://lsnyc.legalserver.org/matter/dynamic-profile/view/1882169","18-1882169")</f>
        <v>0</v>
      </c>
      <c r="B3101" t="s">
        <v>179</v>
      </c>
      <c r="C3101" t="s">
        <v>453</v>
      </c>
      <c r="E3101" t="s">
        <v>1496</v>
      </c>
      <c r="F3101" t="s">
        <v>3561</v>
      </c>
      <c r="G3101" t="s">
        <v>8548</v>
      </c>
      <c r="I3101" t="s">
        <v>11434</v>
      </c>
      <c r="J3101">
        <v>11419</v>
      </c>
      <c r="K3101" t="s">
        <v>11446</v>
      </c>
      <c r="L3101" t="s">
        <v>12764</v>
      </c>
      <c r="M3101" t="s">
        <v>14744</v>
      </c>
      <c r="N3101" t="s">
        <v>14782</v>
      </c>
      <c r="P3101" t="s">
        <v>14801</v>
      </c>
      <c r="Q3101" t="s">
        <v>11448</v>
      </c>
      <c r="S3101" t="s">
        <v>14827</v>
      </c>
      <c r="V3101">
        <v>2750</v>
      </c>
      <c r="W3101" t="s">
        <v>14861</v>
      </c>
      <c r="X3101" t="s">
        <v>14865</v>
      </c>
      <c r="Z3101" t="s">
        <v>17482</v>
      </c>
      <c r="AA3101" t="s">
        <v>19657</v>
      </c>
      <c r="AB3101" t="s">
        <v>22546</v>
      </c>
      <c r="AC3101">
        <v>0</v>
      </c>
      <c r="AD3101" t="s">
        <v>11479</v>
      </c>
      <c r="AE3101" t="s">
        <v>24617</v>
      </c>
      <c r="AF3101">
        <v>4</v>
      </c>
      <c r="AG3101">
        <v>4</v>
      </c>
      <c r="AH3101">
        <v>7</v>
      </c>
      <c r="AI3101">
        <v>36.81</v>
      </c>
      <c r="AL3101" t="s">
        <v>5011</v>
      </c>
      <c r="AM3101">
        <v>20368</v>
      </c>
      <c r="AS3101">
        <v>12.7</v>
      </c>
      <c r="AT3101" t="s">
        <v>339</v>
      </c>
      <c r="AU3101" t="s">
        <v>292</v>
      </c>
      <c r="AW3101" t="s">
        <v>11446</v>
      </c>
    </row>
    <row r="3102" spans="1:49">
      <c r="A3102" s="1">
        <f>HYPERLINK("https://lsnyc.legalserver.org/matter/dynamic-profile/view/0771230","15-0771230")</f>
        <v>0</v>
      </c>
      <c r="B3102" t="s">
        <v>179</v>
      </c>
      <c r="C3102" t="s">
        <v>804</v>
      </c>
      <c r="E3102" t="s">
        <v>2628</v>
      </c>
      <c r="F3102" t="s">
        <v>5226</v>
      </c>
      <c r="G3102" t="s">
        <v>8549</v>
      </c>
      <c r="H3102" t="s">
        <v>11086</v>
      </c>
      <c r="I3102" t="s">
        <v>11391</v>
      </c>
      <c r="J3102">
        <v>11691</v>
      </c>
      <c r="K3102" t="s">
        <v>11447</v>
      </c>
      <c r="M3102" t="s">
        <v>14743</v>
      </c>
      <c r="N3102" t="s">
        <v>14781</v>
      </c>
      <c r="P3102" t="s">
        <v>14801</v>
      </c>
      <c r="S3102" t="s">
        <v>14827</v>
      </c>
      <c r="V3102">
        <v>1200</v>
      </c>
      <c r="W3102" t="s">
        <v>14861</v>
      </c>
      <c r="Z3102" t="s">
        <v>17483</v>
      </c>
      <c r="AB3102" t="s">
        <v>22547</v>
      </c>
      <c r="AC3102">
        <v>0</v>
      </c>
      <c r="AF3102">
        <v>0</v>
      </c>
      <c r="AG3102">
        <v>1</v>
      </c>
      <c r="AH3102">
        <v>2</v>
      </c>
      <c r="AI3102">
        <v>38.05</v>
      </c>
      <c r="AL3102" t="s">
        <v>5011</v>
      </c>
      <c r="AM3102">
        <v>7644</v>
      </c>
      <c r="AS3102">
        <v>16.5</v>
      </c>
      <c r="AT3102" t="s">
        <v>25161</v>
      </c>
      <c r="AU3102" t="s">
        <v>99</v>
      </c>
      <c r="AW3102" t="s">
        <v>11447</v>
      </c>
    </row>
    <row r="3103" spans="1:49">
      <c r="A3103" s="1">
        <f>HYPERLINK("https://lsnyc.legalserver.org/matter/dynamic-profile/view/0802959","16-0802959")</f>
        <v>0</v>
      </c>
      <c r="B3103" t="s">
        <v>138</v>
      </c>
      <c r="C3103" t="s">
        <v>805</v>
      </c>
      <c r="E3103" t="s">
        <v>2629</v>
      </c>
      <c r="F3103" t="s">
        <v>3547</v>
      </c>
      <c r="G3103" t="s">
        <v>8550</v>
      </c>
      <c r="H3103">
        <v>1</v>
      </c>
      <c r="I3103" t="s">
        <v>6196</v>
      </c>
      <c r="J3103">
        <v>11423</v>
      </c>
      <c r="K3103" t="s">
        <v>11447</v>
      </c>
      <c r="L3103" t="s">
        <v>12765</v>
      </c>
      <c r="M3103" t="s">
        <v>14743</v>
      </c>
      <c r="N3103" t="s">
        <v>14781</v>
      </c>
      <c r="P3103" t="s">
        <v>14801</v>
      </c>
      <c r="S3103" t="s">
        <v>14827</v>
      </c>
      <c r="V3103">
        <v>1500</v>
      </c>
      <c r="W3103" t="s">
        <v>14861</v>
      </c>
      <c r="X3103" t="s">
        <v>14874</v>
      </c>
      <c r="Z3103" t="s">
        <v>17484</v>
      </c>
      <c r="AB3103" t="s">
        <v>22548</v>
      </c>
      <c r="AC3103">
        <v>0</v>
      </c>
      <c r="AF3103">
        <v>5</v>
      </c>
      <c r="AG3103">
        <v>3</v>
      </c>
      <c r="AH3103">
        <v>1</v>
      </c>
      <c r="AI3103">
        <v>39.01</v>
      </c>
      <c r="AL3103" t="s">
        <v>24632</v>
      </c>
      <c r="AM3103">
        <v>9480</v>
      </c>
      <c r="AS3103">
        <v>10.3</v>
      </c>
      <c r="AT3103" t="s">
        <v>25162</v>
      </c>
      <c r="AU3103" t="s">
        <v>25255</v>
      </c>
      <c r="AW3103" t="s">
        <v>11447</v>
      </c>
    </row>
    <row r="3104" spans="1:49">
      <c r="A3104" s="1">
        <f>HYPERLINK("https://lsnyc.legalserver.org/matter/dynamic-profile/view/1909693","19-1909693")</f>
        <v>0</v>
      </c>
      <c r="B3104" t="s">
        <v>204</v>
      </c>
      <c r="C3104" t="s">
        <v>519</v>
      </c>
      <c r="E3104" t="s">
        <v>1440</v>
      </c>
      <c r="F3104" t="s">
        <v>5151</v>
      </c>
      <c r="G3104" t="s">
        <v>8428</v>
      </c>
      <c r="H3104" t="s">
        <v>10705</v>
      </c>
      <c r="I3104" t="s">
        <v>11396</v>
      </c>
      <c r="J3104">
        <v>11365</v>
      </c>
      <c r="K3104" t="s">
        <v>11446</v>
      </c>
      <c r="L3104" t="s">
        <v>12766</v>
      </c>
      <c r="M3104" t="s">
        <v>14743</v>
      </c>
      <c r="N3104" t="s">
        <v>14782</v>
      </c>
      <c r="P3104" t="s">
        <v>14801</v>
      </c>
      <c r="Q3104" t="s">
        <v>11448</v>
      </c>
      <c r="S3104" t="s">
        <v>14827</v>
      </c>
      <c r="V3104">
        <v>2400</v>
      </c>
      <c r="W3104" t="s">
        <v>14861</v>
      </c>
      <c r="X3104" t="s">
        <v>14865</v>
      </c>
      <c r="Z3104" t="s">
        <v>15692</v>
      </c>
      <c r="AA3104" t="s">
        <v>19610</v>
      </c>
      <c r="AB3104" t="s">
        <v>22429</v>
      </c>
      <c r="AC3104">
        <v>3</v>
      </c>
      <c r="AE3104" t="s">
        <v>24610</v>
      </c>
      <c r="AF3104">
        <v>3</v>
      </c>
      <c r="AG3104">
        <v>3</v>
      </c>
      <c r="AH3104">
        <v>1</v>
      </c>
      <c r="AI3104">
        <v>39.75</v>
      </c>
      <c r="AL3104" t="s">
        <v>5011</v>
      </c>
      <c r="AM3104">
        <v>10236</v>
      </c>
      <c r="AS3104">
        <v>19.82</v>
      </c>
      <c r="AT3104" t="s">
        <v>539</v>
      </c>
      <c r="AU3104" t="s">
        <v>25233</v>
      </c>
      <c r="AV3104" t="s">
        <v>25335</v>
      </c>
      <c r="AW3104" t="s">
        <v>11447</v>
      </c>
    </row>
    <row r="3105" spans="1:49">
      <c r="A3105" s="1">
        <f>HYPERLINK("https://lsnyc.legalserver.org/matter/dynamic-profile/view/0774240","15-0774240")</f>
        <v>0</v>
      </c>
      <c r="B3105" t="s">
        <v>229</v>
      </c>
      <c r="C3105" t="s">
        <v>806</v>
      </c>
      <c r="E3105" t="s">
        <v>1270</v>
      </c>
      <c r="F3105" t="s">
        <v>4232</v>
      </c>
      <c r="G3105" t="s">
        <v>8551</v>
      </c>
      <c r="H3105" t="s">
        <v>11087</v>
      </c>
      <c r="I3105" t="s">
        <v>11392</v>
      </c>
      <c r="J3105">
        <v>11372</v>
      </c>
      <c r="K3105" t="s">
        <v>11447</v>
      </c>
      <c r="L3105" t="s">
        <v>12767</v>
      </c>
      <c r="M3105" t="s">
        <v>14744</v>
      </c>
      <c r="N3105" t="s">
        <v>14781</v>
      </c>
      <c r="P3105" t="s">
        <v>14801</v>
      </c>
      <c r="Q3105" t="s">
        <v>11448</v>
      </c>
      <c r="S3105" t="s">
        <v>14827</v>
      </c>
      <c r="V3105">
        <v>0</v>
      </c>
      <c r="W3105" t="s">
        <v>14861</v>
      </c>
      <c r="X3105" t="s">
        <v>14873</v>
      </c>
      <c r="Z3105" t="s">
        <v>17264</v>
      </c>
      <c r="AB3105" t="s">
        <v>22549</v>
      </c>
      <c r="AC3105">
        <v>16</v>
      </c>
      <c r="AD3105" t="s">
        <v>24595</v>
      </c>
      <c r="AF3105">
        <v>0</v>
      </c>
      <c r="AG3105">
        <v>4</v>
      </c>
      <c r="AH3105">
        <v>1</v>
      </c>
      <c r="AI3105">
        <v>41.18</v>
      </c>
      <c r="AL3105" t="s">
        <v>24632</v>
      </c>
      <c r="AM3105">
        <v>11700</v>
      </c>
      <c r="AS3105">
        <v>18.6</v>
      </c>
      <c r="AT3105" t="s">
        <v>25163</v>
      </c>
      <c r="AU3105" t="s">
        <v>229</v>
      </c>
      <c r="AW3105" t="s">
        <v>11447</v>
      </c>
    </row>
    <row r="3106" spans="1:49">
      <c r="A3106" s="1">
        <f>HYPERLINK("https://lsnyc.legalserver.org/matter/dynamic-profile/view/1910494","19-1910494")</f>
        <v>0</v>
      </c>
      <c r="B3106" t="s">
        <v>179</v>
      </c>
      <c r="C3106" t="s">
        <v>508</v>
      </c>
      <c r="E3106" t="s">
        <v>1244</v>
      </c>
      <c r="F3106" t="s">
        <v>5227</v>
      </c>
      <c r="G3106" t="s">
        <v>8552</v>
      </c>
      <c r="H3106" t="s">
        <v>10486</v>
      </c>
      <c r="I3106" t="s">
        <v>11405</v>
      </c>
      <c r="J3106">
        <v>11417</v>
      </c>
      <c r="K3106" t="s">
        <v>11446</v>
      </c>
      <c r="L3106" t="s">
        <v>12768</v>
      </c>
      <c r="M3106" t="s">
        <v>14743</v>
      </c>
      <c r="N3106" t="s">
        <v>14782</v>
      </c>
      <c r="P3106" t="s">
        <v>14801</v>
      </c>
      <c r="Q3106" t="s">
        <v>11448</v>
      </c>
      <c r="S3106" t="s">
        <v>14827</v>
      </c>
      <c r="V3106">
        <v>1400</v>
      </c>
      <c r="W3106" t="s">
        <v>14861</v>
      </c>
      <c r="X3106" t="s">
        <v>14865</v>
      </c>
      <c r="Z3106" t="s">
        <v>16687</v>
      </c>
      <c r="AA3106" t="s">
        <v>19658</v>
      </c>
      <c r="AB3106" t="s">
        <v>22550</v>
      </c>
      <c r="AC3106">
        <v>2</v>
      </c>
      <c r="AD3106" t="s">
        <v>24600</v>
      </c>
      <c r="AE3106" t="s">
        <v>24615</v>
      </c>
      <c r="AF3106">
        <v>7</v>
      </c>
      <c r="AG3106">
        <v>2</v>
      </c>
      <c r="AH3106">
        <v>1</v>
      </c>
      <c r="AI3106">
        <v>43.38</v>
      </c>
      <c r="AL3106" t="s">
        <v>5011</v>
      </c>
      <c r="AM3106">
        <v>9252</v>
      </c>
      <c r="AS3106">
        <v>1.3</v>
      </c>
      <c r="AT3106" t="s">
        <v>491</v>
      </c>
      <c r="AU3106" t="s">
        <v>25233</v>
      </c>
      <c r="AV3106" t="s">
        <v>25335</v>
      </c>
      <c r="AW3106" t="s">
        <v>11447</v>
      </c>
    </row>
    <row r="3107" spans="1:49">
      <c r="A3107" s="1">
        <f>HYPERLINK("https://lsnyc.legalserver.org/matter/dynamic-profile/view/1866787","18-1866787")</f>
        <v>0</v>
      </c>
      <c r="B3107" t="s">
        <v>99</v>
      </c>
      <c r="C3107" t="s">
        <v>807</v>
      </c>
      <c r="E3107" t="s">
        <v>2630</v>
      </c>
      <c r="F3107" t="s">
        <v>4310</v>
      </c>
      <c r="G3107" t="s">
        <v>8553</v>
      </c>
      <c r="H3107" t="s">
        <v>11088</v>
      </c>
      <c r="I3107" t="s">
        <v>11396</v>
      </c>
      <c r="J3107">
        <v>11365</v>
      </c>
      <c r="K3107" t="s">
        <v>11447</v>
      </c>
      <c r="L3107" t="s">
        <v>11465</v>
      </c>
      <c r="M3107" t="s">
        <v>14750</v>
      </c>
      <c r="N3107" t="s">
        <v>14778</v>
      </c>
      <c r="P3107" t="s">
        <v>14801</v>
      </c>
      <c r="Q3107" t="s">
        <v>14816</v>
      </c>
      <c r="S3107" t="s">
        <v>14827</v>
      </c>
      <c r="V3107">
        <v>752</v>
      </c>
      <c r="W3107" t="s">
        <v>14861</v>
      </c>
      <c r="X3107" t="s">
        <v>14877</v>
      </c>
      <c r="Z3107" t="s">
        <v>17485</v>
      </c>
      <c r="AB3107" t="s">
        <v>22551</v>
      </c>
      <c r="AC3107">
        <v>28</v>
      </c>
      <c r="AD3107" t="s">
        <v>24597</v>
      </c>
      <c r="AE3107" t="s">
        <v>11459</v>
      </c>
      <c r="AF3107">
        <v>36</v>
      </c>
      <c r="AG3107">
        <v>1</v>
      </c>
      <c r="AH3107">
        <v>3</v>
      </c>
      <c r="AI3107">
        <v>46.82</v>
      </c>
      <c r="AL3107" t="s">
        <v>5011</v>
      </c>
      <c r="AM3107">
        <v>11752</v>
      </c>
      <c r="AS3107">
        <v>0</v>
      </c>
      <c r="AU3107" t="s">
        <v>99</v>
      </c>
      <c r="AW3107" t="s">
        <v>11447</v>
      </c>
    </row>
    <row r="3108" spans="1:49">
      <c r="A3108" s="1">
        <f>HYPERLINK("https://lsnyc.legalserver.org/matter/dynamic-profile/view/1878715","18-1878715")</f>
        <v>0</v>
      </c>
      <c r="B3108" t="s">
        <v>179</v>
      </c>
      <c r="C3108" t="s">
        <v>445</v>
      </c>
      <c r="E3108" t="s">
        <v>1316</v>
      </c>
      <c r="F3108" t="s">
        <v>5228</v>
      </c>
      <c r="G3108" t="s">
        <v>8554</v>
      </c>
      <c r="H3108" t="s">
        <v>11089</v>
      </c>
      <c r="I3108" t="s">
        <v>11409</v>
      </c>
      <c r="J3108">
        <v>11377</v>
      </c>
      <c r="K3108" t="s">
        <v>11446</v>
      </c>
      <c r="L3108" t="s">
        <v>12769</v>
      </c>
      <c r="M3108" t="s">
        <v>14743</v>
      </c>
      <c r="N3108" t="s">
        <v>14781</v>
      </c>
      <c r="P3108" t="s">
        <v>14801</v>
      </c>
      <c r="Q3108" t="s">
        <v>11448</v>
      </c>
      <c r="S3108" t="s">
        <v>14827</v>
      </c>
      <c r="T3108" t="s">
        <v>14832</v>
      </c>
      <c r="V3108">
        <v>1136</v>
      </c>
      <c r="W3108" t="s">
        <v>14861</v>
      </c>
      <c r="X3108" t="s">
        <v>14872</v>
      </c>
      <c r="Z3108" t="s">
        <v>17486</v>
      </c>
      <c r="AB3108" t="s">
        <v>22552</v>
      </c>
      <c r="AC3108">
        <v>6</v>
      </c>
      <c r="AD3108" t="s">
        <v>24595</v>
      </c>
      <c r="AE3108" t="s">
        <v>11459</v>
      </c>
      <c r="AF3108">
        <v>24</v>
      </c>
      <c r="AG3108">
        <v>3</v>
      </c>
      <c r="AH3108">
        <v>1</v>
      </c>
      <c r="AI3108">
        <v>47.81</v>
      </c>
      <c r="AK3108" t="s">
        <v>24629</v>
      </c>
      <c r="AL3108" t="s">
        <v>24632</v>
      </c>
      <c r="AM3108">
        <v>12000</v>
      </c>
      <c r="AS3108">
        <v>36.55</v>
      </c>
      <c r="AT3108" t="s">
        <v>636</v>
      </c>
      <c r="AU3108" t="s">
        <v>179</v>
      </c>
      <c r="AW3108" t="s">
        <v>11446</v>
      </c>
    </row>
    <row r="3109" spans="1:49">
      <c r="A3109" s="1">
        <f>HYPERLINK("https://lsnyc.legalserver.org/matter/dynamic-profile/view/1909863","19-1909863")</f>
        <v>0</v>
      </c>
      <c r="B3109" t="s">
        <v>74</v>
      </c>
      <c r="C3109" t="s">
        <v>504</v>
      </c>
      <c r="E3109" t="s">
        <v>1399</v>
      </c>
      <c r="F3109" t="s">
        <v>5229</v>
      </c>
      <c r="G3109" t="s">
        <v>8555</v>
      </c>
      <c r="H3109" t="s">
        <v>10665</v>
      </c>
      <c r="I3109" t="s">
        <v>11404</v>
      </c>
      <c r="J3109">
        <v>11102</v>
      </c>
      <c r="K3109" t="s">
        <v>11447</v>
      </c>
      <c r="M3109" t="s">
        <v>14750</v>
      </c>
      <c r="N3109" t="s">
        <v>14780</v>
      </c>
      <c r="P3109" t="s">
        <v>14801</v>
      </c>
      <c r="Q3109" t="s">
        <v>11446</v>
      </c>
      <c r="S3109" t="s">
        <v>14827</v>
      </c>
      <c r="T3109" t="s">
        <v>14835</v>
      </c>
      <c r="V3109">
        <v>552</v>
      </c>
      <c r="W3109" t="s">
        <v>14861</v>
      </c>
      <c r="X3109" t="s">
        <v>14873</v>
      </c>
      <c r="Z3109" t="s">
        <v>15452</v>
      </c>
      <c r="AB3109" t="s">
        <v>22553</v>
      </c>
      <c r="AC3109">
        <v>0</v>
      </c>
      <c r="AD3109" t="s">
        <v>24596</v>
      </c>
      <c r="AF3109">
        <v>40</v>
      </c>
      <c r="AG3109">
        <v>4</v>
      </c>
      <c r="AH3109">
        <v>2</v>
      </c>
      <c r="AI3109">
        <v>48.01</v>
      </c>
      <c r="AL3109" t="s">
        <v>5011</v>
      </c>
      <c r="AM3109">
        <v>16608</v>
      </c>
      <c r="AS3109">
        <v>3</v>
      </c>
      <c r="AT3109" t="s">
        <v>528</v>
      </c>
      <c r="AU3109" t="s">
        <v>229</v>
      </c>
      <c r="AW3109" t="s">
        <v>11447</v>
      </c>
    </row>
    <row r="3110" spans="1:49">
      <c r="A3110" s="1">
        <f>HYPERLINK("https://lsnyc.legalserver.org/matter/dynamic-profile/view/1913975","19-1913975")</f>
        <v>0</v>
      </c>
      <c r="B3110" t="s">
        <v>248</v>
      </c>
      <c r="C3110" t="s">
        <v>490</v>
      </c>
      <c r="E3110" t="s">
        <v>2631</v>
      </c>
      <c r="F3110" t="s">
        <v>3901</v>
      </c>
      <c r="G3110" t="s">
        <v>8556</v>
      </c>
      <c r="I3110" t="s">
        <v>11417</v>
      </c>
      <c r="J3110">
        <v>11693</v>
      </c>
      <c r="K3110" t="s">
        <v>11446</v>
      </c>
      <c r="L3110" t="s">
        <v>12770</v>
      </c>
      <c r="M3110" t="s">
        <v>14743</v>
      </c>
      <c r="N3110" t="s">
        <v>14782</v>
      </c>
      <c r="P3110" t="s">
        <v>14801</v>
      </c>
      <c r="Q3110" t="s">
        <v>11448</v>
      </c>
      <c r="S3110" t="s">
        <v>14827</v>
      </c>
      <c r="V3110">
        <v>1950</v>
      </c>
      <c r="W3110" t="s">
        <v>14861</v>
      </c>
      <c r="X3110" t="s">
        <v>14865</v>
      </c>
      <c r="Z3110" t="s">
        <v>17487</v>
      </c>
      <c r="AA3110" t="s">
        <v>19659</v>
      </c>
      <c r="AB3110" t="s">
        <v>22554</v>
      </c>
      <c r="AC3110">
        <v>1</v>
      </c>
      <c r="AD3110" t="s">
        <v>11479</v>
      </c>
      <c r="AE3110" t="s">
        <v>24615</v>
      </c>
      <c r="AF3110">
        <v>5</v>
      </c>
      <c r="AG3110">
        <v>1</v>
      </c>
      <c r="AH3110">
        <v>1</v>
      </c>
      <c r="AI3110">
        <v>49.67</v>
      </c>
      <c r="AL3110" t="s">
        <v>5011</v>
      </c>
      <c r="AM3110">
        <v>8400</v>
      </c>
      <c r="AS3110">
        <v>1.33</v>
      </c>
      <c r="AT3110" t="s">
        <v>490</v>
      </c>
      <c r="AU3110" t="s">
        <v>25233</v>
      </c>
      <c r="AV3110" t="s">
        <v>25335</v>
      </c>
      <c r="AW3110" t="s">
        <v>11447</v>
      </c>
    </row>
    <row r="3111" spans="1:49">
      <c r="A3111" s="1">
        <f>HYPERLINK("https://lsnyc.legalserver.org/matter/dynamic-profile/view/1881991","18-1881991")</f>
        <v>0</v>
      </c>
      <c r="B3111" t="s">
        <v>110</v>
      </c>
      <c r="C3111" t="s">
        <v>439</v>
      </c>
      <c r="E3111" t="s">
        <v>2632</v>
      </c>
      <c r="F3111" t="s">
        <v>5230</v>
      </c>
      <c r="G3111" t="s">
        <v>8557</v>
      </c>
      <c r="H3111" t="s">
        <v>10464</v>
      </c>
      <c r="I3111" t="s">
        <v>11434</v>
      </c>
      <c r="J3111">
        <v>11419</v>
      </c>
      <c r="K3111" t="s">
        <v>11446</v>
      </c>
      <c r="L3111" t="s">
        <v>12771</v>
      </c>
      <c r="M3111" t="s">
        <v>14743</v>
      </c>
      <c r="N3111" t="s">
        <v>14782</v>
      </c>
      <c r="P3111" t="s">
        <v>14801</v>
      </c>
      <c r="Q3111" t="s">
        <v>11448</v>
      </c>
      <c r="S3111" t="s">
        <v>14827</v>
      </c>
      <c r="V3111">
        <v>825</v>
      </c>
      <c r="W3111" t="s">
        <v>14861</v>
      </c>
      <c r="X3111" t="s">
        <v>14865</v>
      </c>
      <c r="Z3111" t="s">
        <v>17488</v>
      </c>
      <c r="AA3111" t="s">
        <v>19660</v>
      </c>
      <c r="AB3111" t="s">
        <v>22555</v>
      </c>
      <c r="AC3111">
        <v>4</v>
      </c>
      <c r="AD3111" t="s">
        <v>11479</v>
      </c>
      <c r="AE3111" t="s">
        <v>11459</v>
      </c>
      <c r="AF3111">
        <v>21</v>
      </c>
      <c r="AG3111">
        <v>1</v>
      </c>
      <c r="AH3111">
        <v>0</v>
      </c>
      <c r="AI3111">
        <v>51.8</v>
      </c>
      <c r="AL3111" t="s">
        <v>24660</v>
      </c>
      <c r="AM3111">
        <v>6288</v>
      </c>
      <c r="AS3111">
        <v>6.3</v>
      </c>
      <c r="AT3111" t="s">
        <v>575</v>
      </c>
      <c r="AU3111" t="s">
        <v>292</v>
      </c>
      <c r="AW3111" t="s">
        <v>11446</v>
      </c>
    </row>
    <row r="3112" spans="1:49">
      <c r="A3112" s="1">
        <f>HYPERLINK("https://lsnyc.legalserver.org/matter/dynamic-profile/view/1837958","17-1837958")</f>
        <v>0</v>
      </c>
      <c r="B3112" t="s">
        <v>122</v>
      </c>
      <c r="C3112" t="s">
        <v>688</v>
      </c>
      <c r="E3112" t="s">
        <v>2633</v>
      </c>
      <c r="F3112" t="s">
        <v>5231</v>
      </c>
      <c r="G3112" t="s">
        <v>8558</v>
      </c>
      <c r="H3112" t="s">
        <v>10574</v>
      </c>
      <c r="I3112" t="s">
        <v>11387</v>
      </c>
      <c r="J3112">
        <v>11435</v>
      </c>
      <c r="K3112" t="s">
        <v>11446</v>
      </c>
      <c r="L3112" t="s">
        <v>12772</v>
      </c>
      <c r="M3112" t="s">
        <v>14744</v>
      </c>
      <c r="N3112" t="s">
        <v>14781</v>
      </c>
      <c r="P3112" t="s">
        <v>14801</v>
      </c>
      <c r="Q3112" t="s">
        <v>11446</v>
      </c>
      <c r="S3112" t="s">
        <v>14827</v>
      </c>
      <c r="T3112" t="s">
        <v>14832</v>
      </c>
      <c r="V3112">
        <v>1810</v>
      </c>
      <c r="W3112" t="s">
        <v>14861</v>
      </c>
      <c r="X3112" t="s">
        <v>14874</v>
      </c>
      <c r="Z3112" t="s">
        <v>17489</v>
      </c>
      <c r="AB3112" t="s">
        <v>22556</v>
      </c>
      <c r="AC3112">
        <v>0</v>
      </c>
      <c r="AD3112" t="s">
        <v>24595</v>
      </c>
      <c r="AF3112">
        <v>2</v>
      </c>
      <c r="AG3112">
        <v>4</v>
      </c>
      <c r="AH3112">
        <v>4</v>
      </c>
      <c r="AI3112">
        <v>52.03</v>
      </c>
      <c r="AM3112">
        <v>21500</v>
      </c>
      <c r="AO3112" t="s">
        <v>24932</v>
      </c>
      <c r="AP3112" t="s">
        <v>24942</v>
      </c>
      <c r="AQ3112" t="s">
        <v>24986</v>
      </c>
      <c r="AR3112" t="s">
        <v>25067</v>
      </c>
      <c r="AS3112">
        <v>21.1</v>
      </c>
      <c r="AT3112" t="s">
        <v>25164</v>
      </c>
      <c r="AU3112" t="s">
        <v>99</v>
      </c>
      <c r="AV3112" t="s">
        <v>25335</v>
      </c>
      <c r="AW3112" t="s">
        <v>11447</v>
      </c>
    </row>
    <row r="3113" spans="1:49">
      <c r="A3113" s="1">
        <f>HYPERLINK("https://lsnyc.legalserver.org/matter/dynamic-profile/view/1871034","18-1871034")</f>
        <v>0</v>
      </c>
      <c r="B3113" t="s">
        <v>99</v>
      </c>
      <c r="C3113" t="s">
        <v>426</v>
      </c>
      <c r="E3113" t="s">
        <v>2634</v>
      </c>
      <c r="F3113" t="s">
        <v>5232</v>
      </c>
      <c r="G3113" t="s">
        <v>8559</v>
      </c>
      <c r="H3113" t="s">
        <v>11090</v>
      </c>
      <c r="I3113" t="s">
        <v>11437</v>
      </c>
      <c r="J3113">
        <v>11429</v>
      </c>
      <c r="K3113" t="s">
        <v>11447</v>
      </c>
      <c r="P3113" t="s">
        <v>14801</v>
      </c>
      <c r="S3113" t="s">
        <v>14827</v>
      </c>
      <c r="V3113">
        <v>0</v>
      </c>
      <c r="W3113" t="s">
        <v>14861</v>
      </c>
      <c r="Z3113" t="s">
        <v>17490</v>
      </c>
      <c r="AB3113" t="s">
        <v>22557</v>
      </c>
      <c r="AC3113">
        <v>0</v>
      </c>
      <c r="AF3113">
        <v>0</v>
      </c>
      <c r="AG3113">
        <v>4</v>
      </c>
      <c r="AH3113">
        <v>2</v>
      </c>
      <c r="AI3113">
        <v>53.28</v>
      </c>
      <c r="AM3113">
        <v>17975</v>
      </c>
      <c r="AS3113">
        <v>0.1</v>
      </c>
      <c r="AT3113" t="s">
        <v>508</v>
      </c>
      <c r="AU3113" t="s">
        <v>99</v>
      </c>
      <c r="AW3113" t="s">
        <v>11447</v>
      </c>
    </row>
    <row r="3114" spans="1:49">
      <c r="A3114" s="1">
        <f>HYPERLINK("https://lsnyc.legalserver.org/matter/dynamic-profile/view/1853273","17-1853273")</f>
        <v>0</v>
      </c>
      <c r="B3114" t="s">
        <v>179</v>
      </c>
      <c r="C3114" t="s">
        <v>808</v>
      </c>
      <c r="E3114" t="s">
        <v>1636</v>
      </c>
      <c r="F3114" t="s">
        <v>5233</v>
      </c>
      <c r="G3114" t="s">
        <v>8560</v>
      </c>
      <c r="I3114" t="s">
        <v>11422</v>
      </c>
      <c r="J3114">
        <v>11413</v>
      </c>
      <c r="K3114" t="s">
        <v>11446</v>
      </c>
      <c r="L3114" t="s">
        <v>12773</v>
      </c>
      <c r="M3114" t="s">
        <v>14743</v>
      </c>
      <c r="N3114" t="s">
        <v>14782</v>
      </c>
      <c r="P3114" t="s">
        <v>14801</v>
      </c>
      <c r="Q3114" t="s">
        <v>11448</v>
      </c>
      <c r="S3114" t="s">
        <v>14827</v>
      </c>
      <c r="V3114">
        <v>1600</v>
      </c>
      <c r="W3114" t="s">
        <v>14861</v>
      </c>
      <c r="X3114" t="s">
        <v>14865</v>
      </c>
      <c r="Z3114" t="s">
        <v>17491</v>
      </c>
      <c r="AB3114" t="s">
        <v>22558</v>
      </c>
      <c r="AC3114">
        <v>0</v>
      </c>
      <c r="AE3114" t="s">
        <v>11459</v>
      </c>
      <c r="AF3114">
        <v>4</v>
      </c>
      <c r="AG3114">
        <v>2</v>
      </c>
      <c r="AH3114">
        <v>3</v>
      </c>
      <c r="AI3114">
        <v>55.59</v>
      </c>
      <c r="AK3114" t="s">
        <v>24630</v>
      </c>
      <c r="AL3114" t="s">
        <v>24641</v>
      </c>
      <c r="AM3114">
        <v>16000</v>
      </c>
      <c r="AS3114">
        <v>13.05</v>
      </c>
      <c r="AT3114" t="s">
        <v>652</v>
      </c>
      <c r="AU3114" t="s">
        <v>292</v>
      </c>
      <c r="AW3114" t="s">
        <v>11447</v>
      </c>
    </row>
    <row r="3115" spans="1:49">
      <c r="A3115" s="1">
        <f>HYPERLINK("https://lsnyc.legalserver.org/matter/dynamic-profile/view/1908174","19-1908174")</f>
        <v>0</v>
      </c>
      <c r="B3115" t="s">
        <v>99</v>
      </c>
      <c r="C3115" t="s">
        <v>372</v>
      </c>
      <c r="E3115" t="s">
        <v>2581</v>
      </c>
      <c r="F3115" t="s">
        <v>4042</v>
      </c>
      <c r="G3115" t="s">
        <v>8462</v>
      </c>
      <c r="H3115" t="s">
        <v>10541</v>
      </c>
      <c r="I3115" t="s">
        <v>11416</v>
      </c>
      <c r="J3115">
        <v>11361</v>
      </c>
      <c r="K3115" t="s">
        <v>11447</v>
      </c>
      <c r="L3115" t="s">
        <v>12774</v>
      </c>
      <c r="M3115" t="s">
        <v>14744</v>
      </c>
      <c r="N3115" t="s">
        <v>14779</v>
      </c>
      <c r="P3115" t="s">
        <v>14801</v>
      </c>
      <c r="S3115" t="s">
        <v>14827</v>
      </c>
      <c r="V3115">
        <v>1878</v>
      </c>
      <c r="W3115" t="s">
        <v>14861</v>
      </c>
      <c r="X3115" t="s">
        <v>14865</v>
      </c>
      <c r="Z3115" t="s">
        <v>16682</v>
      </c>
      <c r="AB3115" t="s">
        <v>22461</v>
      </c>
      <c r="AC3115">
        <v>14</v>
      </c>
      <c r="AD3115" t="s">
        <v>24595</v>
      </c>
      <c r="AE3115" t="s">
        <v>11459</v>
      </c>
      <c r="AF3115">
        <v>4</v>
      </c>
      <c r="AG3115">
        <v>1</v>
      </c>
      <c r="AH3115">
        <v>2</v>
      </c>
      <c r="AI3115">
        <v>56.26</v>
      </c>
      <c r="AL3115" t="s">
        <v>5011</v>
      </c>
      <c r="AM3115">
        <v>12000</v>
      </c>
      <c r="AS3115">
        <v>35.65</v>
      </c>
      <c r="AT3115" t="s">
        <v>495</v>
      </c>
      <c r="AU3115" t="s">
        <v>99</v>
      </c>
      <c r="AW3115" t="s">
        <v>11447</v>
      </c>
    </row>
    <row r="3116" spans="1:49">
      <c r="A3116" s="1">
        <f>HYPERLINK("https://lsnyc.legalserver.org/matter/dynamic-profile/view/1865002","18-1865002")</f>
        <v>0</v>
      </c>
      <c r="B3116" t="s">
        <v>122</v>
      </c>
      <c r="C3116" t="s">
        <v>809</v>
      </c>
      <c r="E3116" t="s">
        <v>2635</v>
      </c>
      <c r="F3116" t="s">
        <v>5234</v>
      </c>
      <c r="G3116" t="s">
        <v>8561</v>
      </c>
      <c r="H3116" t="s">
        <v>11091</v>
      </c>
      <c r="I3116" t="s">
        <v>11439</v>
      </c>
      <c r="J3116">
        <v>11414</v>
      </c>
      <c r="K3116" t="s">
        <v>11446</v>
      </c>
      <c r="L3116" t="s">
        <v>12775</v>
      </c>
      <c r="M3116" t="s">
        <v>14743</v>
      </c>
      <c r="N3116" t="s">
        <v>14778</v>
      </c>
      <c r="P3116" t="s">
        <v>14801</v>
      </c>
      <c r="Q3116" t="s">
        <v>11448</v>
      </c>
      <c r="S3116" t="s">
        <v>14827</v>
      </c>
      <c r="V3116">
        <v>3800</v>
      </c>
      <c r="W3116" t="s">
        <v>14861</v>
      </c>
      <c r="X3116" t="s">
        <v>14865</v>
      </c>
      <c r="Z3116" t="s">
        <v>17492</v>
      </c>
      <c r="AB3116" t="s">
        <v>22559</v>
      </c>
      <c r="AC3116">
        <v>0</v>
      </c>
      <c r="AD3116" t="s">
        <v>24600</v>
      </c>
      <c r="AE3116" t="s">
        <v>11459</v>
      </c>
      <c r="AF3116">
        <v>12</v>
      </c>
      <c r="AG3116">
        <v>3</v>
      </c>
      <c r="AH3116">
        <v>2</v>
      </c>
      <c r="AI3116">
        <v>56.56</v>
      </c>
      <c r="AK3116" t="s">
        <v>24630</v>
      </c>
      <c r="AL3116" t="s">
        <v>24632</v>
      </c>
      <c r="AM3116">
        <v>16640</v>
      </c>
      <c r="AS3116">
        <v>1.2</v>
      </c>
      <c r="AT3116" t="s">
        <v>868</v>
      </c>
      <c r="AU3116" t="s">
        <v>292</v>
      </c>
      <c r="AW3116" t="s">
        <v>11447</v>
      </c>
    </row>
    <row r="3117" spans="1:49">
      <c r="A3117" s="1">
        <f>HYPERLINK("https://lsnyc.legalserver.org/matter/dynamic-profile/view/1914193","19-1914193")</f>
        <v>0</v>
      </c>
      <c r="B3117" t="s">
        <v>291</v>
      </c>
      <c r="C3117" t="s">
        <v>580</v>
      </c>
      <c r="E3117" t="s">
        <v>1320</v>
      </c>
      <c r="F3117" t="s">
        <v>5235</v>
      </c>
      <c r="G3117" t="s">
        <v>8562</v>
      </c>
      <c r="I3117" t="s">
        <v>11390</v>
      </c>
      <c r="J3117">
        <v>11368</v>
      </c>
      <c r="K3117" t="s">
        <v>11446</v>
      </c>
      <c r="L3117" t="s">
        <v>12776</v>
      </c>
      <c r="M3117" t="s">
        <v>14743</v>
      </c>
      <c r="N3117" t="s">
        <v>14778</v>
      </c>
      <c r="P3117" t="s">
        <v>14801</v>
      </c>
      <c r="Q3117" t="s">
        <v>11448</v>
      </c>
      <c r="S3117" t="s">
        <v>14827</v>
      </c>
      <c r="V3117">
        <v>500</v>
      </c>
      <c r="W3117" t="s">
        <v>14861</v>
      </c>
      <c r="X3117" t="s">
        <v>14865</v>
      </c>
      <c r="Z3117" t="s">
        <v>17493</v>
      </c>
      <c r="AB3117" t="s">
        <v>22560</v>
      </c>
      <c r="AC3117">
        <v>0</v>
      </c>
      <c r="AD3117" t="s">
        <v>24600</v>
      </c>
      <c r="AF3117">
        <v>0</v>
      </c>
      <c r="AG3117">
        <v>2</v>
      </c>
      <c r="AH3117">
        <v>0</v>
      </c>
      <c r="AI3117">
        <v>56.77</v>
      </c>
      <c r="AL3117" t="s">
        <v>24632</v>
      </c>
      <c r="AM3117">
        <v>9600</v>
      </c>
      <c r="AS3117">
        <v>1.03</v>
      </c>
      <c r="AT3117" t="s">
        <v>592</v>
      </c>
      <c r="AU3117" t="s">
        <v>25233</v>
      </c>
      <c r="AV3117" t="s">
        <v>25334</v>
      </c>
      <c r="AW3117" t="s">
        <v>11447</v>
      </c>
    </row>
    <row r="3118" spans="1:49">
      <c r="A3118" s="1">
        <f>HYPERLINK("https://lsnyc.legalserver.org/matter/dynamic-profile/view/1913960","19-1913960")</f>
        <v>0</v>
      </c>
      <c r="B3118" t="s">
        <v>147</v>
      </c>
      <c r="C3118" t="s">
        <v>490</v>
      </c>
      <c r="E3118" t="s">
        <v>1309</v>
      </c>
      <c r="F3118" t="s">
        <v>5236</v>
      </c>
      <c r="G3118" t="s">
        <v>8563</v>
      </c>
      <c r="H3118" t="s">
        <v>10486</v>
      </c>
      <c r="I3118" t="s">
        <v>11397</v>
      </c>
      <c r="J3118">
        <v>11378</v>
      </c>
      <c r="K3118" t="s">
        <v>11446</v>
      </c>
      <c r="L3118" t="s">
        <v>12777</v>
      </c>
      <c r="M3118" t="s">
        <v>14743</v>
      </c>
      <c r="N3118" t="s">
        <v>14782</v>
      </c>
      <c r="P3118" t="s">
        <v>14801</v>
      </c>
      <c r="Q3118" t="s">
        <v>11448</v>
      </c>
      <c r="S3118" t="s">
        <v>14827</v>
      </c>
      <c r="V3118">
        <v>600</v>
      </c>
      <c r="W3118" t="s">
        <v>14861</v>
      </c>
      <c r="X3118" t="s">
        <v>14865</v>
      </c>
      <c r="Z3118" t="s">
        <v>17494</v>
      </c>
      <c r="AA3118" t="s">
        <v>19661</v>
      </c>
      <c r="AB3118" t="s">
        <v>22561</v>
      </c>
      <c r="AC3118">
        <v>2</v>
      </c>
      <c r="AD3118" t="s">
        <v>24600</v>
      </c>
      <c r="AE3118" t="s">
        <v>11459</v>
      </c>
      <c r="AF3118">
        <v>26</v>
      </c>
      <c r="AG3118">
        <v>1</v>
      </c>
      <c r="AH3118">
        <v>1</v>
      </c>
      <c r="AI3118">
        <v>56.98</v>
      </c>
      <c r="AL3118" t="s">
        <v>24632</v>
      </c>
      <c r="AM3118">
        <v>9636</v>
      </c>
      <c r="AS3118">
        <v>1.33</v>
      </c>
      <c r="AT3118" t="s">
        <v>490</v>
      </c>
      <c r="AU3118" t="s">
        <v>25233</v>
      </c>
      <c r="AV3118" t="s">
        <v>25335</v>
      </c>
      <c r="AW3118" t="s">
        <v>11447</v>
      </c>
    </row>
    <row r="3119" spans="1:49">
      <c r="A3119" s="1">
        <f>HYPERLINK("https://lsnyc.legalserver.org/matter/dynamic-profile/view/1908921","19-1908921")</f>
        <v>0</v>
      </c>
      <c r="B3119" t="s">
        <v>122</v>
      </c>
      <c r="C3119" t="s">
        <v>640</v>
      </c>
      <c r="E3119" t="s">
        <v>1610</v>
      </c>
      <c r="F3119" t="s">
        <v>3699</v>
      </c>
      <c r="G3119" t="s">
        <v>8564</v>
      </c>
      <c r="H3119" t="s">
        <v>11092</v>
      </c>
      <c r="I3119" t="s">
        <v>11421</v>
      </c>
      <c r="J3119">
        <v>11427</v>
      </c>
      <c r="K3119" t="s">
        <v>11446</v>
      </c>
      <c r="M3119" t="s">
        <v>14743</v>
      </c>
      <c r="N3119" t="s">
        <v>14782</v>
      </c>
      <c r="P3119" t="s">
        <v>14801</v>
      </c>
      <c r="Q3119" t="s">
        <v>11448</v>
      </c>
      <c r="S3119" t="s">
        <v>14827</v>
      </c>
      <c r="T3119" t="s">
        <v>14832</v>
      </c>
      <c r="V3119">
        <v>0</v>
      </c>
      <c r="W3119" t="s">
        <v>14861</v>
      </c>
      <c r="X3119" t="s">
        <v>14865</v>
      </c>
      <c r="Z3119" t="s">
        <v>17495</v>
      </c>
      <c r="AB3119" t="s">
        <v>22562</v>
      </c>
      <c r="AC3119">
        <v>80</v>
      </c>
      <c r="AD3119" t="s">
        <v>24598</v>
      </c>
      <c r="AE3119" t="s">
        <v>11459</v>
      </c>
      <c r="AF3119">
        <v>7</v>
      </c>
      <c r="AG3119">
        <v>1</v>
      </c>
      <c r="AH3119">
        <v>1</v>
      </c>
      <c r="AI3119">
        <v>57.42</v>
      </c>
      <c r="AM3119">
        <v>9710</v>
      </c>
      <c r="AS3119">
        <v>4.6</v>
      </c>
      <c r="AT3119" t="s">
        <v>603</v>
      </c>
      <c r="AU3119" t="s">
        <v>99</v>
      </c>
      <c r="AW3119" t="s">
        <v>11447</v>
      </c>
    </row>
    <row r="3120" spans="1:49">
      <c r="A3120" s="1">
        <f>HYPERLINK("https://lsnyc.legalserver.org/matter/dynamic-profile/view/0781997","15-0781997")</f>
        <v>0</v>
      </c>
      <c r="B3120" t="s">
        <v>179</v>
      </c>
      <c r="C3120" t="s">
        <v>810</v>
      </c>
      <c r="E3120" t="s">
        <v>2636</v>
      </c>
      <c r="F3120" t="s">
        <v>1983</v>
      </c>
      <c r="G3120" t="s">
        <v>8565</v>
      </c>
      <c r="H3120" t="s">
        <v>11093</v>
      </c>
      <c r="I3120" t="s">
        <v>11387</v>
      </c>
      <c r="J3120">
        <v>11436</v>
      </c>
      <c r="K3120" t="s">
        <v>11447</v>
      </c>
      <c r="M3120" t="s">
        <v>14744</v>
      </c>
      <c r="N3120" t="s">
        <v>14781</v>
      </c>
      <c r="P3120" t="s">
        <v>14801</v>
      </c>
      <c r="S3120" t="s">
        <v>14827</v>
      </c>
      <c r="V3120">
        <v>0</v>
      </c>
      <c r="W3120" t="s">
        <v>14861</v>
      </c>
      <c r="Z3120" t="s">
        <v>17496</v>
      </c>
      <c r="AB3120" t="s">
        <v>22563</v>
      </c>
      <c r="AC3120">
        <v>0</v>
      </c>
      <c r="AF3120">
        <v>0</v>
      </c>
      <c r="AG3120">
        <v>1</v>
      </c>
      <c r="AH3120">
        <v>1</v>
      </c>
      <c r="AI3120">
        <v>62.77</v>
      </c>
      <c r="AL3120" t="s">
        <v>5011</v>
      </c>
      <c r="AM3120">
        <v>10000</v>
      </c>
      <c r="AS3120">
        <v>24.4</v>
      </c>
      <c r="AT3120" t="s">
        <v>14845</v>
      </c>
      <c r="AU3120" t="s">
        <v>99</v>
      </c>
      <c r="AW3120" t="s">
        <v>11447</v>
      </c>
    </row>
    <row r="3121" spans="1:49">
      <c r="A3121" s="1">
        <f>HYPERLINK("https://lsnyc.legalserver.org/matter/dynamic-profile/view/1839139","17-1839139")</f>
        <v>0</v>
      </c>
      <c r="B3121" t="s">
        <v>85</v>
      </c>
      <c r="C3121" t="s">
        <v>811</v>
      </c>
      <c r="E3121" t="s">
        <v>2637</v>
      </c>
      <c r="F3121" t="s">
        <v>1866</v>
      </c>
      <c r="G3121" t="s">
        <v>8566</v>
      </c>
      <c r="H3121" t="s">
        <v>10506</v>
      </c>
      <c r="I3121" t="s">
        <v>11437</v>
      </c>
      <c r="J3121">
        <v>11429</v>
      </c>
      <c r="K3121" t="s">
        <v>11446</v>
      </c>
      <c r="L3121" t="s">
        <v>12778</v>
      </c>
      <c r="M3121" t="s">
        <v>14743</v>
      </c>
      <c r="N3121" t="s">
        <v>14781</v>
      </c>
      <c r="P3121" t="s">
        <v>14801</v>
      </c>
      <c r="Q3121" t="s">
        <v>11448</v>
      </c>
      <c r="S3121" t="s">
        <v>14827</v>
      </c>
      <c r="V3121">
        <v>1515</v>
      </c>
      <c r="W3121" t="s">
        <v>14861</v>
      </c>
      <c r="X3121" t="s">
        <v>14873</v>
      </c>
      <c r="Z3121" t="s">
        <v>17497</v>
      </c>
      <c r="AB3121" t="s">
        <v>22564</v>
      </c>
      <c r="AC3121">
        <v>2</v>
      </c>
      <c r="AD3121" t="s">
        <v>24600</v>
      </c>
      <c r="AE3121" t="s">
        <v>24616</v>
      </c>
      <c r="AF3121">
        <v>1</v>
      </c>
      <c r="AG3121">
        <v>1</v>
      </c>
      <c r="AH3121">
        <v>2</v>
      </c>
      <c r="AI3121">
        <v>62.83</v>
      </c>
      <c r="AL3121" t="s">
        <v>5011</v>
      </c>
      <c r="AM3121">
        <v>12830</v>
      </c>
      <c r="AS3121">
        <v>8.9</v>
      </c>
      <c r="AT3121" t="s">
        <v>585</v>
      </c>
      <c r="AU3121" t="s">
        <v>85</v>
      </c>
      <c r="AW3121" t="s">
        <v>11447</v>
      </c>
    </row>
    <row r="3122" spans="1:49">
      <c r="A3122" s="1">
        <f>HYPERLINK("https://lsnyc.legalserver.org/matter/dynamic-profile/view/1891924","19-1891924")</f>
        <v>0</v>
      </c>
      <c r="B3122" t="s">
        <v>122</v>
      </c>
      <c r="C3122" t="s">
        <v>708</v>
      </c>
      <c r="E3122" t="s">
        <v>2638</v>
      </c>
      <c r="F3122" t="s">
        <v>3951</v>
      </c>
      <c r="G3122" t="s">
        <v>8567</v>
      </c>
      <c r="H3122" t="s">
        <v>10646</v>
      </c>
      <c r="I3122" t="s">
        <v>11387</v>
      </c>
      <c r="J3122">
        <v>11434</v>
      </c>
      <c r="K3122" t="s">
        <v>11446</v>
      </c>
      <c r="L3122" t="s">
        <v>12779</v>
      </c>
      <c r="M3122" t="s">
        <v>14743</v>
      </c>
      <c r="N3122" t="s">
        <v>14781</v>
      </c>
      <c r="P3122" t="s">
        <v>14801</v>
      </c>
      <c r="Q3122" t="s">
        <v>11448</v>
      </c>
      <c r="S3122" t="s">
        <v>14827</v>
      </c>
      <c r="T3122" t="s">
        <v>14832</v>
      </c>
      <c r="V3122">
        <v>600</v>
      </c>
      <c r="W3122" t="s">
        <v>14861</v>
      </c>
      <c r="X3122" t="s">
        <v>14865</v>
      </c>
      <c r="Z3122" t="s">
        <v>17498</v>
      </c>
      <c r="AA3122" t="s">
        <v>19662</v>
      </c>
      <c r="AB3122" t="s">
        <v>22565</v>
      </c>
      <c r="AC3122">
        <v>0</v>
      </c>
      <c r="AD3122" t="s">
        <v>11479</v>
      </c>
      <c r="AE3122" t="s">
        <v>11459</v>
      </c>
      <c r="AF3122">
        <v>12</v>
      </c>
      <c r="AG3122">
        <v>2</v>
      </c>
      <c r="AH3122">
        <v>0</v>
      </c>
      <c r="AI3122">
        <v>63.87</v>
      </c>
      <c r="AL3122" t="s">
        <v>5011</v>
      </c>
      <c r="AM3122">
        <v>10800</v>
      </c>
      <c r="AS3122">
        <v>11.75</v>
      </c>
      <c r="AT3122" t="s">
        <v>511</v>
      </c>
      <c r="AU3122" t="s">
        <v>292</v>
      </c>
      <c r="AW3122" t="s">
        <v>11446</v>
      </c>
    </row>
    <row r="3123" spans="1:49">
      <c r="A3123" s="1">
        <f>HYPERLINK("https://lsnyc.legalserver.org/matter/dynamic-profile/view/1881367","18-1881367")</f>
        <v>0</v>
      </c>
      <c r="B3123" t="s">
        <v>179</v>
      </c>
      <c r="C3123" t="s">
        <v>812</v>
      </c>
      <c r="E3123" t="s">
        <v>2639</v>
      </c>
      <c r="F3123" t="s">
        <v>5237</v>
      </c>
      <c r="G3123" t="s">
        <v>8568</v>
      </c>
      <c r="H3123" t="s">
        <v>11094</v>
      </c>
      <c r="I3123" t="s">
        <v>11389</v>
      </c>
      <c r="J3123">
        <v>11367</v>
      </c>
      <c r="K3123" t="s">
        <v>11446</v>
      </c>
      <c r="L3123" t="s">
        <v>12780</v>
      </c>
      <c r="M3123" t="s">
        <v>14744</v>
      </c>
      <c r="N3123" t="s">
        <v>14779</v>
      </c>
      <c r="P3123" t="s">
        <v>14801</v>
      </c>
      <c r="Q3123" t="s">
        <v>14816</v>
      </c>
      <c r="S3123" t="s">
        <v>14827</v>
      </c>
      <c r="V3123">
        <v>1236</v>
      </c>
      <c r="W3123" t="s">
        <v>14861</v>
      </c>
      <c r="X3123" t="s">
        <v>14865</v>
      </c>
      <c r="Z3123" t="s">
        <v>15327</v>
      </c>
      <c r="AA3123" t="s">
        <v>19663</v>
      </c>
      <c r="AB3123" t="s">
        <v>22566</v>
      </c>
      <c r="AC3123">
        <v>2</v>
      </c>
      <c r="AD3123" t="s">
        <v>24595</v>
      </c>
      <c r="AE3123" t="s">
        <v>11459</v>
      </c>
      <c r="AF3123">
        <v>3</v>
      </c>
      <c r="AG3123">
        <v>2</v>
      </c>
      <c r="AH3123">
        <v>3</v>
      </c>
      <c r="AI3123">
        <v>63.88</v>
      </c>
      <c r="AM3123">
        <v>18793</v>
      </c>
      <c r="AS3123">
        <v>1.65</v>
      </c>
      <c r="AT3123" t="s">
        <v>818</v>
      </c>
      <c r="AU3123" t="s">
        <v>99</v>
      </c>
      <c r="AW3123" t="s">
        <v>11446</v>
      </c>
    </row>
    <row r="3124" spans="1:49">
      <c r="A3124" s="1">
        <f>HYPERLINK("https://lsnyc.legalserver.org/matter/dynamic-profile/view/1901014","19-1901014")</f>
        <v>0</v>
      </c>
      <c r="B3124" t="s">
        <v>122</v>
      </c>
      <c r="C3124" t="s">
        <v>530</v>
      </c>
      <c r="E3124" t="s">
        <v>2640</v>
      </c>
      <c r="F3124" t="s">
        <v>5238</v>
      </c>
      <c r="G3124" t="s">
        <v>8569</v>
      </c>
      <c r="H3124" t="s">
        <v>10533</v>
      </c>
      <c r="I3124" t="s">
        <v>11404</v>
      </c>
      <c r="J3124">
        <v>11103</v>
      </c>
      <c r="K3124" t="s">
        <v>11447</v>
      </c>
      <c r="L3124" t="s">
        <v>12781</v>
      </c>
      <c r="M3124" t="s">
        <v>14744</v>
      </c>
      <c r="N3124" t="s">
        <v>14781</v>
      </c>
      <c r="P3124" t="s">
        <v>14801</v>
      </c>
      <c r="S3124" t="s">
        <v>14827</v>
      </c>
      <c r="V3124">
        <v>1168</v>
      </c>
      <c r="W3124" t="s">
        <v>14861</v>
      </c>
      <c r="X3124" t="s">
        <v>14865</v>
      </c>
      <c r="Z3124" t="s">
        <v>17499</v>
      </c>
      <c r="AB3124" t="s">
        <v>22567</v>
      </c>
      <c r="AC3124">
        <v>60</v>
      </c>
      <c r="AD3124" t="s">
        <v>24595</v>
      </c>
      <c r="AE3124" t="s">
        <v>11459</v>
      </c>
      <c r="AF3124">
        <v>7</v>
      </c>
      <c r="AG3124">
        <v>2</v>
      </c>
      <c r="AH3124">
        <v>0</v>
      </c>
      <c r="AI3124">
        <v>64.86</v>
      </c>
      <c r="AL3124" t="s">
        <v>5011</v>
      </c>
      <c r="AM3124">
        <v>10968</v>
      </c>
      <c r="AS3124">
        <v>22.2</v>
      </c>
      <c r="AT3124" t="s">
        <v>478</v>
      </c>
      <c r="AU3124" t="s">
        <v>99</v>
      </c>
      <c r="AW3124" t="s">
        <v>11447</v>
      </c>
    </row>
    <row r="3125" spans="1:49">
      <c r="A3125" s="1">
        <f>HYPERLINK("https://lsnyc.legalserver.org/matter/dynamic-profile/view/1912587","19-1912587")</f>
        <v>0</v>
      </c>
      <c r="B3125" t="s">
        <v>99</v>
      </c>
      <c r="C3125" t="s">
        <v>472</v>
      </c>
      <c r="E3125" t="s">
        <v>2641</v>
      </c>
      <c r="F3125" t="s">
        <v>5239</v>
      </c>
      <c r="G3125" t="s">
        <v>8570</v>
      </c>
      <c r="H3125" t="s">
        <v>10646</v>
      </c>
      <c r="I3125" t="s">
        <v>11418</v>
      </c>
      <c r="J3125">
        <v>11412</v>
      </c>
      <c r="K3125" t="s">
        <v>11446</v>
      </c>
      <c r="L3125" t="s">
        <v>12782</v>
      </c>
      <c r="M3125" t="s">
        <v>14743</v>
      </c>
      <c r="P3125" t="s">
        <v>14801</v>
      </c>
      <c r="S3125" t="s">
        <v>14827</v>
      </c>
      <c r="V3125">
        <v>1300</v>
      </c>
      <c r="W3125" t="s">
        <v>14861</v>
      </c>
      <c r="X3125" t="s">
        <v>14865</v>
      </c>
      <c r="Z3125" t="s">
        <v>17500</v>
      </c>
      <c r="AB3125" t="s">
        <v>22568</v>
      </c>
      <c r="AC3125">
        <v>2</v>
      </c>
      <c r="AE3125" t="s">
        <v>11459</v>
      </c>
      <c r="AF3125">
        <v>6</v>
      </c>
      <c r="AG3125">
        <v>2</v>
      </c>
      <c r="AH3125">
        <v>3</v>
      </c>
      <c r="AI3125">
        <v>66.29000000000001</v>
      </c>
      <c r="AL3125" t="s">
        <v>5011</v>
      </c>
      <c r="AM3125">
        <v>20000</v>
      </c>
      <c r="AS3125">
        <v>1</v>
      </c>
      <c r="AT3125" t="s">
        <v>603</v>
      </c>
      <c r="AU3125" t="s">
        <v>292</v>
      </c>
      <c r="AW3125" t="s">
        <v>11447</v>
      </c>
    </row>
    <row r="3126" spans="1:49">
      <c r="A3126" s="1">
        <f>HYPERLINK("https://lsnyc.legalserver.org/matter/dynamic-profile/view/1912642","19-1912642")</f>
        <v>0</v>
      </c>
      <c r="B3126" t="s">
        <v>124</v>
      </c>
      <c r="C3126" t="s">
        <v>472</v>
      </c>
      <c r="E3126" t="s">
        <v>2642</v>
      </c>
      <c r="F3126" t="s">
        <v>5240</v>
      </c>
      <c r="G3126" t="s">
        <v>8571</v>
      </c>
      <c r="H3126" t="s">
        <v>10501</v>
      </c>
      <c r="I3126" t="s">
        <v>11438</v>
      </c>
      <c r="J3126">
        <v>11419</v>
      </c>
      <c r="K3126" t="s">
        <v>11446</v>
      </c>
      <c r="L3126" t="s">
        <v>12783</v>
      </c>
      <c r="M3126" t="s">
        <v>14743</v>
      </c>
      <c r="N3126" t="s">
        <v>14782</v>
      </c>
      <c r="P3126" t="s">
        <v>14801</v>
      </c>
      <c r="Q3126" t="s">
        <v>11448</v>
      </c>
      <c r="S3126" t="s">
        <v>14827</v>
      </c>
      <c r="V3126">
        <v>625</v>
      </c>
      <c r="W3126" t="s">
        <v>14861</v>
      </c>
      <c r="X3126" t="s">
        <v>14865</v>
      </c>
      <c r="Z3126" t="s">
        <v>17501</v>
      </c>
      <c r="AA3126" t="s">
        <v>19664</v>
      </c>
      <c r="AB3126" t="s">
        <v>22569</v>
      </c>
      <c r="AC3126">
        <v>2</v>
      </c>
      <c r="AD3126" t="s">
        <v>24600</v>
      </c>
      <c r="AE3126" t="s">
        <v>11459</v>
      </c>
      <c r="AF3126">
        <v>10</v>
      </c>
      <c r="AG3126">
        <v>1</v>
      </c>
      <c r="AH3126">
        <v>0</v>
      </c>
      <c r="AI3126">
        <v>67.25</v>
      </c>
      <c r="AL3126" t="s">
        <v>5011</v>
      </c>
      <c r="AM3126">
        <v>8400</v>
      </c>
      <c r="AS3126">
        <v>0.5</v>
      </c>
      <c r="AT3126" t="s">
        <v>472</v>
      </c>
      <c r="AU3126" t="s">
        <v>25233</v>
      </c>
      <c r="AV3126" t="s">
        <v>25335</v>
      </c>
      <c r="AW3126" t="s">
        <v>11447</v>
      </c>
    </row>
    <row r="3127" spans="1:49">
      <c r="A3127" s="1">
        <f>HYPERLINK("https://lsnyc.legalserver.org/matter/dynamic-profile/view/0831176","17-0831176")</f>
        <v>0</v>
      </c>
      <c r="B3127" t="s">
        <v>179</v>
      </c>
      <c r="C3127" t="s">
        <v>531</v>
      </c>
      <c r="E3127" t="s">
        <v>2643</v>
      </c>
      <c r="F3127" t="s">
        <v>5241</v>
      </c>
      <c r="G3127" t="s">
        <v>8572</v>
      </c>
      <c r="H3127" t="s">
        <v>11095</v>
      </c>
      <c r="I3127" t="s">
        <v>11393</v>
      </c>
      <c r="J3127">
        <v>11374</v>
      </c>
      <c r="K3127" t="s">
        <v>11447</v>
      </c>
      <c r="L3127" t="s">
        <v>12784</v>
      </c>
      <c r="N3127" t="s">
        <v>14781</v>
      </c>
      <c r="P3127" t="s">
        <v>14801</v>
      </c>
      <c r="S3127" t="s">
        <v>14827</v>
      </c>
      <c r="V3127">
        <v>0</v>
      </c>
      <c r="W3127" t="s">
        <v>14861</v>
      </c>
      <c r="Z3127" t="s">
        <v>17502</v>
      </c>
      <c r="AB3127" t="s">
        <v>22570</v>
      </c>
      <c r="AC3127">
        <v>0</v>
      </c>
      <c r="AF3127">
        <v>0</v>
      </c>
      <c r="AG3127">
        <v>1</v>
      </c>
      <c r="AH3127">
        <v>0</v>
      </c>
      <c r="AI3127">
        <v>67.66</v>
      </c>
      <c r="AL3127" t="s">
        <v>5011</v>
      </c>
      <c r="AM3127">
        <v>8160</v>
      </c>
      <c r="AS3127">
        <v>10.45</v>
      </c>
      <c r="AT3127" t="s">
        <v>933</v>
      </c>
      <c r="AU3127" t="s">
        <v>25234</v>
      </c>
      <c r="AW3127" t="s">
        <v>11447</v>
      </c>
    </row>
    <row r="3128" spans="1:49">
      <c r="A3128" s="1">
        <f>HYPERLINK("https://lsnyc.legalserver.org/matter/dynamic-profile/view/1888036","19-1888036")</f>
        <v>0</v>
      </c>
      <c r="B3128" t="s">
        <v>124</v>
      </c>
      <c r="C3128" t="s">
        <v>632</v>
      </c>
      <c r="E3128" t="s">
        <v>2644</v>
      </c>
      <c r="F3128" t="s">
        <v>3870</v>
      </c>
      <c r="G3128" t="s">
        <v>8573</v>
      </c>
      <c r="H3128">
        <v>1</v>
      </c>
      <c r="I3128" t="s">
        <v>11434</v>
      </c>
      <c r="J3128">
        <v>11419</v>
      </c>
      <c r="K3128" t="s">
        <v>11446</v>
      </c>
      <c r="L3128" t="s">
        <v>12785</v>
      </c>
      <c r="M3128" t="s">
        <v>14743</v>
      </c>
      <c r="N3128" t="s">
        <v>14778</v>
      </c>
      <c r="P3128" t="s">
        <v>14801</v>
      </c>
      <c r="Q3128" t="s">
        <v>11448</v>
      </c>
      <c r="S3128" t="s">
        <v>14827</v>
      </c>
      <c r="T3128" t="s">
        <v>14832</v>
      </c>
      <c r="V3128">
        <v>1841</v>
      </c>
      <c r="W3128" t="s">
        <v>14861</v>
      </c>
      <c r="X3128" t="s">
        <v>14865</v>
      </c>
      <c r="Z3128" t="s">
        <v>17503</v>
      </c>
      <c r="AA3128" t="s">
        <v>19665</v>
      </c>
      <c r="AB3128" t="s">
        <v>22571</v>
      </c>
      <c r="AC3128">
        <v>0</v>
      </c>
      <c r="AD3128" t="s">
        <v>11479</v>
      </c>
      <c r="AE3128" t="s">
        <v>24610</v>
      </c>
      <c r="AF3128">
        <v>14</v>
      </c>
      <c r="AG3128">
        <v>3</v>
      </c>
      <c r="AH3128">
        <v>1</v>
      </c>
      <c r="AI3128">
        <v>69.04000000000001</v>
      </c>
      <c r="AL3128" t="s">
        <v>24632</v>
      </c>
      <c r="AM3128">
        <v>17328</v>
      </c>
      <c r="AS3128">
        <v>0.1</v>
      </c>
      <c r="AT3128" t="s">
        <v>769</v>
      </c>
      <c r="AU3128" t="s">
        <v>292</v>
      </c>
      <c r="AW3128" t="s">
        <v>11446</v>
      </c>
    </row>
    <row r="3129" spans="1:49">
      <c r="A3129" s="1">
        <f>HYPERLINK("https://lsnyc.legalserver.org/matter/dynamic-profile/view/1881868","18-1881868")</f>
        <v>0</v>
      </c>
      <c r="B3129" t="s">
        <v>99</v>
      </c>
      <c r="C3129" t="s">
        <v>813</v>
      </c>
      <c r="E3129" t="s">
        <v>2645</v>
      </c>
      <c r="F3129" t="s">
        <v>5242</v>
      </c>
      <c r="G3129" t="s">
        <v>8574</v>
      </c>
      <c r="H3129" t="s">
        <v>10646</v>
      </c>
      <c r="I3129" t="s">
        <v>11405</v>
      </c>
      <c r="J3129">
        <v>11416</v>
      </c>
      <c r="K3129" t="s">
        <v>11446</v>
      </c>
      <c r="L3129" t="s">
        <v>12786</v>
      </c>
      <c r="M3129" t="s">
        <v>14743</v>
      </c>
      <c r="N3129" t="s">
        <v>14779</v>
      </c>
      <c r="P3129" t="s">
        <v>14801</v>
      </c>
      <c r="Q3129" t="s">
        <v>11446</v>
      </c>
      <c r="S3129" t="s">
        <v>14827</v>
      </c>
      <c r="V3129">
        <v>1000</v>
      </c>
      <c r="W3129" t="s">
        <v>14861</v>
      </c>
      <c r="X3129" t="s">
        <v>14865</v>
      </c>
      <c r="Z3129" t="s">
        <v>17504</v>
      </c>
      <c r="AB3129" t="s">
        <v>22572</v>
      </c>
      <c r="AC3129">
        <v>2</v>
      </c>
      <c r="AD3129" t="s">
        <v>24600</v>
      </c>
      <c r="AE3129" t="s">
        <v>11459</v>
      </c>
      <c r="AF3129">
        <v>8</v>
      </c>
      <c r="AG3129">
        <v>1</v>
      </c>
      <c r="AH3129">
        <v>0</v>
      </c>
      <c r="AI3129">
        <v>70.56999999999999</v>
      </c>
      <c r="AL3129" t="s">
        <v>24656</v>
      </c>
      <c r="AM3129">
        <v>8567</v>
      </c>
      <c r="AS3129">
        <v>1.58</v>
      </c>
      <c r="AT3129" t="s">
        <v>578</v>
      </c>
      <c r="AU3129" t="s">
        <v>99</v>
      </c>
      <c r="AW3129" t="s">
        <v>11446</v>
      </c>
    </row>
    <row r="3130" spans="1:49">
      <c r="A3130" s="1">
        <f>HYPERLINK("https://lsnyc.legalserver.org/matter/dynamic-profile/view/1876279","18-1876279")</f>
        <v>0</v>
      </c>
      <c r="B3130" t="s">
        <v>110</v>
      </c>
      <c r="C3130" t="s">
        <v>814</v>
      </c>
      <c r="E3130" t="s">
        <v>1416</v>
      </c>
      <c r="F3130" t="s">
        <v>5243</v>
      </c>
      <c r="G3130" t="s">
        <v>8575</v>
      </c>
      <c r="H3130" t="s">
        <v>10705</v>
      </c>
      <c r="I3130" t="s">
        <v>11433</v>
      </c>
      <c r="J3130">
        <v>11369</v>
      </c>
      <c r="K3130" t="s">
        <v>11446</v>
      </c>
      <c r="L3130" t="s">
        <v>12787</v>
      </c>
      <c r="M3130" t="s">
        <v>14743</v>
      </c>
      <c r="N3130" t="s">
        <v>14781</v>
      </c>
      <c r="P3130" t="s">
        <v>14801</v>
      </c>
      <c r="Q3130" t="s">
        <v>11448</v>
      </c>
      <c r="S3130" t="s">
        <v>14827</v>
      </c>
      <c r="T3130" t="s">
        <v>14832</v>
      </c>
      <c r="V3130">
        <v>682</v>
      </c>
      <c r="W3130" t="s">
        <v>14861</v>
      </c>
      <c r="X3130" t="s">
        <v>14865</v>
      </c>
      <c r="Z3130" t="s">
        <v>16738</v>
      </c>
      <c r="AA3130" t="s">
        <v>19666</v>
      </c>
      <c r="AB3130" t="s">
        <v>22573</v>
      </c>
      <c r="AC3130">
        <v>2</v>
      </c>
      <c r="AD3130" t="s">
        <v>24595</v>
      </c>
      <c r="AE3130" t="s">
        <v>11459</v>
      </c>
      <c r="AF3130">
        <v>45</v>
      </c>
      <c r="AG3130">
        <v>1</v>
      </c>
      <c r="AH3130">
        <v>0</v>
      </c>
      <c r="AI3130">
        <v>71.18000000000001</v>
      </c>
      <c r="AL3130" t="s">
        <v>5011</v>
      </c>
      <c r="AM3130">
        <v>8641.52</v>
      </c>
      <c r="AS3130">
        <v>15.5</v>
      </c>
      <c r="AT3130" t="s">
        <v>751</v>
      </c>
      <c r="AU3130" t="s">
        <v>292</v>
      </c>
      <c r="AW3130" t="s">
        <v>11447</v>
      </c>
    </row>
    <row r="3131" spans="1:49">
      <c r="A3131" s="1">
        <f>HYPERLINK("https://lsnyc.legalserver.org/matter/dynamic-profile/view/1878145","18-1878145")</f>
        <v>0</v>
      </c>
      <c r="B3131" t="s">
        <v>179</v>
      </c>
      <c r="C3131" t="s">
        <v>624</v>
      </c>
      <c r="E3131" t="s">
        <v>1867</v>
      </c>
      <c r="F3131" t="s">
        <v>5244</v>
      </c>
      <c r="G3131" t="s">
        <v>8576</v>
      </c>
      <c r="H3131">
        <v>2</v>
      </c>
      <c r="I3131" t="s">
        <v>11391</v>
      </c>
      <c r="J3131">
        <v>11691</v>
      </c>
      <c r="K3131" t="s">
        <v>11446</v>
      </c>
      <c r="L3131" t="s">
        <v>12788</v>
      </c>
      <c r="M3131" t="s">
        <v>14743</v>
      </c>
      <c r="N3131" t="s">
        <v>14782</v>
      </c>
      <c r="P3131" t="s">
        <v>14801</v>
      </c>
      <c r="Q3131" t="s">
        <v>11448</v>
      </c>
      <c r="S3131" t="s">
        <v>14827</v>
      </c>
      <c r="T3131" t="s">
        <v>14832</v>
      </c>
      <c r="V3131">
        <v>1250</v>
      </c>
      <c r="W3131" t="s">
        <v>14861</v>
      </c>
      <c r="X3131" t="s">
        <v>14865</v>
      </c>
      <c r="Z3131" t="s">
        <v>17505</v>
      </c>
      <c r="AA3131" t="s">
        <v>19667</v>
      </c>
      <c r="AB3131" t="s">
        <v>22574</v>
      </c>
      <c r="AC3131">
        <v>2</v>
      </c>
      <c r="AD3131" t="s">
        <v>24600</v>
      </c>
      <c r="AE3131" t="s">
        <v>11459</v>
      </c>
      <c r="AF3131">
        <v>1</v>
      </c>
      <c r="AG3131">
        <v>2</v>
      </c>
      <c r="AH3131">
        <v>2</v>
      </c>
      <c r="AI3131">
        <v>71.70999999999999</v>
      </c>
      <c r="AL3131" t="s">
        <v>5011</v>
      </c>
      <c r="AM3131">
        <v>18000</v>
      </c>
      <c r="AS3131">
        <v>1.05</v>
      </c>
      <c r="AT3131" t="s">
        <v>832</v>
      </c>
      <c r="AU3131" t="s">
        <v>292</v>
      </c>
      <c r="AW3131" t="s">
        <v>11447</v>
      </c>
    </row>
    <row r="3132" spans="1:49">
      <c r="A3132" s="1">
        <f>HYPERLINK("https://lsnyc.legalserver.org/matter/dynamic-profile/view/1888063","19-1888063")</f>
        <v>0</v>
      </c>
      <c r="B3132" t="s">
        <v>124</v>
      </c>
      <c r="C3132" t="s">
        <v>632</v>
      </c>
      <c r="E3132" t="s">
        <v>2646</v>
      </c>
      <c r="F3132" t="s">
        <v>5245</v>
      </c>
      <c r="G3132" t="s">
        <v>8577</v>
      </c>
      <c r="H3132" t="s">
        <v>10542</v>
      </c>
      <c r="I3132" t="s">
        <v>11407</v>
      </c>
      <c r="J3132">
        <v>11415</v>
      </c>
      <c r="K3132" t="s">
        <v>11446</v>
      </c>
      <c r="L3132" t="s">
        <v>12789</v>
      </c>
      <c r="M3132" t="s">
        <v>14743</v>
      </c>
      <c r="N3132" t="s">
        <v>14778</v>
      </c>
      <c r="P3132" t="s">
        <v>14801</v>
      </c>
      <c r="Q3132" t="s">
        <v>11448</v>
      </c>
      <c r="S3132" t="s">
        <v>14827</v>
      </c>
      <c r="V3132">
        <v>1500</v>
      </c>
      <c r="W3132" t="s">
        <v>14861</v>
      </c>
      <c r="X3132" t="s">
        <v>14865</v>
      </c>
      <c r="Z3132" t="s">
        <v>17506</v>
      </c>
      <c r="AA3132" t="s">
        <v>19668</v>
      </c>
      <c r="AB3132" t="s">
        <v>22575</v>
      </c>
      <c r="AC3132">
        <v>48</v>
      </c>
      <c r="AD3132" t="s">
        <v>24595</v>
      </c>
      <c r="AE3132" t="s">
        <v>11459</v>
      </c>
      <c r="AF3132">
        <v>3</v>
      </c>
      <c r="AG3132">
        <v>1</v>
      </c>
      <c r="AH3132">
        <v>0</v>
      </c>
      <c r="AI3132">
        <v>71.86</v>
      </c>
      <c r="AL3132" t="s">
        <v>24636</v>
      </c>
      <c r="AM3132">
        <v>8724</v>
      </c>
      <c r="AS3132">
        <v>0.2</v>
      </c>
      <c r="AT3132" t="s">
        <v>769</v>
      </c>
      <c r="AU3132" t="s">
        <v>292</v>
      </c>
      <c r="AW3132" t="s">
        <v>11446</v>
      </c>
    </row>
    <row r="3133" spans="1:49">
      <c r="A3133" s="1">
        <f>HYPERLINK("https://lsnyc.legalserver.org/matter/dynamic-profile/view/1879547","18-1879547")</f>
        <v>0</v>
      </c>
      <c r="B3133" t="s">
        <v>292</v>
      </c>
      <c r="C3133" t="s">
        <v>815</v>
      </c>
      <c r="E3133" t="s">
        <v>1106</v>
      </c>
      <c r="F3133" t="s">
        <v>3601</v>
      </c>
      <c r="G3133" t="s">
        <v>8578</v>
      </c>
      <c r="I3133" t="s">
        <v>11400</v>
      </c>
      <c r="J3133">
        <v>11385</v>
      </c>
      <c r="K3133" t="s">
        <v>11446</v>
      </c>
      <c r="L3133" t="s">
        <v>12790</v>
      </c>
      <c r="M3133" t="s">
        <v>14743</v>
      </c>
      <c r="N3133" t="s">
        <v>14782</v>
      </c>
      <c r="P3133" t="s">
        <v>14801</v>
      </c>
      <c r="Q3133" t="s">
        <v>11448</v>
      </c>
      <c r="S3133" t="s">
        <v>14827</v>
      </c>
      <c r="V3133">
        <v>1475</v>
      </c>
      <c r="W3133" t="s">
        <v>14861</v>
      </c>
      <c r="X3133" t="s">
        <v>14865</v>
      </c>
      <c r="Z3133" t="s">
        <v>17507</v>
      </c>
      <c r="AA3133" t="s">
        <v>19669</v>
      </c>
      <c r="AB3133" t="s">
        <v>22576</v>
      </c>
      <c r="AC3133">
        <v>0</v>
      </c>
      <c r="AD3133" t="s">
        <v>11479</v>
      </c>
      <c r="AE3133" t="s">
        <v>11459</v>
      </c>
      <c r="AF3133">
        <v>11</v>
      </c>
      <c r="AG3133">
        <v>2</v>
      </c>
      <c r="AH3133">
        <v>2</v>
      </c>
      <c r="AI3133">
        <v>72</v>
      </c>
      <c r="AL3133" t="s">
        <v>5011</v>
      </c>
      <c r="AM3133">
        <v>18072</v>
      </c>
      <c r="AS3133">
        <v>0.1</v>
      </c>
      <c r="AT3133" t="s">
        <v>1013</v>
      </c>
      <c r="AU3133" t="s">
        <v>292</v>
      </c>
      <c r="AW3133" t="s">
        <v>11446</v>
      </c>
    </row>
    <row r="3134" spans="1:49">
      <c r="A3134" s="1">
        <f>HYPERLINK("https://lsnyc.legalserver.org/matter/dynamic-profile/view/1908337","19-1908337")</f>
        <v>0</v>
      </c>
      <c r="B3134" t="s">
        <v>138</v>
      </c>
      <c r="C3134" t="s">
        <v>375</v>
      </c>
      <c r="E3134" t="s">
        <v>1261</v>
      </c>
      <c r="F3134" t="s">
        <v>5246</v>
      </c>
      <c r="G3134" t="s">
        <v>8579</v>
      </c>
      <c r="H3134" t="s">
        <v>10732</v>
      </c>
      <c r="I3134" t="s">
        <v>11407</v>
      </c>
      <c r="J3134">
        <v>11415</v>
      </c>
      <c r="K3134" t="s">
        <v>11446</v>
      </c>
      <c r="L3134" t="s">
        <v>12791</v>
      </c>
      <c r="M3134" t="s">
        <v>14744</v>
      </c>
      <c r="N3134" t="s">
        <v>14778</v>
      </c>
      <c r="P3134" t="s">
        <v>14801</v>
      </c>
      <c r="S3134" t="s">
        <v>14827</v>
      </c>
      <c r="V3134">
        <v>1875</v>
      </c>
      <c r="W3134" t="s">
        <v>14861</v>
      </c>
      <c r="X3134" t="s">
        <v>14865</v>
      </c>
      <c r="Z3134" t="s">
        <v>17508</v>
      </c>
      <c r="AB3134" t="s">
        <v>22577</v>
      </c>
      <c r="AC3134">
        <v>108</v>
      </c>
      <c r="AE3134" t="s">
        <v>11459</v>
      </c>
      <c r="AF3134">
        <v>3</v>
      </c>
      <c r="AG3134">
        <v>1</v>
      </c>
      <c r="AH3134">
        <v>2</v>
      </c>
      <c r="AI3134">
        <v>73.14</v>
      </c>
      <c r="AM3134">
        <v>15600</v>
      </c>
      <c r="AS3134">
        <v>0.5</v>
      </c>
      <c r="AT3134" t="s">
        <v>375</v>
      </c>
      <c r="AU3134" t="s">
        <v>99</v>
      </c>
      <c r="AW3134" t="s">
        <v>11447</v>
      </c>
    </row>
    <row r="3135" spans="1:49">
      <c r="A3135" s="1">
        <f>HYPERLINK("https://lsnyc.legalserver.org/matter/dynamic-profile/view/1912930","19-1912930")</f>
        <v>0</v>
      </c>
      <c r="B3135" t="s">
        <v>122</v>
      </c>
      <c r="C3135" t="s">
        <v>574</v>
      </c>
      <c r="E3135" t="s">
        <v>2647</v>
      </c>
      <c r="F3135" t="s">
        <v>5247</v>
      </c>
      <c r="G3135" t="s">
        <v>8580</v>
      </c>
      <c r="H3135" t="s">
        <v>11096</v>
      </c>
      <c r="I3135" t="s">
        <v>11420</v>
      </c>
      <c r="J3135">
        <v>11104</v>
      </c>
      <c r="K3135" t="s">
        <v>11446</v>
      </c>
      <c r="L3135" t="s">
        <v>12792</v>
      </c>
      <c r="M3135" t="s">
        <v>14743</v>
      </c>
      <c r="P3135" t="s">
        <v>14801</v>
      </c>
      <c r="S3135" t="s">
        <v>14827</v>
      </c>
      <c r="V3135">
        <v>1073</v>
      </c>
      <c r="W3135" t="s">
        <v>14861</v>
      </c>
      <c r="X3135" t="s">
        <v>14865</v>
      </c>
      <c r="Z3135" t="s">
        <v>17509</v>
      </c>
      <c r="AB3135" t="s">
        <v>22578</v>
      </c>
      <c r="AC3135">
        <v>100</v>
      </c>
      <c r="AD3135" t="s">
        <v>24595</v>
      </c>
      <c r="AE3135" t="s">
        <v>11459</v>
      </c>
      <c r="AF3135">
        <v>4</v>
      </c>
      <c r="AG3135">
        <v>1</v>
      </c>
      <c r="AH3135">
        <v>0</v>
      </c>
      <c r="AI3135">
        <v>73.20999999999999</v>
      </c>
      <c r="AL3135" t="s">
        <v>5011</v>
      </c>
      <c r="AM3135">
        <v>9144</v>
      </c>
      <c r="AS3135">
        <v>2.1</v>
      </c>
      <c r="AT3135" t="s">
        <v>521</v>
      </c>
      <c r="AU3135" t="s">
        <v>99</v>
      </c>
      <c r="AW3135" t="s">
        <v>11447</v>
      </c>
    </row>
    <row r="3136" spans="1:49">
      <c r="A3136" s="1">
        <f>HYPERLINK("https://lsnyc.legalserver.org/matter/dynamic-profile/view/0807777","16-0807777")</f>
        <v>0</v>
      </c>
      <c r="B3136" t="s">
        <v>138</v>
      </c>
      <c r="C3136" t="s">
        <v>816</v>
      </c>
      <c r="E3136" t="s">
        <v>2648</v>
      </c>
      <c r="F3136" t="s">
        <v>3769</v>
      </c>
      <c r="G3136" t="s">
        <v>8581</v>
      </c>
      <c r="H3136" t="s">
        <v>11089</v>
      </c>
      <c r="I3136" t="s">
        <v>11387</v>
      </c>
      <c r="J3136">
        <v>11435</v>
      </c>
      <c r="K3136" t="s">
        <v>11447</v>
      </c>
      <c r="P3136" t="s">
        <v>14801</v>
      </c>
      <c r="S3136" t="s">
        <v>14827</v>
      </c>
      <c r="V3136">
        <v>0</v>
      </c>
      <c r="W3136" t="s">
        <v>14861</v>
      </c>
      <c r="Z3136" t="s">
        <v>17510</v>
      </c>
      <c r="AB3136" t="s">
        <v>22579</v>
      </c>
      <c r="AC3136">
        <v>0</v>
      </c>
      <c r="AF3136">
        <v>0</v>
      </c>
      <c r="AG3136">
        <v>4</v>
      </c>
      <c r="AH3136">
        <v>2</v>
      </c>
      <c r="AI3136">
        <v>73.66</v>
      </c>
      <c r="AL3136" t="s">
        <v>24632</v>
      </c>
      <c r="AM3136">
        <v>24000</v>
      </c>
      <c r="AS3136">
        <v>0</v>
      </c>
      <c r="AU3136" t="s">
        <v>138</v>
      </c>
      <c r="AW3136" t="s">
        <v>11447</v>
      </c>
    </row>
    <row r="3137" spans="1:49">
      <c r="A3137" s="1">
        <f>HYPERLINK("https://lsnyc.legalserver.org/matter/dynamic-profile/view/1866746","18-1866746")</f>
        <v>0</v>
      </c>
      <c r="B3137" t="s">
        <v>110</v>
      </c>
      <c r="C3137" t="s">
        <v>807</v>
      </c>
      <c r="E3137" t="s">
        <v>1025</v>
      </c>
      <c r="F3137" t="s">
        <v>3561</v>
      </c>
      <c r="G3137" t="s">
        <v>8582</v>
      </c>
      <c r="H3137" t="s">
        <v>10513</v>
      </c>
      <c r="I3137" t="s">
        <v>11388</v>
      </c>
      <c r="J3137">
        <v>11385</v>
      </c>
      <c r="K3137" t="s">
        <v>11447</v>
      </c>
      <c r="L3137" t="s">
        <v>12793</v>
      </c>
      <c r="N3137" t="s">
        <v>14778</v>
      </c>
      <c r="P3137" t="s">
        <v>14801</v>
      </c>
      <c r="S3137" t="s">
        <v>14827</v>
      </c>
      <c r="V3137">
        <v>0</v>
      </c>
      <c r="W3137" t="s">
        <v>14861</v>
      </c>
      <c r="Z3137" t="s">
        <v>17294</v>
      </c>
      <c r="AA3137" t="s">
        <v>11459</v>
      </c>
      <c r="AB3137" t="s">
        <v>22580</v>
      </c>
      <c r="AC3137">
        <v>6</v>
      </c>
      <c r="AD3137" t="s">
        <v>24595</v>
      </c>
      <c r="AE3137" t="s">
        <v>24613</v>
      </c>
      <c r="AF3137">
        <v>0</v>
      </c>
      <c r="AG3137">
        <v>1</v>
      </c>
      <c r="AH3137">
        <v>0</v>
      </c>
      <c r="AI3137">
        <v>74.14</v>
      </c>
      <c r="AL3137" t="s">
        <v>5011</v>
      </c>
      <c r="AM3137">
        <v>9000</v>
      </c>
      <c r="AS3137">
        <v>2.5</v>
      </c>
      <c r="AT3137" t="s">
        <v>447</v>
      </c>
      <c r="AU3137" t="s">
        <v>99</v>
      </c>
      <c r="AW3137" t="s">
        <v>11447</v>
      </c>
    </row>
    <row r="3138" spans="1:49">
      <c r="A3138" s="1">
        <f>HYPERLINK("https://lsnyc.legalserver.org/matter/dynamic-profile/view/0772731","15-0772731")</f>
        <v>0</v>
      </c>
      <c r="B3138" t="s">
        <v>179</v>
      </c>
      <c r="C3138" t="s">
        <v>817</v>
      </c>
      <c r="E3138" t="s">
        <v>2649</v>
      </c>
      <c r="F3138" t="s">
        <v>5248</v>
      </c>
      <c r="G3138" t="s">
        <v>8583</v>
      </c>
      <c r="H3138" t="s">
        <v>10581</v>
      </c>
      <c r="I3138" t="s">
        <v>6196</v>
      </c>
      <c r="J3138">
        <v>11423</v>
      </c>
      <c r="K3138" t="s">
        <v>11447</v>
      </c>
      <c r="M3138" t="s">
        <v>14744</v>
      </c>
      <c r="N3138" t="s">
        <v>14781</v>
      </c>
      <c r="P3138" t="s">
        <v>14801</v>
      </c>
      <c r="S3138" t="s">
        <v>14827</v>
      </c>
      <c r="V3138">
        <v>0</v>
      </c>
      <c r="W3138" t="s">
        <v>14861</v>
      </c>
      <c r="Z3138" t="s">
        <v>17511</v>
      </c>
      <c r="AB3138" t="s">
        <v>22581</v>
      </c>
      <c r="AC3138">
        <v>0</v>
      </c>
      <c r="AF3138">
        <v>0</v>
      </c>
      <c r="AG3138">
        <v>2</v>
      </c>
      <c r="AH3138">
        <v>1</v>
      </c>
      <c r="AI3138">
        <v>75.06</v>
      </c>
      <c r="AL3138" t="s">
        <v>5011</v>
      </c>
      <c r="AM3138">
        <v>15080</v>
      </c>
      <c r="AS3138">
        <v>126.4</v>
      </c>
      <c r="AT3138" t="s">
        <v>913</v>
      </c>
      <c r="AU3138" t="s">
        <v>99</v>
      </c>
      <c r="AW3138" t="s">
        <v>11447</v>
      </c>
    </row>
    <row r="3139" spans="1:49">
      <c r="A3139" s="1">
        <f>HYPERLINK("https://lsnyc.legalserver.org/matter/dynamic-profile/view/1888594","19-1888594")</f>
        <v>0</v>
      </c>
      <c r="B3139" t="s">
        <v>138</v>
      </c>
      <c r="C3139" t="s">
        <v>542</v>
      </c>
      <c r="E3139" t="s">
        <v>1249</v>
      </c>
      <c r="F3139" t="s">
        <v>4675</v>
      </c>
      <c r="G3139" t="s">
        <v>8584</v>
      </c>
      <c r="H3139">
        <v>2</v>
      </c>
      <c r="I3139" t="s">
        <v>11387</v>
      </c>
      <c r="J3139">
        <v>11433</v>
      </c>
      <c r="K3139" t="s">
        <v>11446</v>
      </c>
      <c r="L3139" t="s">
        <v>12794</v>
      </c>
      <c r="M3139" t="s">
        <v>14743</v>
      </c>
      <c r="N3139" t="s">
        <v>14781</v>
      </c>
      <c r="P3139" t="s">
        <v>14801</v>
      </c>
      <c r="Q3139" t="s">
        <v>11448</v>
      </c>
      <c r="S3139" t="s">
        <v>14827</v>
      </c>
      <c r="V3139">
        <v>1200</v>
      </c>
      <c r="W3139" t="s">
        <v>14861</v>
      </c>
      <c r="X3139" t="s">
        <v>14865</v>
      </c>
      <c r="Z3139" t="s">
        <v>17512</v>
      </c>
      <c r="AA3139" t="s">
        <v>19670</v>
      </c>
      <c r="AB3139" t="s">
        <v>22582</v>
      </c>
      <c r="AC3139">
        <v>2</v>
      </c>
      <c r="AD3139" t="s">
        <v>11479</v>
      </c>
      <c r="AE3139" t="s">
        <v>24617</v>
      </c>
      <c r="AF3139">
        <v>3</v>
      </c>
      <c r="AG3139">
        <v>1</v>
      </c>
      <c r="AH3139">
        <v>0</v>
      </c>
      <c r="AI3139">
        <v>76.06</v>
      </c>
      <c r="AL3139" t="s">
        <v>5011</v>
      </c>
      <c r="AM3139">
        <v>9500</v>
      </c>
      <c r="AS3139">
        <v>4.1</v>
      </c>
      <c r="AT3139" t="s">
        <v>859</v>
      </c>
      <c r="AU3139" t="s">
        <v>292</v>
      </c>
      <c r="AW3139" t="s">
        <v>11446</v>
      </c>
    </row>
    <row r="3140" spans="1:49">
      <c r="A3140" s="1">
        <f>HYPERLINK("https://lsnyc.legalserver.org/matter/dynamic-profile/view/1907937","19-1907937")</f>
        <v>0</v>
      </c>
      <c r="B3140" t="s">
        <v>204</v>
      </c>
      <c r="C3140" t="s">
        <v>458</v>
      </c>
      <c r="E3140" t="s">
        <v>1191</v>
      </c>
      <c r="F3140" t="s">
        <v>3682</v>
      </c>
      <c r="G3140" t="s">
        <v>8585</v>
      </c>
      <c r="H3140">
        <v>2</v>
      </c>
      <c r="I3140" t="s">
        <v>11405</v>
      </c>
      <c r="J3140">
        <v>11417</v>
      </c>
      <c r="K3140" t="s">
        <v>11446</v>
      </c>
      <c r="L3140" t="s">
        <v>12795</v>
      </c>
      <c r="M3140" t="s">
        <v>14743</v>
      </c>
      <c r="N3140" t="s">
        <v>14781</v>
      </c>
      <c r="P3140" t="s">
        <v>14801</v>
      </c>
      <c r="Q3140" t="s">
        <v>11448</v>
      </c>
      <c r="S3140" t="s">
        <v>14827</v>
      </c>
      <c r="T3140" t="s">
        <v>14832</v>
      </c>
      <c r="V3140">
        <v>650</v>
      </c>
      <c r="W3140" t="s">
        <v>14861</v>
      </c>
      <c r="X3140" t="s">
        <v>14865</v>
      </c>
      <c r="Z3140" t="s">
        <v>17513</v>
      </c>
      <c r="AA3140" t="s">
        <v>19671</v>
      </c>
      <c r="AB3140" t="s">
        <v>22583</v>
      </c>
      <c r="AC3140">
        <v>3</v>
      </c>
      <c r="AD3140" t="s">
        <v>24600</v>
      </c>
      <c r="AE3140" t="s">
        <v>11459</v>
      </c>
      <c r="AF3140">
        <v>29</v>
      </c>
      <c r="AG3140">
        <v>1</v>
      </c>
      <c r="AH3140">
        <v>0</v>
      </c>
      <c r="AI3140">
        <v>76.29000000000001</v>
      </c>
      <c r="AL3140" t="s">
        <v>5011</v>
      </c>
      <c r="AM3140">
        <v>9528</v>
      </c>
      <c r="AS3140">
        <v>9.15</v>
      </c>
      <c r="AT3140" t="s">
        <v>470</v>
      </c>
      <c r="AU3140" t="s">
        <v>292</v>
      </c>
      <c r="AV3140" t="s">
        <v>25335</v>
      </c>
      <c r="AW3140" t="s">
        <v>11447</v>
      </c>
    </row>
    <row r="3141" spans="1:49">
      <c r="A3141" s="1">
        <f>HYPERLINK("https://lsnyc.legalserver.org/matter/dynamic-profile/view/1912947","19-1912947")</f>
        <v>0</v>
      </c>
      <c r="B3141" t="s">
        <v>68</v>
      </c>
      <c r="C3141" t="s">
        <v>574</v>
      </c>
      <c r="E3141" t="s">
        <v>2650</v>
      </c>
      <c r="F3141" t="s">
        <v>1035</v>
      </c>
      <c r="G3141" t="s">
        <v>8586</v>
      </c>
      <c r="I3141" t="s">
        <v>11421</v>
      </c>
      <c r="J3141">
        <v>11429</v>
      </c>
      <c r="K3141" t="s">
        <v>11446</v>
      </c>
      <c r="L3141" t="s">
        <v>12796</v>
      </c>
      <c r="M3141" t="s">
        <v>14743</v>
      </c>
      <c r="P3141" t="s">
        <v>14801</v>
      </c>
      <c r="S3141" t="s">
        <v>14827</v>
      </c>
      <c r="V3141">
        <v>1019</v>
      </c>
      <c r="W3141" t="s">
        <v>14861</v>
      </c>
      <c r="X3141" t="s">
        <v>14865</v>
      </c>
      <c r="Z3141" t="s">
        <v>17514</v>
      </c>
      <c r="AB3141" t="s">
        <v>22584</v>
      </c>
      <c r="AC3141">
        <v>2</v>
      </c>
      <c r="AE3141" t="s">
        <v>24610</v>
      </c>
      <c r="AF3141">
        <v>6</v>
      </c>
      <c r="AG3141">
        <v>1</v>
      </c>
      <c r="AH3141">
        <v>0</v>
      </c>
      <c r="AI3141">
        <v>76.48</v>
      </c>
      <c r="AM3141">
        <v>9552</v>
      </c>
      <c r="AS3141">
        <v>1.5</v>
      </c>
      <c r="AT3141" t="s">
        <v>574</v>
      </c>
      <c r="AU3141" t="s">
        <v>99</v>
      </c>
      <c r="AW3141" t="s">
        <v>11447</v>
      </c>
    </row>
    <row r="3142" spans="1:49">
      <c r="A3142" s="1">
        <f>HYPERLINK("https://lsnyc.legalserver.org/matter/dynamic-profile/view/1843403","17-1843403")</f>
        <v>0</v>
      </c>
      <c r="B3142" t="s">
        <v>68</v>
      </c>
      <c r="C3142" t="s">
        <v>406</v>
      </c>
      <c r="E3142" t="s">
        <v>2651</v>
      </c>
      <c r="F3142" t="s">
        <v>5249</v>
      </c>
      <c r="G3142" t="s">
        <v>8587</v>
      </c>
      <c r="H3142" t="s">
        <v>10486</v>
      </c>
      <c r="I3142" t="s">
        <v>11405</v>
      </c>
      <c r="J3142">
        <v>11417</v>
      </c>
      <c r="K3142" t="s">
        <v>11447</v>
      </c>
      <c r="L3142" t="s">
        <v>12797</v>
      </c>
      <c r="M3142" t="s">
        <v>14743</v>
      </c>
      <c r="N3142" t="s">
        <v>14781</v>
      </c>
      <c r="P3142" t="s">
        <v>14801</v>
      </c>
      <c r="Q3142" t="s">
        <v>11448</v>
      </c>
      <c r="S3142" t="s">
        <v>14827</v>
      </c>
      <c r="V3142">
        <v>1300</v>
      </c>
      <c r="W3142" t="s">
        <v>14861</v>
      </c>
      <c r="X3142" t="s">
        <v>14868</v>
      </c>
      <c r="Y3142" t="s">
        <v>14888</v>
      </c>
      <c r="Z3142" t="s">
        <v>17288</v>
      </c>
      <c r="AB3142" t="s">
        <v>22585</v>
      </c>
      <c r="AC3142">
        <v>2</v>
      </c>
      <c r="AD3142" t="s">
        <v>24600</v>
      </c>
      <c r="AE3142" t="s">
        <v>11459</v>
      </c>
      <c r="AF3142">
        <v>1</v>
      </c>
      <c r="AG3142">
        <v>2</v>
      </c>
      <c r="AH3142">
        <v>3</v>
      </c>
      <c r="AI3142">
        <v>76.79000000000001</v>
      </c>
      <c r="AL3142" t="s">
        <v>5011</v>
      </c>
      <c r="AM3142">
        <v>22100</v>
      </c>
      <c r="AS3142">
        <v>74.7</v>
      </c>
      <c r="AT3142" t="s">
        <v>359</v>
      </c>
      <c r="AU3142" t="s">
        <v>85</v>
      </c>
      <c r="AW3142" t="s">
        <v>11447</v>
      </c>
    </row>
    <row r="3143" spans="1:49">
      <c r="A3143" s="1">
        <f>HYPERLINK("https://lsnyc.legalserver.org/matter/dynamic-profile/view/1912301","19-1912301")</f>
        <v>0</v>
      </c>
      <c r="B3143" t="s">
        <v>99</v>
      </c>
      <c r="C3143" t="s">
        <v>473</v>
      </c>
      <c r="E3143" t="s">
        <v>2652</v>
      </c>
      <c r="F3143" t="s">
        <v>5250</v>
      </c>
      <c r="G3143" t="s">
        <v>8588</v>
      </c>
      <c r="H3143" t="s">
        <v>10604</v>
      </c>
      <c r="I3143" t="s">
        <v>11409</v>
      </c>
      <c r="J3143">
        <v>11377</v>
      </c>
      <c r="K3143" t="s">
        <v>11448</v>
      </c>
      <c r="L3143" t="s">
        <v>12798</v>
      </c>
      <c r="M3143" t="s">
        <v>14743</v>
      </c>
      <c r="N3143" t="s">
        <v>14778</v>
      </c>
      <c r="P3143" t="s">
        <v>14801</v>
      </c>
      <c r="S3143" t="s">
        <v>14827</v>
      </c>
      <c r="T3143" t="s">
        <v>14832</v>
      </c>
      <c r="V3143">
        <v>475</v>
      </c>
      <c r="W3143" t="s">
        <v>14861</v>
      </c>
      <c r="X3143" t="s">
        <v>14877</v>
      </c>
      <c r="Z3143" t="s">
        <v>17515</v>
      </c>
      <c r="AB3143" t="s">
        <v>22586</v>
      </c>
      <c r="AC3143">
        <v>2</v>
      </c>
      <c r="AD3143" t="s">
        <v>24600</v>
      </c>
      <c r="AE3143" t="s">
        <v>11459</v>
      </c>
      <c r="AF3143">
        <v>10</v>
      </c>
      <c r="AG3143">
        <v>1</v>
      </c>
      <c r="AH3143">
        <v>0</v>
      </c>
      <c r="AI3143">
        <v>76.86</v>
      </c>
      <c r="AM3143">
        <v>9600</v>
      </c>
      <c r="AS3143">
        <v>0</v>
      </c>
      <c r="AU3143" t="s">
        <v>99</v>
      </c>
      <c r="AW3143" t="s">
        <v>11447</v>
      </c>
    </row>
    <row r="3144" spans="1:49">
      <c r="A3144" s="1">
        <f>HYPERLINK("https://lsnyc.legalserver.org/matter/dynamic-profile/view/1907619","19-1907619")</f>
        <v>0</v>
      </c>
      <c r="B3144" t="s">
        <v>271</v>
      </c>
      <c r="C3144" t="s">
        <v>630</v>
      </c>
      <c r="E3144" t="s">
        <v>1059</v>
      </c>
      <c r="F3144" t="s">
        <v>5251</v>
      </c>
      <c r="G3144" t="s">
        <v>8589</v>
      </c>
      <c r="H3144" t="s">
        <v>10568</v>
      </c>
      <c r="I3144" t="s">
        <v>11404</v>
      </c>
      <c r="J3144">
        <v>11106</v>
      </c>
      <c r="K3144" t="s">
        <v>11446</v>
      </c>
      <c r="L3144" t="s">
        <v>12799</v>
      </c>
      <c r="M3144" t="s">
        <v>14744</v>
      </c>
      <c r="N3144" t="s">
        <v>14782</v>
      </c>
      <c r="P3144" t="s">
        <v>14801</v>
      </c>
      <c r="Q3144" t="s">
        <v>11448</v>
      </c>
      <c r="S3144" t="s">
        <v>14828</v>
      </c>
      <c r="V3144">
        <v>331</v>
      </c>
      <c r="W3144" t="s">
        <v>14861</v>
      </c>
      <c r="X3144" t="s">
        <v>14865</v>
      </c>
      <c r="Z3144" t="s">
        <v>17516</v>
      </c>
      <c r="AB3144" t="s">
        <v>22587</v>
      </c>
      <c r="AC3144">
        <v>6</v>
      </c>
      <c r="AD3144" t="s">
        <v>24602</v>
      </c>
      <c r="AE3144" t="s">
        <v>11459</v>
      </c>
      <c r="AF3144">
        <v>5</v>
      </c>
      <c r="AG3144">
        <v>1</v>
      </c>
      <c r="AH3144">
        <v>3</v>
      </c>
      <c r="AI3144">
        <v>79.04000000000001</v>
      </c>
      <c r="AL3144" t="s">
        <v>5011</v>
      </c>
      <c r="AM3144">
        <v>20354</v>
      </c>
      <c r="AS3144">
        <v>0.83</v>
      </c>
      <c r="AT3144" t="s">
        <v>412</v>
      </c>
      <c r="AU3144" t="s">
        <v>25233</v>
      </c>
      <c r="AV3144" t="s">
        <v>25335</v>
      </c>
      <c r="AW3144" t="s">
        <v>11447</v>
      </c>
    </row>
    <row r="3145" spans="1:49">
      <c r="A3145" s="1">
        <f>HYPERLINK("https://lsnyc.legalserver.org/matter/dynamic-profile/view/1886242","18-1886242")</f>
        <v>0</v>
      </c>
      <c r="B3145" t="s">
        <v>292</v>
      </c>
      <c r="C3145" t="s">
        <v>341</v>
      </c>
      <c r="E3145" t="s">
        <v>1056</v>
      </c>
      <c r="F3145" t="s">
        <v>5252</v>
      </c>
      <c r="G3145" t="s">
        <v>8590</v>
      </c>
      <c r="H3145" t="s">
        <v>10705</v>
      </c>
      <c r="I3145" t="s">
        <v>11411</v>
      </c>
      <c r="J3145">
        <v>11418</v>
      </c>
      <c r="K3145" t="s">
        <v>11446</v>
      </c>
      <c r="L3145" t="s">
        <v>12800</v>
      </c>
      <c r="M3145" t="s">
        <v>14743</v>
      </c>
      <c r="N3145" t="s">
        <v>14782</v>
      </c>
      <c r="P3145" t="s">
        <v>14801</v>
      </c>
      <c r="Q3145" t="s">
        <v>11448</v>
      </c>
      <c r="S3145" t="s">
        <v>14827</v>
      </c>
      <c r="V3145">
        <v>1400</v>
      </c>
      <c r="W3145" t="s">
        <v>14861</v>
      </c>
      <c r="X3145" t="s">
        <v>14865</v>
      </c>
      <c r="Z3145" t="s">
        <v>17517</v>
      </c>
      <c r="AA3145" t="s">
        <v>19672</v>
      </c>
      <c r="AB3145" t="s">
        <v>22588</v>
      </c>
      <c r="AC3145">
        <v>0</v>
      </c>
      <c r="AD3145" t="s">
        <v>11479</v>
      </c>
      <c r="AE3145" t="s">
        <v>24610</v>
      </c>
      <c r="AF3145">
        <v>21</v>
      </c>
      <c r="AG3145">
        <v>1</v>
      </c>
      <c r="AH3145">
        <v>0</v>
      </c>
      <c r="AI3145">
        <v>79.08</v>
      </c>
      <c r="AL3145" t="s">
        <v>5011</v>
      </c>
      <c r="AM3145">
        <v>9600</v>
      </c>
      <c r="AS3145">
        <v>0.05</v>
      </c>
      <c r="AT3145" t="s">
        <v>1013</v>
      </c>
      <c r="AU3145" t="s">
        <v>292</v>
      </c>
      <c r="AW3145" t="s">
        <v>11446</v>
      </c>
    </row>
    <row r="3146" spans="1:49">
      <c r="A3146" s="1">
        <f>HYPERLINK("https://lsnyc.legalserver.org/matter/dynamic-profile/view/1874536","18-1874536")</f>
        <v>0</v>
      </c>
      <c r="B3146" t="s">
        <v>147</v>
      </c>
      <c r="C3146" t="s">
        <v>786</v>
      </c>
      <c r="E3146" t="s">
        <v>2235</v>
      </c>
      <c r="F3146" t="s">
        <v>3848</v>
      </c>
      <c r="G3146" t="s">
        <v>8591</v>
      </c>
      <c r="H3146">
        <v>105</v>
      </c>
      <c r="I3146" t="s">
        <v>11389</v>
      </c>
      <c r="J3146">
        <v>11355</v>
      </c>
      <c r="K3146" t="s">
        <v>11446</v>
      </c>
      <c r="L3146" t="s">
        <v>12801</v>
      </c>
      <c r="M3146" t="s">
        <v>14744</v>
      </c>
      <c r="N3146" t="s">
        <v>14781</v>
      </c>
      <c r="P3146" t="s">
        <v>14801</v>
      </c>
      <c r="Q3146" t="s">
        <v>11448</v>
      </c>
      <c r="S3146" t="s">
        <v>14827</v>
      </c>
      <c r="T3146" t="s">
        <v>14832</v>
      </c>
      <c r="V3146">
        <v>1130</v>
      </c>
      <c r="W3146" t="s">
        <v>14861</v>
      </c>
      <c r="X3146" t="s">
        <v>14865</v>
      </c>
      <c r="Z3146" t="s">
        <v>17518</v>
      </c>
      <c r="AB3146" t="s">
        <v>22589</v>
      </c>
      <c r="AC3146">
        <v>20</v>
      </c>
      <c r="AE3146" t="s">
        <v>24613</v>
      </c>
      <c r="AF3146">
        <v>35</v>
      </c>
      <c r="AG3146">
        <v>1</v>
      </c>
      <c r="AH3146">
        <v>0</v>
      </c>
      <c r="AI3146">
        <v>79.67</v>
      </c>
      <c r="AK3146" t="s">
        <v>24630</v>
      </c>
      <c r="AL3146" t="s">
        <v>5011</v>
      </c>
      <c r="AM3146">
        <v>9672</v>
      </c>
      <c r="AS3146">
        <v>63.95</v>
      </c>
      <c r="AT3146" t="s">
        <v>348</v>
      </c>
      <c r="AU3146" t="s">
        <v>292</v>
      </c>
      <c r="AW3146" t="s">
        <v>11447</v>
      </c>
    </row>
    <row r="3147" spans="1:49">
      <c r="A3147" s="1">
        <f>HYPERLINK("https://lsnyc.legalserver.org/matter/dynamic-profile/view/1892682","19-1892682")</f>
        <v>0</v>
      </c>
      <c r="B3147" t="s">
        <v>248</v>
      </c>
      <c r="C3147" t="s">
        <v>702</v>
      </c>
      <c r="E3147" t="s">
        <v>2653</v>
      </c>
      <c r="F3147" t="s">
        <v>3951</v>
      </c>
      <c r="G3147" t="s">
        <v>8592</v>
      </c>
      <c r="H3147" t="s">
        <v>10646</v>
      </c>
      <c r="I3147" t="s">
        <v>11402</v>
      </c>
      <c r="J3147">
        <v>11422</v>
      </c>
      <c r="K3147" t="s">
        <v>11446</v>
      </c>
      <c r="L3147" t="s">
        <v>12802</v>
      </c>
      <c r="M3147" t="s">
        <v>14743</v>
      </c>
      <c r="N3147" t="s">
        <v>14779</v>
      </c>
      <c r="P3147" t="s">
        <v>14801</v>
      </c>
      <c r="Q3147" t="s">
        <v>11448</v>
      </c>
      <c r="S3147" t="s">
        <v>14827</v>
      </c>
      <c r="V3147">
        <v>1717.33</v>
      </c>
      <c r="W3147" t="s">
        <v>14861</v>
      </c>
      <c r="X3147" t="s">
        <v>14865</v>
      </c>
      <c r="Z3147" t="s">
        <v>17519</v>
      </c>
      <c r="AA3147" t="s">
        <v>19673</v>
      </c>
      <c r="AB3147" t="s">
        <v>22590</v>
      </c>
      <c r="AC3147">
        <v>0</v>
      </c>
      <c r="AD3147" t="s">
        <v>11479</v>
      </c>
      <c r="AE3147" t="s">
        <v>24610</v>
      </c>
      <c r="AF3147">
        <v>9</v>
      </c>
      <c r="AG3147">
        <v>2</v>
      </c>
      <c r="AH3147">
        <v>4</v>
      </c>
      <c r="AI3147">
        <v>79.68000000000001</v>
      </c>
      <c r="AL3147" t="s">
        <v>5011</v>
      </c>
      <c r="AM3147">
        <v>27560</v>
      </c>
      <c r="AS3147">
        <v>1.83</v>
      </c>
      <c r="AT3147" t="s">
        <v>365</v>
      </c>
      <c r="AU3147" t="s">
        <v>292</v>
      </c>
      <c r="AW3147" t="s">
        <v>11446</v>
      </c>
    </row>
    <row r="3148" spans="1:49">
      <c r="A3148" s="1">
        <f>HYPERLINK("https://lsnyc.legalserver.org/matter/dynamic-profile/view/1883601","18-1883601")</f>
        <v>0</v>
      </c>
      <c r="B3148" t="s">
        <v>124</v>
      </c>
      <c r="C3148" t="s">
        <v>818</v>
      </c>
      <c r="E3148" t="s">
        <v>2654</v>
      </c>
      <c r="F3148" t="s">
        <v>5253</v>
      </c>
      <c r="G3148" t="s">
        <v>8593</v>
      </c>
      <c r="H3148" t="s">
        <v>10646</v>
      </c>
      <c r="I3148" t="s">
        <v>11390</v>
      </c>
      <c r="J3148">
        <v>11368</v>
      </c>
      <c r="K3148" t="s">
        <v>11446</v>
      </c>
      <c r="L3148" t="s">
        <v>12803</v>
      </c>
      <c r="M3148" t="s">
        <v>14743</v>
      </c>
      <c r="N3148" t="s">
        <v>14778</v>
      </c>
      <c r="P3148" t="s">
        <v>14801</v>
      </c>
      <c r="Q3148" t="s">
        <v>11448</v>
      </c>
      <c r="S3148" t="s">
        <v>14827</v>
      </c>
      <c r="V3148">
        <v>1500</v>
      </c>
      <c r="W3148" t="s">
        <v>14861</v>
      </c>
      <c r="X3148" t="s">
        <v>14865</v>
      </c>
      <c r="Z3148" t="s">
        <v>16864</v>
      </c>
      <c r="AA3148" t="s">
        <v>19674</v>
      </c>
      <c r="AB3148" t="s">
        <v>22591</v>
      </c>
      <c r="AC3148">
        <v>0</v>
      </c>
      <c r="AD3148" t="s">
        <v>11479</v>
      </c>
      <c r="AE3148" t="s">
        <v>11459</v>
      </c>
      <c r="AF3148">
        <v>14</v>
      </c>
      <c r="AG3148">
        <v>3</v>
      </c>
      <c r="AH3148">
        <v>2</v>
      </c>
      <c r="AI3148">
        <v>80.90000000000001</v>
      </c>
      <c r="AL3148" t="s">
        <v>24632</v>
      </c>
      <c r="AM3148">
        <v>23800</v>
      </c>
      <c r="AS3148">
        <v>0.2</v>
      </c>
      <c r="AT3148" t="s">
        <v>339</v>
      </c>
      <c r="AU3148" t="s">
        <v>292</v>
      </c>
      <c r="AV3148" t="s">
        <v>25335</v>
      </c>
      <c r="AW3148" t="s">
        <v>11446</v>
      </c>
    </row>
    <row r="3149" spans="1:49">
      <c r="A3149" s="1">
        <f>HYPERLINK("https://lsnyc.legalserver.org/matter/dynamic-profile/view/1913893","19-1913893")</f>
        <v>0</v>
      </c>
      <c r="B3149" t="s">
        <v>179</v>
      </c>
      <c r="C3149" t="s">
        <v>533</v>
      </c>
      <c r="E3149" t="s">
        <v>2655</v>
      </c>
      <c r="F3149" t="s">
        <v>5254</v>
      </c>
      <c r="G3149" t="s">
        <v>8594</v>
      </c>
      <c r="H3149" t="s">
        <v>10506</v>
      </c>
      <c r="I3149" t="s">
        <v>11421</v>
      </c>
      <c r="J3149">
        <v>11428</v>
      </c>
      <c r="K3149" t="s">
        <v>11446</v>
      </c>
      <c r="L3149" t="s">
        <v>12804</v>
      </c>
      <c r="M3149" t="s">
        <v>14743</v>
      </c>
      <c r="N3149" t="s">
        <v>14782</v>
      </c>
      <c r="P3149" t="s">
        <v>14801</v>
      </c>
      <c r="Q3149" t="s">
        <v>11448</v>
      </c>
      <c r="S3149" t="s">
        <v>14827</v>
      </c>
      <c r="V3149">
        <v>1300</v>
      </c>
      <c r="W3149" t="s">
        <v>14861</v>
      </c>
      <c r="X3149" t="s">
        <v>14865</v>
      </c>
      <c r="Z3149" t="s">
        <v>17520</v>
      </c>
      <c r="AA3149" t="s">
        <v>19675</v>
      </c>
      <c r="AB3149" t="s">
        <v>22592</v>
      </c>
      <c r="AC3149">
        <v>2</v>
      </c>
      <c r="AD3149" t="s">
        <v>11479</v>
      </c>
      <c r="AE3149" t="s">
        <v>11459</v>
      </c>
      <c r="AF3149">
        <v>1</v>
      </c>
      <c r="AG3149">
        <v>1</v>
      </c>
      <c r="AH3149">
        <v>2</v>
      </c>
      <c r="AI3149">
        <v>81.43000000000001</v>
      </c>
      <c r="AL3149" t="s">
        <v>5011</v>
      </c>
      <c r="AM3149">
        <v>17368</v>
      </c>
      <c r="AS3149">
        <v>0.33</v>
      </c>
      <c r="AT3149" t="s">
        <v>533</v>
      </c>
      <c r="AU3149" t="s">
        <v>25233</v>
      </c>
      <c r="AV3149" t="s">
        <v>25335</v>
      </c>
      <c r="AW3149" t="s">
        <v>11447</v>
      </c>
    </row>
    <row r="3150" spans="1:49">
      <c r="A3150" s="1">
        <f>HYPERLINK("https://lsnyc.legalserver.org/matter/dynamic-profile/view/1913623","19-1913623")</f>
        <v>0</v>
      </c>
      <c r="B3150" t="s">
        <v>229</v>
      </c>
      <c r="C3150" t="s">
        <v>477</v>
      </c>
      <c r="E3150" t="s">
        <v>1399</v>
      </c>
      <c r="F3150" t="s">
        <v>5229</v>
      </c>
      <c r="G3150" t="s">
        <v>8555</v>
      </c>
      <c r="H3150" t="s">
        <v>10665</v>
      </c>
      <c r="I3150" t="s">
        <v>11404</v>
      </c>
      <c r="J3150">
        <v>11102</v>
      </c>
      <c r="K3150" t="s">
        <v>11447</v>
      </c>
      <c r="L3150" t="s">
        <v>12805</v>
      </c>
      <c r="M3150" t="s">
        <v>14744</v>
      </c>
      <c r="N3150" t="s">
        <v>14781</v>
      </c>
      <c r="P3150" t="s">
        <v>14801</v>
      </c>
      <c r="Q3150" t="s">
        <v>11446</v>
      </c>
      <c r="S3150" t="s">
        <v>14828</v>
      </c>
      <c r="T3150" t="s">
        <v>14832</v>
      </c>
      <c r="V3150">
        <v>0</v>
      </c>
      <c r="W3150" t="s">
        <v>14861</v>
      </c>
      <c r="Z3150" t="s">
        <v>15452</v>
      </c>
      <c r="AB3150" t="s">
        <v>22553</v>
      </c>
      <c r="AC3150">
        <v>0</v>
      </c>
      <c r="AF3150">
        <v>0</v>
      </c>
      <c r="AG3150">
        <v>4</v>
      </c>
      <c r="AH3150">
        <v>2</v>
      </c>
      <c r="AI3150">
        <v>82.12</v>
      </c>
      <c r="AL3150" t="s">
        <v>5011</v>
      </c>
      <c r="AM3150">
        <v>28404</v>
      </c>
      <c r="AS3150">
        <v>2.6</v>
      </c>
      <c r="AT3150" t="s">
        <v>491</v>
      </c>
      <c r="AU3150" t="s">
        <v>229</v>
      </c>
      <c r="AW3150" t="s">
        <v>11447</v>
      </c>
    </row>
    <row r="3151" spans="1:49">
      <c r="A3151" s="1">
        <f>HYPERLINK("https://lsnyc.legalserver.org/matter/dynamic-profile/view/1914476","19-1914476")</f>
        <v>0</v>
      </c>
      <c r="B3151" t="s">
        <v>99</v>
      </c>
      <c r="C3151" t="s">
        <v>506</v>
      </c>
      <c r="E3151" t="s">
        <v>1297</v>
      </c>
      <c r="F3151" t="s">
        <v>5255</v>
      </c>
      <c r="G3151" t="s">
        <v>8595</v>
      </c>
      <c r="I3151" t="s">
        <v>11387</v>
      </c>
      <c r="J3151">
        <v>11433</v>
      </c>
      <c r="K3151" t="s">
        <v>11446</v>
      </c>
      <c r="P3151" t="s">
        <v>14801</v>
      </c>
      <c r="S3151" t="s">
        <v>14827</v>
      </c>
      <c r="V3151">
        <v>1799</v>
      </c>
      <c r="W3151" t="s">
        <v>14861</v>
      </c>
      <c r="X3151" t="s">
        <v>14865</v>
      </c>
      <c r="Z3151" t="s">
        <v>17521</v>
      </c>
      <c r="AB3151" t="s">
        <v>22593</v>
      </c>
      <c r="AC3151">
        <v>120</v>
      </c>
      <c r="AE3151" t="s">
        <v>14755</v>
      </c>
      <c r="AF3151">
        <v>2</v>
      </c>
      <c r="AG3151">
        <v>2</v>
      </c>
      <c r="AH3151">
        <v>0</v>
      </c>
      <c r="AI3151">
        <v>82.67</v>
      </c>
      <c r="AL3151" t="s">
        <v>24632</v>
      </c>
      <c r="AM3151">
        <v>13980</v>
      </c>
      <c r="AS3151">
        <v>1.1</v>
      </c>
      <c r="AT3151" t="s">
        <v>506</v>
      </c>
      <c r="AU3151" t="s">
        <v>99</v>
      </c>
      <c r="AW3151" t="s">
        <v>11447</v>
      </c>
    </row>
    <row r="3152" spans="1:49">
      <c r="A3152" s="1">
        <f>HYPERLINK("https://lsnyc.legalserver.org/matter/dynamic-profile/view/1883621","18-1883621")</f>
        <v>0</v>
      </c>
      <c r="B3152" t="s">
        <v>124</v>
      </c>
      <c r="C3152" t="s">
        <v>818</v>
      </c>
      <c r="E3152" t="s">
        <v>1309</v>
      </c>
      <c r="F3152" t="s">
        <v>3702</v>
      </c>
      <c r="G3152" t="s">
        <v>8596</v>
      </c>
      <c r="I3152" t="s">
        <v>11415</v>
      </c>
      <c r="J3152">
        <v>11356</v>
      </c>
      <c r="K3152" t="s">
        <v>11446</v>
      </c>
      <c r="L3152" t="s">
        <v>12806</v>
      </c>
      <c r="M3152" t="s">
        <v>14743</v>
      </c>
      <c r="N3152" t="s">
        <v>14778</v>
      </c>
      <c r="P3152" t="s">
        <v>14801</v>
      </c>
      <c r="Q3152" t="s">
        <v>11448</v>
      </c>
      <c r="S3152" t="s">
        <v>14827</v>
      </c>
      <c r="V3152">
        <v>825</v>
      </c>
      <c r="W3152" t="s">
        <v>14861</v>
      </c>
      <c r="X3152" t="s">
        <v>14865</v>
      </c>
      <c r="Z3152" t="s">
        <v>16208</v>
      </c>
      <c r="AA3152" t="s">
        <v>19676</v>
      </c>
      <c r="AB3152" t="s">
        <v>22594</v>
      </c>
      <c r="AC3152">
        <v>0</v>
      </c>
      <c r="AD3152" t="s">
        <v>11479</v>
      </c>
      <c r="AF3152">
        <v>49</v>
      </c>
      <c r="AG3152">
        <v>1</v>
      </c>
      <c r="AH3152">
        <v>0</v>
      </c>
      <c r="AI3152">
        <v>82.73</v>
      </c>
      <c r="AL3152" t="s">
        <v>24632</v>
      </c>
      <c r="AM3152">
        <v>10044</v>
      </c>
      <c r="AS3152">
        <v>0.2</v>
      </c>
      <c r="AT3152" t="s">
        <v>339</v>
      </c>
      <c r="AU3152" t="s">
        <v>292</v>
      </c>
      <c r="AW3152" t="s">
        <v>11446</v>
      </c>
    </row>
    <row r="3153" spans="1:49">
      <c r="A3153" s="1">
        <f>HYPERLINK("https://lsnyc.legalserver.org/matter/dynamic-profile/view/1913799","19-1913799")</f>
        <v>0</v>
      </c>
      <c r="B3153" t="s">
        <v>291</v>
      </c>
      <c r="C3153" t="s">
        <v>533</v>
      </c>
      <c r="E3153" t="s">
        <v>1416</v>
      </c>
      <c r="F3153" t="s">
        <v>5256</v>
      </c>
      <c r="G3153" t="s">
        <v>8597</v>
      </c>
      <c r="H3153" t="s">
        <v>11097</v>
      </c>
      <c r="I3153" t="s">
        <v>6196</v>
      </c>
      <c r="J3153">
        <v>11423</v>
      </c>
      <c r="K3153" t="s">
        <v>11446</v>
      </c>
      <c r="L3153" t="s">
        <v>12807</v>
      </c>
      <c r="M3153" t="s">
        <v>14744</v>
      </c>
      <c r="N3153" t="s">
        <v>14779</v>
      </c>
      <c r="P3153" t="s">
        <v>14801</v>
      </c>
      <c r="Q3153" t="s">
        <v>11448</v>
      </c>
      <c r="S3153" t="s">
        <v>14827</v>
      </c>
      <c r="V3153">
        <v>1236</v>
      </c>
      <c r="W3153" t="s">
        <v>14861</v>
      </c>
      <c r="X3153" t="s">
        <v>14865</v>
      </c>
      <c r="Z3153" t="s">
        <v>17522</v>
      </c>
      <c r="AB3153" t="s">
        <v>22595</v>
      </c>
      <c r="AC3153">
        <v>12</v>
      </c>
      <c r="AD3153" t="s">
        <v>11479</v>
      </c>
      <c r="AE3153" t="s">
        <v>11459</v>
      </c>
      <c r="AF3153">
        <v>1</v>
      </c>
      <c r="AG3153">
        <v>1</v>
      </c>
      <c r="AH3153">
        <v>1</v>
      </c>
      <c r="AI3153">
        <v>83.03</v>
      </c>
      <c r="AL3153" t="s">
        <v>5011</v>
      </c>
      <c r="AM3153">
        <v>14040</v>
      </c>
      <c r="AS3153">
        <v>15.08</v>
      </c>
      <c r="AT3153" t="s">
        <v>516</v>
      </c>
      <c r="AU3153" t="s">
        <v>25233</v>
      </c>
      <c r="AV3153" t="s">
        <v>25335</v>
      </c>
      <c r="AW3153" t="s">
        <v>11447</v>
      </c>
    </row>
    <row r="3154" spans="1:49">
      <c r="A3154" s="1">
        <f>HYPERLINK("https://lsnyc.legalserver.org/matter/dynamic-profile/view/1888651","19-1888651")</f>
        <v>0</v>
      </c>
      <c r="B3154" t="s">
        <v>99</v>
      </c>
      <c r="C3154" t="s">
        <v>542</v>
      </c>
      <c r="E3154" t="s">
        <v>2656</v>
      </c>
      <c r="F3154" t="s">
        <v>5257</v>
      </c>
      <c r="G3154" t="s">
        <v>8598</v>
      </c>
      <c r="H3154" t="s">
        <v>10460</v>
      </c>
      <c r="I3154" t="s">
        <v>11387</v>
      </c>
      <c r="J3154">
        <v>11435</v>
      </c>
      <c r="K3154" t="s">
        <v>11447</v>
      </c>
      <c r="L3154" t="s">
        <v>12808</v>
      </c>
      <c r="M3154" t="s">
        <v>14744</v>
      </c>
      <c r="N3154" t="s">
        <v>14778</v>
      </c>
      <c r="P3154" t="s">
        <v>14801</v>
      </c>
      <c r="S3154" t="s">
        <v>14827</v>
      </c>
      <c r="V3154">
        <v>1327</v>
      </c>
      <c r="W3154" t="s">
        <v>14861</v>
      </c>
      <c r="X3154" t="s">
        <v>14865</v>
      </c>
      <c r="Z3154" t="s">
        <v>17523</v>
      </c>
      <c r="AA3154" t="s">
        <v>19677</v>
      </c>
      <c r="AB3154" t="s">
        <v>22596</v>
      </c>
      <c r="AC3154">
        <v>8</v>
      </c>
      <c r="AD3154" t="s">
        <v>24595</v>
      </c>
      <c r="AE3154" t="s">
        <v>11459</v>
      </c>
      <c r="AF3154">
        <v>8</v>
      </c>
      <c r="AG3154">
        <v>3</v>
      </c>
      <c r="AH3154">
        <v>0</v>
      </c>
      <c r="AI3154">
        <v>84.39</v>
      </c>
      <c r="AM3154">
        <v>18000</v>
      </c>
      <c r="AS3154">
        <v>3.6</v>
      </c>
      <c r="AT3154" t="s">
        <v>832</v>
      </c>
      <c r="AU3154" t="s">
        <v>99</v>
      </c>
      <c r="AW3154" t="s">
        <v>11447</v>
      </c>
    </row>
    <row r="3155" spans="1:49">
      <c r="A3155" s="1">
        <f>HYPERLINK("https://lsnyc.legalserver.org/matter/dynamic-profile/view/1845776","17-1845776")</f>
        <v>0</v>
      </c>
      <c r="B3155" t="s">
        <v>179</v>
      </c>
      <c r="C3155" t="s">
        <v>819</v>
      </c>
      <c r="E3155" t="s">
        <v>1789</v>
      </c>
      <c r="F3155" t="s">
        <v>5258</v>
      </c>
      <c r="G3155" t="s">
        <v>8599</v>
      </c>
      <c r="H3155" t="s">
        <v>10506</v>
      </c>
      <c r="I3155" t="s">
        <v>11415</v>
      </c>
      <c r="J3155">
        <v>11356</v>
      </c>
      <c r="K3155" t="s">
        <v>11446</v>
      </c>
      <c r="L3155" t="s">
        <v>12809</v>
      </c>
      <c r="M3155" t="s">
        <v>14743</v>
      </c>
      <c r="N3155" t="s">
        <v>14782</v>
      </c>
      <c r="P3155" t="s">
        <v>14801</v>
      </c>
      <c r="Q3155" t="s">
        <v>11448</v>
      </c>
      <c r="S3155" t="s">
        <v>14827</v>
      </c>
      <c r="V3155">
        <v>1200</v>
      </c>
      <c r="W3155" t="s">
        <v>14861</v>
      </c>
      <c r="Z3155" t="s">
        <v>17524</v>
      </c>
      <c r="AA3155" t="s">
        <v>11465</v>
      </c>
      <c r="AB3155" t="s">
        <v>22597</v>
      </c>
      <c r="AC3155">
        <v>5</v>
      </c>
      <c r="AE3155" t="s">
        <v>11459</v>
      </c>
      <c r="AF3155">
        <v>7</v>
      </c>
      <c r="AG3155">
        <v>2</v>
      </c>
      <c r="AH3155">
        <v>2</v>
      </c>
      <c r="AI3155">
        <v>84.55</v>
      </c>
      <c r="AL3155" t="s">
        <v>24632</v>
      </c>
      <c r="AM3155">
        <v>20800</v>
      </c>
      <c r="AS3155">
        <v>3.25</v>
      </c>
      <c r="AT3155" t="s">
        <v>396</v>
      </c>
      <c r="AU3155" t="s">
        <v>83</v>
      </c>
      <c r="AW3155" t="s">
        <v>11447</v>
      </c>
    </row>
    <row r="3156" spans="1:49">
      <c r="A3156" s="1">
        <f>HYPERLINK("https://lsnyc.legalserver.org/matter/dynamic-profile/view/1843345","17-1843345")</f>
        <v>0</v>
      </c>
      <c r="B3156" t="s">
        <v>74</v>
      </c>
      <c r="C3156" t="s">
        <v>406</v>
      </c>
      <c r="E3156" t="s">
        <v>1789</v>
      </c>
      <c r="F3156" t="s">
        <v>5258</v>
      </c>
      <c r="G3156" t="s">
        <v>8599</v>
      </c>
      <c r="H3156" t="s">
        <v>10725</v>
      </c>
      <c r="I3156" t="s">
        <v>11415</v>
      </c>
      <c r="J3156">
        <v>11356</v>
      </c>
      <c r="K3156" t="s">
        <v>11447</v>
      </c>
      <c r="P3156" t="s">
        <v>14801</v>
      </c>
      <c r="S3156" t="s">
        <v>14827</v>
      </c>
      <c r="V3156">
        <v>0</v>
      </c>
      <c r="W3156" t="s">
        <v>14861</v>
      </c>
      <c r="Z3156" t="s">
        <v>17524</v>
      </c>
      <c r="AB3156" t="s">
        <v>22597</v>
      </c>
      <c r="AC3156">
        <v>0</v>
      </c>
      <c r="AF3156">
        <v>0</v>
      </c>
      <c r="AG3156">
        <v>2</v>
      </c>
      <c r="AH3156">
        <v>2</v>
      </c>
      <c r="AI3156">
        <v>84.55</v>
      </c>
      <c r="AM3156">
        <v>20800</v>
      </c>
      <c r="AS3156">
        <v>0.6</v>
      </c>
      <c r="AT3156" t="s">
        <v>25165</v>
      </c>
      <c r="AU3156" t="s">
        <v>25234</v>
      </c>
      <c r="AW3156" t="s">
        <v>11447</v>
      </c>
    </row>
    <row r="3157" spans="1:49">
      <c r="A3157" s="1">
        <f>HYPERLINK("https://lsnyc.legalserver.org/matter/dynamic-profile/view/1880680","18-1880680")</f>
        <v>0</v>
      </c>
      <c r="B3157" t="s">
        <v>293</v>
      </c>
      <c r="C3157" t="s">
        <v>820</v>
      </c>
      <c r="E3157" t="s">
        <v>1670</v>
      </c>
      <c r="F3157" t="s">
        <v>5259</v>
      </c>
      <c r="G3157" t="s">
        <v>8600</v>
      </c>
      <c r="H3157" t="s">
        <v>10689</v>
      </c>
      <c r="I3157" t="s">
        <v>11395</v>
      </c>
      <c r="J3157">
        <v>11373</v>
      </c>
      <c r="K3157" t="s">
        <v>11446</v>
      </c>
      <c r="L3157" t="s">
        <v>12810</v>
      </c>
      <c r="M3157" t="s">
        <v>14744</v>
      </c>
      <c r="N3157" t="s">
        <v>14781</v>
      </c>
      <c r="P3157" t="s">
        <v>14801</v>
      </c>
      <c r="Q3157" t="s">
        <v>11448</v>
      </c>
      <c r="S3157" t="s">
        <v>14827</v>
      </c>
      <c r="V3157">
        <v>1800</v>
      </c>
      <c r="W3157" t="s">
        <v>14861</v>
      </c>
      <c r="X3157" t="s">
        <v>14865</v>
      </c>
      <c r="Z3157" t="s">
        <v>17525</v>
      </c>
      <c r="AA3157" t="s">
        <v>19678</v>
      </c>
      <c r="AB3157" t="s">
        <v>22598</v>
      </c>
      <c r="AC3157">
        <v>63</v>
      </c>
      <c r="AD3157" t="s">
        <v>11479</v>
      </c>
      <c r="AF3157">
        <v>3</v>
      </c>
      <c r="AG3157">
        <v>2</v>
      </c>
      <c r="AH3157">
        <v>0</v>
      </c>
      <c r="AI3157">
        <v>85.05</v>
      </c>
      <c r="AL3157" t="s">
        <v>5011</v>
      </c>
      <c r="AM3157">
        <v>14000</v>
      </c>
      <c r="AS3157">
        <v>30.2</v>
      </c>
      <c r="AT3157" t="s">
        <v>580</v>
      </c>
      <c r="AU3157" t="s">
        <v>292</v>
      </c>
      <c r="AW3157" t="s">
        <v>11446</v>
      </c>
    </row>
    <row r="3158" spans="1:49">
      <c r="A3158" s="1">
        <f>HYPERLINK("https://lsnyc.legalserver.org/matter/dynamic-profile/view/1909554","19-1909554")</f>
        <v>0</v>
      </c>
      <c r="B3158" t="s">
        <v>68</v>
      </c>
      <c r="C3158" t="s">
        <v>488</v>
      </c>
      <c r="E3158" t="s">
        <v>2657</v>
      </c>
      <c r="F3158" t="s">
        <v>1075</v>
      </c>
      <c r="G3158" t="s">
        <v>8601</v>
      </c>
      <c r="H3158" t="s">
        <v>10831</v>
      </c>
      <c r="I3158" t="s">
        <v>11390</v>
      </c>
      <c r="J3158">
        <v>11368</v>
      </c>
      <c r="K3158" t="s">
        <v>11446</v>
      </c>
      <c r="L3158" t="s">
        <v>12811</v>
      </c>
      <c r="M3158" t="s">
        <v>14744</v>
      </c>
      <c r="N3158" t="s">
        <v>14782</v>
      </c>
      <c r="P3158" t="s">
        <v>14801</v>
      </c>
      <c r="Q3158" t="s">
        <v>11448</v>
      </c>
      <c r="S3158" t="s">
        <v>14827</v>
      </c>
      <c r="T3158" t="s">
        <v>14832</v>
      </c>
      <c r="V3158">
        <v>2386</v>
      </c>
      <c r="W3158" t="s">
        <v>14861</v>
      </c>
      <c r="X3158" t="s">
        <v>14865</v>
      </c>
      <c r="Z3158" t="s">
        <v>15075</v>
      </c>
      <c r="AB3158" t="s">
        <v>22599</v>
      </c>
      <c r="AC3158">
        <v>400</v>
      </c>
      <c r="AD3158" t="s">
        <v>24595</v>
      </c>
      <c r="AE3158" t="s">
        <v>11459</v>
      </c>
      <c r="AF3158">
        <v>5</v>
      </c>
      <c r="AG3158">
        <v>4</v>
      </c>
      <c r="AH3158">
        <v>0</v>
      </c>
      <c r="AI3158">
        <v>87.15000000000001</v>
      </c>
      <c r="AM3158">
        <v>22440</v>
      </c>
      <c r="AS3158">
        <v>3.3</v>
      </c>
      <c r="AT3158" t="s">
        <v>491</v>
      </c>
      <c r="AU3158" t="s">
        <v>99</v>
      </c>
      <c r="AV3158" t="s">
        <v>25335</v>
      </c>
      <c r="AW3158" t="s">
        <v>11447</v>
      </c>
    </row>
    <row r="3159" spans="1:49">
      <c r="A3159" s="1">
        <f>HYPERLINK("https://lsnyc.legalserver.org/matter/dynamic-profile/view/1884553","18-1884553")</f>
        <v>0</v>
      </c>
      <c r="B3159" t="s">
        <v>225</v>
      </c>
      <c r="C3159" t="s">
        <v>720</v>
      </c>
      <c r="E3159" t="s">
        <v>1769</v>
      </c>
      <c r="F3159" t="s">
        <v>3901</v>
      </c>
      <c r="G3159" t="s">
        <v>8602</v>
      </c>
      <c r="H3159" t="s">
        <v>10552</v>
      </c>
      <c r="I3159" t="s">
        <v>11387</v>
      </c>
      <c r="J3159">
        <v>11434</v>
      </c>
      <c r="K3159" t="s">
        <v>11446</v>
      </c>
      <c r="L3159" t="s">
        <v>12812</v>
      </c>
      <c r="M3159" t="s">
        <v>14744</v>
      </c>
      <c r="N3159" t="s">
        <v>14778</v>
      </c>
      <c r="P3159" t="s">
        <v>14801</v>
      </c>
      <c r="Q3159" t="s">
        <v>11448</v>
      </c>
      <c r="S3159" t="s">
        <v>14828</v>
      </c>
      <c r="V3159">
        <v>1246</v>
      </c>
      <c r="W3159" t="s">
        <v>14861</v>
      </c>
      <c r="X3159" t="s">
        <v>14863</v>
      </c>
      <c r="Z3159" t="s">
        <v>17526</v>
      </c>
      <c r="AB3159" t="s">
        <v>22600</v>
      </c>
      <c r="AC3159">
        <v>0</v>
      </c>
      <c r="AD3159" t="s">
        <v>24597</v>
      </c>
      <c r="AF3159">
        <v>2</v>
      </c>
      <c r="AG3159">
        <v>1</v>
      </c>
      <c r="AH3159">
        <v>0</v>
      </c>
      <c r="AI3159">
        <v>87.48</v>
      </c>
      <c r="AL3159" t="s">
        <v>5011</v>
      </c>
      <c r="AM3159">
        <v>10620</v>
      </c>
      <c r="AS3159">
        <v>27.75</v>
      </c>
      <c r="AT3159" t="s">
        <v>612</v>
      </c>
      <c r="AU3159" t="s">
        <v>292</v>
      </c>
      <c r="AW3159" t="s">
        <v>11446</v>
      </c>
    </row>
    <row r="3160" spans="1:49">
      <c r="A3160" s="1">
        <f>HYPERLINK("https://lsnyc.legalserver.org/matter/dynamic-profile/view/1913411","19-1913411")</f>
        <v>0</v>
      </c>
      <c r="B3160" t="s">
        <v>99</v>
      </c>
      <c r="C3160" t="s">
        <v>483</v>
      </c>
      <c r="E3160" t="s">
        <v>1206</v>
      </c>
      <c r="F3160" t="s">
        <v>5260</v>
      </c>
      <c r="G3160" t="s">
        <v>8603</v>
      </c>
      <c r="I3160" t="s">
        <v>11390</v>
      </c>
      <c r="J3160">
        <v>11368</v>
      </c>
      <c r="K3160" t="s">
        <v>11446</v>
      </c>
      <c r="L3160" t="s">
        <v>12813</v>
      </c>
      <c r="M3160" t="s">
        <v>14743</v>
      </c>
      <c r="P3160" t="s">
        <v>14801</v>
      </c>
      <c r="S3160" t="s">
        <v>14827</v>
      </c>
      <c r="V3160">
        <v>1300</v>
      </c>
      <c r="W3160" t="s">
        <v>14861</v>
      </c>
      <c r="Z3160" t="s">
        <v>17527</v>
      </c>
      <c r="AB3160" t="s">
        <v>22601</v>
      </c>
      <c r="AC3160">
        <v>2</v>
      </c>
      <c r="AD3160" t="s">
        <v>24600</v>
      </c>
      <c r="AE3160" t="s">
        <v>11459</v>
      </c>
      <c r="AF3160">
        <v>14</v>
      </c>
      <c r="AG3160">
        <v>1</v>
      </c>
      <c r="AH3160">
        <v>2</v>
      </c>
      <c r="AI3160">
        <v>87.76000000000001</v>
      </c>
      <c r="AL3160" t="s">
        <v>24632</v>
      </c>
      <c r="AM3160">
        <v>18720</v>
      </c>
      <c r="AS3160">
        <v>1</v>
      </c>
      <c r="AT3160" t="s">
        <v>484</v>
      </c>
      <c r="AU3160" t="s">
        <v>99</v>
      </c>
      <c r="AW3160" t="s">
        <v>11447</v>
      </c>
    </row>
    <row r="3161" spans="1:49">
      <c r="A3161" s="1">
        <f>HYPERLINK("https://lsnyc.legalserver.org/matter/dynamic-profile/view/0788932","15-0788932")</f>
        <v>0</v>
      </c>
      <c r="B3161" t="s">
        <v>179</v>
      </c>
      <c r="C3161" t="s">
        <v>821</v>
      </c>
      <c r="E3161" t="s">
        <v>2658</v>
      </c>
      <c r="F3161" t="s">
        <v>2218</v>
      </c>
      <c r="G3161" t="s">
        <v>8604</v>
      </c>
      <c r="I3161" t="s">
        <v>11418</v>
      </c>
      <c r="J3161">
        <v>11412</v>
      </c>
      <c r="K3161" t="s">
        <v>11447</v>
      </c>
      <c r="N3161" t="s">
        <v>14779</v>
      </c>
      <c r="P3161" t="s">
        <v>14801</v>
      </c>
      <c r="S3161" t="s">
        <v>14827</v>
      </c>
      <c r="V3161">
        <v>0</v>
      </c>
      <c r="W3161" t="s">
        <v>14861</v>
      </c>
      <c r="Z3161" t="s">
        <v>17528</v>
      </c>
      <c r="AB3161" t="s">
        <v>22602</v>
      </c>
      <c r="AC3161">
        <v>0</v>
      </c>
      <c r="AF3161">
        <v>0</v>
      </c>
      <c r="AG3161">
        <v>1</v>
      </c>
      <c r="AH3161">
        <v>4</v>
      </c>
      <c r="AI3161">
        <v>89.42</v>
      </c>
      <c r="AL3161" t="s">
        <v>5011</v>
      </c>
      <c r="AM3161">
        <v>25404</v>
      </c>
      <c r="AS3161">
        <v>0.9</v>
      </c>
      <c r="AT3161" t="s">
        <v>25166</v>
      </c>
      <c r="AU3161" t="s">
        <v>319</v>
      </c>
      <c r="AW3161" t="s">
        <v>11447</v>
      </c>
    </row>
    <row r="3162" spans="1:49">
      <c r="A3162" s="1">
        <f>HYPERLINK("https://lsnyc.legalserver.org/matter/dynamic-profile/view/1906556","19-1906556")</f>
        <v>0</v>
      </c>
      <c r="B3162" t="s">
        <v>179</v>
      </c>
      <c r="C3162" t="s">
        <v>380</v>
      </c>
      <c r="E3162" t="s">
        <v>2241</v>
      </c>
      <c r="F3162" t="s">
        <v>5261</v>
      </c>
      <c r="G3162" t="s">
        <v>8605</v>
      </c>
      <c r="H3162">
        <v>309</v>
      </c>
      <c r="I3162" t="s">
        <v>11387</v>
      </c>
      <c r="J3162">
        <v>11436</v>
      </c>
      <c r="K3162" t="s">
        <v>11446</v>
      </c>
      <c r="L3162" t="s">
        <v>12814</v>
      </c>
      <c r="M3162" t="s">
        <v>14744</v>
      </c>
      <c r="N3162" t="s">
        <v>14781</v>
      </c>
      <c r="P3162" t="s">
        <v>14801</v>
      </c>
      <c r="Q3162" t="s">
        <v>11446</v>
      </c>
      <c r="S3162" t="s">
        <v>14827</v>
      </c>
      <c r="V3162">
        <v>350</v>
      </c>
      <c r="W3162" t="s">
        <v>14861</v>
      </c>
      <c r="X3162" t="s">
        <v>14865</v>
      </c>
      <c r="Z3162" t="s">
        <v>17529</v>
      </c>
      <c r="AB3162" t="s">
        <v>22603</v>
      </c>
      <c r="AC3162">
        <v>100</v>
      </c>
      <c r="AD3162" t="s">
        <v>24596</v>
      </c>
      <c r="AE3162" t="s">
        <v>24610</v>
      </c>
      <c r="AF3162">
        <v>34</v>
      </c>
      <c r="AG3162">
        <v>1</v>
      </c>
      <c r="AH3162">
        <v>0</v>
      </c>
      <c r="AI3162">
        <v>91.27</v>
      </c>
      <c r="AL3162" t="s">
        <v>5011</v>
      </c>
      <c r="AM3162">
        <v>11400</v>
      </c>
      <c r="AS3162">
        <v>11.97</v>
      </c>
      <c r="AT3162" t="s">
        <v>472</v>
      </c>
      <c r="AU3162" t="s">
        <v>25233</v>
      </c>
      <c r="AV3162" t="s">
        <v>25335</v>
      </c>
      <c r="AW3162" t="s">
        <v>11447</v>
      </c>
    </row>
    <row r="3163" spans="1:49">
      <c r="A3163" s="1">
        <f>HYPERLINK("https://lsnyc.legalserver.org/matter/dynamic-profile/view/1889284","19-1889284")</f>
        <v>0</v>
      </c>
      <c r="B3163" t="s">
        <v>74</v>
      </c>
      <c r="C3163" t="s">
        <v>513</v>
      </c>
      <c r="E3163" t="s">
        <v>2659</v>
      </c>
      <c r="F3163" t="s">
        <v>5262</v>
      </c>
      <c r="G3163" t="s">
        <v>8606</v>
      </c>
      <c r="H3163" t="s">
        <v>11098</v>
      </c>
      <c r="I3163" t="s">
        <v>11389</v>
      </c>
      <c r="J3163">
        <v>11355</v>
      </c>
      <c r="K3163" t="s">
        <v>11446</v>
      </c>
      <c r="L3163" t="s">
        <v>12815</v>
      </c>
      <c r="M3163" t="s">
        <v>14743</v>
      </c>
      <c r="N3163" t="s">
        <v>14778</v>
      </c>
      <c r="P3163" t="s">
        <v>14801</v>
      </c>
      <c r="Q3163" t="s">
        <v>11448</v>
      </c>
      <c r="S3163" t="s">
        <v>14827</v>
      </c>
      <c r="V3163">
        <v>1900</v>
      </c>
      <c r="W3163" t="s">
        <v>14861</v>
      </c>
      <c r="X3163" t="s">
        <v>14865</v>
      </c>
      <c r="Z3163" t="s">
        <v>17530</v>
      </c>
      <c r="AB3163" t="s">
        <v>22604</v>
      </c>
      <c r="AC3163">
        <v>0</v>
      </c>
      <c r="AD3163" t="s">
        <v>11479</v>
      </c>
      <c r="AE3163" t="s">
        <v>11459</v>
      </c>
      <c r="AF3163">
        <v>7</v>
      </c>
      <c r="AG3163">
        <v>1</v>
      </c>
      <c r="AH3163">
        <v>3</v>
      </c>
      <c r="AI3163">
        <v>93.2</v>
      </c>
      <c r="AL3163" t="s">
        <v>5011</v>
      </c>
      <c r="AM3163">
        <v>24000</v>
      </c>
      <c r="AS3163">
        <v>2.45</v>
      </c>
      <c r="AT3163" t="s">
        <v>604</v>
      </c>
      <c r="AU3163" t="s">
        <v>292</v>
      </c>
      <c r="AW3163" t="s">
        <v>11446</v>
      </c>
    </row>
    <row r="3164" spans="1:49">
      <c r="A3164" s="1">
        <f>HYPERLINK("https://lsnyc.legalserver.org/matter/dynamic-profile/view/1907540","19-1907540")</f>
        <v>0</v>
      </c>
      <c r="B3164" t="s">
        <v>229</v>
      </c>
      <c r="C3164" t="s">
        <v>630</v>
      </c>
      <c r="E3164" t="s">
        <v>2660</v>
      </c>
      <c r="F3164" t="s">
        <v>5263</v>
      </c>
      <c r="G3164" t="s">
        <v>8607</v>
      </c>
      <c r="H3164">
        <v>207</v>
      </c>
      <c r="I3164" t="s">
        <v>11383</v>
      </c>
      <c r="J3164">
        <v>10456</v>
      </c>
      <c r="K3164" t="s">
        <v>11447</v>
      </c>
      <c r="M3164" t="s">
        <v>14743</v>
      </c>
      <c r="N3164" t="s">
        <v>14782</v>
      </c>
      <c r="P3164" t="s">
        <v>14801</v>
      </c>
      <c r="S3164" t="s">
        <v>14828</v>
      </c>
      <c r="V3164">
        <v>1127</v>
      </c>
      <c r="W3164" t="s">
        <v>14861</v>
      </c>
      <c r="Z3164" t="s">
        <v>17531</v>
      </c>
      <c r="AB3164" t="s">
        <v>22605</v>
      </c>
      <c r="AC3164">
        <v>43</v>
      </c>
      <c r="AD3164" t="s">
        <v>24596</v>
      </c>
      <c r="AE3164" t="s">
        <v>24610</v>
      </c>
      <c r="AF3164">
        <v>3</v>
      </c>
      <c r="AG3164">
        <v>1</v>
      </c>
      <c r="AH3164">
        <v>0</v>
      </c>
      <c r="AI3164">
        <v>93.67</v>
      </c>
      <c r="AL3164" t="s">
        <v>5011</v>
      </c>
      <c r="AM3164">
        <v>11700</v>
      </c>
      <c r="AS3164">
        <v>1.48</v>
      </c>
      <c r="AT3164" t="s">
        <v>630</v>
      </c>
      <c r="AU3164" t="s">
        <v>25233</v>
      </c>
      <c r="AW3164" t="s">
        <v>11447</v>
      </c>
    </row>
    <row r="3165" spans="1:49">
      <c r="A3165" s="1">
        <f>HYPERLINK("https://lsnyc.legalserver.org/matter/dynamic-profile/view/1914018","19-1914018")</f>
        <v>0</v>
      </c>
      <c r="B3165" t="s">
        <v>293</v>
      </c>
      <c r="C3165" t="s">
        <v>490</v>
      </c>
      <c r="E3165" t="s">
        <v>2230</v>
      </c>
      <c r="F3165" t="s">
        <v>5264</v>
      </c>
      <c r="G3165" t="s">
        <v>8608</v>
      </c>
      <c r="I3165" t="s">
        <v>11387</v>
      </c>
      <c r="J3165">
        <v>11432</v>
      </c>
      <c r="K3165" t="s">
        <v>11446</v>
      </c>
      <c r="L3165" t="s">
        <v>12816</v>
      </c>
      <c r="M3165" t="s">
        <v>14764</v>
      </c>
      <c r="N3165" t="s">
        <v>14778</v>
      </c>
      <c r="P3165" t="s">
        <v>14801</v>
      </c>
      <c r="Q3165" t="s">
        <v>11448</v>
      </c>
      <c r="S3165" t="s">
        <v>14827</v>
      </c>
      <c r="V3165">
        <v>0</v>
      </c>
      <c r="W3165" t="s">
        <v>14861</v>
      </c>
      <c r="X3165" t="s">
        <v>14865</v>
      </c>
      <c r="Z3165" t="s">
        <v>17532</v>
      </c>
      <c r="AB3165" t="s">
        <v>22606</v>
      </c>
      <c r="AC3165">
        <v>1</v>
      </c>
      <c r="AE3165" t="s">
        <v>11459</v>
      </c>
      <c r="AF3165">
        <v>-1</v>
      </c>
      <c r="AG3165">
        <v>1</v>
      </c>
      <c r="AH3165">
        <v>3</v>
      </c>
      <c r="AI3165">
        <v>94.45</v>
      </c>
      <c r="AL3165" t="s">
        <v>5011</v>
      </c>
      <c r="AM3165">
        <v>24320</v>
      </c>
      <c r="AS3165">
        <v>6.93</v>
      </c>
      <c r="AT3165" t="s">
        <v>537</v>
      </c>
      <c r="AU3165" t="s">
        <v>25233</v>
      </c>
      <c r="AW3165" t="s">
        <v>11447</v>
      </c>
    </row>
    <row r="3166" spans="1:49">
      <c r="A3166" s="1">
        <f>HYPERLINK("https://lsnyc.legalserver.org/matter/dynamic-profile/view/1915432","19-1915432")</f>
        <v>0</v>
      </c>
      <c r="B3166" t="s">
        <v>138</v>
      </c>
      <c r="C3166" t="s">
        <v>495</v>
      </c>
      <c r="E3166" t="s">
        <v>2661</v>
      </c>
      <c r="F3166" t="s">
        <v>5265</v>
      </c>
      <c r="G3166" t="s">
        <v>8609</v>
      </c>
      <c r="H3166" t="s">
        <v>10485</v>
      </c>
      <c r="I3166" t="s">
        <v>11424</v>
      </c>
      <c r="J3166">
        <v>11372</v>
      </c>
      <c r="K3166" t="s">
        <v>11446</v>
      </c>
      <c r="L3166" t="s">
        <v>12817</v>
      </c>
      <c r="M3166" t="s">
        <v>14744</v>
      </c>
      <c r="N3166" t="s">
        <v>14782</v>
      </c>
      <c r="P3166" t="s">
        <v>14801</v>
      </c>
      <c r="Q3166" t="s">
        <v>11448</v>
      </c>
      <c r="S3166" t="s">
        <v>14827</v>
      </c>
      <c r="V3166">
        <v>1500</v>
      </c>
      <c r="W3166" t="s">
        <v>14861</v>
      </c>
      <c r="X3166" t="s">
        <v>14865</v>
      </c>
      <c r="Z3166" t="s">
        <v>17533</v>
      </c>
      <c r="AA3166" t="s">
        <v>19679</v>
      </c>
      <c r="AB3166" t="s">
        <v>22607</v>
      </c>
      <c r="AC3166">
        <v>250</v>
      </c>
      <c r="AD3166" t="s">
        <v>24600</v>
      </c>
      <c r="AE3166" t="s">
        <v>11459</v>
      </c>
      <c r="AF3166">
        <v>30</v>
      </c>
      <c r="AG3166">
        <v>1</v>
      </c>
      <c r="AH3166">
        <v>0</v>
      </c>
      <c r="AI3166">
        <v>94.88</v>
      </c>
      <c r="AL3166" t="s">
        <v>5011</v>
      </c>
      <c r="AM3166">
        <v>11850</v>
      </c>
      <c r="AS3166">
        <v>0.33</v>
      </c>
      <c r="AT3166" t="s">
        <v>495</v>
      </c>
      <c r="AU3166" t="s">
        <v>25233</v>
      </c>
      <c r="AV3166" t="s">
        <v>25334</v>
      </c>
      <c r="AW3166" t="s">
        <v>11447</v>
      </c>
    </row>
    <row r="3167" spans="1:49">
      <c r="A3167" s="1">
        <f>HYPERLINK("https://lsnyc.legalserver.org/matter/dynamic-profile/view/1887407","19-1887407")</f>
        <v>0</v>
      </c>
      <c r="B3167" t="s">
        <v>292</v>
      </c>
      <c r="C3167" t="s">
        <v>789</v>
      </c>
      <c r="E3167" t="s">
        <v>2662</v>
      </c>
      <c r="F3167" t="s">
        <v>5266</v>
      </c>
      <c r="G3167" t="s">
        <v>8610</v>
      </c>
      <c r="H3167" t="s">
        <v>10555</v>
      </c>
      <c r="I3167" t="s">
        <v>11390</v>
      </c>
      <c r="J3167">
        <v>11368</v>
      </c>
      <c r="K3167" t="s">
        <v>11446</v>
      </c>
      <c r="L3167" t="s">
        <v>12818</v>
      </c>
      <c r="M3167" t="s">
        <v>14744</v>
      </c>
      <c r="N3167" t="s">
        <v>14782</v>
      </c>
      <c r="P3167" t="s">
        <v>14801</v>
      </c>
      <c r="Q3167" t="s">
        <v>11448</v>
      </c>
      <c r="S3167" t="s">
        <v>14827</v>
      </c>
      <c r="V3167">
        <v>1996</v>
      </c>
      <c r="W3167" t="s">
        <v>14861</v>
      </c>
      <c r="X3167" t="s">
        <v>14865</v>
      </c>
      <c r="Z3167" t="s">
        <v>15156</v>
      </c>
      <c r="AB3167" t="s">
        <v>22608</v>
      </c>
      <c r="AC3167">
        <v>234</v>
      </c>
      <c r="AD3167" t="s">
        <v>11479</v>
      </c>
      <c r="AE3167" t="s">
        <v>11459</v>
      </c>
      <c r="AF3167">
        <v>1</v>
      </c>
      <c r="AG3167">
        <v>2</v>
      </c>
      <c r="AH3167">
        <v>1</v>
      </c>
      <c r="AI3167">
        <v>95.28</v>
      </c>
      <c r="AL3167" t="s">
        <v>5011</v>
      </c>
      <c r="AM3167">
        <v>19800</v>
      </c>
      <c r="AS3167">
        <v>0.1</v>
      </c>
      <c r="AT3167" t="s">
        <v>1013</v>
      </c>
      <c r="AU3167" t="s">
        <v>292</v>
      </c>
      <c r="AW3167" t="s">
        <v>11446</v>
      </c>
    </row>
    <row r="3168" spans="1:49">
      <c r="A3168" s="1">
        <f>HYPERLINK("https://lsnyc.legalserver.org/matter/dynamic-profile/view/1884382","18-1884382")</f>
        <v>0</v>
      </c>
      <c r="B3168" t="s">
        <v>248</v>
      </c>
      <c r="C3168" t="s">
        <v>639</v>
      </c>
      <c r="E3168" t="s">
        <v>2074</v>
      </c>
      <c r="F3168" t="s">
        <v>5267</v>
      </c>
      <c r="G3168" t="s">
        <v>8611</v>
      </c>
      <c r="H3168" t="s">
        <v>10456</v>
      </c>
      <c r="I3168" t="s">
        <v>11389</v>
      </c>
      <c r="J3168">
        <v>11355</v>
      </c>
      <c r="K3168" t="s">
        <v>11447</v>
      </c>
      <c r="P3168" t="s">
        <v>14801</v>
      </c>
      <c r="S3168" t="s">
        <v>14827</v>
      </c>
      <c r="V3168">
        <v>1800</v>
      </c>
      <c r="W3168" t="s">
        <v>14861</v>
      </c>
      <c r="X3168" t="s">
        <v>14868</v>
      </c>
      <c r="Z3168" t="s">
        <v>17534</v>
      </c>
      <c r="AB3168" t="s">
        <v>22609</v>
      </c>
      <c r="AC3168">
        <v>1</v>
      </c>
      <c r="AE3168" t="s">
        <v>11459</v>
      </c>
      <c r="AF3168">
        <v>9</v>
      </c>
      <c r="AG3168">
        <v>1</v>
      </c>
      <c r="AH3168">
        <v>3</v>
      </c>
      <c r="AI3168">
        <v>95.62</v>
      </c>
      <c r="AL3168" t="s">
        <v>5011</v>
      </c>
      <c r="AM3168">
        <v>24000</v>
      </c>
      <c r="AS3168">
        <v>2.5</v>
      </c>
      <c r="AT3168" t="s">
        <v>680</v>
      </c>
      <c r="AU3168" t="s">
        <v>25226</v>
      </c>
      <c r="AW3168" t="s">
        <v>11447</v>
      </c>
    </row>
    <row r="3169" spans="1:49">
      <c r="A3169" s="1">
        <f>HYPERLINK("https://lsnyc.legalserver.org/matter/dynamic-profile/view/1913945","19-1913945")</f>
        <v>0</v>
      </c>
      <c r="B3169" t="s">
        <v>147</v>
      </c>
      <c r="C3169" t="s">
        <v>490</v>
      </c>
      <c r="E3169" t="s">
        <v>2663</v>
      </c>
      <c r="F3169" t="s">
        <v>5268</v>
      </c>
      <c r="G3169" t="s">
        <v>8612</v>
      </c>
      <c r="H3169" t="s">
        <v>10529</v>
      </c>
      <c r="I3169" t="s">
        <v>11389</v>
      </c>
      <c r="J3169">
        <v>11367</v>
      </c>
      <c r="K3169" t="s">
        <v>11446</v>
      </c>
      <c r="L3169" t="s">
        <v>12819</v>
      </c>
      <c r="M3169" t="s">
        <v>14743</v>
      </c>
      <c r="N3169" t="s">
        <v>14782</v>
      </c>
      <c r="P3169" t="s">
        <v>14801</v>
      </c>
      <c r="Q3169" t="s">
        <v>11448</v>
      </c>
      <c r="S3169" t="s">
        <v>14827</v>
      </c>
      <c r="V3169">
        <v>1185</v>
      </c>
      <c r="W3169" t="s">
        <v>14861</v>
      </c>
      <c r="X3169" t="s">
        <v>14865</v>
      </c>
      <c r="Z3169" t="s">
        <v>17535</v>
      </c>
      <c r="AB3169" t="s">
        <v>22610</v>
      </c>
      <c r="AC3169">
        <v>12</v>
      </c>
      <c r="AD3169" t="s">
        <v>11479</v>
      </c>
      <c r="AE3169" t="s">
        <v>11459</v>
      </c>
      <c r="AF3169">
        <v>22</v>
      </c>
      <c r="AG3169">
        <v>1</v>
      </c>
      <c r="AH3169">
        <v>0</v>
      </c>
      <c r="AI3169">
        <v>96.08</v>
      </c>
      <c r="AL3169" t="s">
        <v>5011</v>
      </c>
      <c r="AM3169">
        <v>12000</v>
      </c>
      <c r="AS3169">
        <v>2.63</v>
      </c>
      <c r="AT3169" t="s">
        <v>521</v>
      </c>
      <c r="AU3169" t="s">
        <v>25233</v>
      </c>
      <c r="AV3169" t="s">
        <v>25335</v>
      </c>
      <c r="AW3169" t="s">
        <v>11447</v>
      </c>
    </row>
    <row r="3170" spans="1:49">
      <c r="A3170" s="1">
        <f>HYPERLINK("https://lsnyc.legalserver.org/matter/dynamic-profile/view/1908517","19-1908517")</f>
        <v>0</v>
      </c>
      <c r="B3170" t="s">
        <v>68</v>
      </c>
      <c r="C3170" t="s">
        <v>466</v>
      </c>
      <c r="E3170" t="s">
        <v>2664</v>
      </c>
      <c r="F3170" t="s">
        <v>5269</v>
      </c>
      <c r="G3170" t="s">
        <v>7529</v>
      </c>
      <c r="H3170" t="s">
        <v>11099</v>
      </c>
      <c r="I3170" t="s">
        <v>11409</v>
      </c>
      <c r="J3170">
        <v>11377</v>
      </c>
      <c r="K3170" t="s">
        <v>11446</v>
      </c>
      <c r="L3170" t="s">
        <v>12820</v>
      </c>
      <c r="M3170" t="s">
        <v>14744</v>
      </c>
      <c r="N3170" t="s">
        <v>14782</v>
      </c>
      <c r="P3170" t="s">
        <v>14801</v>
      </c>
      <c r="Q3170" t="s">
        <v>11448</v>
      </c>
      <c r="S3170" t="s">
        <v>14827</v>
      </c>
      <c r="T3170" t="s">
        <v>14832</v>
      </c>
      <c r="V3170">
        <v>1399</v>
      </c>
      <c r="W3170" t="s">
        <v>14861</v>
      </c>
      <c r="X3170" t="s">
        <v>14865</v>
      </c>
      <c r="Z3170" t="s">
        <v>17536</v>
      </c>
      <c r="AA3170" t="s">
        <v>19680</v>
      </c>
      <c r="AB3170" t="s">
        <v>22611</v>
      </c>
      <c r="AC3170">
        <v>6</v>
      </c>
      <c r="AD3170" t="s">
        <v>24595</v>
      </c>
      <c r="AE3170" t="s">
        <v>24613</v>
      </c>
      <c r="AF3170">
        <v>10</v>
      </c>
      <c r="AG3170">
        <v>2</v>
      </c>
      <c r="AH3170">
        <v>0</v>
      </c>
      <c r="AI3170">
        <v>97.76000000000001</v>
      </c>
      <c r="AL3170" t="s">
        <v>24632</v>
      </c>
      <c r="AM3170">
        <v>16532</v>
      </c>
      <c r="AS3170">
        <v>8</v>
      </c>
      <c r="AT3170" t="s">
        <v>603</v>
      </c>
      <c r="AU3170" t="s">
        <v>292</v>
      </c>
      <c r="AV3170" t="s">
        <v>25335</v>
      </c>
      <c r="AW3170" t="s">
        <v>11447</v>
      </c>
    </row>
    <row r="3171" spans="1:49">
      <c r="A3171" s="1">
        <f>HYPERLINK("https://lsnyc.legalserver.org/matter/dynamic-profile/view/1879895","18-1879895")</f>
        <v>0</v>
      </c>
      <c r="B3171" t="s">
        <v>74</v>
      </c>
      <c r="C3171" t="s">
        <v>448</v>
      </c>
      <c r="E3171" t="s">
        <v>2665</v>
      </c>
      <c r="F3171" t="s">
        <v>5270</v>
      </c>
      <c r="G3171" t="s">
        <v>8613</v>
      </c>
      <c r="H3171" t="s">
        <v>10499</v>
      </c>
      <c r="I3171" t="s">
        <v>11411</v>
      </c>
      <c r="J3171">
        <v>11418</v>
      </c>
      <c r="K3171" t="s">
        <v>11446</v>
      </c>
      <c r="L3171" t="s">
        <v>12821</v>
      </c>
      <c r="M3171" t="s">
        <v>14743</v>
      </c>
      <c r="N3171" t="s">
        <v>14782</v>
      </c>
      <c r="P3171" t="s">
        <v>14801</v>
      </c>
      <c r="Q3171" t="s">
        <v>11448</v>
      </c>
      <c r="S3171" t="s">
        <v>14827</v>
      </c>
      <c r="V3171">
        <v>1650</v>
      </c>
      <c r="W3171" t="s">
        <v>14861</v>
      </c>
      <c r="X3171" t="s">
        <v>14865</v>
      </c>
      <c r="Z3171" t="s">
        <v>17537</v>
      </c>
      <c r="AB3171" t="s">
        <v>22612</v>
      </c>
      <c r="AC3171">
        <v>2</v>
      </c>
      <c r="AE3171" t="s">
        <v>11459</v>
      </c>
      <c r="AF3171">
        <v>1</v>
      </c>
      <c r="AG3171">
        <v>2</v>
      </c>
      <c r="AH3171">
        <v>3</v>
      </c>
      <c r="AI3171">
        <v>99.93000000000001</v>
      </c>
      <c r="AL3171" t="s">
        <v>5011</v>
      </c>
      <c r="AM3171">
        <v>29400</v>
      </c>
      <c r="AS3171">
        <v>1.25</v>
      </c>
      <c r="AT3171" t="s">
        <v>604</v>
      </c>
      <c r="AU3171" t="s">
        <v>292</v>
      </c>
      <c r="AW3171" t="s">
        <v>11446</v>
      </c>
    </row>
    <row r="3172" spans="1:49">
      <c r="A3172" s="1">
        <f>HYPERLINK("https://lsnyc.legalserver.org/matter/dynamic-profile/view/1914184","19-1914184")</f>
        <v>0</v>
      </c>
      <c r="B3172" t="s">
        <v>227</v>
      </c>
      <c r="C3172" t="s">
        <v>580</v>
      </c>
      <c r="E3172" t="s">
        <v>1330</v>
      </c>
      <c r="F3172" t="s">
        <v>4776</v>
      </c>
      <c r="G3172" t="s">
        <v>8587</v>
      </c>
      <c r="H3172" t="s">
        <v>10486</v>
      </c>
      <c r="I3172" t="s">
        <v>11405</v>
      </c>
      <c r="J3172">
        <v>11417</v>
      </c>
      <c r="K3172" t="s">
        <v>11447</v>
      </c>
      <c r="L3172" t="s">
        <v>12822</v>
      </c>
      <c r="M3172" t="s">
        <v>14743</v>
      </c>
      <c r="N3172" t="s">
        <v>14782</v>
      </c>
      <c r="P3172" t="s">
        <v>14801</v>
      </c>
      <c r="Q3172" t="s">
        <v>11448</v>
      </c>
      <c r="S3172" t="s">
        <v>14827</v>
      </c>
      <c r="V3172">
        <v>1500</v>
      </c>
      <c r="W3172" t="s">
        <v>14861</v>
      </c>
      <c r="X3172" t="s">
        <v>14865</v>
      </c>
      <c r="Z3172" t="s">
        <v>15760</v>
      </c>
      <c r="AC3172">
        <v>2</v>
      </c>
      <c r="AD3172" t="s">
        <v>24600</v>
      </c>
      <c r="AE3172" t="s">
        <v>11459</v>
      </c>
      <c r="AF3172">
        <v>1</v>
      </c>
      <c r="AG3172">
        <v>2</v>
      </c>
      <c r="AH3172">
        <v>2</v>
      </c>
      <c r="AI3172">
        <v>100.97</v>
      </c>
      <c r="AL3172" t="s">
        <v>24632</v>
      </c>
      <c r="AM3172">
        <v>26000</v>
      </c>
      <c r="AS3172">
        <v>1</v>
      </c>
      <c r="AT3172" t="s">
        <v>478</v>
      </c>
      <c r="AU3172" t="s">
        <v>25233</v>
      </c>
      <c r="AW3172" t="s">
        <v>11447</v>
      </c>
    </row>
    <row r="3173" spans="1:49">
      <c r="A3173" s="1">
        <f>HYPERLINK("https://lsnyc.legalserver.org/matter/dynamic-profile/view/1893986","19-1893986")</f>
        <v>0</v>
      </c>
      <c r="B3173" t="s">
        <v>147</v>
      </c>
      <c r="C3173" t="s">
        <v>691</v>
      </c>
      <c r="E3173" t="s">
        <v>2582</v>
      </c>
      <c r="F3173" t="s">
        <v>5271</v>
      </c>
      <c r="G3173" t="s">
        <v>8614</v>
      </c>
      <c r="H3173" t="s">
        <v>10633</v>
      </c>
      <c r="I3173" t="s">
        <v>11404</v>
      </c>
      <c r="J3173">
        <v>11105</v>
      </c>
      <c r="K3173" t="s">
        <v>11446</v>
      </c>
      <c r="L3173" t="s">
        <v>12823</v>
      </c>
      <c r="M3173" t="s">
        <v>14744</v>
      </c>
      <c r="N3173" t="s">
        <v>14779</v>
      </c>
      <c r="P3173" t="s">
        <v>14801</v>
      </c>
      <c r="Q3173" t="s">
        <v>11446</v>
      </c>
      <c r="S3173" t="s">
        <v>14827</v>
      </c>
      <c r="V3173">
        <v>1320.58</v>
      </c>
      <c r="W3173" t="s">
        <v>14861</v>
      </c>
      <c r="X3173" t="s">
        <v>14865</v>
      </c>
      <c r="Z3173" t="s">
        <v>17538</v>
      </c>
      <c r="AB3173" t="s">
        <v>22613</v>
      </c>
      <c r="AC3173">
        <v>0</v>
      </c>
      <c r="AF3173">
        <v>0</v>
      </c>
      <c r="AG3173">
        <v>2</v>
      </c>
      <c r="AH3173">
        <v>2</v>
      </c>
      <c r="AI3173">
        <v>100.97</v>
      </c>
      <c r="AL3173" t="s">
        <v>5011</v>
      </c>
      <c r="AM3173">
        <v>26000</v>
      </c>
      <c r="AS3173">
        <v>1</v>
      </c>
      <c r="AT3173" t="s">
        <v>691</v>
      </c>
      <c r="AU3173" t="s">
        <v>25234</v>
      </c>
      <c r="AW3173" t="s">
        <v>11446</v>
      </c>
    </row>
    <row r="3174" spans="1:49">
      <c r="A3174" s="1">
        <f>HYPERLINK("https://lsnyc.legalserver.org/matter/dynamic-profile/view/1888330","19-1888330")</f>
        <v>0</v>
      </c>
      <c r="B3174" t="s">
        <v>248</v>
      </c>
      <c r="C3174" t="s">
        <v>734</v>
      </c>
      <c r="E3174" t="s">
        <v>1722</v>
      </c>
      <c r="F3174" t="s">
        <v>3730</v>
      </c>
      <c r="G3174" t="s">
        <v>8615</v>
      </c>
      <c r="H3174" t="s">
        <v>11100</v>
      </c>
      <c r="I3174" t="s">
        <v>11389</v>
      </c>
      <c r="J3174">
        <v>11367</v>
      </c>
      <c r="K3174" t="s">
        <v>11446</v>
      </c>
      <c r="L3174" t="s">
        <v>12824</v>
      </c>
      <c r="M3174" t="s">
        <v>14744</v>
      </c>
      <c r="N3174" t="s">
        <v>14782</v>
      </c>
      <c r="P3174" t="s">
        <v>14801</v>
      </c>
      <c r="Q3174" t="s">
        <v>11448</v>
      </c>
      <c r="S3174" t="s">
        <v>14828</v>
      </c>
      <c r="V3174">
        <v>487</v>
      </c>
      <c r="W3174" t="s">
        <v>14861</v>
      </c>
      <c r="X3174" t="s">
        <v>14865</v>
      </c>
      <c r="Z3174" t="s">
        <v>17539</v>
      </c>
      <c r="AA3174" t="s">
        <v>19681</v>
      </c>
      <c r="AB3174" t="s">
        <v>22614</v>
      </c>
      <c r="AC3174">
        <v>9</v>
      </c>
      <c r="AD3174" t="s">
        <v>24597</v>
      </c>
      <c r="AE3174" t="s">
        <v>11459</v>
      </c>
      <c r="AF3174">
        <v>20</v>
      </c>
      <c r="AG3174">
        <v>1</v>
      </c>
      <c r="AH3174">
        <v>4</v>
      </c>
      <c r="AI3174">
        <v>101.97</v>
      </c>
      <c r="AL3174" t="s">
        <v>5011</v>
      </c>
      <c r="AM3174">
        <v>30000</v>
      </c>
      <c r="AS3174">
        <v>1.5</v>
      </c>
      <c r="AT3174" t="s">
        <v>542</v>
      </c>
      <c r="AU3174" t="s">
        <v>292</v>
      </c>
      <c r="AW3174" t="s">
        <v>11446</v>
      </c>
    </row>
    <row r="3175" spans="1:49">
      <c r="A3175" s="1">
        <f>HYPERLINK("https://lsnyc.legalserver.org/matter/dynamic-profile/view/0820731","16-0820731")</f>
        <v>0</v>
      </c>
      <c r="B3175" t="s">
        <v>122</v>
      </c>
      <c r="C3175" t="s">
        <v>822</v>
      </c>
      <c r="E3175" t="s">
        <v>2666</v>
      </c>
      <c r="F3175" t="s">
        <v>5272</v>
      </c>
      <c r="G3175" t="s">
        <v>8616</v>
      </c>
      <c r="H3175" t="s">
        <v>11101</v>
      </c>
      <c r="I3175" t="s">
        <v>11437</v>
      </c>
      <c r="J3175">
        <v>11429</v>
      </c>
      <c r="K3175" t="s">
        <v>11446</v>
      </c>
      <c r="L3175" t="s">
        <v>12825</v>
      </c>
      <c r="M3175" t="s">
        <v>14744</v>
      </c>
      <c r="N3175" t="s">
        <v>14781</v>
      </c>
      <c r="P3175" t="s">
        <v>14801</v>
      </c>
      <c r="Q3175" t="s">
        <v>14816</v>
      </c>
      <c r="S3175" t="s">
        <v>14827</v>
      </c>
      <c r="V3175">
        <v>1248</v>
      </c>
      <c r="W3175" t="s">
        <v>14861</v>
      </c>
      <c r="X3175" t="s">
        <v>14865</v>
      </c>
      <c r="Z3175" t="s">
        <v>17540</v>
      </c>
      <c r="AA3175" t="s">
        <v>19682</v>
      </c>
      <c r="AB3175" t="s">
        <v>22615</v>
      </c>
      <c r="AC3175">
        <v>100</v>
      </c>
      <c r="AD3175" t="s">
        <v>24595</v>
      </c>
      <c r="AE3175" t="s">
        <v>11459</v>
      </c>
      <c r="AF3175">
        <v>3</v>
      </c>
      <c r="AG3175">
        <v>1</v>
      </c>
      <c r="AH3175">
        <v>3</v>
      </c>
      <c r="AI3175">
        <v>102.88</v>
      </c>
      <c r="AL3175" t="s">
        <v>24641</v>
      </c>
      <c r="AM3175">
        <v>25000</v>
      </c>
      <c r="AS3175">
        <v>108.2</v>
      </c>
      <c r="AT3175" t="s">
        <v>623</v>
      </c>
      <c r="AU3175" t="s">
        <v>99</v>
      </c>
      <c r="AW3175" t="s">
        <v>11447</v>
      </c>
    </row>
    <row r="3176" spans="1:49">
      <c r="A3176" s="1">
        <f>HYPERLINK("https://lsnyc.legalserver.org/matter/dynamic-profile/view/1913326","19-1913326")</f>
        <v>0</v>
      </c>
      <c r="B3176" t="s">
        <v>229</v>
      </c>
      <c r="C3176" t="s">
        <v>483</v>
      </c>
      <c r="E3176" t="s">
        <v>1356</v>
      </c>
      <c r="F3176" t="s">
        <v>5273</v>
      </c>
      <c r="G3176" t="s">
        <v>8617</v>
      </c>
      <c r="H3176" t="s">
        <v>10574</v>
      </c>
      <c r="I3176" t="s">
        <v>11404</v>
      </c>
      <c r="J3176">
        <v>11102</v>
      </c>
      <c r="K3176" t="s">
        <v>11446</v>
      </c>
      <c r="M3176" t="s">
        <v>14750</v>
      </c>
      <c r="N3176" t="s">
        <v>14783</v>
      </c>
      <c r="P3176" t="s">
        <v>14801</v>
      </c>
      <c r="Q3176" t="s">
        <v>11448</v>
      </c>
      <c r="S3176" t="s">
        <v>14828</v>
      </c>
      <c r="T3176" t="s">
        <v>14832</v>
      </c>
      <c r="V3176">
        <v>300</v>
      </c>
      <c r="W3176" t="s">
        <v>14861</v>
      </c>
      <c r="X3176" t="s">
        <v>14865</v>
      </c>
      <c r="Z3176" t="s">
        <v>17541</v>
      </c>
      <c r="AA3176" t="s">
        <v>19683</v>
      </c>
      <c r="AB3176" t="s">
        <v>22616</v>
      </c>
      <c r="AC3176">
        <v>8</v>
      </c>
      <c r="AD3176" t="s">
        <v>24602</v>
      </c>
      <c r="AE3176" t="s">
        <v>11459</v>
      </c>
      <c r="AF3176">
        <v>23</v>
      </c>
      <c r="AG3176">
        <v>2</v>
      </c>
      <c r="AH3176">
        <v>0</v>
      </c>
      <c r="AI3176">
        <v>104.32</v>
      </c>
      <c r="AL3176" t="s">
        <v>5011</v>
      </c>
      <c r="AM3176">
        <v>17640</v>
      </c>
      <c r="AS3176">
        <v>2.2</v>
      </c>
      <c r="AT3176" t="s">
        <v>592</v>
      </c>
      <c r="AU3176" t="s">
        <v>25233</v>
      </c>
      <c r="AV3176" t="s">
        <v>25335</v>
      </c>
      <c r="AW3176" t="s">
        <v>11447</v>
      </c>
    </row>
    <row r="3177" spans="1:49">
      <c r="A3177" s="1">
        <f>HYPERLINK("https://lsnyc.legalserver.org/matter/dynamic-profile/view/1881217","18-1881217")</f>
        <v>0</v>
      </c>
      <c r="B3177" t="s">
        <v>147</v>
      </c>
      <c r="C3177" t="s">
        <v>433</v>
      </c>
      <c r="E3177" t="s">
        <v>1650</v>
      </c>
      <c r="F3177" t="s">
        <v>5274</v>
      </c>
      <c r="G3177" t="s">
        <v>8618</v>
      </c>
      <c r="I3177" t="s">
        <v>11389</v>
      </c>
      <c r="J3177">
        <v>11355</v>
      </c>
      <c r="K3177" t="s">
        <v>11446</v>
      </c>
      <c r="L3177" t="s">
        <v>12826</v>
      </c>
      <c r="M3177" t="s">
        <v>14743</v>
      </c>
      <c r="N3177" t="s">
        <v>14782</v>
      </c>
      <c r="P3177" t="s">
        <v>14801</v>
      </c>
      <c r="Q3177" t="s">
        <v>11448</v>
      </c>
      <c r="S3177" t="s">
        <v>14827</v>
      </c>
      <c r="V3177">
        <v>1400</v>
      </c>
      <c r="W3177" t="s">
        <v>14861</v>
      </c>
      <c r="X3177" t="s">
        <v>14865</v>
      </c>
      <c r="Z3177" t="s">
        <v>17542</v>
      </c>
      <c r="AB3177" t="s">
        <v>22617</v>
      </c>
      <c r="AC3177">
        <v>0</v>
      </c>
      <c r="AD3177" t="s">
        <v>11479</v>
      </c>
      <c r="AF3177">
        <v>8</v>
      </c>
      <c r="AG3177">
        <v>2</v>
      </c>
      <c r="AH3177">
        <v>1</v>
      </c>
      <c r="AI3177">
        <v>105.1</v>
      </c>
      <c r="AL3177" t="s">
        <v>5011</v>
      </c>
      <c r="AM3177">
        <v>21840</v>
      </c>
      <c r="AS3177">
        <v>1</v>
      </c>
      <c r="AT3177" t="s">
        <v>433</v>
      </c>
      <c r="AU3177" t="s">
        <v>292</v>
      </c>
      <c r="AW3177" t="s">
        <v>11446</v>
      </c>
    </row>
    <row r="3178" spans="1:49">
      <c r="A3178" s="1">
        <f>HYPERLINK("https://lsnyc.legalserver.org/matter/dynamic-profile/view/1889552","19-1889552")</f>
        <v>0</v>
      </c>
      <c r="B3178" t="s">
        <v>74</v>
      </c>
      <c r="C3178" t="s">
        <v>424</v>
      </c>
      <c r="E3178" t="s">
        <v>2667</v>
      </c>
      <c r="F3178" t="s">
        <v>4134</v>
      </c>
      <c r="G3178" t="s">
        <v>8619</v>
      </c>
      <c r="H3178" t="s">
        <v>11102</v>
      </c>
      <c r="I3178" t="s">
        <v>11435</v>
      </c>
      <c r="J3178">
        <v>11379</v>
      </c>
      <c r="K3178" t="s">
        <v>11446</v>
      </c>
      <c r="L3178" t="s">
        <v>12827</v>
      </c>
      <c r="M3178" t="s">
        <v>14744</v>
      </c>
      <c r="N3178" t="s">
        <v>14782</v>
      </c>
      <c r="P3178" t="s">
        <v>14801</v>
      </c>
      <c r="Q3178" t="s">
        <v>11448</v>
      </c>
      <c r="S3178" t="s">
        <v>14827</v>
      </c>
      <c r="V3178">
        <v>1153</v>
      </c>
      <c r="W3178" t="s">
        <v>14861</v>
      </c>
      <c r="X3178" t="s">
        <v>14865</v>
      </c>
      <c r="Z3178" t="s">
        <v>17543</v>
      </c>
      <c r="AA3178" t="s">
        <v>19684</v>
      </c>
      <c r="AB3178" t="s">
        <v>22618</v>
      </c>
      <c r="AC3178">
        <v>0</v>
      </c>
      <c r="AD3178" t="s">
        <v>11479</v>
      </c>
      <c r="AE3178" t="s">
        <v>24613</v>
      </c>
      <c r="AF3178">
        <v>39</v>
      </c>
      <c r="AG3178">
        <v>1</v>
      </c>
      <c r="AH3178">
        <v>0</v>
      </c>
      <c r="AI3178">
        <v>105.68</v>
      </c>
      <c r="AL3178" t="s">
        <v>24632</v>
      </c>
      <c r="AM3178">
        <v>13200</v>
      </c>
      <c r="AS3178">
        <v>0.85</v>
      </c>
      <c r="AT3178" t="s">
        <v>460</v>
      </c>
      <c r="AU3178" t="s">
        <v>292</v>
      </c>
      <c r="AW3178" t="s">
        <v>11446</v>
      </c>
    </row>
    <row r="3179" spans="1:49">
      <c r="A3179" s="1">
        <f>HYPERLINK("https://lsnyc.legalserver.org/matter/dynamic-profile/view/1874526","18-1874526")</f>
        <v>0</v>
      </c>
      <c r="B3179" t="s">
        <v>179</v>
      </c>
      <c r="C3179" t="s">
        <v>786</v>
      </c>
      <c r="E3179" t="s">
        <v>2668</v>
      </c>
      <c r="F3179" t="s">
        <v>5275</v>
      </c>
      <c r="G3179" t="s">
        <v>6651</v>
      </c>
      <c r="H3179" t="s">
        <v>10527</v>
      </c>
      <c r="I3179" t="s">
        <v>11387</v>
      </c>
      <c r="J3179">
        <v>11432</v>
      </c>
      <c r="K3179" t="s">
        <v>11446</v>
      </c>
      <c r="L3179" t="s">
        <v>12828</v>
      </c>
      <c r="M3179" t="s">
        <v>14763</v>
      </c>
      <c r="N3179" t="s">
        <v>14781</v>
      </c>
      <c r="P3179" t="s">
        <v>14801</v>
      </c>
      <c r="Q3179" t="s">
        <v>11448</v>
      </c>
      <c r="S3179" t="s">
        <v>14827</v>
      </c>
      <c r="V3179">
        <v>1300</v>
      </c>
      <c r="W3179" t="s">
        <v>14861</v>
      </c>
      <c r="X3179" t="s">
        <v>14868</v>
      </c>
      <c r="Z3179" t="s">
        <v>15023</v>
      </c>
      <c r="AB3179" t="s">
        <v>22619</v>
      </c>
      <c r="AC3179">
        <v>190</v>
      </c>
      <c r="AD3179" t="s">
        <v>24595</v>
      </c>
      <c r="AE3179" t="s">
        <v>11459</v>
      </c>
      <c r="AF3179">
        <v>4</v>
      </c>
      <c r="AG3179">
        <v>2</v>
      </c>
      <c r="AH3179">
        <v>0</v>
      </c>
      <c r="AI3179">
        <v>109.36</v>
      </c>
      <c r="AL3179" t="s">
        <v>24647</v>
      </c>
      <c r="AM3179">
        <v>18000</v>
      </c>
      <c r="AS3179">
        <v>100.7</v>
      </c>
      <c r="AT3179" t="s">
        <v>663</v>
      </c>
      <c r="AU3179" t="s">
        <v>292</v>
      </c>
      <c r="AW3179" t="s">
        <v>11447</v>
      </c>
    </row>
    <row r="3180" spans="1:49">
      <c r="A3180" s="1">
        <f>HYPERLINK("https://lsnyc.legalserver.org/matter/dynamic-profile/view/0734786","13-0734786")</f>
        <v>0</v>
      </c>
      <c r="B3180" t="s">
        <v>179</v>
      </c>
      <c r="C3180" t="s">
        <v>823</v>
      </c>
      <c r="E3180" t="s">
        <v>2669</v>
      </c>
      <c r="F3180" t="s">
        <v>5276</v>
      </c>
      <c r="G3180" t="s">
        <v>8620</v>
      </c>
      <c r="H3180" t="s">
        <v>10638</v>
      </c>
      <c r="I3180" t="s">
        <v>11443</v>
      </c>
      <c r="J3180">
        <v>11385</v>
      </c>
      <c r="K3180" t="s">
        <v>11447</v>
      </c>
      <c r="N3180" t="s">
        <v>14781</v>
      </c>
      <c r="P3180" t="s">
        <v>14801</v>
      </c>
      <c r="S3180" t="s">
        <v>14829</v>
      </c>
      <c r="V3180">
        <v>0</v>
      </c>
      <c r="W3180" t="s">
        <v>14861</v>
      </c>
      <c r="Z3180" t="s">
        <v>17544</v>
      </c>
      <c r="AC3180">
        <v>0</v>
      </c>
      <c r="AF3180">
        <v>0</v>
      </c>
      <c r="AG3180">
        <v>2</v>
      </c>
      <c r="AH3180">
        <v>1</v>
      </c>
      <c r="AI3180">
        <v>110.6</v>
      </c>
      <c r="AL3180" t="s">
        <v>5011</v>
      </c>
      <c r="AM3180">
        <v>21600</v>
      </c>
      <c r="AS3180">
        <v>88.84999999999999</v>
      </c>
      <c r="AT3180" t="s">
        <v>540</v>
      </c>
      <c r="AU3180" t="s">
        <v>68</v>
      </c>
      <c r="AW3180" t="s">
        <v>11447</v>
      </c>
    </row>
    <row r="3181" spans="1:49">
      <c r="A3181" s="1">
        <f>HYPERLINK("https://lsnyc.legalserver.org/matter/dynamic-profile/view/1886697","18-1886697")</f>
        <v>0</v>
      </c>
      <c r="B3181" t="s">
        <v>122</v>
      </c>
      <c r="C3181" t="s">
        <v>784</v>
      </c>
      <c r="E3181" t="s">
        <v>2670</v>
      </c>
      <c r="F3181" t="s">
        <v>5277</v>
      </c>
      <c r="G3181" t="s">
        <v>8621</v>
      </c>
      <c r="I3181" t="s">
        <v>11387</v>
      </c>
      <c r="J3181">
        <v>11434</v>
      </c>
      <c r="K3181" t="s">
        <v>11446</v>
      </c>
      <c r="N3181" t="s">
        <v>14782</v>
      </c>
      <c r="P3181" t="s">
        <v>14801</v>
      </c>
      <c r="Q3181" t="s">
        <v>11448</v>
      </c>
      <c r="S3181" t="s">
        <v>14827</v>
      </c>
      <c r="V3181">
        <v>1550</v>
      </c>
      <c r="W3181" t="s">
        <v>14861</v>
      </c>
      <c r="X3181" t="s">
        <v>14863</v>
      </c>
      <c r="Z3181" t="s">
        <v>17545</v>
      </c>
      <c r="AB3181" t="s">
        <v>22620</v>
      </c>
      <c r="AC3181">
        <v>0</v>
      </c>
      <c r="AD3181" t="s">
        <v>11479</v>
      </c>
      <c r="AF3181">
        <v>2</v>
      </c>
      <c r="AG3181">
        <v>3</v>
      </c>
      <c r="AH3181">
        <v>0</v>
      </c>
      <c r="AI3181">
        <v>110.68</v>
      </c>
      <c r="AL3181" t="s">
        <v>5011</v>
      </c>
      <c r="AM3181">
        <v>23000</v>
      </c>
      <c r="AS3181">
        <v>4</v>
      </c>
      <c r="AT3181" t="s">
        <v>499</v>
      </c>
      <c r="AU3181" t="s">
        <v>292</v>
      </c>
      <c r="AW3181" t="s">
        <v>11446</v>
      </c>
    </row>
    <row r="3182" spans="1:49">
      <c r="A3182" s="1">
        <f>HYPERLINK("https://lsnyc.legalserver.org/matter/dynamic-profile/view/1915094","19-1915094")</f>
        <v>0</v>
      </c>
      <c r="B3182" t="s">
        <v>271</v>
      </c>
      <c r="C3182" t="s">
        <v>521</v>
      </c>
      <c r="E3182" t="s">
        <v>1329</v>
      </c>
      <c r="F3182" t="s">
        <v>5278</v>
      </c>
      <c r="G3182" t="s">
        <v>8622</v>
      </c>
      <c r="H3182" t="s">
        <v>10486</v>
      </c>
      <c r="I3182" t="s">
        <v>11405</v>
      </c>
      <c r="J3182">
        <v>11417</v>
      </c>
      <c r="K3182" t="s">
        <v>11446</v>
      </c>
      <c r="L3182" t="s">
        <v>12829</v>
      </c>
      <c r="M3182" t="s">
        <v>14744</v>
      </c>
      <c r="N3182" t="s">
        <v>14782</v>
      </c>
      <c r="P3182" t="s">
        <v>14801</v>
      </c>
      <c r="Q3182" t="s">
        <v>11448</v>
      </c>
      <c r="S3182" t="s">
        <v>14827</v>
      </c>
      <c r="V3182">
        <v>2350</v>
      </c>
      <c r="W3182" t="s">
        <v>14861</v>
      </c>
      <c r="X3182" t="s">
        <v>14865</v>
      </c>
      <c r="Z3182" t="s">
        <v>17546</v>
      </c>
      <c r="AA3182" t="s">
        <v>19685</v>
      </c>
      <c r="AC3182">
        <v>3</v>
      </c>
      <c r="AD3182" t="s">
        <v>24600</v>
      </c>
      <c r="AE3182" t="s">
        <v>11459</v>
      </c>
      <c r="AF3182">
        <v>-1</v>
      </c>
      <c r="AG3182">
        <v>4</v>
      </c>
      <c r="AH3182">
        <v>1</v>
      </c>
      <c r="AI3182">
        <v>111.01</v>
      </c>
      <c r="AL3182" t="s">
        <v>24632</v>
      </c>
      <c r="AM3182">
        <v>33492</v>
      </c>
      <c r="AS3182">
        <v>1.3</v>
      </c>
      <c r="AT3182" t="s">
        <v>521</v>
      </c>
      <c r="AU3182" t="s">
        <v>25233</v>
      </c>
      <c r="AV3182" t="s">
        <v>25335</v>
      </c>
      <c r="AW3182" t="s">
        <v>11447</v>
      </c>
    </row>
    <row r="3183" spans="1:49">
      <c r="A3183" s="1">
        <f>HYPERLINK("https://lsnyc.legalserver.org/matter/dynamic-profile/view/1913845","19-1913845")</f>
        <v>0</v>
      </c>
      <c r="B3183" t="s">
        <v>147</v>
      </c>
      <c r="C3183" t="s">
        <v>533</v>
      </c>
      <c r="E3183" t="s">
        <v>1176</v>
      </c>
      <c r="F3183" t="s">
        <v>5279</v>
      </c>
      <c r="G3183" t="s">
        <v>8623</v>
      </c>
      <c r="H3183" t="s">
        <v>10486</v>
      </c>
      <c r="I3183" t="s">
        <v>11405</v>
      </c>
      <c r="J3183">
        <v>11417</v>
      </c>
      <c r="K3183" t="s">
        <v>11446</v>
      </c>
      <c r="L3183" t="s">
        <v>12830</v>
      </c>
      <c r="M3183" t="s">
        <v>14743</v>
      </c>
      <c r="N3183" t="s">
        <v>14782</v>
      </c>
      <c r="P3183" t="s">
        <v>14801</v>
      </c>
      <c r="S3183" t="s">
        <v>14827</v>
      </c>
      <c r="V3183">
        <v>1200</v>
      </c>
      <c r="W3183" t="s">
        <v>14861</v>
      </c>
      <c r="X3183" t="s">
        <v>14865</v>
      </c>
      <c r="Z3183" t="s">
        <v>17547</v>
      </c>
      <c r="AA3183" t="s">
        <v>19686</v>
      </c>
      <c r="AB3183" t="s">
        <v>22621</v>
      </c>
      <c r="AC3183">
        <v>2</v>
      </c>
      <c r="AD3183" t="s">
        <v>24600</v>
      </c>
      <c r="AE3183" t="s">
        <v>11459</v>
      </c>
      <c r="AF3183">
        <v>-1</v>
      </c>
      <c r="AG3183">
        <v>2</v>
      </c>
      <c r="AH3183">
        <v>0</v>
      </c>
      <c r="AI3183">
        <v>112.69</v>
      </c>
      <c r="AL3183" t="s">
        <v>5011</v>
      </c>
      <c r="AM3183">
        <v>19056</v>
      </c>
      <c r="AS3183">
        <v>1.83</v>
      </c>
      <c r="AT3183" t="s">
        <v>533</v>
      </c>
      <c r="AU3183" t="s">
        <v>25233</v>
      </c>
      <c r="AV3183" t="s">
        <v>25335</v>
      </c>
      <c r="AW3183" t="s">
        <v>11447</v>
      </c>
    </row>
    <row r="3184" spans="1:49">
      <c r="A3184" s="1">
        <f>HYPERLINK("https://lsnyc.legalserver.org/matter/dynamic-profile/view/1881358","18-1881358")</f>
        <v>0</v>
      </c>
      <c r="B3184" t="s">
        <v>179</v>
      </c>
      <c r="C3184" t="s">
        <v>812</v>
      </c>
      <c r="E3184" t="s">
        <v>2671</v>
      </c>
      <c r="F3184" t="s">
        <v>5280</v>
      </c>
      <c r="G3184" t="s">
        <v>8624</v>
      </c>
      <c r="H3184" t="s">
        <v>10646</v>
      </c>
      <c r="I3184" t="s">
        <v>11390</v>
      </c>
      <c r="J3184">
        <v>11368</v>
      </c>
      <c r="K3184" t="s">
        <v>11446</v>
      </c>
      <c r="L3184" t="s">
        <v>12831</v>
      </c>
      <c r="M3184" t="s">
        <v>14744</v>
      </c>
      <c r="N3184" t="s">
        <v>14778</v>
      </c>
      <c r="P3184" t="s">
        <v>14801</v>
      </c>
      <c r="S3184" t="s">
        <v>14827</v>
      </c>
      <c r="V3184">
        <v>1600</v>
      </c>
      <c r="W3184" t="s">
        <v>14861</v>
      </c>
      <c r="X3184" t="s">
        <v>14865</v>
      </c>
      <c r="Z3184" t="s">
        <v>17548</v>
      </c>
      <c r="AB3184" t="s">
        <v>22622</v>
      </c>
      <c r="AC3184">
        <v>2</v>
      </c>
      <c r="AE3184" t="s">
        <v>11459</v>
      </c>
      <c r="AF3184">
        <v>1</v>
      </c>
      <c r="AG3184">
        <v>2</v>
      </c>
      <c r="AH3184">
        <v>0</v>
      </c>
      <c r="AI3184">
        <v>113.73</v>
      </c>
      <c r="AL3184" t="s">
        <v>5011</v>
      </c>
      <c r="AM3184">
        <v>18720</v>
      </c>
      <c r="AS3184">
        <v>0.75</v>
      </c>
      <c r="AT3184" t="s">
        <v>812</v>
      </c>
      <c r="AU3184" t="s">
        <v>99</v>
      </c>
      <c r="AW3184" t="s">
        <v>11446</v>
      </c>
    </row>
    <row r="3185" spans="1:49">
      <c r="A3185" s="1">
        <f>HYPERLINK("https://lsnyc.legalserver.org/matter/dynamic-profile/view/1888096","19-1888096")</f>
        <v>0</v>
      </c>
      <c r="B3185" t="s">
        <v>293</v>
      </c>
      <c r="C3185" t="s">
        <v>632</v>
      </c>
      <c r="E3185" t="s">
        <v>1259</v>
      </c>
      <c r="F3185" t="s">
        <v>3577</v>
      </c>
      <c r="G3185" t="s">
        <v>8625</v>
      </c>
      <c r="H3185" t="s">
        <v>10705</v>
      </c>
      <c r="I3185" t="s">
        <v>11409</v>
      </c>
      <c r="J3185">
        <v>11377</v>
      </c>
      <c r="K3185" t="s">
        <v>11446</v>
      </c>
      <c r="L3185" t="s">
        <v>12832</v>
      </c>
      <c r="M3185" t="s">
        <v>14743</v>
      </c>
      <c r="N3185" t="s">
        <v>14782</v>
      </c>
      <c r="P3185" t="s">
        <v>14801</v>
      </c>
      <c r="Q3185" t="s">
        <v>11448</v>
      </c>
      <c r="S3185" t="s">
        <v>14827</v>
      </c>
      <c r="V3185">
        <v>0</v>
      </c>
      <c r="W3185" t="s">
        <v>14861</v>
      </c>
      <c r="X3185" t="s">
        <v>14865</v>
      </c>
      <c r="Z3185" t="s">
        <v>17549</v>
      </c>
      <c r="AB3185" t="s">
        <v>22623</v>
      </c>
      <c r="AC3185">
        <v>0</v>
      </c>
      <c r="AF3185">
        <v>0</v>
      </c>
      <c r="AG3185">
        <v>2</v>
      </c>
      <c r="AH3185">
        <v>0</v>
      </c>
      <c r="AI3185">
        <v>115.13</v>
      </c>
      <c r="AL3185" t="s">
        <v>5011</v>
      </c>
      <c r="AM3185">
        <v>18950</v>
      </c>
      <c r="AS3185">
        <v>0.6</v>
      </c>
      <c r="AT3185" t="s">
        <v>353</v>
      </c>
      <c r="AU3185" t="s">
        <v>292</v>
      </c>
      <c r="AW3185" t="s">
        <v>11446</v>
      </c>
    </row>
    <row r="3186" spans="1:49">
      <c r="A3186" s="1">
        <f>HYPERLINK("https://lsnyc.legalserver.org/matter/dynamic-profile/view/1911761","19-1911761")</f>
        <v>0</v>
      </c>
      <c r="B3186" t="s">
        <v>74</v>
      </c>
      <c r="C3186" t="s">
        <v>505</v>
      </c>
      <c r="E3186" t="s">
        <v>1523</v>
      </c>
      <c r="F3186" t="s">
        <v>5281</v>
      </c>
      <c r="G3186" t="s">
        <v>8626</v>
      </c>
      <c r="I3186" t="s">
        <v>11390</v>
      </c>
      <c r="J3186">
        <v>11368</v>
      </c>
      <c r="K3186" t="s">
        <v>11446</v>
      </c>
      <c r="L3186" t="s">
        <v>12833</v>
      </c>
      <c r="M3186" t="s">
        <v>14743</v>
      </c>
      <c r="N3186" t="s">
        <v>14782</v>
      </c>
      <c r="P3186" t="s">
        <v>14801</v>
      </c>
      <c r="Q3186" t="s">
        <v>11448</v>
      </c>
      <c r="S3186" t="s">
        <v>14827</v>
      </c>
      <c r="V3186">
        <v>2400</v>
      </c>
      <c r="W3186" t="s">
        <v>14861</v>
      </c>
      <c r="X3186" t="s">
        <v>14865</v>
      </c>
      <c r="Z3186" t="s">
        <v>17550</v>
      </c>
      <c r="AB3186" t="s">
        <v>22624</v>
      </c>
      <c r="AC3186">
        <v>1</v>
      </c>
      <c r="AD3186" t="s">
        <v>24600</v>
      </c>
      <c r="AE3186" t="s">
        <v>11459</v>
      </c>
      <c r="AF3186">
        <v>2</v>
      </c>
      <c r="AG3186">
        <v>3</v>
      </c>
      <c r="AH3186">
        <v>0</v>
      </c>
      <c r="AI3186">
        <v>116.46</v>
      </c>
      <c r="AL3186" t="s">
        <v>24632</v>
      </c>
      <c r="AM3186">
        <v>24840</v>
      </c>
      <c r="AS3186">
        <v>2.5</v>
      </c>
      <c r="AT3186" t="s">
        <v>516</v>
      </c>
      <c r="AU3186" t="s">
        <v>25233</v>
      </c>
      <c r="AV3186" t="s">
        <v>25335</v>
      </c>
      <c r="AW3186" t="s">
        <v>11447</v>
      </c>
    </row>
    <row r="3187" spans="1:49">
      <c r="A3187" s="1">
        <f>HYPERLINK("https://lsnyc.legalserver.org/matter/dynamic-profile/view/1900456","19-1900456")</f>
        <v>0</v>
      </c>
      <c r="B3187" t="s">
        <v>122</v>
      </c>
      <c r="C3187" t="s">
        <v>348</v>
      </c>
      <c r="E3187" t="s">
        <v>1526</v>
      </c>
      <c r="F3187" t="s">
        <v>5282</v>
      </c>
      <c r="G3187" t="s">
        <v>8627</v>
      </c>
      <c r="H3187" t="s">
        <v>11103</v>
      </c>
      <c r="I3187" t="s">
        <v>11389</v>
      </c>
      <c r="J3187">
        <v>11367</v>
      </c>
      <c r="K3187" t="s">
        <v>11446</v>
      </c>
      <c r="L3187" t="s">
        <v>12834</v>
      </c>
      <c r="M3187" t="s">
        <v>14744</v>
      </c>
      <c r="N3187" t="s">
        <v>14781</v>
      </c>
      <c r="P3187" t="s">
        <v>14801</v>
      </c>
      <c r="Q3187" t="s">
        <v>11448</v>
      </c>
      <c r="S3187" t="s">
        <v>14827</v>
      </c>
      <c r="T3187" t="s">
        <v>14832</v>
      </c>
      <c r="V3187">
        <v>1396.94</v>
      </c>
      <c r="W3187" t="s">
        <v>14861</v>
      </c>
      <c r="Z3187" t="s">
        <v>17551</v>
      </c>
      <c r="AB3187" t="s">
        <v>22625</v>
      </c>
      <c r="AC3187">
        <v>174</v>
      </c>
      <c r="AD3187" t="s">
        <v>24595</v>
      </c>
      <c r="AE3187" t="s">
        <v>11459</v>
      </c>
      <c r="AF3187">
        <v>6</v>
      </c>
      <c r="AG3187">
        <v>1</v>
      </c>
      <c r="AH3187">
        <v>0</v>
      </c>
      <c r="AI3187">
        <v>117.12</v>
      </c>
      <c r="AL3187" t="s">
        <v>5011</v>
      </c>
      <c r="AM3187">
        <v>14628</v>
      </c>
      <c r="AS3187">
        <v>21.65</v>
      </c>
      <c r="AT3187" t="s">
        <v>497</v>
      </c>
      <c r="AU3187" t="s">
        <v>59</v>
      </c>
      <c r="AV3187" t="s">
        <v>25335</v>
      </c>
      <c r="AW3187" t="s">
        <v>11447</v>
      </c>
    </row>
    <row r="3188" spans="1:49">
      <c r="A3188" s="1">
        <f>HYPERLINK("https://lsnyc.legalserver.org/matter/dynamic-profile/view/1909463","19-1909463")</f>
        <v>0</v>
      </c>
      <c r="B3188" t="s">
        <v>122</v>
      </c>
      <c r="C3188" t="s">
        <v>488</v>
      </c>
      <c r="E3188" t="s">
        <v>1526</v>
      </c>
      <c r="F3188" t="s">
        <v>5282</v>
      </c>
      <c r="G3188" t="s">
        <v>8627</v>
      </c>
      <c r="H3188" t="s">
        <v>11103</v>
      </c>
      <c r="I3188" t="s">
        <v>11389</v>
      </c>
      <c r="J3188">
        <v>11367</v>
      </c>
      <c r="K3188" t="s">
        <v>11446</v>
      </c>
      <c r="L3188" t="s">
        <v>12835</v>
      </c>
      <c r="M3188" t="s">
        <v>14744</v>
      </c>
      <c r="N3188" t="s">
        <v>14782</v>
      </c>
      <c r="P3188" t="s">
        <v>14801</v>
      </c>
      <c r="Q3188" t="s">
        <v>11448</v>
      </c>
      <c r="S3188" t="s">
        <v>14827</v>
      </c>
      <c r="T3188" t="s">
        <v>14832</v>
      </c>
      <c r="V3188">
        <v>1396.64</v>
      </c>
      <c r="W3188" t="s">
        <v>14861</v>
      </c>
      <c r="X3188" t="s">
        <v>14868</v>
      </c>
      <c r="Z3188" t="s">
        <v>17551</v>
      </c>
      <c r="AB3188" t="s">
        <v>22625</v>
      </c>
      <c r="AC3188">
        <v>174</v>
      </c>
      <c r="AD3188" t="s">
        <v>24595</v>
      </c>
      <c r="AE3188" t="s">
        <v>11459</v>
      </c>
      <c r="AF3188">
        <v>6</v>
      </c>
      <c r="AG3188">
        <v>1</v>
      </c>
      <c r="AH3188">
        <v>0</v>
      </c>
      <c r="AI3188">
        <v>117.12</v>
      </c>
      <c r="AL3188" t="s">
        <v>5011</v>
      </c>
      <c r="AM3188">
        <v>14628</v>
      </c>
      <c r="AS3188">
        <v>17.5</v>
      </c>
      <c r="AT3188" t="s">
        <v>491</v>
      </c>
      <c r="AU3188" t="s">
        <v>83</v>
      </c>
      <c r="AV3188" t="s">
        <v>25335</v>
      </c>
      <c r="AW3188" t="s">
        <v>11447</v>
      </c>
    </row>
    <row r="3189" spans="1:49">
      <c r="A3189" s="1">
        <f>HYPERLINK("https://lsnyc.legalserver.org/matter/dynamic-profile/view/1902921","19-1902921")</f>
        <v>0</v>
      </c>
      <c r="B3189" t="s">
        <v>138</v>
      </c>
      <c r="C3189" t="s">
        <v>343</v>
      </c>
      <c r="E3189" t="s">
        <v>2672</v>
      </c>
      <c r="F3189" t="s">
        <v>5283</v>
      </c>
      <c r="G3189" t="s">
        <v>8628</v>
      </c>
      <c r="H3189" t="s">
        <v>10648</v>
      </c>
      <c r="I3189" t="s">
        <v>11387</v>
      </c>
      <c r="J3189">
        <v>11436</v>
      </c>
      <c r="K3189" t="s">
        <v>11446</v>
      </c>
      <c r="L3189" t="s">
        <v>12836</v>
      </c>
      <c r="M3189" t="s">
        <v>14743</v>
      </c>
      <c r="N3189" t="s">
        <v>14781</v>
      </c>
      <c r="P3189" t="s">
        <v>14801</v>
      </c>
      <c r="Q3189" t="s">
        <v>11448</v>
      </c>
      <c r="S3189" t="s">
        <v>14827</v>
      </c>
      <c r="T3189" t="s">
        <v>14832</v>
      </c>
      <c r="V3189">
        <v>1500</v>
      </c>
      <c r="W3189" t="s">
        <v>14861</v>
      </c>
      <c r="X3189" t="s">
        <v>14865</v>
      </c>
      <c r="Z3189" t="s">
        <v>17552</v>
      </c>
      <c r="AB3189" t="s">
        <v>22626</v>
      </c>
      <c r="AC3189">
        <v>1</v>
      </c>
      <c r="AD3189" t="s">
        <v>24600</v>
      </c>
      <c r="AE3189" t="s">
        <v>11459</v>
      </c>
      <c r="AF3189">
        <v>1</v>
      </c>
      <c r="AG3189">
        <v>4</v>
      </c>
      <c r="AH3189">
        <v>0</v>
      </c>
      <c r="AI3189">
        <v>117.16</v>
      </c>
      <c r="AL3189" t="s">
        <v>5011</v>
      </c>
      <c r="AM3189">
        <v>30168</v>
      </c>
      <c r="AS3189">
        <v>10.7</v>
      </c>
      <c r="AT3189" t="s">
        <v>585</v>
      </c>
      <c r="AU3189" t="s">
        <v>25233</v>
      </c>
      <c r="AV3189" t="s">
        <v>25335</v>
      </c>
      <c r="AW3189" t="s">
        <v>11447</v>
      </c>
    </row>
    <row r="3190" spans="1:49">
      <c r="A3190" s="1">
        <f>HYPERLINK("https://lsnyc.legalserver.org/matter/dynamic-profile/view/1912862","19-1912862")</f>
        <v>0</v>
      </c>
      <c r="B3190" t="s">
        <v>122</v>
      </c>
      <c r="C3190" t="s">
        <v>470</v>
      </c>
      <c r="E3190" t="s">
        <v>2673</v>
      </c>
      <c r="F3190" t="s">
        <v>5284</v>
      </c>
      <c r="G3190" t="s">
        <v>8629</v>
      </c>
      <c r="H3190" t="s">
        <v>10486</v>
      </c>
      <c r="I3190" t="s">
        <v>11387</v>
      </c>
      <c r="J3190">
        <v>11435</v>
      </c>
      <c r="K3190" t="s">
        <v>11446</v>
      </c>
      <c r="L3190" t="s">
        <v>12837</v>
      </c>
      <c r="M3190" t="s">
        <v>14743</v>
      </c>
      <c r="N3190" t="s">
        <v>14782</v>
      </c>
      <c r="P3190" t="s">
        <v>14801</v>
      </c>
      <c r="Q3190" t="s">
        <v>11448</v>
      </c>
      <c r="S3190" t="s">
        <v>14827</v>
      </c>
      <c r="T3190" t="s">
        <v>14832</v>
      </c>
      <c r="V3190">
        <v>2200</v>
      </c>
      <c r="W3190" t="s">
        <v>14861</v>
      </c>
      <c r="X3190" t="s">
        <v>14865</v>
      </c>
      <c r="Z3190" t="s">
        <v>17553</v>
      </c>
      <c r="AB3190" t="s">
        <v>22627</v>
      </c>
      <c r="AC3190">
        <v>2</v>
      </c>
      <c r="AD3190" t="s">
        <v>24600</v>
      </c>
      <c r="AE3190" t="s">
        <v>11459</v>
      </c>
      <c r="AF3190">
        <v>1</v>
      </c>
      <c r="AG3190">
        <v>1</v>
      </c>
      <c r="AH3190">
        <v>2</v>
      </c>
      <c r="AI3190">
        <v>117.71</v>
      </c>
      <c r="AL3190" t="s">
        <v>5011</v>
      </c>
      <c r="AM3190">
        <v>25106.64</v>
      </c>
      <c r="AS3190">
        <v>1.33</v>
      </c>
      <c r="AT3190" t="s">
        <v>470</v>
      </c>
      <c r="AU3190" t="s">
        <v>25233</v>
      </c>
      <c r="AV3190" t="s">
        <v>25335</v>
      </c>
      <c r="AW3190" t="s">
        <v>11447</v>
      </c>
    </row>
    <row r="3191" spans="1:49">
      <c r="A3191" s="1">
        <f>HYPERLINK("https://lsnyc.legalserver.org/matter/dynamic-profile/view/0829555","17-0829555")</f>
        <v>0</v>
      </c>
      <c r="B3191" t="s">
        <v>179</v>
      </c>
      <c r="C3191" t="s">
        <v>796</v>
      </c>
      <c r="E3191" t="s">
        <v>1205</v>
      </c>
      <c r="F3191" t="s">
        <v>3709</v>
      </c>
      <c r="G3191" t="s">
        <v>6837</v>
      </c>
      <c r="H3191" t="s">
        <v>11104</v>
      </c>
      <c r="I3191" t="s">
        <v>11391</v>
      </c>
      <c r="J3191">
        <v>11691</v>
      </c>
      <c r="K3191" t="s">
        <v>11447</v>
      </c>
      <c r="M3191" t="s">
        <v>14744</v>
      </c>
      <c r="N3191" t="s">
        <v>14779</v>
      </c>
      <c r="P3191" t="s">
        <v>14801</v>
      </c>
      <c r="S3191" t="s">
        <v>14827</v>
      </c>
      <c r="V3191">
        <v>0</v>
      </c>
      <c r="W3191" t="s">
        <v>14861</v>
      </c>
      <c r="Z3191" t="s">
        <v>17554</v>
      </c>
      <c r="AB3191" t="s">
        <v>22628</v>
      </c>
      <c r="AC3191">
        <v>0</v>
      </c>
      <c r="AF3191">
        <v>0</v>
      </c>
      <c r="AG3191">
        <v>1</v>
      </c>
      <c r="AH3191">
        <v>1</v>
      </c>
      <c r="AI3191">
        <v>118.08</v>
      </c>
      <c r="AM3191">
        <v>19176</v>
      </c>
      <c r="AS3191">
        <v>2.25</v>
      </c>
      <c r="AT3191" t="s">
        <v>25167</v>
      </c>
      <c r="AU3191" t="s">
        <v>25234</v>
      </c>
      <c r="AW3191" t="s">
        <v>11447</v>
      </c>
    </row>
    <row r="3192" spans="1:49">
      <c r="A3192" s="1">
        <f>HYPERLINK("https://lsnyc.legalserver.org/matter/dynamic-profile/view/1910756","19-1910756")</f>
        <v>0</v>
      </c>
      <c r="B3192" t="s">
        <v>248</v>
      </c>
      <c r="C3192" t="s">
        <v>663</v>
      </c>
      <c r="E3192" t="s">
        <v>1132</v>
      </c>
      <c r="F3192" t="s">
        <v>5285</v>
      </c>
      <c r="G3192" t="s">
        <v>8630</v>
      </c>
      <c r="I3192" t="s">
        <v>11419</v>
      </c>
      <c r="J3192">
        <v>11420</v>
      </c>
      <c r="K3192" t="s">
        <v>11446</v>
      </c>
      <c r="L3192" t="s">
        <v>12838</v>
      </c>
      <c r="M3192" t="s">
        <v>14743</v>
      </c>
      <c r="N3192" t="s">
        <v>14779</v>
      </c>
      <c r="P3192" t="s">
        <v>14801</v>
      </c>
      <c r="Q3192" t="s">
        <v>11448</v>
      </c>
      <c r="S3192" t="s">
        <v>14827</v>
      </c>
      <c r="V3192">
        <v>1150</v>
      </c>
      <c r="W3192" t="s">
        <v>14861</v>
      </c>
      <c r="X3192" t="s">
        <v>14865</v>
      </c>
      <c r="Z3192" t="s">
        <v>17555</v>
      </c>
      <c r="AC3192">
        <v>3</v>
      </c>
      <c r="AD3192" t="s">
        <v>24600</v>
      </c>
      <c r="AF3192">
        <v>3</v>
      </c>
      <c r="AG3192">
        <v>2</v>
      </c>
      <c r="AH3192">
        <v>0</v>
      </c>
      <c r="AI3192">
        <v>118.27</v>
      </c>
      <c r="AL3192" t="s">
        <v>5011</v>
      </c>
      <c r="AM3192">
        <v>20000</v>
      </c>
      <c r="AS3192">
        <v>1.92</v>
      </c>
      <c r="AT3192" t="s">
        <v>486</v>
      </c>
      <c r="AU3192" t="s">
        <v>25233</v>
      </c>
      <c r="AV3192" t="s">
        <v>25335</v>
      </c>
      <c r="AW3192" t="s">
        <v>11447</v>
      </c>
    </row>
    <row r="3193" spans="1:49">
      <c r="A3193" s="1">
        <f>HYPERLINK("https://lsnyc.legalserver.org/matter/dynamic-profile/view/1898687","19-1898687")</f>
        <v>0</v>
      </c>
      <c r="B3193" t="s">
        <v>248</v>
      </c>
      <c r="C3193" t="s">
        <v>518</v>
      </c>
      <c r="E3193" t="s">
        <v>2674</v>
      </c>
      <c r="F3193" t="s">
        <v>5286</v>
      </c>
      <c r="G3193" t="s">
        <v>8631</v>
      </c>
      <c r="H3193">
        <v>1</v>
      </c>
      <c r="I3193" t="s">
        <v>11405</v>
      </c>
      <c r="J3193">
        <v>11417</v>
      </c>
      <c r="K3193" t="s">
        <v>11446</v>
      </c>
      <c r="L3193" t="s">
        <v>12839</v>
      </c>
      <c r="M3193" t="s">
        <v>14743</v>
      </c>
      <c r="N3193" t="s">
        <v>14778</v>
      </c>
      <c r="P3193" t="s">
        <v>14801</v>
      </c>
      <c r="Q3193" t="s">
        <v>11448</v>
      </c>
      <c r="S3193" t="s">
        <v>14827</v>
      </c>
      <c r="V3193">
        <v>2068</v>
      </c>
      <c r="W3193" t="s">
        <v>14861</v>
      </c>
      <c r="X3193" t="s">
        <v>14865</v>
      </c>
      <c r="Z3193" t="s">
        <v>17556</v>
      </c>
      <c r="AB3193" t="s">
        <v>22629</v>
      </c>
      <c r="AC3193">
        <v>0</v>
      </c>
      <c r="AD3193" t="s">
        <v>11479</v>
      </c>
      <c r="AE3193" t="s">
        <v>24610</v>
      </c>
      <c r="AF3193">
        <v>5</v>
      </c>
      <c r="AG3193">
        <v>1</v>
      </c>
      <c r="AH3193">
        <v>3</v>
      </c>
      <c r="AI3193">
        <v>119.07</v>
      </c>
      <c r="AL3193" t="s">
        <v>5011</v>
      </c>
      <c r="AM3193">
        <v>30660</v>
      </c>
      <c r="AS3193">
        <v>1.53</v>
      </c>
      <c r="AT3193" t="s">
        <v>365</v>
      </c>
      <c r="AU3193" t="s">
        <v>292</v>
      </c>
      <c r="AW3193" t="s">
        <v>11446</v>
      </c>
    </row>
    <row r="3194" spans="1:49">
      <c r="A3194" s="1">
        <f>HYPERLINK("https://lsnyc.legalserver.org/matter/dynamic-profile/view/1881906","18-1881906")</f>
        <v>0</v>
      </c>
      <c r="B3194" t="s">
        <v>179</v>
      </c>
      <c r="C3194" t="s">
        <v>813</v>
      </c>
      <c r="E3194" t="s">
        <v>1982</v>
      </c>
      <c r="F3194" t="s">
        <v>4330</v>
      </c>
      <c r="G3194" t="s">
        <v>8632</v>
      </c>
      <c r="H3194" t="s">
        <v>10800</v>
      </c>
      <c r="I3194" t="s">
        <v>11387</v>
      </c>
      <c r="J3194">
        <v>11435</v>
      </c>
      <c r="K3194" t="s">
        <v>11446</v>
      </c>
      <c r="L3194" t="s">
        <v>12840</v>
      </c>
      <c r="M3194" t="s">
        <v>14744</v>
      </c>
      <c r="N3194" t="s">
        <v>14782</v>
      </c>
      <c r="P3194" t="s">
        <v>14801</v>
      </c>
      <c r="Q3194" t="s">
        <v>11446</v>
      </c>
      <c r="S3194" t="s">
        <v>14827</v>
      </c>
      <c r="V3194">
        <v>1365</v>
      </c>
      <c r="W3194" t="s">
        <v>14861</v>
      </c>
      <c r="X3194" t="s">
        <v>14865</v>
      </c>
      <c r="Z3194" t="s">
        <v>17557</v>
      </c>
      <c r="AB3194" t="s">
        <v>22630</v>
      </c>
      <c r="AC3194">
        <v>50</v>
      </c>
      <c r="AD3194" t="s">
        <v>24595</v>
      </c>
      <c r="AE3194" t="s">
        <v>11459</v>
      </c>
      <c r="AF3194">
        <v>10</v>
      </c>
      <c r="AG3194">
        <v>1</v>
      </c>
      <c r="AH3194">
        <v>2</v>
      </c>
      <c r="AI3194">
        <v>120.31</v>
      </c>
      <c r="AM3194">
        <v>25000</v>
      </c>
      <c r="AS3194">
        <v>3.8</v>
      </c>
      <c r="AT3194" t="s">
        <v>334</v>
      </c>
      <c r="AU3194" t="s">
        <v>99</v>
      </c>
      <c r="AW3194" t="s">
        <v>11446</v>
      </c>
    </row>
    <row r="3195" spans="1:49">
      <c r="A3195" s="1">
        <f>HYPERLINK("https://lsnyc.legalserver.org/matter/dynamic-profile/view/1882196","18-1882196")</f>
        <v>0</v>
      </c>
      <c r="B3195" t="s">
        <v>179</v>
      </c>
      <c r="C3195" t="s">
        <v>453</v>
      </c>
      <c r="E3195" t="s">
        <v>1982</v>
      </c>
      <c r="F3195" t="s">
        <v>5287</v>
      </c>
      <c r="G3195" t="s">
        <v>8633</v>
      </c>
      <c r="H3195" t="s">
        <v>10464</v>
      </c>
      <c r="I3195" t="s">
        <v>11393</v>
      </c>
      <c r="J3195">
        <v>11374</v>
      </c>
      <c r="K3195" t="s">
        <v>11446</v>
      </c>
      <c r="L3195" t="s">
        <v>12841</v>
      </c>
      <c r="M3195" t="s">
        <v>14744</v>
      </c>
      <c r="N3195" t="s">
        <v>14779</v>
      </c>
      <c r="P3195" t="s">
        <v>14801</v>
      </c>
      <c r="Q3195" t="s">
        <v>11448</v>
      </c>
      <c r="S3195" t="s">
        <v>14827</v>
      </c>
      <c r="V3195">
        <v>1600</v>
      </c>
      <c r="W3195" t="s">
        <v>14861</v>
      </c>
      <c r="X3195" t="s">
        <v>14865</v>
      </c>
      <c r="Z3195" t="s">
        <v>17558</v>
      </c>
      <c r="AB3195" t="s">
        <v>22631</v>
      </c>
      <c r="AC3195">
        <v>4</v>
      </c>
      <c r="AD3195" t="s">
        <v>11479</v>
      </c>
      <c r="AE3195" t="s">
        <v>11459</v>
      </c>
      <c r="AF3195">
        <v>3</v>
      </c>
      <c r="AG3195">
        <v>3</v>
      </c>
      <c r="AH3195">
        <v>0</v>
      </c>
      <c r="AI3195">
        <v>120.31</v>
      </c>
      <c r="AL3195" t="s">
        <v>5011</v>
      </c>
      <c r="AM3195">
        <v>25000</v>
      </c>
      <c r="AS3195">
        <v>0.27</v>
      </c>
      <c r="AT3195" t="s">
        <v>468</v>
      </c>
      <c r="AU3195" t="s">
        <v>292</v>
      </c>
      <c r="AW3195" t="s">
        <v>11446</v>
      </c>
    </row>
    <row r="3196" spans="1:49">
      <c r="A3196" s="1">
        <f>HYPERLINK("https://lsnyc.legalserver.org/matter/dynamic-profile/view/1903552","19-1903552")</f>
        <v>0</v>
      </c>
      <c r="B3196" t="s">
        <v>122</v>
      </c>
      <c r="C3196" t="s">
        <v>631</v>
      </c>
      <c r="E3196" t="s">
        <v>1354</v>
      </c>
      <c r="F3196" t="s">
        <v>3892</v>
      </c>
      <c r="G3196" t="s">
        <v>8634</v>
      </c>
      <c r="H3196" t="s">
        <v>10501</v>
      </c>
      <c r="I3196" t="s">
        <v>11390</v>
      </c>
      <c r="J3196">
        <v>11368</v>
      </c>
      <c r="K3196" t="s">
        <v>11446</v>
      </c>
      <c r="L3196" t="s">
        <v>12842</v>
      </c>
      <c r="M3196" t="s">
        <v>14743</v>
      </c>
      <c r="N3196" t="s">
        <v>14782</v>
      </c>
      <c r="P3196" t="s">
        <v>14801</v>
      </c>
      <c r="Q3196" t="s">
        <v>11446</v>
      </c>
      <c r="S3196" t="s">
        <v>14827</v>
      </c>
      <c r="V3196">
        <v>850</v>
      </c>
      <c r="W3196" t="s">
        <v>14861</v>
      </c>
      <c r="X3196" t="s">
        <v>14865</v>
      </c>
      <c r="Z3196" t="s">
        <v>17559</v>
      </c>
      <c r="AC3196">
        <v>3</v>
      </c>
      <c r="AE3196" t="s">
        <v>11459</v>
      </c>
      <c r="AF3196">
        <v>9</v>
      </c>
      <c r="AG3196">
        <v>1</v>
      </c>
      <c r="AH3196">
        <v>0</v>
      </c>
      <c r="AI3196">
        <v>120.74</v>
      </c>
      <c r="AL3196" t="s">
        <v>24632</v>
      </c>
      <c r="AM3196">
        <v>15080</v>
      </c>
      <c r="AS3196">
        <v>1.5</v>
      </c>
      <c r="AT3196" t="s">
        <v>631</v>
      </c>
      <c r="AU3196" t="s">
        <v>25233</v>
      </c>
      <c r="AV3196" t="s">
        <v>25335</v>
      </c>
      <c r="AW3196" t="s">
        <v>11447</v>
      </c>
    </row>
    <row r="3197" spans="1:49">
      <c r="A3197" s="1">
        <f>HYPERLINK("https://lsnyc.legalserver.org/matter/dynamic-profile/view/1880722","18-1880722")</f>
        <v>0</v>
      </c>
      <c r="B3197" t="s">
        <v>74</v>
      </c>
      <c r="C3197" t="s">
        <v>820</v>
      </c>
      <c r="E3197" t="s">
        <v>1235</v>
      </c>
      <c r="F3197" t="s">
        <v>5288</v>
      </c>
      <c r="G3197" t="s">
        <v>8635</v>
      </c>
      <c r="H3197" t="s">
        <v>10450</v>
      </c>
      <c r="I3197" t="s">
        <v>11396</v>
      </c>
      <c r="J3197">
        <v>11365</v>
      </c>
      <c r="K3197" t="s">
        <v>11446</v>
      </c>
      <c r="L3197" t="s">
        <v>12843</v>
      </c>
      <c r="M3197" t="s">
        <v>14744</v>
      </c>
      <c r="N3197" t="s">
        <v>14782</v>
      </c>
      <c r="P3197" t="s">
        <v>14801</v>
      </c>
      <c r="Q3197" t="s">
        <v>11448</v>
      </c>
      <c r="S3197" t="s">
        <v>14827</v>
      </c>
      <c r="V3197">
        <v>1395</v>
      </c>
      <c r="W3197" t="s">
        <v>14861</v>
      </c>
      <c r="X3197" t="s">
        <v>14865</v>
      </c>
      <c r="Z3197" t="s">
        <v>17560</v>
      </c>
      <c r="AB3197" t="s">
        <v>22632</v>
      </c>
      <c r="AC3197">
        <v>9</v>
      </c>
      <c r="AD3197" t="s">
        <v>11479</v>
      </c>
      <c r="AF3197">
        <v>9</v>
      </c>
      <c r="AG3197">
        <v>1</v>
      </c>
      <c r="AH3197">
        <v>1</v>
      </c>
      <c r="AI3197">
        <v>121.51</v>
      </c>
      <c r="AL3197" t="s">
        <v>5011</v>
      </c>
      <c r="AM3197">
        <v>20000</v>
      </c>
      <c r="AS3197">
        <v>0.7</v>
      </c>
      <c r="AT3197" t="s">
        <v>475</v>
      </c>
      <c r="AU3197" t="s">
        <v>292</v>
      </c>
      <c r="AW3197" t="s">
        <v>11446</v>
      </c>
    </row>
    <row r="3198" spans="1:49">
      <c r="A3198" s="1">
        <f>HYPERLINK("https://lsnyc.legalserver.org/matter/dynamic-profile/view/1889384","19-1889384")</f>
        <v>0</v>
      </c>
      <c r="B3198" t="s">
        <v>179</v>
      </c>
      <c r="C3198" t="s">
        <v>513</v>
      </c>
      <c r="E3198" t="s">
        <v>1067</v>
      </c>
      <c r="F3198" t="s">
        <v>5289</v>
      </c>
      <c r="G3198" t="s">
        <v>8546</v>
      </c>
      <c r="H3198" t="s">
        <v>10814</v>
      </c>
      <c r="I3198" t="s">
        <v>11407</v>
      </c>
      <c r="J3198">
        <v>11415</v>
      </c>
      <c r="K3198" t="s">
        <v>11447</v>
      </c>
      <c r="L3198" t="s">
        <v>12844</v>
      </c>
      <c r="M3198" t="s">
        <v>14743</v>
      </c>
      <c r="N3198" t="s">
        <v>14781</v>
      </c>
      <c r="P3198" t="s">
        <v>14801</v>
      </c>
      <c r="S3198" t="s">
        <v>14827</v>
      </c>
      <c r="V3198">
        <v>1601</v>
      </c>
      <c r="W3198" t="s">
        <v>14861</v>
      </c>
      <c r="X3198" t="s">
        <v>14865</v>
      </c>
      <c r="Z3198" t="s">
        <v>17561</v>
      </c>
      <c r="AB3198" t="s">
        <v>22633</v>
      </c>
      <c r="AC3198">
        <v>100</v>
      </c>
      <c r="AD3198" t="s">
        <v>24595</v>
      </c>
      <c r="AE3198" t="s">
        <v>11459</v>
      </c>
      <c r="AF3198">
        <v>15</v>
      </c>
      <c r="AG3198">
        <v>1</v>
      </c>
      <c r="AH3198">
        <v>0</v>
      </c>
      <c r="AI3198">
        <v>122.5</v>
      </c>
      <c r="AL3198" t="s">
        <v>5011</v>
      </c>
      <c r="AM3198">
        <v>15300</v>
      </c>
      <c r="AS3198">
        <v>29.65</v>
      </c>
      <c r="AT3198" t="s">
        <v>475</v>
      </c>
      <c r="AU3198" t="s">
        <v>99</v>
      </c>
      <c r="AW3198" t="s">
        <v>11447</v>
      </c>
    </row>
    <row r="3199" spans="1:49">
      <c r="A3199" s="1">
        <f>HYPERLINK("https://lsnyc.legalserver.org/matter/dynamic-profile/view/1885178","18-1885178")</f>
        <v>0</v>
      </c>
      <c r="B3199" t="s">
        <v>122</v>
      </c>
      <c r="C3199" t="s">
        <v>794</v>
      </c>
      <c r="E3199" t="s">
        <v>2675</v>
      </c>
      <c r="F3199" t="s">
        <v>5290</v>
      </c>
      <c r="G3199" t="s">
        <v>8636</v>
      </c>
      <c r="I3199" t="s">
        <v>11387</v>
      </c>
      <c r="J3199">
        <v>11433</v>
      </c>
      <c r="K3199" t="s">
        <v>11446</v>
      </c>
      <c r="L3199" t="s">
        <v>12845</v>
      </c>
      <c r="M3199" t="s">
        <v>14743</v>
      </c>
      <c r="N3199" t="s">
        <v>14782</v>
      </c>
      <c r="P3199" t="s">
        <v>14801</v>
      </c>
      <c r="Q3199" t="s">
        <v>11448</v>
      </c>
      <c r="S3199" t="s">
        <v>14827</v>
      </c>
      <c r="V3199">
        <v>1000</v>
      </c>
      <c r="W3199" t="s">
        <v>14861</v>
      </c>
      <c r="X3199" t="s">
        <v>14863</v>
      </c>
      <c r="Z3199" t="s">
        <v>17562</v>
      </c>
      <c r="AB3199" t="s">
        <v>22634</v>
      </c>
      <c r="AC3199">
        <v>0</v>
      </c>
      <c r="AD3199" t="s">
        <v>11479</v>
      </c>
      <c r="AE3199" t="s">
        <v>11459</v>
      </c>
      <c r="AF3199">
        <v>2</v>
      </c>
      <c r="AG3199">
        <v>2</v>
      </c>
      <c r="AH3199">
        <v>2</v>
      </c>
      <c r="AI3199">
        <v>124.3</v>
      </c>
      <c r="AL3199" t="s">
        <v>24656</v>
      </c>
      <c r="AM3199">
        <v>31200</v>
      </c>
      <c r="AS3199">
        <v>0.1</v>
      </c>
      <c r="AT3199" t="s">
        <v>591</v>
      </c>
      <c r="AU3199" t="s">
        <v>292</v>
      </c>
      <c r="AW3199" t="s">
        <v>11446</v>
      </c>
    </row>
    <row r="3200" spans="1:49">
      <c r="A3200" s="1">
        <f>HYPERLINK("https://lsnyc.legalserver.org/matter/dynamic-profile/view/1907604","19-1907604")</f>
        <v>0</v>
      </c>
      <c r="B3200" t="s">
        <v>271</v>
      </c>
      <c r="C3200" t="s">
        <v>630</v>
      </c>
      <c r="E3200" t="s">
        <v>1375</v>
      </c>
      <c r="F3200" t="s">
        <v>4185</v>
      </c>
      <c r="G3200" t="s">
        <v>8637</v>
      </c>
      <c r="H3200" t="s">
        <v>10468</v>
      </c>
      <c r="I3200" t="s">
        <v>11401</v>
      </c>
      <c r="J3200">
        <v>11375</v>
      </c>
      <c r="K3200" t="s">
        <v>11446</v>
      </c>
      <c r="L3200" t="s">
        <v>12846</v>
      </c>
      <c r="M3200" t="s">
        <v>14744</v>
      </c>
      <c r="N3200" t="s">
        <v>14782</v>
      </c>
      <c r="P3200" t="s">
        <v>14801</v>
      </c>
      <c r="S3200" t="s">
        <v>14827</v>
      </c>
      <c r="V3200">
        <v>1500</v>
      </c>
      <c r="W3200" t="s">
        <v>14861</v>
      </c>
      <c r="X3200" t="s">
        <v>14865</v>
      </c>
      <c r="Z3200" t="s">
        <v>17563</v>
      </c>
      <c r="AB3200" t="s">
        <v>22635</v>
      </c>
      <c r="AC3200">
        <v>72</v>
      </c>
      <c r="AD3200" t="s">
        <v>11479</v>
      </c>
      <c r="AE3200" t="s">
        <v>11459</v>
      </c>
      <c r="AF3200">
        <v>56</v>
      </c>
      <c r="AG3200">
        <v>1</v>
      </c>
      <c r="AH3200">
        <v>0</v>
      </c>
      <c r="AI3200">
        <v>124.9</v>
      </c>
      <c r="AL3200" t="s">
        <v>5011</v>
      </c>
      <c r="AM3200">
        <v>15600</v>
      </c>
      <c r="AS3200">
        <v>1.3</v>
      </c>
      <c r="AT3200" t="s">
        <v>471</v>
      </c>
      <c r="AU3200" t="s">
        <v>25233</v>
      </c>
      <c r="AV3200" t="s">
        <v>25335</v>
      </c>
      <c r="AW3200" t="s">
        <v>11447</v>
      </c>
    </row>
    <row r="3201" spans="1:49">
      <c r="A3201" s="1">
        <f>HYPERLINK("https://lsnyc.legalserver.org/matter/dynamic-profile/view/1861861","18-1861861")</f>
        <v>0</v>
      </c>
      <c r="B3201" t="s">
        <v>229</v>
      </c>
      <c r="C3201" t="s">
        <v>824</v>
      </c>
      <c r="E3201" t="s">
        <v>2676</v>
      </c>
      <c r="F3201" t="s">
        <v>5291</v>
      </c>
      <c r="G3201" t="s">
        <v>8638</v>
      </c>
      <c r="H3201" t="s">
        <v>10450</v>
      </c>
      <c r="I3201" t="s">
        <v>11409</v>
      </c>
      <c r="J3201">
        <v>11377</v>
      </c>
      <c r="K3201" t="s">
        <v>11447</v>
      </c>
      <c r="L3201" t="s">
        <v>12847</v>
      </c>
      <c r="M3201" t="s">
        <v>14744</v>
      </c>
      <c r="N3201" t="s">
        <v>14781</v>
      </c>
      <c r="P3201" t="s">
        <v>14801</v>
      </c>
      <c r="Q3201" t="s">
        <v>11448</v>
      </c>
      <c r="S3201" t="s">
        <v>14827</v>
      </c>
      <c r="V3201">
        <v>1540.7</v>
      </c>
      <c r="W3201" t="s">
        <v>14861</v>
      </c>
      <c r="X3201" t="s">
        <v>14868</v>
      </c>
      <c r="Z3201" t="s">
        <v>17564</v>
      </c>
      <c r="AB3201" t="s">
        <v>22636</v>
      </c>
      <c r="AC3201">
        <v>0</v>
      </c>
      <c r="AD3201" t="s">
        <v>24595</v>
      </c>
      <c r="AE3201" t="s">
        <v>11459</v>
      </c>
      <c r="AF3201">
        <v>7</v>
      </c>
      <c r="AG3201">
        <v>2</v>
      </c>
      <c r="AH3201">
        <v>1</v>
      </c>
      <c r="AI3201">
        <v>127.05</v>
      </c>
      <c r="AL3201" t="s">
        <v>24632</v>
      </c>
      <c r="AM3201">
        <v>26400</v>
      </c>
      <c r="AS3201">
        <v>9.85</v>
      </c>
      <c r="AT3201" t="s">
        <v>25156</v>
      </c>
      <c r="AU3201" t="s">
        <v>229</v>
      </c>
      <c r="AW3201" t="s">
        <v>11447</v>
      </c>
    </row>
    <row r="3202" spans="1:49">
      <c r="A3202" s="1">
        <f>HYPERLINK("https://lsnyc.legalserver.org/matter/dynamic-profile/view/1911869","19-1911869")</f>
        <v>0</v>
      </c>
      <c r="B3202" t="s">
        <v>138</v>
      </c>
      <c r="C3202" t="s">
        <v>645</v>
      </c>
      <c r="E3202" t="s">
        <v>1296</v>
      </c>
      <c r="F3202" t="s">
        <v>4195</v>
      </c>
      <c r="G3202" t="s">
        <v>8639</v>
      </c>
      <c r="H3202" t="s">
        <v>10486</v>
      </c>
      <c r="I3202" t="s">
        <v>11405</v>
      </c>
      <c r="J3202">
        <v>11417</v>
      </c>
      <c r="K3202" t="s">
        <v>11448</v>
      </c>
      <c r="L3202" t="s">
        <v>12848</v>
      </c>
      <c r="M3202" t="s">
        <v>14744</v>
      </c>
      <c r="N3202" t="s">
        <v>14782</v>
      </c>
      <c r="P3202" t="s">
        <v>14801</v>
      </c>
      <c r="Q3202" t="s">
        <v>11448</v>
      </c>
      <c r="S3202" t="s">
        <v>14827</v>
      </c>
      <c r="V3202">
        <v>2050</v>
      </c>
      <c r="W3202" t="s">
        <v>14861</v>
      </c>
      <c r="X3202" t="s">
        <v>14865</v>
      </c>
      <c r="Z3202" t="s">
        <v>17565</v>
      </c>
      <c r="AB3202" t="s">
        <v>22637</v>
      </c>
      <c r="AC3202">
        <v>3</v>
      </c>
      <c r="AD3202" t="s">
        <v>24600</v>
      </c>
      <c r="AE3202" t="s">
        <v>11459</v>
      </c>
      <c r="AF3202">
        <v>3</v>
      </c>
      <c r="AG3202">
        <v>2</v>
      </c>
      <c r="AH3202">
        <v>6</v>
      </c>
      <c r="AI3202">
        <v>131.25</v>
      </c>
      <c r="AL3202" t="s">
        <v>5011</v>
      </c>
      <c r="AM3202">
        <v>57000</v>
      </c>
      <c r="AS3202">
        <v>4.6</v>
      </c>
      <c r="AT3202" t="s">
        <v>516</v>
      </c>
      <c r="AU3202" t="s">
        <v>25233</v>
      </c>
      <c r="AV3202" t="s">
        <v>25335</v>
      </c>
      <c r="AW3202" t="s">
        <v>11447</v>
      </c>
    </row>
    <row r="3203" spans="1:49">
      <c r="A3203" s="1">
        <f>HYPERLINK("https://lsnyc.legalserver.org/matter/dynamic-profile/view/1884782","18-1884782")</f>
        <v>0</v>
      </c>
      <c r="B3203" t="s">
        <v>138</v>
      </c>
      <c r="C3203" t="s">
        <v>600</v>
      </c>
      <c r="E3203" t="s">
        <v>1355</v>
      </c>
      <c r="F3203" t="s">
        <v>3855</v>
      </c>
      <c r="G3203" t="s">
        <v>6666</v>
      </c>
      <c r="H3203" t="s">
        <v>10629</v>
      </c>
      <c r="I3203" t="s">
        <v>11392</v>
      </c>
      <c r="J3203">
        <v>11372</v>
      </c>
      <c r="K3203" t="s">
        <v>11446</v>
      </c>
      <c r="P3203" t="s">
        <v>14801</v>
      </c>
      <c r="S3203" t="s">
        <v>14827</v>
      </c>
      <c r="V3203">
        <v>1021</v>
      </c>
      <c r="W3203" t="s">
        <v>14861</v>
      </c>
      <c r="X3203" t="s">
        <v>14868</v>
      </c>
      <c r="Z3203" t="s">
        <v>15294</v>
      </c>
      <c r="AB3203" t="s">
        <v>20443</v>
      </c>
      <c r="AC3203">
        <v>220</v>
      </c>
      <c r="AD3203" t="s">
        <v>24595</v>
      </c>
      <c r="AE3203" t="s">
        <v>24613</v>
      </c>
      <c r="AF3203">
        <v>19</v>
      </c>
      <c r="AG3203">
        <v>2</v>
      </c>
      <c r="AH3203">
        <v>0</v>
      </c>
      <c r="AI3203">
        <v>131.28</v>
      </c>
      <c r="AM3203">
        <v>21608</v>
      </c>
      <c r="AS3203">
        <v>12.8</v>
      </c>
      <c r="AT3203" t="s">
        <v>510</v>
      </c>
      <c r="AU3203" t="s">
        <v>292</v>
      </c>
      <c r="AW3203" t="s">
        <v>11446</v>
      </c>
    </row>
    <row r="3204" spans="1:49">
      <c r="A3204" s="1">
        <f>HYPERLINK("https://lsnyc.legalserver.org/matter/dynamic-profile/view/1906980","19-1906980")</f>
        <v>0</v>
      </c>
      <c r="B3204" t="s">
        <v>138</v>
      </c>
      <c r="C3204" t="s">
        <v>354</v>
      </c>
      <c r="E3204" t="s">
        <v>1526</v>
      </c>
      <c r="F3204" t="s">
        <v>5292</v>
      </c>
      <c r="G3204" t="s">
        <v>8640</v>
      </c>
      <c r="H3204" t="s">
        <v>10743</v>
      </c>
      <c r="I3204" t="s">
        <v>11387</v>
      </c>
      <c r="J3204">
        <v>11434</v>
      </c>
      <c r="K3204" t="s">
        <v>11446</v>
      </c>
      <c r="L3204" t="s">
        <v>12849</v>
      </c>
      <c r="M3204" t="s">
        <v>14743</v>
      </c>
      <c r="N3204" t="s">
        <v>14781</v>
      </c>
      <c r="P3204" t="s">
        <v>14801</v>
      </c>
      <c r="Q3204" t="s">
        <v>11446</v>
      </c>
      <c r="S3204" t="s">
        <v>14827</v>
      </c>
      <c r="V3204">
        <v>0</v>
      </c>
      <c r="W3204" t="s">
        <v>14861</v>
      </c>
      <c r="X3204" t="s">
        <v>14865</v>
      </c>
      <c r="Z3204" t="s">
        <v>17150</v>
      </c>
      <c r="AB3204" t="s">
        <v>22638</v>
      </c>
      <c r="AC3204">
        <v>1</v>
      </c>
      <c r="AD3204" t="s">
        <v>24600</v>
      </c>
      <c r="AE3204" t="s">
        <v>11459</v>
      </c>
      <c r="AF3204">
        <v>2</v>
      </c>
      <c r="AG3204">
        <v>1</v>
      </c>
      <c r="AH3204">
        <v>0</v>
      </c>
      <c r="AI3204">
        <v>131.43</v>
      </c>
      <c r="AM3204">
        <v>16416</v>
      </c>
      <c r="AS3204">
        <v>20.2</v>
      </c>
      <c r="AT3204" t="s">
        <v>663</v>
      </c>
      <c r="AU3204" t="s">
        <v>99</v>
      </c>
      <c r="AV3204" t="s">
        <v>25335</v>
      </c>
      <c r="AW3204" t="s">
        <v>11447</v>
      </c>
    </row>
    <row r="3205" spans="1:49">
      <c r="A3205" s="1">
        <f>HYPERLINK("https://lsnyc.legalserver.org/matter/dynamic-profile/view/1873035","18-1873035")</f>
        <v>0</v>
      </c>
      <c r="B3205" t="s">
        <v>179</v>
      </c>
      <c r="C3205" t="s">
        <v>392</v>
      </c>
      <c r="E3205" t="s">
        <v>1616</v>
      </c>
      <c r="F3205" t="s">
        <v>4456</v>
      </c>
      <c r="G3205" t="s">
        <v>8641</v>
      </c>
      <c r="H3205" t="s">
        <v>10484</v>
      </c>
      <c r="I3205" t="s">
        <v>11387</v>
      </c>
      <c r="J3205">
        <v>11432</v>
      </c>
      <c r="K3205" t="s">
        <v>11447</v>
      </c>
      <c r="L3205" t="s">
        <v>12850</v>
      </c>
      <c r="M3205" t="s">
        <v>14743</v>
      </c>
      <c r="N3205" t="s">
        <v>14781</v>
      </c>
      <c r="P3205" t="s">
        <v>14801</v>
      </c>
      <c r="Q3205" t="s">
        <v>11448</v>
      </c>
      <c r="S3205" t="s">
        <v>14827</v>
      </c>
      <c r="V3205">
        <v>1100</v>
      </c>
      <c r="W3205" t="s">
        <v>14861</v>
      </c>
      <c r="X3205" t="s">
        <v>14864</v>
      </c>
      <c r="Z3205" t="s">
        <v>17566</v>
      </c>
      <c r="AB3205" t="s">
        <v>22639</v>
      </c>
      <c r="AC3205">
        <v>4</v>
      </c>
      <c r="AD3205" t="s">
        <v>24600</v>
      </c>
      <c r="AE3205" t="s">
        <v>11459</v>
      </c>
      <c r="AF3205">
        <v>12</v>
      </c>
      <c r="AG3205">
        <v>1</v>
      </c>
      <c r="AH3205">
        <v>1</v>
      </c>
      <c r="AI3205">
        <v>132.61</v>
      </c>
      <c r="AL3205" t="s">
        <v>5011</v>
      </c>
      <c r="AM3205">
        <v>21828</v>
      </c>
      <c r="AS3205">
        <v>50.1</v>
      </c>
      <c r="AT3205" t="s">
        <v>515</v>
      </c>
      <c r="AU3205" t="s">
        <v>25299</v>
      </c>
      <c r="AW3205" t="s">
        <v>11447</v>
      </c>
    </row>
    <row r="3206" spans="1:49">
      <c r="A3206" s="1">
        <f>HYPERLINK("https://lsnyc.legalserver.org/matter/dynamic-profile/view/1906961","19-1906961")</f>
        <v>0</v>
      </c>
      <c r="B3206" t="s">
        <v>122</v>
      </c>
      <c r="C3206" t="s">
        <v>354</v>
      </c>
      <c r="E3206" t="s">
        <v>2677</v>
      </c>
      <c r="F3206" t="s">
        <v>1075</v>
      </c>
      <c r="G3206" t="s">
        <v>8642</v>
      </c>
      <c r="H3206" t="s">
        <v>10501</v>
      </c>
      <c r="I3206" t="s">
        <v>11423</v>
      </c>
      <c r="J3206">
        <v>11413</v>
      </c>
      <c r="K3206" t="s">
        <v>11446</v>
      </c>
      <c r="L3206" t="s">
        <v>12851</v>
      </c>
      <c r="M3206" t="s">
        <v>14743</v>
      </c>
      <c r="N3206" t="s">
        <v>14782</v>
      </c>
      <c r="P3206" t="s">
        <v>14801</v>
      </c>
      <c r="Q3206" t="s">
        <v>11448</v>
      </c>
      <c r="S3206" t="s">
        <v>14827</v>
      </c>
      <c r="V3206">
        <v>1000</v>
      </c>
      <c r="W3206" t="s">
        <v>14861</v>
      </c>
      <c r="X3206" t="s">
        <v>14865</v>
      </c>
      <c r="Z3206" t="s">
        <v>17567</v>
      </c>
      <c r="AB3206" t="s">
        <v>22640</v>
      </c>
      <c r="AC3206">
        <v>1</v>
      </c>
      <c r="AD3206" t="s">
        <v>24600</v>
      </c>
      <c r="AE3206" t="s">
        <v>11459</v>
      </c>
      <c r="AF3206">
        <v>1</v>
      </c>
      <c r="AG3206">
        <v>2</v>
      </c>
      <c r="AH3206">
        <v>1</v>
      </c>
      <c r="AI3206">
        <v>137.27</v>
      </c>
      <c r="AL3206" t="s">
        <v>5011</v>
      </c>
      <c r="AM3206">
        <v>29280</v>
      </c>
      <c r="AS3206">
        <v>1.33</v>
      </c>
      <c r="AT3206" t="s">
        <v>354</v>
      </c>
      <c r="AU3206" t="s">
        <v>25233</v>
      </c>
      <c r="AV3206" t="s">
        <v>25335</v>
      </c>
      <c r="AW3206" t="s">
        <v>11447</v>
      </c>
    </row>
    <row r="3207" spans="1:49">
      <c r="A3207" s="1">
        <f>HYPERLINK("https://lsnyc.legalserver.org/matter/dynamic-profile/view/1913854","19-1913854")</f>
        <v>0</v>
      </c>
      <c r="B3207" t="s">
        <v>122</v>
      </c>
      <c r="C3207" t="s">
        <v>533</v>
      </c>
      <c r="E3207" t="s">
        <v>1228</v>
      </c>
      <c r="F3207" t="s">
        <v>3695</v>
      </c>
      <c r="G3207" t="s">
        <v>8643</v>
      </c>
      <c r="H3207" t="s">
        <v>10522</v>
      </c>
      <c r="I3207" t="s">
        <v>11387</v>
      </c>
      <c r="J3207">
        <v>11423</v>
      </c>
      <c r="K3207" t="s">
        <v>11446</v>
      </c>
      <c r="L3207" t="s">
        <v>12852</v>
      </c>
      <c r="M3207" t="s">
        <v>14744</v>
      </c>
      <c r="N3207" t="s">
        <v>14782</v>
      </c>
      <c r="P3207" t="s">
        <v>14801</v>
      </c>
      <c r="Q3207" t="s">
        <v>11448</v>
      </c>
      <c r="S3207" t="s">
        <v>14827</v>
      </c>
      <c r="V3207">
        <v>1400</v>
      </c>
      <c r="W3207" t="s">
        <v>14861</v>
      </c>
      <c r="X3207" t="s">
        <v>14865</v>
      </c>
      <c r="Z3207" t="s">
        <v>17568</v>
      </c>
      <c r="AB3207" t="s">
        <v>22641</v>
      </c>
      <c r="AC3207">
        <v>2</v>
      </c>
      <c r="AD3207" t="s">
        <v>24600</v>
      </c>
      <c r="AE3207" t="s">
        <v>24617</v>
      </c>
      <c r="AF3207">
        <v>2</v>
      </c>
      <c r="AG3207">
        <v>1</v>
      </c>
      <c r="AH3207">
        <v>1</v>
      </c>
      <c r="AI3207">
        <v>138.38</v>
      </c>
      <c r="AL3207" t="s">
        <v>5011</v>
      </c>
      <c r="AM3207">
        <v>23400</v>
      </c>
      <c r="AS3207">
        <v>1.33</v>
      </c>
      <c r="AT3207" t="s">
        <v>533</v>
      </c>
      <c r="AU3207" t="s">
        <v>25233</v>
      </c>
      <c r="AV3207" t="s">
        <v>25335</v>
      </c>
      <c r="AW3207" t="s">
        <v>11447</v>
      </c>
    </row>
    <row r="3208" spans="1:49">
      <c r="A3208" s="1">
        <f>HYPERLINK("https://lsnyc.legalserver.org/matter/dynamic-profile/view/1849346","17-1849346")</f>
        <v>0</v>
      </c>
      <c r="B3208" t="s">
        <v>179</v>
      </c>
      <c r="C3208" t="s">
        <v>825</v>
      </c>
      <c r="E3208" t="s">
        <v>2678</v>
      </c>
      <c r="F3208" t="s">
        <v>5293</v>
      </c>
      <c r="G3208" t="s">
        <v>8644</v>
      </c>
      <c r="H3208" t="s">
        <v>10604</v>
      </c>
      <c r="I3208" t="s">
        <v>11411</v>
      </c>
      <c r="J3208">
        <v>11419</v>
      </c>
      <c r="K3208" t="s">
        <v>11448</v>
      </c>
      <c r="L3208" t="s">
        <v>12853</v>
      </c>
      <c r="M3208" t="s">
        <v>14743</v>
      </c>
      <c r="N3208" t="s">
        <v>14781</v>
      </c>
      <c r="P3208" t="s">
        <v>14801</v>
      </c>
      <c r="Q3208" t="s">
        <v>11448</v>
      </c>
      <c r="S3208" t="s">
        <v>14827</v>
      </c>
      <c r="V3208">
        <v>1400</v>
      </c>
      <c r="W3208" t="s">
        <v>14861</v>
      </c>
      <c r="Z3208" t="s">
        <v>17569</v>
      </c>
      <c r="AB3208" t="s">
        <v>22642</v>
      </c>
      <c r="AC3208">
        <v>2</v>
      </c>
      <c r="AE3208" t="s">
        <v>11459</v>
      </c>
      <c r="AF3208">
        <v>2</v>
      </c>
      <c r="AG3208">
        <v>2</v>
      </c>
      <c r="AH3208">
        <v>2</v>
      </c>
      <c r="AI3208">
        <v>142.28</v>
      </c>
      <c r="AK3208" t="s">
        <v>24631</v>
      </c>
      <c r="AL3208" t="s">
        <v>5011</v>
      </c>
      <c r="AM3208">
        <v>35000</v>
      </c>
      <c r="AS3208">
        <v>9.6</v>
      </c>
      <c r="AT3208" t="s">
        <v>785</v>
      </c>
      <c r="AU3208" t="s">
        <v>179</v>
      </c>
      <c r="AW3208" t="s">
        <v>11447</v>
      </c>
    </row>
    <row r="3209" spans="1:49">
      <c r="A3209" s="1">
        <f>HYPERLINK("https://lsnyc.legalserver.org/matter/dynamic-profile/view/1884073","18-1884073")</f>
        <v>0</v>
      </c>
      <c r="B3209" t="s">
        <v>248</v>
      </c>
      <c r="C3209" t="s">
        <v>636</v>
      </c>
      <c r="E3209" t="s">
        <v>1176</v>
      </c>
      <c r="F3209" t="s">
        <v>5294</v>
      </c>
      <c r="G3209" t="s">
        <v>8645</v>
      </c>
      <c r="H3209">
        <v>606</v>
      </c>
      <c r="I3209" t="s">
        <v>11389</v>
      </c>
      <c r="J3209">
        <v>11355</v>
      </c>
      <c r="K3209" t="s">
        <v>11446</v>
      </c>
      <c r="L3209" t="s">
        <v>12854</v>
      </c>
      <c r="M3209" t="s">
        <v>14743</v>
      </c>
      <c r="N3209" t="s">
        <v>14782</v>
      </c>
      <c r="P3209" t="s">
        <v>14801</v>
      </c>
      <c r="Q3209" t="s">
        <v>11448</v>
      </c>
      <c r="S3209" t="s">
        <v>14827</v>
      </c>
      <c r="V3209">
        <v>1350</v>
      </c>
      <c r="W3209" t="s">
        <v>14861</v>
      </c>
      <c r="X3209" t="s">
        <v>14865</v>
      </c>
      <c r="Z3209" t="s">
        <v>17570</v>
      </c>
      <c r="AB3209" t="s">
        <v>22643</v>
      </c>
      <c r="AC3209">
        <v>180</v>
      </c>
      <c r="AD3209" t="s">
        <v>11479</v>
      </c>
      <c r="AE3209" t="s">
        <v>11459</v>
      </c>
      <c r="AF3209">
        <v>18</v>
      </c>
      <c r="AG3209">
        <v>3</v>
      </c>
      <c r="AH3209">
        <v>0</v>
      </c>
      <c r="AI3209">
        <v>144.37</v>
      </c>
      <c r="AL3209" t="s">
        <v>5011</v>
      </c>
      <c r="AM3209">
        <v>30000</v>
      </c>
      <c r="AS3209">
        <v>1.5</v>
      </c>
      <c r="AT3209" t="s">
        <v>352</v>
      </c>
      <c r="AU3209" t="s">
        <v>292</v>
      </c>
      <c r="AW3209" t="s">
        <v>11446</v>
      </c>
    </row>
    <row r="3210" spans="1:49">
      <c r="A3210" s="1">
        <f>HYPERLINK("https://lsnyc.legalserver.org/matter/dynamic-profile/view/1913344","19-1913344")</f>
        <v>0</v>
      </c>
      <c r="B3210" t="s">
        <v>171</v>
      </c>
      <c r="C3210" t="s">
        <v>483</v>
      </c>
      <c r="E3210" t="s">
        <v>2679</v>
      </c>
      <c r="F3210" t="s">
        <v>5295</v>
      </c>
      <c r="G3210" t="s">
        <v>8646</v>
      </c>
      <c r="I3210" t="s">
        <v>11425</v>
      </c>
      <c r="J3210">
        <v>11411</v>
      </c>
      <c r="K3210" t="s">
        <v>11446</v>
      </c>
      <c r="L3210" t="s">
        <v>12855</v>
      </c>
      <c r="M3210" t="s">
        <v>14743</v>
      </c>
      <c r="N3210" t="s">
        <v>14782</v>
      </c>
      <c r="P3210" t="s">
        <v>14801</v>
      </c>
      <c r="Q3210" t="s">
        <v>11448</v>
      </c>
      <c r="S3210" t="s">
        <v>14827</v>
      </c>
      <c r="V3210">
        <v>2500</v>
      </c>
      <c r="W3210" t="s">
        <v>14861</v>
      </c>
      <c r="X3210" t="s">
        <v>14865</v>
      </c>
      <c r="Z3210" t="s">
        <v>17571</v>
      </c>
      <c r="AB3210" t="s">
        <v>22644</v>
      </c>
      <c r="AC3210">
        <v>1</v>
      </c>
      <c r="AD3210" t="s">
        <v>11479</v>
      </c>
      <c r="AE3210" t="s">
        <v>11459</v>
      </c>
      <c r="AF3210">
        <v>-1</v>
      </c>
      <c r="AG3210">
        <v>1</v>
      </c>
      <c r="AH3210">
        <v>6</v>
      </c>
      <c r="AI3210">
        <v>146.85</v>
      </c>
      <c r="AL3210" t="s">
        <v>5011</v>
      </c>
      <c r="AM3210">
        <v>57288</v>
      </c>
      <c r="AS3210">
        <v>2</v>
      </c>
      <c r="AT3210" t="s">
        <v>483</v>
      </c>
      <c r="AU3210" t="s">
        <v>25233</v>
      </c>
      <c r="AV3210" t="s">
        <v>25335</v>
      </c>
      <c r="AW3210" t="s">
        <v>11447</v>
      </c>
    </row>
    <row r="3211" spans="1:49">
      <c r="A3211" s="1">
        <f>HYPERLINK("https://lsnyc.legalserver.org/matter/dynamic-profile/view/1911519","19-1911519")</f>
        <v>0</v>
      </c>
      <c r="B3211" t="s">
        <v>179</v>
      </c>
      <c r="C3211" t="s">
        <v>486</v>
      </c>
      <c r="E3211" t="s">
        <v>2680</v>
      </c>
      <c r="F3211" t="s">
        <v>5296</v>
      </c>
      <c r="G3211" t="s">
        <v>8647</v>
      </c>
      <c r="H3211" t="s">
        <v>10506</v>
      </c>
      <c r="I3211" t="s">
        <v>11418</v>
      </c>
      <c r="J3211">
        <v>11412</v>
      </c>
      <c r="K3211" t="s">
        <v>11446</v>
      </c>
      <c r="L3211" t="s">
        <v>12856</v>
      </c>
      <c r="M3211" t="s">
        <v>14743</v>
      </c>
      <c r="N3211" t="s">
        <v>14782</v>
      </c>
      <c r="P3211" t="s">
        <v>14801</v>
      </c>
      <c r="Q3211" t="s">
        <v>11448</v>
      </c>
      <c r="S3211" t="s">
        <v>14827</v>
      </c>
      <c r="V3211">
        <v>1400</v>
      </c>
      <c r="W3211" t="s">
        <v>14861</v>
      </c>
      <c r="X3211" t="s">
        <v>14865</v>
      </c>
      <c r="Z3211" t="s">
        <v>17572</v>
      </c>
      <c r="AB3211" t="s">
        <v>22645</v>
      </c>
      <c r="AC3211">
        <v>2</v>
      </c>
      <c r="AD3211" t="s">
        <v>24600</v>
      </c>
      <c r="AE3211" t="s">
        <v>11459</v>
      </c>
      <c r="AF3211">
        <v>6</v>
      </c>
      <c r="AG3211">
        <v>5</v>
      </c>
      <c r="AH3211">
        <v>0</v>
      </c>
      <c r="AI3211">
        <v>148.13</v>
      </c>
      <c r="AL3211" t="s">
        <v>5011</v>
      </c>
      <c r="AM3211">
        <v>44692</v>
      </c>
      <c r="AS3211">
        <v>0.5</v>
      </c>
      <c r="AT3211" t="s">
        <v>486</v>
      </c>
      <c r="AU3211" t="s">
        <v>25233</v>
      </c>
      <c r="AV3211" t="s">
        <v>25335</v>
      </c>
      <c r="AW3211" t="s">
        <v>11447</v>
      </c>
    </row>
    <row r="3212" spans="1:49">
      <c r="A3212" s="1">
        <f>HYPERLINK("https://lsnyc.legalserver.org/matter/dynamic-profile/view/1870925","18-1870925")</f>
        <v>0</v>
      </c>
      <c r="B3212" t="s">
        <v>179</v>
      </c>
      <c r="C3212" t="s">
        <v>427</v>
      </c>
      <c r="E3212" t="s">
        <v>1132</v>
      </c>
      <c r="F3212" t="s">
        <v>3576</v>
      </c>
      <c r="G3212" t="s">
        <v>8648</v>
      </c>
      <c r="H3212" t="s">
        <v>11105</v>
      </c>
      <c r="I3212" t="s">
        <v>11409</v>
      </c>
      <c r="J3212">
        <v>11377</v>
      </c>
      <c r="K3212" t="s">
        <v>11446</v>
      </c>
      <c r="L3212" t="s">
        <v>12857</v>
      </c>
      <c r="M3212" t="s">
        <v>14744</v>
      </c>
      <c r="N3212" t="s">
        <v>14781</v>
      </c>
      <c r="P3212" t="s">
        <v>14801</v>
      </c>
      <c r="S3212" t="s">
        <v>14827</v>
      </c>
      <c r="V3212">
        <v>0</v>
      </c>
      <c r="W3212" t="s">
        <v>14861</v>
      </c>
      <c r="Z3212" t="s">
        <v>17573</v>
      </c>
      <c r="AB3212" t="s">
        <v>22646</v>
      </c>
      <c r="AC3212">
        <v>0</v>
      </c>
      <c r="AF3212">
        <v>0</v>
      </c>
      <c r="AG3212">
        <v>1</v>
      </c>
      <c r="AH3212">
        <v>0</v>
      </c>
      <c r="AI3212">
        <v>148.27</v>
      </c>
      <c r="AM3212">
        <v>18000</v>
      </c>
      <c r="AS3212">
        <v>20.2</v>
      </c>
      <c r="AT3212" t="s">
        <v>468</v>
      </c>
      <c r="AU3212" t="s">
        <v>99</v>
      </c>
      <c r="AV3212" t="s">
        <v>25335</v>
      </c>
      <c r="AW3212" t="s">
        <v>11447</v>
      </c>
    </row>
    <row r="3213" spans="1:49">
      <c r="A3213" s="1">
        <f>HYPERLINK("https://lsnyc.legalserver.org/matter/dynamic-profile/view/1912314","19-1912314")</f>
        <v>0</v>
      </c>
      <c r="B3213" t="s">
        <v>68</v>
      </c>
      <c r="C3213" t="s">
        <v>473</v>
      </c>
      <c r="E3213" t="s">
        <v>1151</v>
      </c>
      <c r="F3213" t="s">
        <v>5297</v>
      </c>
      <c r="G3213" t="s">
        <v>8649</v>
      </c>
      <c r="I3213" t="s">
        <v>11433</v>
      </c>
      <c r="J3213">
        <v>11370</v>
      </c>
      <c r="K3213" t="s">
        <v>11448</v>
      </c>
      <c r="L3213" t="s">
        <v>12858</v>
      </c>
      <c r="M3213" t="s">
        <v>14743</v>
      </c>
      <c r="N3213" t="s">
        <v>14778</v>
      </c>
      <c r="P3213" t="s">
        <v>14801</v>
      </c>
      <c r="Q3213" t="s">
        <v>11448</v>
      </c>
      <c r="S3213" t="s">
        <v>14827</v>
      </c>
      <c r="T3213" t="s">
        <v>14832</v>
      </c>
      <c r="V3213">
        <v>925</v>
      </c>
      <c r="W3213" t="s">
        <v>14861</v>
      </c>
      <c r="X3213" t="s">
        <v>14877</v>
      </c>
      <c r="Z3213" t="s">
        <v>17574</v>
      </c>
      <c r="AB3213" t="s">
        <v>22647</v>
      </c>
      <c r="AC3213">
        <v>0</v>
      </c>
      <c r="AD3213" t="s">
        <v>24600</v>
      </c>
      <c r="AE3213" t="s">
        <v>11459</v>
      </c>
      <c r="AF3213">
        <v>28</v>
      </c>
      <c r="AG3213">
        <v>1</v>
      </c>
      <c r="AH3213">
        <v>0</v>
      </c>
      <c r="AI3213">
        <v>148.82</v>
      </c>
      <c r="AM3213">
        <v>18588</v>
      </c>
      <c r="AS3213">
        <v>4.45</v>
      </c>
      <c r="AT3213" t="s">
        <v>495</v>
      </c>
      <c r="AU3213" t="s">
        <v>99</v>
      </c>
      <c r="AW3213" t="s">
        <v>11447</v>
      </c>
    </row>
    <row r="3214" spans="1:49">
      <c r="A3214" s="1">
        <f>HYPERLINK("https://lsnyc.legalserver.org/matter/dynamic-profile/view/1903867","19-1903867")</f>
        <v>0</v>
      </c>
      <c r="B3214" t="s">
        <v>138</v>
      </c>
      <c r="C3214" t="s">
        <v>378</v>
      </c>
      <c r="E3214" t="s">
        <v>1145</v>
      </c>
      <c r="F3214" t="s">
        <v>5298</v>
      </c>
      <c r="G3214" t="s">
        <v>8650</v>
      </c>
      <c r="H3214">
        <v>14027</v>
      </c>
      <c r="I3214" t="s">
        <v>11422</v>
      </c>
      <c r="J3214">
        <v>11413</v>
      </c>
      <c r="K3214" t="s">
        <v>11446</v>
      </c>
      <c r="L3214" t="s">
        <v>12859</v>
      </c>
      <c r="M3214" t="s">
        <v>14744</v>
      </c>
      <c r="N3214" t="s">
        <v>14781</v>
      </c>
      <c r="P3214" t="s">
        <v>14801</v>
      </c>
      <c r="Q3214" t="s">
        <v>11448</v>
      </c>
      <c r="S3214" t="s">
        <v>14827</v>
      </c>
      <c r="T3214" t="s">
        <v>14832</v>
      </c>
      <c r="V3214">
        <v>1281</v>
      </c>
      <c r="W3214" t="s">
        <v>14861</v>
      </c>
      <c r="X3214" t="s">
        <v>14867</v>
      </c>
      <c r="Z3214" t="s">
        <v>17575</v>
      </c>
      <c r="AA3214" t="s">
        <v>11459</v>
      </c>
      <c r="AB3214" t="s">
        <v>22648</v>
      </c>
      <c r="AC3214">
        <v>56</v>
      </c>
      <c r="AD3214" t="s">
        <v>24595</v>
      </c>
      <c r="AE3214" t="s">
        <v>11459</v>
      </c>
      <c r="AF3214">
        <v>35</v>
      </c>
      <c r="AG3214">
        <v>3</v>
      </c>
      <c r="AH3214">
        <v>2</v>
      </c>
      <c r="AI3214">
        <v>149.15</v>
      </c>
      <c r="AL3214" t="s">
        <v>5011</v>
      </c>
      <c r="AM3214">
        <v>45000</v>
      </c>
      <c r="AS3214">
        <v>32</v>
      </c>
      <c r="AT3214" t="s">
        <v>484</v>
      </c>
      <c r="AU3214" t="s">
        <v>25233</v>
      </c>
      <c r="AV3214" t="s">
        <v>25335</v>
      </c>
      <c r="AW3214" t="s">
        <v>11447</v>
      </c>
    </row>
    <row r="3215" spans="1:49">
      <c r="A3215" s="1">
        <f>HYPERLINK("https://lsnyc.legalserver.org/matter/dynamic-profile/view/1906439","19-1906439")</f>
        <v>0</v>
      </c>
      <c r="B3215" t="s">
        <v>179</v>
      </c>
      <c r="C3215" t="s">
        <v>485</v>
      </c>
      <c r="E3215" t="s">
        <v>1211</v>
      </c>
      <c r="F3215" t="s">
        <v>3809</v>
      </c>
      <c r="I3215" t="s">
        <v>11415</v>
      </c>
      <c r="J3215">
        <v>11356</v>
      </c>
      <c r="K3215" t="s">
        <v>11446</v>
      </c>
      <c r="L3215" t="s">
        <v>12860</v>
      </c>
      <c r="M3215" t="s">
        <v>14743</v>
      </c>
      <c r="N3215" t="s">
        <v>14779</v>
      </c>
      <c r="P3215" t="s">
        <v>14801</v>
      </c>
      <c r="S3215" t="s">
        <v>14827</v>
      </c>
      <c r="V3215">
        <v>1450</v>
      </c>
      <c r="W3215" t="s">
        <v>14861</v>
      </c>
      <c r="X3215" t="s">
        <v>14865</v>
      </c>
      <c r="Z3215" t="s">
        <v>17576</v>
      </c>
      <c r="AB3215" t="s">
        <v>22649</v>
      </c>
      <c r="AC3215">
        <v>2</v>
      </c>
      <c r="AD3215" t="s">
        <v>24600</v>
      </c>
      <c r="AE3215" t="s">
        <v>11459</v>
      </c>
      <c r="AF3215">
        <v>23</v>
      </c>
      <c r="AG3215">
        <v>3</v>
      </c>
      <c r="AH3215">
        <v>0</v>
      </c>
      <c r="AI3215">
        <v>150.89</v>
      </c>
      <c r="AL3215" t="s">
        <v>5011</v>
      </c>
      <c r="AM3215">
        <v>32184</v>
      </c>
      <c r="AS3215">
        <v>1</v>
      </c>
      <c r="AT3215" t="s">
        <v>485</v>
      </c>
      <c r="AU3215" t="s">
        <v>99</v>
      </c>
      <c r="AW3215" t="s">
        <v>11447</v>
      </c>
    </row>
    <row r="3216" spans="1:49">
      <c r="A3216" s="1">
        <f>HYPERLINK("https://lsnyc.legalserver.org/matter/dynamic-profile/view/1848208","17-1848208")</f>
        <v>0</v>
      </c>
      <c r="B3216" t="s">
        <v>99</v>
      </c>
      <c r="C3216" t="s">
        <v>563</v>
      </c>
      <c r="E3216" t="s">
        <v>1610</v>
      </c>
      <c r="F3216" t="s">
        <v>5299</v>
      </c>
      <c r="G3216" t="s">
        <v>8651</v>
      </c>
      <c r="H3216" t="s">
        <v>10506</v>
      </c>
      <c r="I3216" t="s">
        <v>11409</v>
      </c>
      <c r="J3216">
        <v>11377</v>
      </c>
      <c r="K3216" t="s">
        <v>11447</v>
      </c>
      <c r="L3216" t="s">
        <v>11465</v>
      </c>
      <c r="M3216" t="s">
        <v>14747</v>
      </c>
      <c r="N3216" t="s">
        <v>14779</v>
      </c>
      <c r="P3216" t="s">
        <v>14801</v>
      </c>
      <c r="S3216" t="s">
        <v>14827</v>
      </c>
      <c r="V3216">
        <v>1000</v>
      </c>
      <c r="W3216" t="s">
        <v>14861</v>
      </c>
      <c r="X3216" t="s">
        <v>14876</v>
      </c>
      <c r="Z3216" t="s">
        <v>17577</v>
      </c>
      <c r="AB3216" t="s">
        <v>22650</v>
      </c>
      <c r="AC3216">
        <v>6</v>
      </c>
      <c r="AD3216" t="s">
        <v>24595</v>
      </c>
      <c r="AE3216" t="s">
        <v>11459</v>
      </c>
      <c r="AF3216">
        <v>0</v>
      </c>
      <c r="AG3216">
        <v>2</v>
      </c>
      <c r="AH3216">
        <v>0</v>
      </c>
      <c r="AI3216">
        <v>160.1</v>
      </c>
      <c r="AM3216">
        <v>26000</v>
      </c>
      <c r="AS3216">
        <v>15.35</v>
      </c>
      <c r="AT3216" t="s">
        <v>509</v>
      </c>
      <c r="AU3216" t="s">
        <v>99</v>
      </c>
      <c r="AW3216" t="s">
        <v>11447</v>
      </c>
    </row>
    <row r="3217" spans="1:49">
      <c r="A3217" s="1">
        <f>HYPERLINK("https://lsnyc.legalserver.org/matter/dynamic-profile/view/1867813","18-1867813")</f>
        <v>0</v>
      </c>
      <c r="B3217" t="s">
        <v>99</v>
      </c>
      <c r="C3217" t="s">
        <v>650</v>
      </c>
      <c r="E3217" t="s">
        <v>2681</v>
      </c>
      <c r="F3217" t="s">
        <v>5300</v>
      </c>
      <c r="G3217" t="s">
        <v>8652</v>
      </c>
      <c r="H3217" t="s">
        <v>11106</v>
      </c>
      <c r="I3217" t="s">
        <v>11404</v>
      </c>
      <c r="J3217">
        <v>11106</v>
      </c>
      <c r="K3217" t="s">
        <v>11448</v>
      </c>
      <c r="L3217" t="s">
        <v>12861</v>
      </c>
      <c r="M3217" t="s">
        <v>14744</v>
      </c>
      <c r="N3217" t="s">
        <v>14778</v>
      </c>
      <c r="P3217" t="s">
        <v>14801</v>
      </c>
      <c r="Q3217" t="s">
        <v>11448</v>
      </c>
      <c r="S3217" t="s">
        <v>14827</v>
      </c>
      <c r="V3217">
        <v>1081</v>
      </c>
      <c r="W3217" t="s">
        <v>14861</v>
      </c>
      <c r="X3217" t="s">
        <v>14868</v>
      </c>
      <c r="Z3217" t="s">
        <v>17578</v>
      </c>
      <c r="AB3217" t="s">
        <v>22651</v>
      </c>
      <c r="AC3217">
        <v>42</v>
      </c>
      <c r="AD3217" t="s">
        <v>24597</v>
      </c>
      <c r="AE3217" t="s">
        <v>11459</v>
      </c>
      <c r="AF3217">
        <v>10</v>
      </c>
      <c r="AG3217">
        <v>3</v>
      </c>
      <c r="AH3217">
        <v>1</v>
      </c>
      <c r="AI3217">
        <v>160.96</v>
      </c>
      <c r="AL3217" t="s">
        <v>5011</v>
      </c>
      <c r="AM3217">
        <v>40400</v>
      </c>
      <c r="AS3217">
        <v>0</v>
      </c>
      <c r="AU3217" t="s">
        <v>99</v>
      </c>
      <c r="AW3217" t="s">
        <v>11447</v>
      </c>
    </row>
    <row r="3218" spans="1:49">
      <c r="A3218" s="1">
        <f>HYPERLINK("https://lsnyc.legalserver.org/matter/dynamic-profile/view/1857387","18-1857387")</f>
        <v>0</v>
      </c>
      <c r="B3218" t="s">
        <v>179</v>
      </c>
      <c r="C3218" t="s">
        <v>674</v>
      </c>
      <c r="E3218" t="s">
        <v>1274</v>
      </c>
      <c r="F3218" t="s">
        <v>5301</v>
      </c>
      <c r="G3218" t="s">
        <v>8653</v>
      </c>
      <c r="H3218" t="s">
        <v>11107</v>
      </c>
      <c r="I3218" t="s">
        <v>11409</v>
      </c>
      <c r="J3218">
        <v>11377</v>
      </c>
      <c r="K3218" t="s">
        <v>11446</v>
      </c>
      <c r="M3218" t="s">
        <v>14762</v>
      </c>
      <c r="N3218" t="s">
        <v>14779</v>
      </c>
      <c r="P3218" t="s">
        <v>14801</v>
      </c>
      <c r="S3218" t="s">
        <v>14829</v>
      </c>
      <c r="V3218">
        <v>0</v>
      </c>
      <c r="W3218" t="s">
        <v>14861</v>
      </c>
      <c r="Z3218" t="s">
        <v>17579</v>
      </c>
      <c r="AB3218" t="s">
        <v>22652</v>
      </c>
      <c r="AC3218">
        <v>0</v>
      </c>
      <c r="AF3218">
        <v>0</v>
      </c>
      <c r="AG3218">
        <v>2</v>
      </c>
      <c r="AH3218">
        <v>2</v>
      </c>
      <c r="AI3218">
        <v>162.6</v>
      </c>
      <c r="AL3218" t="s">
        <v>24632</v>
      </c>
      <c r="AM3218">
        <v>40000</v>
      </c>
      <c r="AS3218">
        <v>6</v>
      </c>
      <c r="AT3218" t="s">
        <v>25148</v>
      </c>
      <c r="AU3218" t="s">
        <v>292</v>
      </c>
      <c r="AW3218" t="s">
        <v>11447</v>
      </c>
    </row>
    <row r="3219" spans="1:49">
      <c r="A3219" s="1">
        <f>HYPERLINK("https://lsnyc.legalserver.org/matter/dynamic-profile/view/1848018","17-1848018")</f>
        <v>0</v>
      </c>
      <c r="B3219" t="s">
        <v>179</v>
      </c>
      <c r="C3219" t="s">
        <v>514</v>
      </c>
      <c r="E3219" t="s">
        <v>2155</v>
      </c>
      <c r="F3219" t="s">
        <v>5302</v>
      </c>
      <c r="G3219" t="s">
        <v>8654</v>
      </c>
      <c r="H3219" t="s">
        <v>10509</v>
      </c>
      <c r="I3219" t="s">
        <v>11396</v>
      </c>
      <c r="J3219">
        <v>11365</v>
      </c>
      <c r="K3219" t="s">
        <v>11446</v>
      </c>
      <c r="L3219" t="s">
        <v>12862</v>
      </c>
      <c r="M3219" t="s">
        <v>14744</v>
      </c>
      <c r="N3219" t="s">
        <v>14778</v>
      </c>
      <c r="P3219" t="s">
        <v>14801</v>
      </c>
      <c r="S3219" t="s">
        <v>14827</v>
      </c>
      <c r="V3219">
        <v>1100</v>
      </c>
      <c r="W3219" t="s">
        <v>14861</v>
      </c>
      <c r="X3219" t="s">
        <v>14865</v>
      </c>
      <c r="Z3219" t="s">
        <v>17580</v>
      </c>
      <c r="AB3219" t="s">
        <v>22653</v>
      </c>
      <c r="AC3219">
        <v>9</v>
      </c>
      <c r="AD3219" t="s">
        <v>24602</v>
      </c>
      <c r="AE3219" t="s">
        <v>11459</v>
      </c>
      <c r="AF3219">
        <v>22</v>
      </c>
      <c r="AG3219">
        <v>4</v>
      </c>
      <c r="AH3219">
        <v>0</v>
      </c>
      <c r="AI3219">
        <v>162.6</v>
      </c>
      <c r="AM3219">
        <v>40000</v>
      </c>
      <c r="AS3219">
        <v>14.9</v>
      </c>
      <c r="AT3219" t="s">
        <v>25168</v>
      </c>
      <c r="AU3219" t="s">
        <v>99</v>
      </c>
      <c r="AW3219" t="s">
        <v>11447</v>
      </c>
    </row>
    <row r="3220" spans="1:49">
      <c r="A3220" s="1">
        <f>HYPERLINK("https://lsnyc.legalserver.org/matter/dynamic-profile/view/1885555","18-1885555")</f>
        <v>0</v>
      </c>
      <c r="B3220" t="s">
        <v>248</v>
      </c>
      <c r="C3220" t="s">
        <v>591</v>
      </c>
      <c r="E3220" t="s">
        <v>2682</v>
      </c>
      <c r="F3220" t="s">
        <v>5303</v>
      </c>
      <c r="G3220" t="s">
        <v>8655</v>
      </c>
      <c r="H3220" t="s">
        <v>10646</v>
      </c>
      <c r="I3220" t="s">
        <v>11434</v>
      </c>
      <c r="J3220">
        <v>11419</v>
      </c>
      <c r="K3220" t="s">
        <v>11446</v>
      </c>
      <c r="L3220" t="s">
        <v>12863</v>
      </c>
      <c r="M3220" t="s">
        <v>14743</v>
      </c>
      <c r="N3220" t="s">
        <v>14782</v>
      </c>
      <c r="P3220" t="s">
        <v>14801</v>
      </c>
      <c r="Q3220" t="s">
        <v>11448</v>
      </c>
      <c r="S3220" t="s">
        <v>14827</v>
      </c>
      <c r="V3220">
        <v>1350</v>
      </c>
      <c r="W3220" t="s">
        <v>14861</v>
      </c>
      <c r="X3220" t="s">
        <v>14865</v>
      </c>
      <c r="Z3220" t="s">
        <v>17581</v>
      </c>
      <c r="AB3220" t="s">
        <v>22654</v>
      </c>
      <c r="AC3220">
        <v>0</v>
      </c>
      <c r="AD3220" t="s">
        <v>11479</v>
      </c>
      <c r="AE3220" t="s">
        <v>11459</v>
      </c>
      <c r="AF3220">
        <v>17</v>
      </c>
      <c r="AG3220">
        <v>5</v>
      </c>
      <c r="AH3220">
        <v>1</v>
      </c>
      <c r="AI3220">
        <v>163.01</v>
      </c>
      <c r="AL3220" t="s">
        <v>5011</v>
      </c>
      <c r="AM3220">
        <v>55000</v>
      </c>
      <c r="AS3220">
        <v>0</v>
      </c>
      <c r="AU3220" t="s">
        <v>292</v>
      </c>
      <c r="AW3220" t="s">
        <v>11446</v>
      </c>
    </row>
    <row r="3221" spans="1:49">
      <c r="A3221" s="1">
        <f>HYPERLINK("https://lsnyc.legalserver.org/matter/dynamic-profile/view/1911899","19-1911899")</f>
        <v>0</v>
      </c>
      <c r="B3221" t="s">
        <v>271</v>
      </c>
      <c r="C3221" t="s">
        <v>645</v>
      </c>
      <c r="E3221" t="s">
        <v>2683</v>
      </c>
      <c r="F3221" t="s">
        <v>5030</v>
      </c>
      <c r="G3221" t="s">
        <v>8656</v>
      </c>
      <c r="H3221" t="s">
        <v>10981</v>
      </c>
      <c r="I3221" t="s">
        <v>11387</v>
      </c>
      <c r="J3221">
        <v>11435</v>
      </c>
      <c r="K3221" t="s">
        <v>11446</v>
      </c>
      <c r="L3221" t="s">
        <v>12864</v>
      </c>
      <c r="M3221" t="s">
        <v>14744</v>
      </c>
      <c r="N3221" t="s">
        <v>14782</v>
      </c>
      <c r="P3221" t="s">
        <v>14801</v>
      </c>
      <c r="Q3221" t="s">
        <v>11448</v>
      </c>
      <c r="S3221" t="s">
        <v>14827</v>
      </c>
      <c r="V3221">
        <v>1173</v>
      </c>
      <c r="W3221" t="s">
        <v>14861</v>
      </c>
      <c r="X3221" t="s">
        <v>14865</v>
      </c>
      <c r="Z3221" t="s">
        <v>17582</v>
      </c>
      <c r="AB3221" t="s">
        <v>22655</v>
      </c>
      <c r="AC3221">
        <v>125</v>
      </c>
      <c r="AD3221" t="s">
        <v>24595</v>
      </c>
      <c r="AE3221" t="s">
        <v>11459</v>
      </c>
      <c r="AF3221">
        <v>4</v>
      </c>
      <c r="AG3221">
        <v>2</v>
      </c>
      <c r="AH3221">
        <v>2</v>
      </c>
      <c r="AI3221">
        <v>166.99</v>
      </c>
      <c r="AL3221" t="s">
        <v>5011</v>
      </c>
      <c r="AM3221">
        <v>43000</v>
      </c>
      <c r="AS3221">
        <v>2.83</v>
      </c>
      <c r="AT3221" t="s">
        <v>489</v>
      </c>
      <c r="AU3221" t="s">
        <v>25233</v>
      </c>
      <c r="AV3221" t="s">
        <v>11459</v>
      </c>
      <c r="AW3221" t="s">
        <v>11447</v>
      </c>
    </row>
    <row r="3222" spans="1:49">
      <c r="A3222" s="1">
        <f>HYPERLINK("https://lsnyc.legalserver.org/matter/dynamic-profile/view/1895410","19-1895410")</f>
        <v>0</v>
      </c>
      <c r="B3222" t="s">
        <v>85</v>
      </c>
      <c r="C3222" t="s">
        <v>333</v>
      </c>
      <c r="E3222" t="s">
        <v>2684</v>
      </c>
      <c r="F3222" t="s">
        <v>5304</v>
      </c>
      <c r="G3222" t="s">
        <v>8657</v>
      </c>
      <c r="H3222" t="s">
        <v>10481</v>
      </c>
      <c r="I3222" t="s">
        <v>11437</v>
      </c>
      <c r="J3222">
        <v>11428</v>
      </c>
      <c r="K3222" t="s">
        <v>11447</v>
      </c>
      <c r="L3222" t="s">
        <v>12865</v>
      </c>
      <c r="M3222" t="s">
        <v>14744</v>
      </c>
      <c r="N3222" t="s">
        <v>14778</v>
      </c>
      <c r="P3222" t="s">
        <v>14801</v>
      </c>
      <c r="Q3222" t="s">
        <v>11448</v>
      </c>
      <c r="S3222" t="s">
        <v>14827</v>
      </c>
      <c r="T3222" t="s">
        <v>14832</v>
      </c>
      <c r="V3222">
        <v>851.4</v>
      </c>
      <c r="W3222" t="s">
        <v>14861</v>
      </c>
      <c r="X3222" t="s">
        <v>14865</v>
      </c>
      <c r="Z3222" t="s">
        <v>17583</v>
      </c>
      <c r="AB3222" t="s">
        <v>22656</v>
      </c>
      <c r="AC3222">
        <v>54</v>
      </c>
      <c r="AD3222" t="s">
        <v>24598</v>
      </c>
      <c r="AF3222">
        <v>10</v>
      </c>
      <c r="AG3222">
        <v>1</v>
      </c>
      <c r="AH3222">
        <v>0</v>
      </c>
      <c r="AI3222">
        <v>167.85</v>
      </c>
      <c r="AL3222" t="s">
        <v>24661</v>
      </c>
      <c r="AM3222">
        <v>20964</v>
      </c>
      <c r="AS3222">
        <v>1.1</v>
      </c>
      <c r="AT3222" t="s">
        <v>416</v>
      </c>
      <c r="AU3222" t="s">
        <v>85</v>
      </c>
      <c r="AW3222" t="s">
        <v>11447</v>
      </c>
    </row>
    <row r="3223" spans="1:49">
      <c r="A3223" s="1">
        <f>HYPERLINK("https://lsnyc.legalserver.org/matter/dynamic-profile/view/1908620","19-1908620")</f>
        <v>0</v>
      </c>
      <c r="B3223" t="s">
        <v>294</v>
      </c>
      <c r="C3223" t="s">
        <v>497</v>
      </c>
      <c r="E3223" t="s">
        <v>2685</v>
      </c>
      <c r="F3223" t="s">
        <v>5305</v>
      </c>
      <c r="G3223" t="s">
        <v>8658</v>
      </c>
      <c r="H3223" t="s">
        <v>10465</v>
      </c>
      <c r="I3223" t="s">
        <v>11409</v>
      </c>
      <c r="J3223">
        <v>11377</v>
      </c>
      <c r="K3223" t="s">
        <v>11446</v>
      </c>
      <c r="L3223" t="s">
        <v>12866</v>
      </c>
      <c r="M3223" t="s">
        <v>14744</v>
      </c>
      <c r="N3223" t="s">
        <v>14781</v>
      </c>
      <c r="P3223" t="s">
        <v>14801</v>
      </c>
      <c r="Q3223" t="s">
        <v>11448</v>
      </c>
      <c r="S3223" t="s">
        <v>14827</v>
      </c>
      <c r="T3223" t="s">
        <v>14832</v>
      </c>
      <c r="V3223">
        <v>1155</v>
      </c>
      <c r="W3223" t="s">
        <v>14861</v>
      </c>
      <c r="X3223" t="s">
        <v>14865</v>
      </c>
      <c r="Z3223" t="s">
        <v>17584</v>
      </c>
      <c r="AA3223" t="s">
        <v>11465</v>
      </c>
      <c r="AB3223" t="s">
        <v>22657</v>
      </c>
      <c r="AC3223">
        <v>6</v>
      </c>
      <c r="AD3223" t="s">
        <v>24595</v>
      </c>
      <c r="AE3223" t="s">
        <v>11459</v>
      </c>
      <c r="AF3223">
        <v>20</v>
      </c>
      <c r="AG3223">
        <v>3</v>
      </c>
      <c r="AH3223">
        <v>0</v>
      </c>
      <c r="AI3223">
        <v>170.65</v>
      </c>
      <c r="AL3223" t="s">
        <v>24648</v>
      </c>
      <c r="AM3223">
        <v>36400</v>
      </c>
      <c r="AS3223">
        <v>18.93</v>
      </c>
      <c r="AT3223" t="s">
        <v>574</v>
      </c>
      <c r="AU3223" t="s">
        <v>292</v>
      </c>
      <c r="AV3223" t="s">
        <v>25335</v>
      </c>
      <c r="AW3223" t="s">
        <v>11447</v>
      </c>
    </row>
    <row r="3224" spans="1:49">
      <c r="A3224" s="1">
        <f>HYPERLINK("https://lsnyc.legalserver.org/matter/dynamic-profile/view/1855287","18-1855287")</f>
        <v>0</v>
      </c>
      <c r="B3224" t="s">
        <v>122</v>
      </c>
      <c r="C3224" t="s">
        <v>800</v>
      </c>
      <c r="E3224" t="s">
        <v>1330</v>
      </c>
      <c r="F3224" t="s">
        <v>5306</v>
      </c>
      <c r="G3224" t="s">
        <v>8659</v>
      </c>
      <c r="H3224" t="s">
        <v>10468</v>
      </c>
      <c r="I3224" t="s">
        <v>6196</v>
      </c>
      <c r="J3224">
        <v>11423</v>
      </c>
      <c r="K3224" t="s">
        <v>11446</v>
      </c>
      <c r="L3224" t="s">
        <v>12867</v>
      </c>
      <c r="M3224" t="s">
        <v>14744</v>
      </c>
      <c r="N3224" t="s">
        <v>14781</v>
      </c>
      <c r="P3224" t="s">
        <v>14801</v>
      </c>
      <c r="Q3224" t="s">
        <v>11448</v>
      </c>
      <c r="S3224" t="s">
        <v>14827</v>
      </c>
      <c r="V3224">
        <v>1582</v>
      </c>
      <c r="W3224" t="s">
        <v>14861</v>
      </c>
      <c r="X3224" t="s">
        <v>14865</v>
      </c>
      <c r="Z3224" t="s">
        <v>17585</v>
      </c>
      <c r="AA3224" t="s">
        <v>19687</v>
      </c>
      <c r="AB3224" t="s">
        <v>22658</v>
      </c>
      <c r="AC3224">
        <v>48</v>
      </c>
      <c r="AE3224" t="s">
        <v>11459</v>
      </c>
      <c r="AF3224">
        <v>46</v>
      </c>
      <c r="AG3224">
        <v>4</v>
      </c>
      <c r="AH3224">
        <v>0</v>
      </c>
      <c r="AI3224">
        <v>170.72</v>
      </c>
      <c r="AK3224" t="s">
        <v>24630</v>
      </c>
      <c r="AL3224" t="s">
        <v>5011</v>
      </c>
      <c r="AM3224">
        <v>41997.4</v>
      </c>
      <c r="AS3224">
        <v>30.1</v>
      </c>
      <c r="AT3224" t="s">
        <v>637</v>
      </c>
      <c r="AU3224" t="s">
        <v>292</v>
      </c>
      <c r="AW3224" t="s">
        <v>11447</v>
      </c>
    </row>
    <row r="3225" spans="1:49">
      <c r="A3225" s="1">
        <f>HYPERLINK("https://lsnyc.legalserver.org/matter/dynamic-profile/view/0770949","15-0770949")</f>
        <v>0</v>
      </c>
      <c r="B3225" t="s">
        <v>122</v>
      </c>
      <c r="C3225" t="s">
        <v>763</v>
      </c>
      <c r="E3225" t="s">
        <v>1089</v>
      </c>
      <c r="F3225" t="s">
        <v>3758</v>
      </c>
      <c r="G3225" t="s">
        <v>8342</v>
      </c>
      <c r="H3225" t="s">
        <v>10493</v>
      </c>
      <c r="I3225" t="s">
        <v>11390</v>
      </c>
      <c r="J3225">
        <v>11368</v>
      </c>
      <c r="K3225" t="s">
        <v>11447</v>
      </c>
      <c r="L3225" t="s">
        <v>12868</v>
      </c>
      <c r="M3225" t="s">
        <v>14744</v>
      </c>
      <c r="N3225" t="s">
        <v>14781</v>
      </c>
      <c r="P3225" t="s">
        <v>14801</v>
      </c>
      <c r="S3225" t="s">
        <v>14827</v>
      </c>
      <c r="V3225">
        <v>0</v>
      </c>
      <c r="W3225" t="s">
        <v>14861</v>
      </c>
      <c r="Z3225" t="s">
        <v>17586</v>
      </c>
      <c r="AB3225" t="s">
        <v>22659</v>
      </c>
      <c r="AC3225">
        <v>0</v>
      </c>
      <c r="AF3225">
        <v>0</v>
      </c>
      <c r="AG3225">
        <v>2</v>
      </c>
      <c r="AH3225">
        <v>1</v>
      </c>
      <c r="AI3225">
        <v>172.54</v>
      </c>
      <c r="AL3225" t="s">
        <v>5011</v>
      </c>
      <c r="AM3225">
        <v>34664</v>
      </c>
      <c r="AO3225" t="s">
        <v>24937</v>
      </c>
      <c r="AP3225" t="s">
        <v>24965</v>
      </c>
      <c r="AQ3225" t="s">
        <v>24986</v>
      </c>
      <c r="AR3225" t="s">
        <v>25068</v>
      </c>
      <c r="AS3225">
        <v>103.8</v>
      </c>
      <c r="AT3225" t="s">
        <v>879</v>
      </c>
      <c r="AU3225" t="s">
        <v>124</v>
      </c>
      <c r="AW3225" t="s">
        <v>11447</v>
      </c>
    </row>
    <row r="3226" spans="1:49">
      <c r="A3226" s="1">
        <f>HYPERLINK("https://lsnyc.legalserver.org/matter/dynamic-profile/view/1912609","19-1912609")</f>
        <v>0</v>
      </c>
      <c r="B3226" t="s">
        <v>225</v>
      </c>
      <c r="C3226" t="s">
        <v>472</v>
      </c>
      <c r="E3226" t="s">
        <v>2686</v>
      </c>
      <c r="F3226" t="s">
        <v>5307</v>
      </c>
      <c r="G3226" t="s">
        <v>8660</v>
      </c>
      <c r="H3226" t="s">
        <v>10552</v>
      </c>
      <c r="I3226" t="s">
        <v>11404</v>
      </c>
      <c r="J3226">
        <v>11106</v>
      </c>
      <c r="K3226" t="s">
        <v>11446</v>
      </c>
      <c r="L3226" t="s">
        <v>12869</v>
      </c>
      <c r="M3226" t="s">
        <v>14744</v>
      </c>
      <c r="N3226" t="s">
        <v>14781</v>
      </c>
      <c r="P3226" t="s">
        <v>14801</v>
      </c>
      <c r="Q3226" t="s">
        <v>11448</v>
      </c>
      <c r="S3226" t="s">
        <v>14827</v>
      </c>
      <c r="V3226">
        <v>1314.24</v>
      </c>
      <c r="W3226" t="s">
        <v>14861</v>
      </c>
      <c r="X3226" t="s">
        <v>14865</v>
      </c>
      <c r="Z3226" t="s">
        <v>15763</v>
      </c>
      <c r="AB3226" t="s">
        <v>22660</v>
      </c>
      <c r="AC3226">
        <v>16</v>
      </c>
      <c r="AD3226" t="s">
        <v>24599</v>
      </c>
      <c r="AE3226" t="s">
        <v>11459</v>
      </c>
      <c r="AF3226">
        <v>32</v>
      </c>
      <c r="AG3226">
        <v>1</v>
      </c>
      <c r="AH3226">
        <v>1</v>
      </c>
      <c r="AI3226">
        <v>177.41</v>
      </c>
      <c r="AL3226" t="s">
        <v>5011</v>
      </c>
      <c r="AM3226">
        <v>30000</v>
      </c>
      <c r="AS3226">
        <v>4.78</v>
      </c>
      <c r="AT3226" t="s">
        <v>509</v>
      </c>
      <c r="AU3226" t="s">
        <v>25233</v>
      </c>
      <c r="AV3226" t="s">
        <v>25335</v>
      </c>
      <c r="AW3226" t="s">
        <v>11447</v>
      </c>
    </row>
    <row r="3227" spans="1:49">
      <c r="A3227" s="1">
        <f>HYPERLINK("https://lsnyc.legalserver.org/matter/dynamic-profile/view/1913350","19-1913350")</f>
        <v>0</v>
      </c>
      <c r="B3227" t="s">
        <v>147</v>
      </c>
      <c r="C3227" t="s">
        <v>483</v>
      </c>
      <c r="E3227" t="s">
        <v>2687</v>
      </c>
      <c r="F3227" t="s">
        <v>5308</v>
      </c>
      <c r="G3227" t="s">
        <v>8661</v>
      </c>
      <c r="H3227" t="s">
        <v>10506</v>
      </c>
      <c r="I3227" t="s">
        <v>11419</v>
      </c>
      <c r="J3227">
        <v>11420</v>
      </c>
      <c r="K3227" t="s">
        <v>11446</v>
      </c>
      <c r="L3227" t="s">
        <v>12870</v>
      </c>
      <c r="M3227" t="s">
        <v>14744</v>
      </c>
      <c r="N3227" t="s">
        <v>14778</v>
      </c>
      <c r="P3227" t="s">
        <v>14801</v>
      </c>
      <c r="Q3227" t="s">
        <v>11448</v>
      </c>
      <c r="S3227" t="s">
        <v>14827</v>
      </c>
      <c r="V3227">
        <v>1650</v>
      </c>
      <c r="W3227" t="s">
        <v>14861</v>
      </c>
      <c r="X3227" t="s">
        <v>14865</v>
      </c>
      <c r="Z3227" t="s">
        <v>17587</v>
      </c>
      <c r="AB3227" t="s">
        <v>22661</v>
      </c>
      <c r="AC3227">
        <v>4</v>
      </c>
      <c r="AD3227" t="s">
        <v>11479</v>
      </c>
      <c r="AE3227" t="s">
        <v>11459</v>
      </c>
      <c r="AF3227">
        <v>2</v>
      </c>
      <c r="AG3227">
        <v>1</v>
      </c>
      <c r="AH3227">
        <v>2</v>
      </c>
      <c r="AI3227">
        <v>179.18</v>
      </c>
      <c r="AL3227" t="s">
        <v>5011</v>
      </c>
      <c r="AM3227">
        <v>38220</v>
      </c>
      <c r="AS3227">
        <v>1.33</v>
      </c>
      <c r="AT3227" t="s">
        <v>483</v>
      </c>
      <c r="AU3227" t="s">
        <v>25233</v>
      </c>
      <c r="AV3227" t="s">
        <v>25335</v>
      </c>
      <c r="AW3227" t="s">
        <v>11447</v>
      </c>
    </row>
    <row r="3228" spans="1:49">
      <c r="A3228" s="1">
        <f>HYPERLINK("https://lsnyc.legalserver.org/matter/dynamic-profile/view/1901054","19-1901054")</f>
        <v>0</v>
      </c>
      <c r="B3228" t="s">
        <v>138</v>
      </c>
      <c r="C3228" t="s">
        <v>530</v>
      </c>
      <c r="E3228" t="s">
        <v>1563</v>
      </c>
      <c r="F3228" t="s">
        <v>4172</v>
      </c>
      <c r="G3228" t="s">
        <v>8662</v>
      </c>
      <c r="H3228" t="s">
        <v>10637</v>
      </c>
      <c r="I3228" t="s">
        <v>11390</v>
      </c>
      <c r="J3228">
        <v>11368</v>
      </c>
      <c r="K3228" t="s">
        <v>11446</v>
      </c>
      <c r="L3228" t="s">
        <v>12871</v>
      </c>
      <c r="M3228" t="s">
        <v>14743</v>
      </c>
      <c r="N3228" t="s">
        <v>14782</v>
      </c>
      <c r="P3228" t="s">
        <v>14801</v>
      </c>
      <c r="Q3228" t="s">
        <v>11448</v>
      </c>
      <c r="S3228" t="s">
        <v>14827</v>
      </c>
      <c r="V3228">
        <v>1800</v>
      </c>
      <c r="W3228" t="s">
        <v>14861</v>
      </c>
      <c r="X3228" t="s">
        <v>14865</v>
      </c>
      <c r="Z3228" t="s">
        <v>17588</v>
      </c>
      <c r="AB3228" t="s">
        <v>22662</v>
      </c>
      <c r="AC3228">
        <v>3</v>
      </c>
      <c r="AD3228" t="s">
        <v>24600</v>
      </c>
      <c r="AE3228" t="s">
        <v>11459</v>
      </c>
      <c r="AF3228">
        <v>15</v>
      </c>
      <c r="AG3228">
        <v>2</v>
      </c>
      <c r="AH3228">
        <v>2</v>
      </c>
      <c r="AI3228">
        <v>179.73</v>
      </c>
      <c r="AL3228" t="s">
        <v>24632</v>
      </c>
      <c r="AM3228">
        <v>46280</v>
      </c>
      <c r="AS3228">
        <v>20</v>
      </c>
      <c r="AT3228" t="s">
        <v>589</v>
      </c>
      <c r="AU3228" t="s">
        <v>25233</v>
      </c>
      <c r="AV3228" t="s">
        <v>25335</v>
      </c>
      <c r="AW3228" t="s">
        <v>11447</v>
      </c>
    </row>
    <row r="3229" spans="1:49">
      <c r="A3229" s="1">
        <f>HYPERLINK("https://lsnyc.legalserver.org/matter/dynamic-profile/view/1887399","19-1887399")</f>
        <v>0</v>
      </c>
      <c r="B3229" t="s">
        <v>292</v>
      </c>
      <c r="C3229" t="s">
        <v>789</v>
      </c>
      <c r="E3229" t="s">
        <v>2688</v>
      </c>
      <c r="F3229" t="s">
        <v>3799</v>
      </c>
      <c r="G3229" t="s">
        <v>8663</v>
      </c>
      <c r="H3229" t="s">
        <v>10610</v>
      </c>
      <c r="I3229" t="s">
        <v>11413</v>
      </c>
      <c r="J3229">
        <v>11413</v>
      </c>
      <c r="K3229" t="s">
        <v>11446</v>
      </c>
      <c r="L3229" t="s">
        <v>12872</v>
      </c>
      <c r="M3229" t="s">
        <v>14743</v>
      </c>
      <c r="N3229" t="s">
        <v>14782</v>
      </c>
      <c r="P3229" t="s">
        <v>14801</v>
      </c>
      <c r="Q3229" t="s">
        <v>11448</v>
      </c>
      <c r="S3229" t="s">
        <v>14827</v>
      </c>
      <c r="V3229">
        <v>1400</v>
      </c>
      <c r="W3229" t="s">
        <v>14861</v>
      </c>
      <c r="X3229" t="s">
        <v>14865</v>
      </c>
      <c r="Z3229" t="s">
        <v>17589</v>
      </c>
      <c r="AA3229" t="s">
        <v>19688</v>
      </c>
      <c r="AB3229" t="s">
        <v>22663</v>
      </c>
      <c r="AC3229">
        <v>0</v>
      </c>
      <c r="AD3229" t="s">
        <v>11479</v>
      </c>
      <c r="AE3229" t="s">
        <v>11459</v>
      </c>
      <c r="AF3229">
        <v>3</v>
      </c>
      <c r="AG3229">
        <v>2</v>
      </c>
      <c r="AH3229">
        <v>1</v>
      </c>
      <c r="AI3229">
        <v>181.17</v>
      </c>
      <c r="AL3229" t="s">
        <v>5011</v>
      </c>
      <c r="AM3229">
        <v>37648</v>
      </c>
      <c r="AS3229">
        <v>0.05</v>
      </c>
      <c r="AT3229" t="s">
        <v>1013</v>
      </c>
      <c r="AU3229" t="s">
        <v>292</v>
      </c>
      <c r="AW3229" t="s">
        <v>11446</v>
      </c>
    </row>
    <row r="3230" spans="1:49">
      <c r="A3230" s="1">
        <f>HYPERLINK("https://lsnyc.legalserver.org/matter/dynamic-profile/view/1914191","19-1914191")</f>
        <v>0</v>
      </c>
      <c r="B3230" t="s">
        <v>179</v>
      </c>
      <c r="C3230" t="s">
        <v>580</v>
      </c>
      <c r="E3230" t="s">
        <v>1426</v>
      </c>
      <c r="F3230" t="s">
        <v>5309</v>
      </c>
      <c r="G3230" t="s">
        <v>8664</v>
      </c>
      <c r="H3230" t="s">
        <v>10486</v>
      </c>
      <c r="I3230" t="s">
        <v>11390</v>
      </c>
      <c r="J3230">
        <v>11368</v>
      </c>
      <c r="K3230" t="s">
        <v>11446</v>
      </c>
      <c r="L3230" t="s">
        <v>12873</v>
      </c>
      <c r="M3230" t="s">
        <v>14743</v>
      </c>
      <c r="N3230" t="s">
        <v>14782</v>
      </c>
      <c r="P3230" t="s">
        <v>14801</v>
      </c>
      <c r="Q3230" t="s">
        <v>11448</v>
      </c>
      <c r="S3230" t="s">
        <v>14827</v>
      </c>
      <c r="V3230">
        <v>1860</v>
      </c>
      <c r="W3230" t="s">
        <v>14861</v>
      </c>
      <c r="X3230" t="s">
        <v>14865</v>
      </c>
      <c r="Z3230" t="s">
        <v>17590</v>
      </c>
      <c r="AB3230" t="s">
        <v>22664</v>
      </c>
      <c r="AC3230">
        <v>3</v>
      </c>
      <c r="AD3230" t="s">
        <v>24596</v>
      </c>
      <c r="AE3230" t="s">
        <v>24610</v>
      </c>
      <c r="AF3230">
        <v>3</v>
      </c>
      <c r="AG3230">
        <v>2</v>
      </c>
      <c r="AH3230">
        <v>2</v>
      </c>
      <c r="AI3230">
        <v>181.75</v>
      </c>
      <c r="AL3230" t="s">
        <v>5011</v>
      </c>
      <c r="AM3230">
        <v>46800</v>
      </c>
      <c r="AS3230">
        <v>1.33</v>
      </c>
      <c r="AT3230" t="s">
        <v>539</v>
      </c>
      <c r="AU3230" t="s">
        <v>25233</v>
      </c>
      <c r="AV3230" t="s">
        <v>25335</v>
      </c>
      <c r="AW3230" t="s">
        <v>11447</v>
      </c>
    </row>
    <row r="3231" spans="1:49">
      <c r="A3231" s="1">
        <f>HYPERLINK("https://lsnyc.legalserver.org/matter/dynamic-profile/view/1890271","19-1890271")</f>
        <v>0</v>
      </c>
      <c r="B3231" t="s">
        <v>147</v>
      </c>
      <c r="C3231" t="s">
        <v>683</v>
      </c>
      <c r="E3231" t="s">
        <v>1274</v>
      </c>
      <c r="F3231" t="s">
        <v>5310</v>
      </c>
      <c r="G3231" t="s">
        <v>8665</v>
      </c>
      <c r="H3231" t="s">
        <v>11108</v>
      </c>
      <c r="I3231" t="s">
        <v>11404</v>
      </c>
      <c r="J3231">
        <v>11103</v>
      </c>
      <c r="K3231" t="s">
        <v>11447</v>
      </c>
      <c r="L3231" t="s">
        <v>12874</v>
      </c>
      <c r="N3231" t="s">
        <v>14778</v>
      </c>
      <c r="P3231" t="s">
        <v>14801</v>
      </c>
      <c r="S3231" t="s">
        <v>14827</v>
      </c>
      <c r="V3231">
        <v>1400</v>
      </c>
      <c r="W3231" t="s">
        <v>14861</v>
      </c>
      <c r="X3231" t="s">
        <v>14865</v>
      </c>
      <c r="Z3231" t="s">
        <v>17591</v>
      </c>
      <c r="AB3231" t="s">
        <v>22665</v>
      </c>
      <c r="AC3231">
        <v>3</v>
      </c>
      <c r="AD3231" t="s">
        <v>24600</v>
      </c>
      <c r="AE3231" t="s">
        <v>11459</v>
      </c>
      <c r="AF3231">
        <v>11</v>
      </c>
      <c r="AG3231">
        <v>3</v>
      </c>
      <c r="AH3231">
        <v>1</v>
      </c>
      <c r="AI3231">
        <v>182.52</v>
      </c>
      <c r="AL3231" t="s">
        <v>5011</v>
      </c>
      <c r="AM3231">
        <v>47000</v>
      </c>
      <c r="AS3231">
        <v>1</v>
      </c>
      <c r="AT3231" t="s">
        <v>683</v>
      </c>
      <c r="AU3231" t="s">
        <v>99</v>
      </c>
      <c r="AW3231" t="s">
        <v>11447</v>
      </c>
    </row>
    <row r="3232" spans="1:49">
      <c r="A3232" s="1">
        <f>HYPERLINK("https://lsnyc.legalserver.org/matter/dynamic-profile/view/1910934","19-1910934")</f>
        <v>0</v>
      </c>
      <c r="B3232" t="s">
        <v>99</v>
      </c>
      <c r="C3232" t="s">
        <v>604</v>
      </c>
      <c r="E3232" t="s">
        <v>1218</v>
      </c>
      <c r="F3232" t="s">
        <v>5311</v>
      </c>
      <c r="G3232" t="s">
        <v>8666</v>
      </c>
      <c r="H3232">
        <v>5</v>
      </c>
      <c r="I3232" t="s">
        <v>11404</v>
      </c>
      <c r="J3232">
        <v>11102</v>
      </c>
      <c r="K3232" t="s">
        <v>11448</v>
      </c>
      <c r="L3232" t="s">
        <v>12875</v>
      </c>
      <c r="M3232" t="s">
        <v>14743</v>
      </c>
      <c r="P3232" t="s">
        <v>14801</v>
      </c>
      <c r="S3232" t="s">
        <v>14827</v>
      </c>
      <c r="V3232">
        <v>980</v>
      </c>
      <c r="W3232" t="s">
        <v>14861</v>
      </c>
      <c r="Z3232" t="s">
        <v>17592</v>
      </c>
      <c r="AB3232" t="s">
        <v>22666</v>
      </c>
      <c r="AC3232">
        <v>0</v>
      </c>
      <c r="AD3232" t="s">
        <v>24595</v>
      </c>
      <c r="AE3232" t="s">
        <v>11459</v>
      </c>
      <c r="AF3232">
        <v>43</v>
      </c>
      <c r="AG3232">
        <v>1</v>
      </c>
      <c r="AH3232">
        <v>0</v>
      </c>
      <c r="AI3232">
        <v>182.55</v>
      </c>
      <c r="AL3232" t="s">
        <v>5011</v>
      </c>
      <c r="AM3232">
        <v>22800</v>
      </c>
      <c r="AS3232">
        <v>6.4</v>
      </c>
      <c r="AT3232" t="s">
        <v>574</v>
      </c>
      <c r="AU3232" t="s">
        <v>99</v>
      </c>
      <c r="AW3232" t="s">
        <v>11447</v>
      </c>
    </row>
    <row r="3233" spans="1:49">
      <c r="A3233" s="1">
        <f>HYPERLINK("https://lsnyc.legalserver.org/matter/dynamic-profile/view/1889298","19-1889298")</f>
        <v>0</v>
      </c>
      <c r="B3233" t="s">
        <v>74</v>
      </c>
      <c r="C3233" t="s">
        <v>513</v>
      </c>
      <c r="E3233" t="s">
        <v>1025</v>
      </c>
      <c r="F3233" t="s">
        <v>5312</v>
      </c>
      <c r="G3233" t="s">
        <v>8667</v>
      </c>
      <c r="H3233" t="s">
        <v>10918</v>
      </c>
      <c r="I3233" t="s">
        <v>11388</v>
      </c>
      <c r="J3233">
        <v>11385</v>
      </c>
      <c r="K3233" t="s">
        <v>11446</v>
      </c>
      <c r="L3233" t="s">
        <v>12876</v>
      </c>
      <c r="M3233" t="s">
        <v>14743</v>
      </c>
      <c r="N3233" t="s">
        <v>14782</v>
      </c>
      <c r="P3233" t="s">
        <v>14801</v>
      </c>
      <c r="Q3233" t="s">
        <v>11448</v>
      </c>
      <c r="S3233" t="s">
        <v>14827</v>
      </c>
      <c r="V3233">
        <v>1730</v>
      </c>
      <c r="W3233" t="s">
        <v>14861</v>
      </c>
      <c r="X3233" t="s">
        <v>14868</v>
      </c>
      <c r="Z3233" t="s">
        <v>17593</v>
      </c>
      <c r="AB3233" t="s">
        <v>22667</v>
      </c>
      <c r="AC3233">
        <v>2</v>
      </c>
      <c r="AD3233" t="s">
        <v>11479</v>
      </c>
      <c r="AE3233" t="s">
        <v>24610</v>
      </c>
      <c r="AF3233">
        <v>11</v>
      </c>
      <c r="AG3233">
        <v>2</v>
      </c>
      <c r="AH3233">
        <v>0</v>
      </c>
      <c r="AI3233">
        <v>183.32</v>
      </c>
      <c r="AL3233" t="s">
        <v>24632</v>
      </c>
      <c r="AM3233">
        <v>31000</v>
      </c>
      <c r="AS3233">
        <v>2.1</v>
      </c>
      <c r="AT3233" t="s">
        <v>505</v>
      </c>
      <c r="AU3233" t="s">
        <v>292</v>
      </c>
      <c r="AW3233" t="s">
        <v>11446</v>
      </c>
    </row>
    <row r="3234" spans="1:49">
      <c r="A3234" s="1">
        <f>HYPERLINK("https://lsnyc.legalserver.org/matter/dynamic-profile/view/1836842","17-1836842")</f>
        <v>0</v>
      </c>
      <c r="B3234" t="s">
        <v>179</v>
      </c>
      <c r="C3234" t="s">
        <v>826</v>
      </c>
      <c r="E3234" t="s">
        <v>2145</v>
      </c>
      <c r="F3234" t="s">
        <v>3885</v>
      </c>
      <c r="G3234" t="s">
        <v>8668</v>
      </c>
      <c r="I3234" t="s">
        <v>11387</v>
      </c>
      <c r="J3234">
        <v>11434</v>
      </c>
      <c r="K3234" t="s">
        <v>11447</v>
      </c>
      <c r="M3234" t="s">
        <v>14746</v>
      </c>
      <c r="N3234" t="s">
        <v>14781</v>
      </c>
      <c r="P3234" t="s">
        <v>14801</v>
      </c>
      <c r="S3234" t="s">
        <v>14827</v>
      </c>
      <c r="V3234">
        <v>0</v>
      </c>
      <c r="W3234" t="s">
        <v>14861</v>
      </c>
      <c r="Z3234" t="s">
        <v>17594</v>
      </c>
      <c r="AB3234" t="s">
        <v>22668</v>
      </c>
      <c r="AC3234">
        <v>0</v>
      </c>
      <c r="AF3234">
        <v>0</v>
      </c>
      <c r="AG3234">
        <v>4</v>
      </c>
      <c r="AH3234">
        <v>2</v>
      </c>
      <c r="AI3234">
        <v>185.07</v>
      </c>
      <c r="AL3234" t="s">
        <v>5011</v>
      </c>
      <c r="AM3234">
        <v>79000</v>
      </c>
      <c r="AS3234">
        <v>7.5</v>
      </c>
      <c r="AT3234" t="s">
        <v>25169</v>
      </c>
      <c r="AU3234" t="s">
        <v>179</v>
      </c>
      <c r="AW3234" t="s">
        <v>11447</v>
      </c>
    </row>
    <row r="3235" spans="1:49">
      <c r="A3235" s="1">
        <f>HYPERLINK("https://lsnyc.legalserver.org/matter/dynamic-profile/view/1911864","19-1911864")</f>
        <v>0</v>
      </c>
      <c r="B3235" t="s">
        <v>167</v>
      </c>
      <c r="C3235" t="s">
        <v>645</v>
      </c>
      <c r="E3235" t="s">
        <v>1825</v>
      </c>
      <c r="F3235" t="s">
        <v>4673</v>
      </c>
      <c r="G3235" t="s">
        <v>8669</v>
      </c>
      <c r="H3235">
        <v>5</v>
      </c>
      <c r="I3235" t="s">
        <v>11418</v>
      </c>
      <c r="J3235">
        <v>11412</v>
      </c>
      <c r="K3235" t="s">
        <v>11446</v>
      </c>
      <c r="L3235" t="s">
        <v>12877</v>
      </c>
      <c r="M3235" t="s">
        <v>14744</v>
      </c>
      <c r="N3235" t="s">
        <v>14781</v>
      </c>
      <c r="P3235" t="s">
        <v>14801</v>
      </c>
      <c r="Q3235" t="s">
        <v>11448</v>
      </c>
      <c r="S3235" t="s">
        <v>14827</v>
      </c>
      <c r="V3235">
        <v>531</v>
      </c>
      <c r="W3235" t="s">
        <v>14861</v>
      </c>
      <c r="X3235" t="s">
        <v>14865</v>
      </c>
      <c r="Z3235" t="s">
        <v>17595</v>
      </c>
      <c r="AA3235" t="s">
        <v>19689</v>
      </c>
      <c r="AB3235" t="s">
        <v>22669</v>
      </c>
      <c r="AC3235">
        <v>250</v>
      </c>
      <c r="AD3235" t="s">
        <v>24600</v>
      </c>
      <c r="AE3235" t="s">
        <v>11459</v>
      </c>
      <c r="AF3235">
        <v>6</v>
      </c>
      <c r="AG3235">
        <v>1</v>
      </c>
      <c r="AH3235">
        <v>0</v>
      </c>
      <c r="AI3235">
        <v>185.52</v>
      </c>
      <c r="AL3235" t="s">
        <v>5011</v>
      </c>
      <c r="AM3235">
        <v>23172</v>
      </c>
      <c r="AS3235">
        <v>4.83</v>
      </c>
      <c r="AT3235" t="s">
        <v>551</v>
      </c>
      <c r="AU3235" t="s">
        <v>25233</v>
      </c>
      <c r="AV3235" t="s">
        <v>25335</v>
      </c>
      <c r="AW3235" t="s">
        <v>11447</v>
      </c>
    </row>
    <row r="3236" spans="1:49">
      <c r="A3236" s="1">
        <f>HYPERLINK("https://lsnyc.legalserver.org/matter/dynamic-profile/view/1912647","19-1912647")</f>
        <v>0</v>
      </c>
      <c r="B3236" t="s">
        <v>271</v>
      </c>
      <c r="C3236" t="s">
        <v>472</v>
      </c>
      <c r="E3236" t="s">
        <v>2689</v>
      </c>
      <c r="F3236" t="s">
        <v>5313</v>
      </c>
      <c r="G3236" t="s">
        <v>8670</v>
      </c>
      <c r="H3236" t="s">
        <v>10648</v>
      </c>
      <c r="I3236" t="s">
        <v>11411</v>
      </c>
      <c r="J3236">
        <v>11418</v>
      </c>
      <c r="K3236" t="s">
        <v>11446</v>
      </c>
      <c r="L3236" t="s">
        <v>12878</v>
      </c>
      <c r="M3236" t="s">
        <v>14743</v>
      </c>
      <c r="N3236" t="s">
        <v>14782</v>
      </c>
      <c r="P3236" t="s">
        <v>14801</v>
      </c>
      <c r="Q3236" t="s">
        <v>11448</v>
      </c>
      <c r="S3236" t="s">
        <v>14827</v>
      </c>
      <c r="V3236">
        <v>700</v>
      </c>
      <c r="W3236" t="s">
        <v>14861</v>
      </c>
      <c r="X3236" t="s">
        <v>14865</v>
      </c>
      <c r="Z3236" t="s">
        <v>16480</v>
      </c>
      <c r="AA3236" t="s">
        <v>19690</v>
      </c>
      <c r="AB3236" t="s">
        <v>22670</v>
      </c>
      <c r="AC3236">
        <v>2</v>
      </c>
      <c r="AD3236" t="s">
        <v>24600</v>
      </c>
      <c r="AE3236" t="s">
        <v>11459</v>
      </c>
      <c r="AF3236">
        <v>2</v>
      </c>
      <c r="AG3236">
        <v>1</v>
      </c>
      <c r="AH3236">
        <v>0</v>
      </c>
      <c r="AI3236">
        <v>187.35</v>
      </c>
      <c r="AL3236" t="s">
        <v>5011</v>
      </c>
      <c r="AM3236">
        <v>23400</v>
      </c>
      <c r="AS3236">
        <v>3.88</v>
      </c>
      <c r="AT3236" t="s">
        <v>470</v>
      </c>
      <c r="AU3236" t="s">
        <v>25233</v>
      </c>
      <c r="AV3236" t="s">
        <v>25335</v>
      </c>
      <c r="AW3236" t="s">
        <v>11447</v>
      </c>
    </row>
    <row r="3237" spans="1:49">
      <c r="A3237" s="1">
        <f>HYPERLINK("https://lsnyc.legalserver.org/matter/dynamic-profile/view/1886301","18-1886301")</f>
        <v>0</v>
      </c>
      <c r="B3237" t="s">
        <v>179</v>
      </c>
      <c r="C3237" t="s">
        <v>341</v>
      </c>
      <c r="E3237" t="s">
        <v>1170</v>
      </c>
      <c r="F3237" t="s">
        <v>5314</v>
      </c>
      <c r="G3237" t="s">
        <v>8671</v>
      </c>
      <c r="H3237" t="s">
        <v>10496</v>
      </c>
      <c r="I3237" t="s">
        <v>11418</v>
      </c>
      <c r="J3237">
        <v>11412</v>
      </c>
      <c r="K3237" t="s">
        <v>11446</v>
      </c>
      <c r="L3237" t="s">
        <v>12879</v>
      </c>
      <c r="M3237" t="s">
        <v>14743</v>
      </c>
      <c r="N3237" t="s">
        <v>14779</v>
      </c>
      <c r="P3237" t="s">
        <v>14801</v>
      </c>
      <c r="Q3237" t="s">
        <v>11448</v>
      </c>
      <c r="S3237" t="s">
        <v>14827</v>
      </c>
      <c r="V3237">
        <v>2500</v>
      </c>
      <c r="W3237" t="s">
        <v>14861</v>
      </c>
      <c r="X3237" t="s">
        <v>14865</v>
      </c>
      <c r="Z3237" t="s">
        <v>17596</v>
      </c>
      <c r="AB3237" t="s">
        <v>22671</v>
      </c>
      <c r="AC3237">
        <v>2</v>
      </c>
      <c r="AD3237" t="s">
        <v>24600</v>
      </c>
      <c r="AE3237" t="s">
        <v>11459</v>
      </c>
      <c r="AF3237">
        <v>1</v>
      </c>
      <c r="AG3237">
        <v>2</v>
      </c>
      <c r="AH3237">
        <v>0</v>
      </c>
      <c r="AI3237">
        <v>189.55</v>
      </c>
      <c r="AL3237" t="s">
        <v>5011</v>
      </c>
      <c r="AM3237">
        <v>31200</v>
      </c>
      <c r="AS3237">
        <v>0.45</v>
      </c>
      <c r="AT3237" t="s">
        <v>748</v>
      </c>
      <c r="AU3237" t="s">
        <v>99</v>
      </c>
      <c r="AW3237" t="s">
        <v>11446</v>
      </c>
    </row>
    <row r="3238" spans="1:49">
      <c r="A3238" s="1">
        <f>HYPERLINK("https://lsnyc.legalserver.org/matter/dynamic-profile/view/1864532","18-1864532")</f>
        <v>0</v>
      </c>
      <c r="B3238" t="s">
        <v>122</v>
      </c>
      <c r="C3238" t="s">
        <v>827</v>
      </c>
      <c r="E3238" t="s">
        <v>2155</v>
      </c>
      <c r="F3238" t="s">
        <v>5315</v>
      </c>
      <c r="G3238" t="s">
        <v>8672</v>
      </c>
      <c r="H3238" t="s">
        <v>11109</v>
      </c>
      <c r="I3238" t="s">
        <v>11401</v>
      </c>
      <c r="J3238">
        <v>11375</v>
      </c>
      <c r="K3238" t="s">
        <v>11446</v>
      </c>
      <c r="L3238" t="s">
        <v>12880</v>
      </c>
      <c r="M3238" t="s">
        <v>14744</v>
      </c>
      <c r="N3238" t="s">
        <v>14781</v>
      </c>
      <c r="P3238" t="s">
        <v>14801</v>
      </c>
      <c r="Q3238" t="s">
        <v>11446</v>
      </c>
      <c r="S3238" t="s">
        <v>14827</v>
      </c>
      <c r="V3238">
        <v>2100</v>
      </c>
      <c r="W3238" t="s">
        <v>14861</v>
      </c>
      <c r="X3238" t="s">
        <v>14877</v>
      </c>
      <c r="Z3238" t="s">
        <v>17597</v>
      </c>
      <c r="AB3238" t="s">
        <v>22672</v>
      </c>
      <c r="AC3238">
        <v>1348</v>
      </c>
      <c r="AF3238">
        <v>4</v>
      </c>
      <c r="AG3238">
        <v>2</v>
      </c>
      <c r="AH3238">
        <v>0</v>
      </c>
      <c r="AI3238">
        <v>191.88</v>
      </c>
      <c r="AL3238" t="s">
        <v>5011</v>
      </c>
      <c r="AM3238">
        <v>31584</v>
      </c>
      <c r="AS3238">
        <v>34.25</v>
      </c>
      <c r="AT3238" t="s">
        <v>842</v>
      </c>
      <c r="AU3238" t="s">
        <v>204</v>
      </c>
      <c r="AW3238" t="s">
        <v>11447</v>
      </c>
    </row>
    <row r="3239" spans="1:49">
      <c r="A3239" s="1">
        <f>HYPERLINK("https://lsnyc.legalserver.org/matter/dynamic-profile/view/1911855","19-1911855")</f>
        <v>0</v>
      </c>
      <c r="B3239" t="s">
        <v>74</v>
      </c>
      <c r="C3239" t="s">
        <v>645</v>
      </c>
      <c r="E3239" t="s">
        <v>2690</v>
      </c>
      <c r="F3239" t="s">
        <v>5316</v>
      </c>
      <c r="G3239" t="s">
        <v>8673</v>
      </c>
      <c r="H3239" t="s">
        <v>10482</v>
      </c>
      <c r="I3239" t="s">
        <v>11407</v>
      </c>
      <c r="J3239">
        <v>11415</v>
      </c>
      <c r="K3239" t="s">
        <v>11446</v>
      </c>
      <c r="L3239" t="s">
        <v>12881</v>
      </c>
      <c r="M3239" t="s">
        <v>14743</v>
      </c>
      <c r="N3239" t="s">
        <v>14782</v>
      </c>
      <c r="P3239" t="s">
        <v>14801</v>
      </c>
      <c r="Q3239" t="s">
        <v>11448</v>
      </c>
      <c r="S3239" t="s">
        <v>14827</v>
      </c>
      <c r="V3239">
        <v>761</v>
      </c>
      <c r="W3239" t="s">
        <v>14861</v>
      </c>
      <c r="X3239" t="s">
        <v>14865</v>
      </c>
      <c r="Z3239" t="s">
        <v>17598</v>
      </c>
      <c r="AB3239" t="s">
        <v>22673</v>
      </c>
      <c r="AC3239">
        <v>20</v>
      </c>
      <c r="AD3239" t="s">
        <v>24595</v>
      </c>
      <c r="AE3239" t="s">
        <v>11459</v>
      </c>
      <c r="AF3239">
        <v>-1</v>
      </c>
      <c r="AG3239">
        <v>1</v>
      </c>
      <c r="AH3239">
        <v>0</v>
      </c>
      <c r="AI3239">
        <v>192.15</v>
      </c>
      <c r="AL3239" t="s">
        <v>5011</v>
      </c>
      <c r="AM3239">
        <v>24000</v>
      </c>
      <c r="AS3239">
        <v>1.58</v>
      </c>
      <c r="AT3239" t="s">
        <v>645</v>
      </c>
      <c r="AU3239" t="s">
        <v>25233</v>
      </c>
      <c r="AV3239" t="s">
        <v>25335</v>
      </c>
      <c r="AW3239" t="s">
        <v>11447</v>
      </c>
    </row>
    <row r="3240" spans="1:49">
      <c r="A3240" s="1">
        <f>HYPERLINK("https://lsnyc.legalserver.org/matter/dynamic-profile/view/1911692","19-1911692")</f>
        <v>0</v>
      </c>
      <c r="B3240" t="s">
        <v>293</v>
      </c>
      <c r="C3240" t="s">
        <v>505</v>
      </c>
      <c r="E3240" t="s">
        <v>2691</v>
      </c>
      <c r="F3240" t="s">
        <v>5317</v>
      </c>
      <c r="G3240" t="s">
        <v>8674</v>
      </c>
      <c r="I3240" t="s">
        <v>11404</v>
      </c>
      <c r="J3240">
        <v>11106</v>
      </c>
      <c r="K3240" t="s">
        <v>11448</v>
      </c>
      <c r="L3240" t="s">
        <v>12882</v>
      </c>
      <c r="M3240" t="s">
        <v>14764</v>
      </c>
      <c r="N3240" t="s">
        <v>14778</v>
      </c>
      <c r="P3240" t="s">
        <v>14801</v>
      </c>
      <c r="Q3240" t="s">
        <v>11448</v>
      </c>
      <c r="R3240" t="s">
        <v>14824</v>
      </c>
      <c r="S3240" t="s">
        <v>14827</v>
      </c>
      <c r="V3240">
        <v>0</v>
      </c>
      <c r="W3240" t="s">
        <v>14861</v>
      </c>
      <c r="X3240" t="s">
        <v>14755</v>
      </c>
      <c r="Z3240" t="s">
        <v>17599</v>
      </c>
      <c r="AB3240" t="s">
        <v>22674</v>
      </c>
      <c r="AC3240">
        <v>2</v>
      </c>
      <c r="AE3240" t="s">
        <v>11459</v>
      </c>
      <c r="AF3240">
        <v>10</v>
      </c>
      <c r="AG3240">
        <v>1</v>
      </c>
      <c r="AH3240">
        <v>1</v>
      </c>
      <c r="AI3240">
        <v>215.26</v>
      </c>
      <c r="AL3240" t="s">
        <v>5011</v>
      </c>
      <c r="AM3240">
        <v>36400</v>
      </c>
      <c r="AS3240">
        <v>2.23</v>
      </c>
      <c r="AT3240" t="s">
        <v>586</v>
      </c>
      <c r="AU3240" t="s">
        <v>25233</v>
      </c>
      <c r="AV3240" t="s">
        <v>11459</v>
      </c>
      <c r="AW3240" t="s">
        <v>11447</v>
      </c>
    </row>
    <row r="3241" spans="1:49">
      <c r="A3241" s="1">
        <f>HYPERLINK("https://lsnyc.legalserver.org/matter/dynamic-profile/view/1910910","19-1910910")</f>
        <v>0</v>
      </c>
      <c r="B3241" t="s">
        <v>124</v>
      </c>
      <c r="C3241" t="s">
        <v>604</v>
      </c>
      <c r="E3241" t="s">
        <v>1088</v>
      </c>
      <c r="F3241" t="s">
        <v>2975</v>
      </c>
      <c r="G3241" t="s">
        <v>7219</v>
      </c>
      <c r="H3241" t="s">
        <v>10450</v>
      </c>
      <c r="I3241" t="s">
        <v>11390</v>
      </c>
      <c r="J3241">
        <v>11368</v>
      </c>
      <c r="K3241" t="s">
        <v>11446</v>
      </c>
      <c r="M3241" t="s">
        <v>14748</v>
      </c>
      <c r="N3241" t="s">
        <v>14782</v>
      </c>
      <c r="P3241" t="s">
        <v>14801</v>
      </c>
      <c r="Q3241" t="s">
        <v>11448</v>
      </c>
      <c r="S3241" t="s">
        <v>14827</v>
      </c>
      <c r="V3241">
        <v>1311.55</v>
      </c>
      <c r="W3241" t="s">
        <v>14861</v>
      </c>
      <c r="X3241" t="s">
        <v>14868</v>
      </c>
      <c r="Z3241" t="s">
        <v>17600</v>
      </c>
      <c r="AB3241" t="s">
        <v>22675</v>
      </c>
      <c r="AC3241">
        <v>224</v>
      </c>
      <c r="AD3241" t="s">
        <v>24595</v>
      </c>
      <c r="AF3241">
        <v>22</v>
      </c>
      <c r="AG3241">
        <v>5</v>
      </c>
      <c r="AH3241">
        <v>0</v>
      </c>
      <c r="AI3241">
        <v>226.72</v>
      </c>
      <c r="AM3241">
        <v>68400</v>
      </c>
      <c r="AS3241">
        <v>3.6</v>
      </c>
      <c r="AT3241" t="s">
        <v>478</v>
      </c>
      <c r="AU3241" t="s">
        <v>229</v>
      </c>
      <c r="AV3241" t="s">
        <v>25335</v>
      </c>
      <c r="AW3241" t="s">
        <v>11447</v>
      </c>
    </row>
    <row r="3242" spans="1:49">
      <c r="A3242" s="1">
        <f>HYPERLINK("https://lsnyc.legalserver.org/matter/dynamic-profile/view/1907606","19-1907606")</f>
        <v>0</v>
      </c>
      <c r="B3242" t="s">
        <v>99</v>
      </c>
      <c r="C3242" t="s">
        <v>630</v>
      </c>
      <c r="E3242" t="s">
        <v>1111</v>
      </c>
      <c r="F3242" t="s">
        <v>5167</v>
      </c>
      <c r="G3242" t="s">
        <v>8453</v>
      </c>
      <c r="H3242" t="s">
        <v>11078</v>
      </c>
      <c r="I3242" t="s">
        <v>11389</v>
      </c>
      <c r="J3242">
        <v>11367</v>
      </c>
      <c r="K3242" t="s">
        <v>11448</v>
      </c>
      <c r="L3242" t="s">
        <v>12671</v>
      </c>
      <c r="M3242" t="s">
        <v>14744</v>
      </c>
      <c r="N3242" t="s">
        <v>14778</v>
      </c>
      <c r="P3242" t="s">
        <v>14801</v>
      </c>
      <c r="S3242" t="s">
        <v>14827</v>
      </c>
      <c r="V3242">
        <v>992.5700000000001</v>
      </c>
      <c r="W3242" t="s">
        <v>14861</v>
      </c>
      <c r="X3242" t="s">
        <v>14877</v>
      </c>
      <c r="Z3242" t="s">
        <v>17401</v>
      </c>
      <c r="AB3242" t="s">
        <v>22452</v>
      </c>
      <c r="AC3242">
        <v>60</v>
      </c>
      <c r="AD3242" t="s">
        <v>24595</v>
      </c>
      <c r="AE3242" t="s">
        <v>24613</v>
      </c>
      <c r="AF3242">
        <v>50</v>
      </c>
      <c r="AG3242">
        <v>1</v>
      </c>
      <c r="AH3242">
        <v>0</v>
      </c>
      <c r="AI3242">
        <v>234.52</v>
      </c>
      <c r="AJ3242" t="s">
        <v>462</v>
      </c>
      <c r="AK3242" t="s">
        <v>24629</v>
      </c>
      <c r="AM3242">
        <v>29292</v>
      </c>
      <c r="AS3242">
        <v>6.05</v>
      </c>
      <c r="AT3242" t="s">
        <v>515</v>
      </c>
      <c r="AU3242" t="s">
        <v>99</v>
      </c>
      <c r="AV3242" t="s">
        <v>11459</v>
      </c>
      <c r="AW3242" t="s">
        <v>11447</v>
      </c>
    </row>
    <row r="3243" spans="1:49">
      <c r="A3243" s="1">
        <f>HYPERLINK("https://lsnyc.legalserver.org/matter/dynamic-profile/view/1884835","18-1884835")</f>
        <v>0</v>
      </c>
      <c r="B3243" t="s">
        <v>99</v>
      </c>
      <c r="C3243" t="s">
        <v>600</v>
      </c>
      <c r="E3243" t="s">
        <v>1232</v>
      </c>
      <c r="F3243" t="s">
        <v>5318</v>
      </c>
      <c r="G3243" t="s">
        <v>8675</v>
      </c>
      <c r="H3243" t="s">
        <v>11110</v>
      </c>
      <c r="I3243" t="s">
        <v>11392</v>
      </c>
      <c r="J3243">
        <v>11372</v>
      </c>
      <c r="K3243" t="s">
        <v>11448</v>
      </c>
      <c r="L3243" t="s">
        <v>11465</v>
      </c>
      <c r="N3243" t="s">
        <v>14778</v>
      </c>
      <c r="P3243" t="s">
        <v>14801</v>
      </c>
      <c r="S3243" t="s">
        <v>14827</v>
      </c>
      <c r="V3243">
        <v>1450</v>
      </c>
      <c r="W3243" t="s">
        <v>14861</v>
      </c>
      <c r="X3243" t="s">
        <v>14877</v>
      </c>
      <c r="Z3243" t="s">
        <v>17601</v>
      </c>
      <c r="AB3243" t="s">
        <v>22676</v>
      </c>
      <c r="AC3243">
        <v>54</v>
      </c>
      <c r="AD3243" t="s">
        <v>24595</v>
      </c>
      <c r="AE3243" t="s">
        <v>11459</v>
      </c>
      <c r="AF3243">
        <v>12</v>
      </c>
      <c r="AG3243">
        <v>1</v>
      </c>
      <c r="AH3243">
        <v>0</v>
      </c>
      <c r="AI3243">
        <v>247.12</v>
      </c>
      <c r="AM3243">
        <v>30000</v>
      </c>
      <c r="AS3243">
        <v>0</v>
      </c>
      <c r="AU3243" t="s">
        <v>99</v>
      </c>
      <c r="AW3243" t="s">
        <v>11448</v>
      </c>
    </row>
    <row r="3244" spans="1:49">
      <c r="A3244" s="1">
        <f>HYPERLINK("https://lsnyc.legalserver.org/matter/dynamic-profile/view/1907179","19-1907179")</f>
        <v>0</v>
      </c>
      <c r="B3244" t="s">
        <v>99</v>
      </c>
      <c r="C3244" t="s">
        <v>354</v>
      </c>
      <c r="E3244" t="s">
        <v>2113</v>
      </c>
      <c r="F3244" t="s">
        <v>5319</v>
      </c>
      <c r="G3244" t="s">
        <v>8676</v>
      </c>
      <c r="H3244" t="s">
        <v>10638</v>
      </c>
      <c r="I3244" t="s">
        <v>11388</v>
      </c>
      <c r="J3244">
        <v>11385</v>
      </c>
      <c r="K3244" t="s">
        <v>11446</v>
      </c>
      <c r="L3244" t="s">
        <v>12883</v>
      </c>
      <c r="M3244" t="s">
        <v>14744</v>
      </c>
      <c r="N3244" t="s">
        <v>14779</v>
      </c>
      <c r="P3244" t="s">
        <v>14801</v>
      </c>
      <c r="S3244" t="s">
        <v>14827</v>
      </c>
      <c r="V3244">
        <v>1044</v>
      </c>
      <c r="W3244" t="s">
        <v>14861</v>
      </c>
      <c r="X3244" t="s">
        <v>14871</v>
      </c>
      <c r="Z3244" t="s">
        <v>17602</v>
      </c>
      <c r="AB3244" t="s">
        <v>22677</v>
      </c>
      <c r="AC3244">
        <v>6</v>
      </c>
      <c r="AD3244" t="s">
        <v>24595</v>
      </c>
      <c r="AE3244" t="s">
        <v>11459</v>
      </c>
      <c r="AF3244">
        <v>23</v>
      </c>
      <c r="AG3244">
        <v>1</v>
      </c>
      <c r="AH3244">
        <v>0</v>
      </c>
      <c r="AI3244">
        <v>249.8</v>
      </c>
      <c r="AL3244" t="s">
        <v>24632</v>
      </c>
      <c r="AM3244">
        <v>31200</v>
      </c>
      <c r="AS3244">
        <v>12.05</v>
      </c>
      <c r="AT3244" t="s">
        <v>515</v>
      </c>
      <c r="AU3244" t="s">
        <v>99</v>
      </c>
      <c r="AW3244" t="s">
        <v>11447</v>
      </c>
    </row>
    <row r="3245" spans="1:49">
      <c r="A3245" s="1">
        <f>HYPERLINK("https://lsnyc.legalserver.org/matter/dynamic-profile/view/1912273","19-1912273")</f>
        <v>0</v>
      </c>
      <c r="B3245" t="s">
        <v>179</v>
      </c>
      <c r="C3245" t="s">
        <v>559</v>
      </c>
      <c r="E3245" t="s">
        <v>1644</v>
      </c>
      <c r="F3245" t="s">
        <v>5320</v>
      </c>
      <c r="G3245" t="s">
        <v>8677</v>
      </c>
      <c r="H3245" t="s">
        <v>10541</v>
      </c>
      <c r="I3245" t="s">
        <v>11421</v>
      </c>
      <c r="J3245">
        <v>11428</v>
      </c>
      <c r="K3245" t="s">
        <v>11446</v>
      </c>
      <c r="L3245" t="s">
        <v>12884</v>
      </c>
      <c r="M3245" t="s">
        <v>14744</v>
      </c>
      <c r="N3245" t="s">
        <v>14782</v>
      </c>
      <c r="P3245" t="s">
        <v>14801</v>
      </c>
      <c r="Q3245" t="s">
        <v>11448</v>
      </c>
      <c r="S3245" t="s">
        <v>14827</v>
      </c>
      <c r="V3245">
        <v>808</v>
      </c>
      <c r="W3245" t="s">
        <v>14861</v>
      </c>
      <c r="Z3245" t="s">
        <v>17603</v>
      </c>
      <c r="AB3245" t="s">
        <v>22678</v>
      </c>
      <c r="AC3245">
        <v>12</v>
      </c>
      <c r="AD3245" t="s">
        <v>24595</v>
      </c>
      <c r="AE3245" t="s">
        <v>24613</v>
      </c>
      <c r="AF3245">
        <v>19</v>
      </c>
      <c r="AG3245">
        <v>1</v>
      </c>
      <c r="AH3245">
        <v>0</v>
      </c>
      <c r="AI3245">
        <v>259.28</v>
      </c>
      <c r="AL3245" t="s">
        <v>5011</v>
      </c>
      <c r="AM3245">
        <v>32384</v>
      </c>
      <c r="AS3245">
        <v>2.33</v>
      </c>
      <c r="AT3245" t="s">
        <v>515</v>
      </c>
      <c r="AU3245" t="s">
        <v>25233</v>
      </c>
      <c r="AV3245" t="s">
        <v>25335</v>
      </c>
      <c r="AW3245" t="s">
        <v>11447</v>
      </c>
    </row>
    <row r="3246" spans="1:49">
      <c r="A3246" s="1">
        <f>HYPERLINK("https://lsnyc.legalserver.org/matter/dynamic-profile/view/1855798","18-1855798")</f>
        <v>0</v>
      </c>
      <c r="B3246" t="s">
        <v>179</v>
      </c>
      <c r="C3246" t="s">
        <v>394</v>
      </c>
      <c r="E3246" t="s">
        <v>1034</v>
      </c>
      <c r="F3246" t="s">
        <v>5321</v>
      </c>
      <c r="G3246" t="s">
        <v>8678</v>
      </c>
      <c r="H3246" t="s">
        <v>10500</v>
      </c>
      <c r="I3246" t="s">
        <v>11388</v>
      </c>
      <c r="J3246">
        <v>11385</v>
      </c>
      <c r="K3246" t="s">
        <v>11447</v>
      </c>
      <c r="L3246" t="s">
        <v>11465</v>
      </c>
      <c r="M3246" t="s">
        <v>11601</v>
      </c>
      <c r="N3246" t="s">
        <v>14778</v>
      </c>
      <c r="P3246" t="s">
        <v>14801</v>
      </c>
      <c r="S3246" t="s">
        <v>14827</v>
      </c>
      <c r="V3246">
        <v>849</v>
      </c>
      <c r="W3246" t="s">
        <v>14861</v>
      </c>
      <c r="X3246" t="s">
        <v>14864</v>
      </c>
      <c r="Z3246" t="s">
        <v>17399</v>
      </c>
      <c r="AB3246" t="s">
        <v>22679</v>
      </c>
      <c r="AC3246">
        <v>6</v>
      </c>
      <c r="AD3246" t="s">
        <v>24595</v>
      </c>
      <c r="AE3246" t="s">
        <v>11459</v>
      </c>
      <c r="AF3246">
        <v>27</v>
      </c>
      <c r="AG3246">
        <v>2</v>
      </c>
      <c r="AH3246">
        <v>0</v>
      </c>
      <c r="AI3246">
        <v>264.78</v>
      </c>
      <c r="AL3246" t="s">
        <v>5011</v>
      </c>
      <c r="AM3246">
        <v>43000</v>
      </c>
      <c r="AS3246">
        <v>0.7</v>
      </c>
      <c r="AT3246" t="s">
        <v>401</v>
      </c>
      <c r="AU3246" t="s">
        <v>99</v>
      </c>
      <c r="AW3246" t="s">
        <v>11447</v>
      </c>
    </row>
    <row r="3247" spans="1:49">
      <c r="A3247" s="1">
        <f>HYPERLINK("https://lsnyc.legalserver.org/matter/dynamic-profile/view/1891950","19-1891950")</f>
        <v>0</v>
      </c>
      <c r="B3247" t="s">
        <v>74</v>
      </c>
      <c r="C3247" t="s">
        <v>708</v>
      </c>
      <c r="E3247" t="s">
        <v>1739</v>
      </c>
      <c r="F3247" t="s">
        <v>4456</v>
      </c>
      <c r="G3247" t="s">
        <v>8679</v>
      </c>
      <c r="H3247" t="s">
        <v>10513</v>
      </c>
      <c r="I3247" t="s">
        <v>6196</v>
      </c>
      <c r="J3247">
        <v>11423</v>
      </c>
      <c r="K3247" t="s">
        <v>11446</v>
      </c>
      <c r="L3247" t="s">
        <v>12885</v>
      </c>
      <c r="M3247" t="s">
        <v>14744</v>
      </c>
      <c r="N3247" t="s">
        <v>14782</v>
      </c>
      <c r="P3247" t="s">
        <v>14801</v>
      </c>
      <c r="Q3247" t="s">
        <v>11448</v>
      </c>
      <c r="S3247" t="s">
        <v>14827</v>
      </c>
      <c r="V3247">
        <v>1000</v>
      </c>
      <c r="W3247" t="s">
        <v>14861</v>
      </c>
      <c r="X3247" t="s">
        <v>14865</v>
      </c>
      <c r="Z3247" t="s">
        <v>17604</v>
      </c>
      <c r="AA3247" t="s">
        <v>19691</v>
      </c>
      <c r="AB3247" t="s">
        <v>22680</v>
      </c>
      <c r="AC3247">
        <v>7</v>
      </c>
      <c r="AD3247" t="s">
        <v>11479</v>
      </c>
      <c r="AE3247" t="s">
        <v>11459</v>
      </c>
      <c r="AF3247">
        <v>16</v>
      </c>
      <c r="AG3247">
        <v>2</v>
      </c>
      <c r="AH3247">
        <v>0</v>
      </c>
      <c r="AI3247">
        <v>325.25</v>
      </c>
      <c r="AL3247" t="s">
        <v>5011</v>
      </c>
      <c r="AM3247">
        <v>55000</v>
      </c>
      <c r="AS3247">
        <v>0.7</v>
      </c>
      <c r="AT3247" t="s">
        <v>460</v>
      </c>
      <c r="AU3247" t="s">
        <v>292</v>
      </c>
      <c r="AW3247" t="s">
        <v>11446</v>
      </c>
    </row>
    <row r="3248" spans="1:49">
      <c r="A3248" s="1">
        <f>HYPERLINK("https://lsnyc.legalserver.org/matter/dynamic-profile/view/1850946","17-1850946")</f>
        <v>0</v>
      </c>
      <c r="B3248" t="s">
        <v>99</v>
      </c>
      <c r="C3248" t="s">
        <v>828</v>
      </c>
      <c r="E3248" t="s">
        <v>1150</v>
      </c>
      <c r="F3248" t="s">
        <v>5322</v>
      </c>
      <c r="G3248" t="s">
        <v>8680</v>
      </c>
      <c r="H3248" t="s">
        <v>10552</v>
      </c>
      <c r="I3248" t="s">
        <v>11420</v>
      </c>
      <c r="J3248">
        <v>11104</v>
      </c>
      <c r="K3248" t="s">
        <v>11447</v>
      </c>
      <c r="L3248" t="s">
        <v>11465</v>
      </c>
      <c r="M3248" t="s">
        <v>11601</v>
      </c>
      <c r="N3248" t="s">
        <v>14778</v>
      </c>
      <c r="P3248" t="s">
        <v>14801</v>
      </c>
      <c r="Q3248" t="s">
        <v>11448</v>
      </c>
      <c r="S3248" t="s">
        <v>14827</v>
      </c>
      <c r="V3248">
        <v>1099</v>
      </c>
      <c r="W3248" t="s">
        <v>14861</v>
      </c>
      <c r="X3248" t="s">
        <v>14876</v>
      </c>
      <c r="Z3248" t="s">
        <v>17605</v>
      </c>
      <c r="AB3248" t="s">
        <v>22681</v>
      </c>
      <c r="AC3248">
        <v>10</v>
      </c>
      <c r="AD3248" t="s">
        <v>24595</v>
      </c>
      <c r="AE3248" t="s">
        <v>11459</v>
      </c>
      <c r="AF3248">
        <v>18</v>
      </c>
      <c r="AG3248">
        <v>2</v>
      </c>
      <c r="AH3248">
        <v>0</v>
      </c>
      <c r="AI3248">
        <v>360</v>
      </c>
      <c r="AM3248">
        <v>58463.84</v>
      </c>
      <c r="AS3248">
        <v>1</v>
      </c>
      <c r="AT3248" t="s">
        <v>828</v>
      </c>
      <c r="AU3248" t="s">
        <v>99</v>
      </c>
      <c r="AW3248" t="s">
        <v>11447</v>
      </c>
    </row>
    <row r="3249" spans="1:49">
      <c r="A3249" s="1">
        <f>HYPERLINK("https://lsnyc.legalserver.org/matter/dynamic-profile/view/1874537","18-1874537")</f>
        <v>0</v>
      </c>
      <c r="B3249" t="s">
        <v>124</v>
      </c>
      <c r="C3249" t="s">
        <v>786</v>
      </c>
      <c r="E3249" t="s">
        <v>1736</v>
      </c>
      <c r="F3249" t="s">
        <v>5323</v>
      </c>
      <c r="G3249" t="s">
        <v>8681</v>
      </c>
      <c r="H3249" t="s">
        <v>10719</v>
      </c>
      <c r="I3249" t="s">
        <v>11387</v>
      </c>
      <c r="J3249">
        <v>11434</v>
      </c>
      <c r="K3249" t="s">
        <v>11447</v>
      </c>
      <c r="N3249" t="s">
        <v>14778</v>
      </c>
      <c r="P3249" t="s">
        <v>14801</v>
      </c>
      <c r="S3249" t="s">
        <v>14827</v>
      </c>
      <c r="V3249">
        <v>0</v>
      </c>
      <c r="W3249" t="s">
        <v>14861</v>
      </c>
      <c r="Z3249" t="s">
        <v>14998</v>
      </c>
      <c r="AB3249" t="s">
        <v>22682</v>
      </c>
      <c r="AC3249">
        <v>0</v>
      </c>
      <c r="AF3249">
        <v>0</v>
      </c>
      <c r="AG3249">
        <v>3</v>
      </c>
      <c r="AH3249">
        <v>0</v>
      </c>
      <c r="AI3249">
        <v>451.4</v>
      </c>
      <c r="AL3249" t="s">
        <v>5011</v>
      </c>
      <c r="AM3249">
        <v>93800</v>
      </c>
      <c r="AS3249">
        <v>0</v>
      </c>
      <c r="AU3249" t="s">
        <v>124</v>
      </c>
      <c r="AW3249" t="s">
        <v>11447</v>
      </c>
    </row>
    <row r="3250" spans="1:49">
      <c r="A3250" s="1">
        <f>HYPERLINK("https://lsnyc.legalserver.org/matter/dynamic-profile/view/1890405","19-1890405")</f>
        <v>0</v>
      </c>
      <c r="B3250" t="s">
        <v>49</v>
      </c>
      <c r="C3250" t="s">
        <v>676</v>
      </c>
      <c r="D3250" t="s">
        <v>545</v>
      </c>
      <c r="E3250" t="s">
        <v>1672</v>
      </c>
      <c r="F3250" t="s">
        <v>2002</v>
      </c>
      <c r="G3250" t="s">
        <v>8682</v>
      </c>
      <c r="H3250" t="s">
        <v>10853</v>
      </c>
      <c r="I3250" t="s">
        <v>11383</v>
      </c>
      <c r="J3250">
        <v>10456</v>
      </c>
      <c r="K3250" t="s">
        <v>11446</v>
      </c>
      <c r="L3250" t="s">
        <v>12886</v>
      </c>
      <c r="M3250" t="s">
        <v>14744</v>
      </c>
      <c r="N3250" t="s">
        <v>14778</v>
      </c>
      <c r="O3250" t="s">
        <v>14786</v>
      </c>
      <c r="P3250" t="s">
        <v>14802</v>
      </c>
      <c r="Q3250" t="s">
        <v>11448</v>
      </c>
      <c r="S3250" t="s">
        <v>14827</v>
      </c>
      <c r="T3250" t="s">
        <v>14834</v>
      </c>
      <c r="U3250" t="s">
        <v>545</v>
      </c>
      <c r="V3250">
        <v>1535</v>
      </c>
      <c r="W3250" t="s">
        <v>14858</v>
      </c>
      <c r="X3250" t="s">
        <v>14867</v>
      </c>
      <c r="Y3250" t="s">
        <v>14883</v>
      </c>
      <c r="Z3250" t="s">
        <v>17606</v>
      </c>
      <c r="AB3250" t="s">
        <v>22683</v>
      </c>
      <c r="AC3250">
        <v>322</v>
      </c>
      <c r="AD3250" t="s">
        <v>24595</v>
      </c>
      <c r="AE3250" t="s">
        <v>24615</v>
      </c>
      <c r="AF3250">
        <v>4</v>
      </c>
      <c r="AG3250">
        <v>1</v>
      </c>
      <c r="AH3250">
        <v>5</v>
      </c>
      <c r="AI3250">
        <v>0</v>
      </c>
      <c r="AL3250" t="s">
        <v>24632</v>
      </c>
      <c r="AM3250">
        <v>0</v>
      </c>
      <c r="AN3250" t="s">
        <v>24844</v>
      </c>
      <c r="AS3250">
        <v>1</v>
      </c>
      <c r="AT3250" t="s">
        <v>870</v>
      </c>
      <c r="AU3250" t="s">
        <v>114</v>
      </c>
      <c r="AV3250" t="s">
        <v>25334</v>
      </c>
      <c r="AW3250" t="s">
        <v>11447</v>
      </c>
    </row>
    <row r="3251" spans="1:49">
      <c r="A3251" s="1">
        <f>HYPERLINK("https://lsnyc.legalserver.org/matter/dynamic-profile/view/1902684","19-1902684")</f>
        <v>0</v>
      </c>
      <c r="B3251" t="s">
        <v>81</v>
      </c>
      <c r="C3251" t="s">
        <v>371</v>
      </c>
      <c r="D3251" t="s">
        <v>378</v>
      </c>
      <c r="E3251" t="s">
        <v>2451</v>
      </c>
      <c r="F3251" t="s">
        <v>5324</v>
      </c>
      <c r="G3251" t="s">
        <v>8683</v>
      </c>
      <c r="H3251" t="s">
        <v>10448</v>
      </c>
      <c r="I3251" t="s">
        <v>11383</v>
      </c>
      <c r="J3251">
        <v>10475</v>
      </c>
      <c r="K3251" t="s">
        <v>11446</v>
      </c>
      <c r="L3251" t="s">
        <v>12887</v>
      </c>
      <c r="M3251" t="s">
        <v>14743</v>
      </c>
      <c r="N3251" t="s">
        <v>14778</v>
      </c>
      <c r="O3251" t="s">
        <v>14786</v>
      </c>
      <c r="P3251" t="s">
        <v>14802</v>
      </c>
      <c r="Q3251" t="s">
        <v>11448</v>
      </c>
      <c r="R3251" t="s">
        <v>14802</v>
      </c>
      <c r="S3251" t="s">
        <v>14827</v>
      </c>
      <c r="T3251" t="s">
        <v>14832</v>
      </c>
      <c r="U3251" t="s">
        <v>378</v>
      </c>
      <c r="V3251">
        <v>935</v>
      </c>
      <c r="W3251" t="s">
        <v>14858</v>
      </c>
      <c r="X3251" t="s">
        <v>14863</v>
      </c>
      <c r="Y3251" t="s">
        <v>14883</v>
      </c>
      <c r="Z3251" t="s">
        <v>336</v>
      </c>
      <c r="AB3251" t="s">
        <v>22684</v>
      </c>
      <c r="AC3251">
        <v>0</v>
      </c>
      <c r="AD3251" t="s">
        <v>24601</v>
      </c>
      <c r="AF3251">
        <v>47</v>
      </c>
      <c r="AG3251">
        <v>1</v>
      </c>
      <c r="AH3251">
        <v>0</v>
      </c>
      <c r="AI3251">
        <v>19.05</v>
      </c>
      <c r="AL3251" t="s">
        <v>5011</v>
      </c>
      <c r="AM3251">
        <v>2379</v>
      </c>
      <c r="AN3251" t="s">
        <v>24677</v>
      </c>
      <c r="AS3251">
        <v>1</v>
      </c>
      <c r="AT3251" t="s">
        <v>378</v>
      </c>
      <c r="AU3251" t="s">
        <v>145</v>
      </c>
      <c r="AV3251" t="s">
        <v>25335</v>
      </c>
      <c r="AW3251" t="s">
        <v>11447</v>
      </c>
    </row>
    <row r="3252" spans="1:49">
      <c r="A3252" s="1">
        <f>HYPERLINK("https://lsnyc.legalserver.org/matter/dynamic-profile/view/1902958","19-1902958")</f>
        <v>0</v>
      </c>
      <c r="B3252" t="s">
        <v>81</v>
      </c>
      <c r="C3252" t="s">
        <v>659</v>
      </c>
      <c r="D3252" t="s">
        <v>378</v>
      </c>
      <c r="E3252" t="s">
        <v>2692</v>
      </c>
      <c r="F3252" t="s">
        <v>1397</v>
      </c>
      <c r="G3252" t="s">
        <v>8684</v>
      </c>
      <c r="H3252" t="s">
        <v>11111</v>
      </c>
      <c r="I3252" t="s">
        <v>11383</v>
      </c>
      <c r="J3252">
        <v>10473</v>
      </c>
      <c r="K3252" t="s">
        <v>11446</v>
      </c>
      <c r="L3252" t="s">
        <v>12888</v>
      </c>
      <c r="M3252" t="s">
        <v>14743</v>
      </c>
      <c r="N3252" t="s">
        <v>14778</v>
      </c>
      <c r="O3252" t="s">
        <v>14786</v>
      </c>
      <c r="P3252" t="s">
        <v>14802</v>
      </c>
      <c r="Q3252" t="s">
        <v>11448</v>
      </c>
      <c r="S3252" t="s">
        <v>14827</v>
      </c>
      <c r="T3252" t="s">
        <v>14832</v>
      </c>
      <c r="U3252" t="s">
        <v>378</v>
      </c>
      <c r="V3252">
        <v>255</v>
      </c>
      <c r="W3252" t="s">
        <v>14858</v>
      </c>
      <c r="X3252" t="s">
        <v>14863</v>
      </c>
      <c r="Y3252" t="s">
        <v>14883</v>
      </c>
      <c r="Z3252" t="s">
        <v>17607</v>
      </c>
      <c r="AB3252" t="s">
        <v>22685</v>
      </c>
      <c r="AC3252">
        <v>583</v>
      </c>
      <c r="AD3252" t="s">
        <v>24597</v>
      </c>
      <c r="AF3252">
        <v>3</v>
      </c>
      <c r="AG3252">
        <v>1</v>
      </c>
      <c r="AH3252">
        <v>0</v>
      </c>
      <c r="AI3252">
        <v>124.9</v>
      </c>
      <c r="AL3252" t="s">
        <v>5011</v>
      </c>
      <c r="AM3252">
        <v>15600</v>
      </c>
      <c r="AS3252">
        <v>0.5</v>
      </c>
      <c r="AT3252" t="s">
        <v>378</v>
      </c>
      <c r="AU3252" t="s">
        <v>145</v>
      </c>
      <c r="AV3252" t="s">
        <v>25335</v>
      </c>
      <c r="AW3252" t="s">
        <v>11447</v>
      </c>
    </row>
    <row r="3253" spans="1:49">
      <c r="A3253" s="1">
        <f>HYPERLINK("https://lsnyc.legalserver.org/matter/dynamic-profile/view/0798547","16-0798547")</f>
        <v>0</v>
      </c>
      <c r="B3253" t="s">
        <v>67</v>
      </c>
      <c r="C3253" t="s">
        <v>744</v>
      </c>
      <c r="D3253" t="s">
        <v>474</v>
      </c>
      <c r="E3253" t="s">
        <v>2094</v>
      </c>
      <c r="F3253" t="s">
        <v>4880</v>
      </c>
      <c r="G3253" t="s">
        <v>8685</v>
      </c>
      <c r="H3253" t="s">
        <v>11112</v>
      </c>
      <c r="I3253" t="s">
        <v>11383</v>
      </c>
      <c r="J3253">
        <v>10473</v>
      </c>
      <c r="K3253" t="s">
        <v>11446</v>
      </c>
      <c r="L3253" t="s">
        <v>12889</v>
      </c>
      <c r="M3253" t="s">
        <v>14750</v>
      </c>
      <c r="N3253" t="s">
        <v>14783</v>
      </c>
      <c r="O3253" t="s">
        <v>14788</v>
      </c>
      <c r="P3253" t="s">
        <v>14802</v>
      </c>
      <c r="Q3253" t="s">
        <v>11448</v>
      </c>
      <c r="S3253" t="s">
        <v>14828</v>
      </c>
      <c r="T3253" t="s">
        <v>14832</v>
      </c>
      <c r="U3253" t="s">
        <v>545</v>
      </c>
      <c r="V3253">
        <v>162</v>
      </c>
      <c r="W3253" t="s">
        <v>14858</v>
      </c>
      <c r="X3253" t="s">
        <v>14870</v>
      </c>
      <c r="Y3253" t="s">
        <v>14894</v>
      </c>
      <c r="Z3253" t="s">
        <v>17608</v>
      </c>
      <c r="AB3253" t="s">
        <v>22686</v>
      </c>
      <c r="AC3253">
        <v>583</v>
      </c>
      <c r="AD3253" t="s">
        <v>24602</v>
      </c>
      <c r="AF3253">
        <v>10</v>
      </c>
      <c r="AG3253">
        <v>6</v>
      </c>
      <c r="AH3253">
        <v>0</v>
      </c>
      <c r="AI3253">
        <v>27.37</v>
      </c>
      <c r="AL3253" t="s">
        <v>5011</v>
      </c>
      <c r="AM3253">
        <v>8916</v>
      </c>
      <c r="AN3253" t="s">
        <v>24845</v>
      </c>
      <c r="AP3253" t="s">
        <v>24941</v>
      </c>
      <c r="AQ3253" t="s">
        <v>24986</v>
      </c>
      <c r="AR3253" t="s">
        <v>25061</v>
      </c>
      <c r="AS3253">
        <v>42.45</v>
      </c>
      <c r="AT3253" t="s">
        <v>474</v>
      </c>
      <c r="AU3253" t="s">
        <v>25264</v>
      </c>
      <c r="AV3253" t="s">
        <v>25335</v>
      </c>
      <c r="AW3253" t="s">
        <v>11447</v>
      </c>
    </row>
    <row r="3254" spans="1:49">
      <c r="A3254" s="1">
        <f>HYPERLINK("https://lsnyc.legalserver.org/matter/dynamic-profile/view/1891771","19-1891771")</f>
        <v>0</v>
      </c>
      <c r="B3254" t="s">
        <v>89</v>
      </c>
      <c r="C3254" t="s">
        <v>769</v>
      </c>
      <c r="D3254" t="s">
        <v>621</v>
      </c>
      <c r="E3254" t="s">
        <v>1025</v>
      </c>
      <c r="F3254" t="s">
        <v>4278</v>
      </c>
      <c r="G3254" t="s">
        <v>8686</v>
      </c>
      <c r="H3254" t="s">
        <v>10467</v>
      </c>
      <c r="I3254" t="s">
        <v>11383</v>
      </c>
      <c r="J3254">
        <v>10461</v>
      </c>
      <c r="K3254" t="s">
        <v>11446</v>
      </c>
      <c r="L3254" t="s">
        <v>12890</v>
      </c>
      <c r="M3254" t="s">
        <v>14762</v>
      </c>
      <c r="N3254" t="s">
        <v>14783</v>
      </c>
      <c r="O3254" t="s">
        <v>14787</v>
      </c>
      <c r="P3254" t="s">
        <v>14802</v>
      </c>
      <c r="Q3254" t="s">
        <v>11448</v>
      </c>
      <c r="S3254" t="s">
        <v>14827</v>
      </c>
      <c r="T3254" t="s">
        <v>14833</v>
      </c>
      <c r="U3254" t="s">
        <v>545</v>
      </c>
      <c r="V3254">
        <v>1800</v>
      </c>
      <c r="W3254" t="s">
        <v>14858</v>
      </c>
      <c r="X3254" t="s">
        <v>14865</v>
      </c>
      <c r="Y3254" t="s">
        <v>14884</v>
      </c>
      <c r="Z3254" t="s">
        <v>17609</v>
      </c>
      <c r="AA3254" t="s">
        <v>19692</v>
      </c>
      <c r="AC3254">
        <v>22</v>
      </c>
      <c r="AD3254" t="s">
        <v>24595</v>
      </c>
      <c r="AE3254" t="s">
        <v>11459</v>
      </c>
      <c r="AF3254">
        <v>4</v>
      </c>
      <c r="AG3254">
        <v>2</v>
      </c>
      <c r="AH3254">
        <v>2</v>
      </c>
      <c r="AI3254">
        <v>174.28</v>
      </c>
      <c r="AL3254" t="s">
        <v>24632</v>
      </c>
      <c r="AM3254">
        <v>44876</v>
      </c>
      <c r="AP3254" t="s">
        <v>14755</v>
      </c>
      <c r="AQ3254" t="s">
        <v>24986</v>
      </c>
      <c r="AR3254" t="s">
        <v>25069</v>
      </c>
      <c r="AS3254">
        <v>9</v>
      </c>
      <c r="AT3254" t="s">
        <v>411</v>
      </c>
      <c r="AU3254" t="s">
        <v>25239</v>
      </c>
      <c r="AV3254" t="s">
        <v>25335</v>
      </c>
      <c r="AW3254" t="s">
        <v>11446</v>
      </c>
    </row>
    <row r="3255" spans="1:49">
      <c r="A3255" s="1">
        <f>HYPERLINK("https://lsnyc.legalserver.org/matter/dynamic-profile/view/1903739","19-1903739")</f>
        <v>0</v>
      </c>
      <c r="B3255" t="s">
        <v>89</v>
      </c>
      <c r="C3255" t="s">
        <v>545</v>
      </c>
      <c r="D3255" t="s">
        <v>338</v>
      </c>
      <c r="E3255" t="s">
        <v>2693</v>
      </c>
      <c r="F3255" t="s">
        <v>3547</v>
      </c>
      <c r="G3255" t="s">
        <v>6443</v>
      </c>
      <c r="H3255" t="s">
        <v>11113</v>
      </c>
      <c r="I3255" t="s">
        <v>11383</v>
      </c>
      <c r="J3255">
        <v>10460</v>
      </c>
      <c r="K3255" t="s">
        <v>11446</v>
      </c>
      <c r="L3255" t="s">
        <v>12891</v>
      </c>
      <c r="M3255" t="s">
        <v>14743</v>
      </c>
      <c r="N3255" t="s">
        <v>14779</v>
      </c>
      <c r="O3255" t="s">
        <v>14787</v>
      </c>
      <c r="P3255" t="s">
        <v>14802</v>
      </c>
      <c r="Q3255" t="s">
        <v>11448</v>
      </c>
      <c r="S3255" t="s">
        <v>14827</v>
      </c>
      <c r="T3255" t="s">
        <v>14836</v>
      </c>
      <c r="U3255" t="s">
        <v>545</v>
      </c>
      <c r="V3255">
        <v>1700</v>
      </c>
      <c r="W3255" t="s">
        <v>14858</v>
      </c>
      <c r="X3255" t="s">
        <v>14755</v>
      </c>
      <c r="Y3255" t="s">
        <v>14883</v>
      </c>
      <c r="Z3255" t="s">
        <v>17610</v>
      </c>
      <c r="AA3255" t="s">
        <v>19693</v>
      </c>
      <c r="AB3255" t="s">
        <v>22687</v>
      </c>
      <c r="AC3255">
        <v>169</v>
      </c>
      <c r="AD3255" t="s">
        <v>24604</v>
      </c>
      <c r="AE3255" t="s">
        <v>24610</v>
      </c>
      <c r="AF3255">
        <v>4</v>
      </c>
      <c r="AG3255">
        <v>1</v>
      </c>
      <c r="AH3255">
        <v>2</v>
      </c>
      <c r="AI3255">
        <v>23.65</v>
      </c>
      <c r="AL3255" t="s">
        <v>5011</v>
      </c>
      <c r="AM3255">
        <v>5044</v>
      </c>
      <c r="AS3255">
        <v>3.1</v>
      </c>
      <c r="AT3255" t="s">
        <v>338</v>
      </c>
      <c r="AU3255" t="s">
        <v>25239</v>
      </c>
      <c r="AV3255" t="s">
        <v>25335</v>
      </c>
      <c r="AW3255" t="s">
        <v>11447</v>
      </c>
    </row>
    <row r="3256" spans="1:49">
      <c r="A3256" s="1">
        <f>HYPERLINK("https://lsnyc.legalserver.org/matter/dynamic-profile/view/1904114","19-1904114")</f>
        <v>0</v>
      </c>
      <c r="B3256" t="s">
        <v>89</v>
      </c>
      <c r="C3256" t="s">
        <v>338</v>
      </c>
      <c r="D3256" t="s">
        <v>338</v>
      </c>
      <c r="E3256" t="s">
        <v>2051</v>
      </c>
      <c r="F3256" t="s">
        <v>4776</v>
      </c>
      <c r="G3256" t="s">
        <v>8687</v>
      </c>
      <c r="H3256" t="s">
        <v>11087</v>
      </c>
      <c r="I3256" t="s">
        <v>11383</v>
      </c>
      <c r="J3256">
        <v>10467</v>
      </c>
      <c r="K3256" t="s">
        <v>11446</v>
      </c>
      <c r="L3256" t="s">
        <v>11465</v>
      </c>
      <c r="M3256" t="s">
        <v>14747</v>
      </c>
      <c r="N3256" t="s">
        <v>14778</v>
      </c>
      <c r="O3256" t="s">
        <v>14786</v>
      </c>
      <c r="P3256" t="s">
        <v>14802</v>
      </c>
      <c r="Q3256" t="s">
        <v>11448</v>
      </c>
      <c r="S3256" t="s">
        <v>14827</v>
      </c>
      <c r="T3256" t="s">
        <v>14832</v>
      </c>
      <c r="U3256" t="s">
        <v>338</v>
      </c>
      <c r="V3256">
        <v>970</v>
      </c>
      <c r="W3256" t="s">
        <v>14858</v>
      </c>
      <c r="X3256" t="s">
        <v>14867</v>
      </c>
      <c r="Y3256" t="s">
        <v>14883</v>
      </c>
      <c r="Z3256" t="s">
        <v>17611</v>
      </c>
      <c r="AB3256" t="s">
        <v>22688</v>
      </c>
      <c r="AC3256">
        <v>84</v>
      </c>
      <c r="AD3256" t="s">
        <v>24595</v>
      </c>
      <c r="AE3256" t="s">
        <v>11459</v>
      </c>
      <c r="AF3256">
        <v>3</v>
      </c>
      <c r="AG3256">
        <v>1</v>
      </c>
      <c r="AH3256">
        <v>0</v>
      </c>
      <c r="AI3256">
        <v>124.9</v>
      </c>
      <c r="AL3256" t="s">
        <v>5011</v>
      </c>
      <c r="AM3256">
        <v>15600</v>
      </c>
      <c r="AS3256">
        <v>0.5</v>
      </c>
      <c r="AT3256" t="s">
        <v>338</v>
      </c>
      <c r="AU3256" t="s">
        <v>89</v>
      </c>
      <c r="AV3256" t="s">
        <v>25335</v>
      </c>
      <c r="AW3256" t="s">
        <v>11447</v>
      </c>
    </row>
    <row r="3257" spans="1:49">
      <c r="A3257" s="1">
        <f>HYPERLINK("https://lsnyc.legalserver.org/matter/dynamic-profile/view/1902978","19-1902978")</f>
        <v>0</v>
      </c>
      <c r="B3257" t="s">
        <v>81</v>
      </c>
      <c r="C3257" t="s">
        <v>659</v>
      </c>
      <c r="D3257" t="s">
        <v>365</v>
      </c>
      <c r="E3257" t="s">
        <v>1554</v>
      </c>
      <c r="F3257" t="s">
        <v>3675</v>
      </c>
      <c r="G3257" t="s">
        <v>8688</v>
      </c>
      <c r="H3257" t="s">
        <v>10465</v>
      </c>
      <c r="I3257" t="s">
        <v>11383</v>
      </c>
      <c r="J3257">
        <v>10461</v>
      </c>
      <c r="K3257" t="s">
        <v>11446</v>
      </c>
      <c r="L3257" t="s">
        <v>12892</v>
      </c>
      <c r="M3257" t="s">
        <v>14744</v>
      </c>
      <c r="N3257" t="s">
        <v>14778</v>
      </c>
      <c r="O3257" t="s">
        <v>14786</v>
      </c>
      <c r="P3257" t="s">
        <v>14802</v>
      </c>
      <c r="Q3257" t="s">
        <v>11448</v>
      </c>
      <c r="S3257" t="s">
        <v>14827</v>
      </c>
      <c r="T3257" t="s">
        <v>14834</v>
      </c>
      <c r="U3257" t="s">
        <v>365</v>
      </c>
      <c r="V3257">
        <v>1400</v>
      </c>
      <c r="W3257" t="s">
        <v>14858</v>
      </c>
      <c r="X3257" t="s">
        <v>14863</v>
      </c>
      <c r="Y3257" t="s">
        <v>14883</v>
      </c>
      <c r="Z3257" t="s">
        <v>17612</v>
      </c>
      <c r="AB3257" t="s">
        <v>22689</v>
      </c>
      <c r="AC3257">
        <v>33</v>
      </c>
      <c r="AD3257" t="s">
        <v>24595</v>
      </c>
      <c r="AF3257">
        <v>1</v>
      </c>
      <c r="AG3257">
        <v>2</v>
      </c>
      <c r="AH3257">
        <v>1</v>
      </c>
      <c r="AI3257">
        <v>152.86</v>
      </c>
      <c r="AL3257" t="s">
        <v>5011</v>
      </c>
      <c r="AM3257">
        <v>32604</v>
      </c>
      <c r="AS3257">
        <v>0.7</v>
      </c>
      <c r="AT3257" t="s">
        <v>365</v>
      </c>
      <c r="AU3257" t="s">
        <v>145</v>
      </c>
      <c r="AV3257" t="s">
        <v>25335</v>
      </c>
      <c r="AW3257" t="s">
        <v>11447</v>
      </c>
    </row>
    <row r="3258" spans="1:49">
      <c r="A3258" s="1">
        <f>HYPERLINK("https://lsnyc.legalserver.org/matter/dynamic-profile/view/1903941","19-1903941")</f>
        <v>0</v>
      </c>
      <c r="B3258" t="s">
        <v>81</v>
      </c>
      <c r="C3258" t="s">
        <v>378</v>
      </c>
      <c r="D3258" t="s">
        <v>456</v>
      </c>
      <c r="E3258" t="s">
        <v>2694</v>
      </c>
      <c r="F3258" t="s">
        <v>5325</v>
      </c>
      <c r="G3258" t="s">
        <v>8689</v>
      </c>
      <c r="H3258">
        <v>19</v>
      </c>
      <c r="I3258" t="s">
        <v>11383</v>
      </c>
      <c r="J3258">
        <v>10459</v>
      </c>
      <c r="K3258" t="s">
        <v>11446</v>
      </c>
      <c r="L3258" t="s">
        <v>12893</v>
      </c>
      <c r="M3258" t="s">
        <v>14743</v>
      </c>
      <c r="N3258" t="s">
        <v>14778</v>
      </c>
      <c r="O3258" t="s">
        <v>14786</v>
      </c>
      <c r="P3258" t="s">
        <v>14802</v>
      </c>
      <c r="Q3258" t="s">
        <v>11448</v>
      </c>
      <c r="S3258" t="s">
        <v>14827</v>
      </c>
      <c r="T3258" t="s">
        <v>14832</v>
      </c>
      <c r="U3258" t="s">
        <v>378</v>
      </c>
      <c r="V3258">
        <v>383</v>
      </c>
      <c r="W3258" t="s">
        <v>14858</v>
      </c>
      <c r="X3258" t="s">
        <v>14863</v>
      </c>
      <c r="Y3258" t="s">
        <v>14883</v>
      </c>
      <c r="Z3258" t="s">
        <v>17613</v>
      </c>
      <c r="AB3258" t="s">
        <v>20406</v>
      </c>
      <c r="AC3258">
        <v>20</v>
      </c>
      <c r="AD3258" t="s">
        <v>11479</v>
      </c>
      <c r="AE3258" t="s">
        <v>11459</v>
      </c>
      <c r="AF3258">
        <v>33</v>
      </c>
      <c r="AG3258">
        <v>4</v>
      </c>
      <c r="AH3258">
        <v>0</v>
      </c>
      <c r="AI3258">
        <v>71.77</v>
      </c>
      <c r="AL3258" t="s">
        <v>5011</v>
      </c>
      <c r="AM3258">
        <v>18480</v>
      </c>
      <c r="AS3258">
        <v>4.05</v>
      </c>
      <c r="AT3258" t="s">
        <v>456</v>
      </c>
      <c r="AU3258" t="s">
        <v>25239</v>
      </c>
      <c r="AV3258" t="s">
        <v>25335</v>
      </c>
      <c r="AW3258" t="s">
        <v>11447</v>
      </c>
    </row>
    <row r="3259" spans="1:49">
      <c r="A3259" s="1">
        <f>HYPERLINK("https://lsnyc.legalserver.org/matter/dynamic-profile/view/1904069","19-1904069")</f>
        <v>0</v>
      </c>
      <c r="B3259" t="s">
        <v>81</v>
      </c>
      <c r="C3259" t="s">
        <v>621</v>
      </c>
      <c r="D3259" t="s">
        <v>480</v>
      </c>
      <c r="E3259" t="s">
        <v>2695</v>
      </c>
      <c r="F3259" t="s">
        <v>5326</v>
      </c>
      <c r="G3259" t="s">
        <v>8690</v>
      </c>
      <c r="H3259" t="s">
        <v>10497</v>
      </c>
      <c r="I3259" t="s">
        <v>11383</v>
      </c>
      <c r="J3259">
        <v>10473</v>
      </c>
      <c r="K3259" t="s">
        <v>11446</v>
      </c>
      <c r="L3259" t="s">
        <v>12894</v>
      </c>
      <c r="M3259" t="s">
        <v>14744</v>
      </c>
      <c r="N3259" t="s">
        <v>14778</v>
      </c>
      <c r="O3259" t="s">
        <v>14786</v>
      </c>
      <c r="P3259" t="s">
        <v>14802</v>
      </c>
      <c r="Q3259" t="s">
        <v>11448</v>
      </c>
      <c r="S3259" t="s">
        <v>14827</v>
      </c>
      <c r="T3259" t="s">
        <v>14832</v>
      </c>
      <c r="U3259" t="s">
        <v>480</v>
      </c>
      <c r="V3259">
        <v>231</v>
      </c>
      <c r="W3259" t="s">
        <v>14858</v>
      </c>
      <c r="X3259" t="s">
        <v>14863</v>
      </c>
      <c r="Y3259" t="s">
        <v>14883</v>
      </c>
      <c r="Z3259" t="s">
        <v>17614</v>
      </c>
      <c r="AB3259" t="s">
        <v>22690</v>
      </c>
      <c r="AC3259">
        <v>54</v>
      </c>
      <c r="AD3259" t="s">
        <v>24597</v>
      </c>
      <c r="AE3259" t="s">
        <v>11459</v>
      </c>
      <c r="AF3259">
        <v>29</v>
      </c>
      <c r="AG3259">
        <v>2</v>
      </c>
      <c r="AH3259">
        <v>0</v>
      </c>
      <c r="AI3259">
        <v>42.79</v>
      </c>
      <c r="AL3259" t="s">
        <v>5011</v>
      </c>
      <c r="AM3259">
        <v>7236.32</v>
      </c>
      <c r="AS3259">
        <v>1.5</v>
      </c>
      <c r="AT3259" t="s">
        <v>480</v>
      </c>
      <c r="AU3259" t="s">
        <v>25239</v>
      </c>
      <c r="AV3259" t="s">
        <v>25335</v>
      </c>
      <c r="AW3259" t="s">
        <v>11447</v>
      </c>
    </row>
    <row r="3260" spans="1:49">
      <c r="A3260" s="1">
        <f>HYPERLINK("https://lsnyc.legalserver.org/matter/dynamic-profile/view/1902946","19-1902946")</f>
        <v>0</v>
      </c>
      <c r="B3260" t="s">
        <v>81</v>
      </c>
      <c r="C3260" t="s">
        <v>343</v>
      </c>
      <c r="D3260" t="s">
        <v>480</v>
      </c>
      <c r="E3260" t="s">
        <v>2696</v>
      </c>
      <c r="F3260" t="s">
        <v>5327</v>
      </c>
      <c r="G3260" t="s">
        <v>8691</v>
      </c>
      <c r="H3260">
        <v>3</v>
      </c>
      <c r="I3260" t="s">
        <v>11383</v>
      </c>
      <c r="J3260">
        <v>10459</v>
      </c>
      <c r="K3260" t="s">
        <v>11446</v>
      </c>
      <c r="L3260" t="s">
        <v>12895</v>
      </c>
      <c r="M3260" t="s">
        <v>14743</v>
      </c>
      <c r="N3260" t="s">
        <v>14778</v>
      </c>
      <c r="O3260" t="s">
        <v>14786</v>
      </c>
      <c r="P3260" t="s">
        <v>14802</v>
      </c>
      <c r="Q3260" t="s">
        <v>11448</v>
      </c>
      <c r="S3260" t="s">
        <v>14827</v>
      </c>
      <c r="T3260" t="s">
        <v>14832</v>
      </c>
      <c r="U3260" t="s">
        <v>485</v>
      </c>
      <c r="V3260">
        <v>0</v>
      </c>
      <c r="W3260" t="s">
        <v>14858</v>
      </c>
      <c r="X3260" t="s">
        <v>14863</v>
      </c>
      <c r="Y3260" t="s">
        <v>14883</v>
      </c>
      <c r="Z3260" t="s">
        <v>17615</v>
      </c>
      <c r="AB3260" t="s">
        <v>22691</v>
      </c>
      <c r="AC3260">
        <v>4</v>
      </c>
      <c r="AD3260" t="s">
        <v>24600</v>
      </c>
      <c r="AF3260">
        <v>4</v>
      </c>
      <c r="AG3260">
        <v>1</v>
      </c>
      <c r="AH3260">
        <v>4</v>
      </c>
      <c r="AI3260">
        <v>19.99</v>
      </c>
      <c r="AM3260">
        <v>6032</v>
      </c>
      <c r="AS3260">
        <v>1.45</v>
      </c>
      <c r="AT3260" t="s">
        <v>480</v>
      </c>
      <c r="AU3260" t="s">
        <v>145</v>
      </c>
      <c r="AV3260" t="s">
        <v>25335</v>
      </c>
      <c r="AW3260" t="s">
        <v>11447</v>
      </c>
    </row>
    <row r="3261" spans="1:49">
      <c r="A3261" s="1">
        <f>HYPERLINK("https://lsnyc.legalserver.org/matter/dynamic-profile/view/1903784","19-1903784")</f>
        <v>0</v>
      </c>
      <c r="B3261" t="s">
        <v>81</v>
      </c>
      <c r="C3261" t="s">
        <v>378</v>
      </c>
      <c r="D3261" t="s">
        <v>619</v>
      </c>
      <c r="E3261" t="s">
        <v>1329</v>
      </c>
      <c r="F3261" t="s">
        <v>4036</v>
      </c>
      <c r="G3261" t="s">
        <v>8692</v>
      </c>
      <c r="H3261">
        <v>1</v>
      </c>
      <c r="I3261" t="s">
        <v>11383</v>
      </c>
      <c r="J3261">
        <v>10472</v>
      </c>
      <c r="K3261" t="s">
        <v>11446</v>
      </c>
      <c r="L3261" t="s">
        <v>12896</v>
      </c>
      <c r="M3261" t="s">
        <v>14743</v>
      </c>
      <c r="N3261" t="s">
        <v>14778</v>
      </c>
      <c r="O3261" t="s">
        <v>14786</v>
      </c>
      <c r="P3261" t="s">
        <v>14802</v>
      </c>
      <c r="Q3261" t="s">
        <v>11448</v>
      </c>
      <c r="S3261" t="s">
        <v>14827</v>
      </c>
      <c r="T3261" t="s">
        <v>14832</v>
      </c>
      <c r="U3261" t="s">
        <v>378</v>
      </c>
      <c r="V3261">
        <v>1950</v>
      </c>
      <c r="W3261" t="s">
        <v>14858</v>
      </c>
      <c r="X3261" t="s">
        <v>14863</v>
      </c>
      <c r="Y3261" t="s">
        <v>14883</v>
      </c>
      <c r="Z3261" t="s">
        <v>17616</v>
      </c>
      <c r="AB3261" t="s">
        <v>22692</v>
      </c>
      <c r="AC3261">
        <v>2</v>
      </c>
      <c r="AD3261" t="s">
        <v>24600</v>
      </c>
      <c r="AE3261" t="s">
        <v>24610</v>
      </c>
      <c r="AF3261">
        <v>3</v>
      </c>
      <c r="AG3261">
        <v>2</v>
      </c>
      <c r="AH3261">
        <v>2</v>
      </c>
      <c r="AI3261">
        <v>155.34</v>
      </c>
      <c r="AL3261" t="s">
        <v>5011</v>
      </c>
      <c r="AM3261">
        <v>40000</v>
      </c>
      <c r="AS3261">
        <v>1.1</v>
      </c>
      <c r="AT3261" t="s">
        <v>619</v>
      </c>
      <c r="AU3261" t="s">
        <v>25239</v>
      </c>
      <c r="AV3261" t="s">
        <v>25335</v>
      </c>
      <c r="AW3261" t="s">
        <v>11447</v>
      </c>
    </row>
    <row r="3262" spans="1:49">
      <c r="A3262" s="1">
        <f>HYPERLINK("https://lsnyc.legalserver.org/matter/dynamic-profile/view/1904917","19-1904917")</f>
        <v>0</v>
      </c>
      <c r="B3262" t="s">
        <v>81</v>
      </c>
      <c r="C3262" t="s">
        <v>593</v>
      </c>
      <c r="D3262" t="s">
        <v>619</v>
      </c>
      <c r="E3262" t="s">
        <v>1264</v>
      </c>
      <c r="F3262" t="s">
        <v>5328</v>
      </c>
      <c r="G3262" t="s">
        <v>8693</v>
      </c>
      <c r="H3262" t="s">
        <v>10464</v>
      </c>
      <c r="I3262" t="s">
        <v>11383</v>
      </c>
      <c r="J3262">
        <v>10463</v>
      </c>
      <c r="K3262" t="s">
        <v>11446</v>
      </c>
      <c r="L3262" t="s">
        <v>12897</v>
      </c>
      <c r="M3262" t="s">
        <v>14743</v>
      </c>
      <c r="N3262" t="s">
        <v>14778</v>
      </c>
      <c r="O3262" t="s">
        <v>14786</v>
      </c>
      <c r="P3262" t="s">
        <v>14802</v>
      </c>
      <c r="Q3262" t="s">
        <v>11448</v>
      </c>
      <c r="S3262" t="s">
        <v>14827</v>
      </c>
      <c r="T3262" t="s">
        <v>14832</v>
      </c>
      <c r="U3262" t="s">
        <v>593</v>
      </c>
      <c r="V3262">
        <v>1160</v>
      </c>
      <c r="W3262" t="s">
        <v>14858</v>
      </c>
      <c r="X3262" t="s">
        <v>14863</v>
      </c>
      <c r="Y3262" t="s">
        <v>14883</v>
      </c>
      <c r="Z3262" t="s">
        <v>17617</v>
      </c>
      <c r="AC3262">
        <v>110</v>
      </c>
      <c r="AD3262" t="s">
        <v>24601</v>
      </c>
      <c r="AF3262">
        <v>25</v>
      </c>
      <c r="AG3262">
        <v>1</v>
      </c>
      <c r="AH3262">
        <v>0</v>
      </c>
      <c r="AI3262">
        <v>86.47</v>
      </c>
      <c r="AM3262">
        <v>10800</v>
      </c>
      <c r="AS3262">
        <v>3.5</v>
      </c>
      <c r="AT3262" t="s">
        <v>480</v>
      </c>
      <c r="AU3262" t="s">
        <v>145</v>
      </c>
      <c r="AV3262" t="s">
        <v>25335</v>
      </c>
      <c r="AW3262" t="s">
        <v>11447</v>
      </c>
    </row>
    <row r="3263" spans="1:49">
      <c r="A3263" s="1">
        <f>HYPERLINK("https://lsnyc.legalserver.org/matter/dynamic-profile/view/1903908","19-1903908")</f>
        <v>0</v>
      </c>
      <c r="B3263" t="s">
        <v>81</v>
      </c>
      <c r="C3263" t="s">
        <v>378</v>
      </c>
      <c r="D3263" t="s">
        <v>555</v>
      </c>
      <c r="E3263" t="s">
        <v>2697</v>
      </c>
      <c r="F3263" t="s">
        <v>5329</v>
      </c>
      <c r="G3263" t="s">
        <v>8694</v>
      </c>
      <c r="I3263" t="s">
        <v>11383</v>
      </c>
      <c r="J3263">
        <v>10456</v>
      </c>
      <c r="K3263" t="s">
        <v>11446</v>
      </c>
      <c r="L3263" t="s">
        <v>12898</v>
      </c>
      <c r="M3263" t="s">
        <v>14743</v>
      </c>
      <c r="N3263" t="s">
        <v>14778</v>
      </c>
      <c r="O3263" t="s">
        <v>14786</v>
      </c>
      <c r="P3263" t="s">
        <v>14802</v>
      </c>
      <c r="Q3263" t="s">
        <v>11448</v>
      </c>
      <c r="S3263" t="s">
        <v>14827</v>
      </c>
      <c r="T3263" t="s">
        <v>14832</v>
      </c>
      <c r="U3263" t="s">
        <v>378</v>
      </c>
      <c r="V3263">
        <v>909.17</v>
      </c>
      <c r="W3263" t="s">
        <v>14858</v>
      </c>
      <c r="X3263" t="s">
        <v>14755</v>
      </c>
      <c r="Y3263" t="s">
        <v>14883</v>
      </c>
      <c r="Z3263" t="s">
        <v>15273</v>
      </c>
      <c r="AB3263" t="s">
        <v>22693</v>
      </c>
      <c r="AC3263">
        <v>46</v>
      </c>
      <c r="AE3263" t="s">
        <v>11459</v>
      </c>
      <c r="AF3263">
        <v>0</v>
      </c>
      <c r="AG3263">
        <v>1</v>
      </c>
      <c r="AH3263">
        <v>0</v>
      </c>
      <c r="AI3263">
        <v>187.35</v>
      </c>
      <c r="AL3263" t="s">
        <v>5011</v>
      </c>
      <c r="AM3263">
        <v>23400</v>
      </c>
      <c r="AS3263">
        <v>1.45</v>
      </c>
      <c r="AT3263" t="s">
        <v>555</v>
      </c>
      <c r="AU3263" t="s">
        <v>25239</v>
      </c>
      <c r="AV3263" t="s">
        <v>25335</v>
      </c>
      <c r="AW3263" t="s">
        <v>11447</v>
      </c>
    </row>
    <row r="3264" spans="1:49">
      <c r="A3264" s="1">
        <f>HYPERLINK("https://lsnyc.legalserver.org/matter/dynamic-profile/view/1904816","19-1904816")</f>
        <v>0</v>
      </c>
      <c r="B3264" t="s">
        <v>60</v>
      </c>
      <c r="C3264" t="s">
        <v>345</v>
      </c>
      <c r="D3264" t="s">
        <v>555</v>
      </c>
      <c r="E3264" t="s">
        <v>1344</v>
      </c>
      <c r="F3264" t="s">
        <v>5330</v>
      </c>
      <c r="G3264" t="s">
        <v>8695</v>
      </c>
      <c r="I3264" t="s">
        <v>11383</v>
      </c>
      <c r="J3264">
        <v>10453</v>
      </c>
      <c r="K3264" t="s">
        <v>11446</v>
      </c>
      <c r="L3264" t="s">
        <v>12899</v>
      </c>
      <c r="M3264" t="s">
        <v>14744</v>
      </c>
      <c r="N3264" t="s">
        <v>14778</v>
      </c>
      <c r="O3264" t="s">
        <v>14786</v>
      </c>
      <c r="P3264" t="s">
        <v>14802</v>
      </c>
      <c r="Q3264" t="s">
        <v>11448</v>
      </c>
      <c r="S3264" t="s">
        <v>14827</v>
      </c>
      <c r="T3264" t="s">
        <v>14836</v>
      </c>
      <c r="U3264" t="s">
        <v>345</v>
      </c>
      <c r="V3264">
        <v>840</v>
      </c>
      <c r="W3264" t="s">
        <v>14858</v>
      </c>
      <c r="X3264" t="s">
        <v>14864</v>
      </c>
      <c r="Y3264" t="s">
        <v>14883</v>
      </c>
      <c r="Z3264" t="s">
        <v>17618</v>
      </c>
      <c r="AA3264">
        <v>37661359</v>
      </c>
      <c r="AB3264" t="s">
        <v>22694</v>
      </c>
      <c r="AC3264">
        <v>61</v>
      </c>
      <c r="AD3264" t="s">
        <v>24595</v>
      </c>
      <c r="AE3264" t="s">
        <v>11459</v>
      </c>
      <c r="AF3264">
        <v>3</v>
      </c>
      <c r="AG3264">
        <v>1</v>
      </c>
      <c r="AH3264">
        <v>0</v>
      </c>
      <c r="AI3264">
        <v>0</v>
      </c>
      <c r="AL3264" t="s">
        <v>5011</v>
      </c>
      <c r="AM3264">
        <v>0</v>
      </c>
      <c r="AS3264">
        <v>2.4</v>
      </c>
      <c r="AT3264" t="s">
        <v>520</v>
      </c>
      <c r="AU3264" t="s">
        <v>25252</v>
      </c>
      <c r="AV3264" t="s">
        <v>25335</v>
      </c>
      <c r="AW3264" t="s">
        <v>11447</v>
      </c>
    </row>
    <row r="3265" spans="1:49">
      <c r="A3265" s="1">
        <f>HYPERLINK("https://lsnyc.legalserver.org/matter/dynamic-profile/view/1904633","19-1904633")</f>
        <v>0</v>
      </c>
      <c r="B3265" t="s">
        <v>81</v>
      </c>
      <c r="C3265" t="s">
        <v>365</v>
      </c>
      <c r="D3265" t="s">
        <v>555</v>
      </c>
      <c r="E3265" t="s">
        <v>2698</v>
      </c>
      <c r="F3265" t="s">
        <v>5331</v>
      </c>
      <c r="G3265" t="s">
        <v>8696</v>
      </c>
      <c r="H3265" t="s">
        <v>10569</v>
      </c>
      <c r="I3265" t="s">
        <v>11383</v>
      </c>
      <c r="J3265">
        <v>10455</v>
      </c>
      <c r="K3265" t="s">
        <v>11446</v>
      </c>
      <c r="L3265" t="s">
        <v>12900</v>
      </c>
      <c r="M3265" t="s">
        <v>14744</v>
      </c>
      <c r="N3265" t="s">
        <v>14778</v>
      </c>
      <c r="O3265" t="s">
        <v>14786</v>
      </c>
      <c r="P3265" t="s">
        <v>14802</v>
      </c>
      <c r="Q3265" t="s">
        <v>11448</v>
      </c>
      <c r="S3265" t="s">
        <v>14827</v>
      </c>
      <c r="T3265" t="s">
        <v>14837</v>
      </c>
      <c r="U3265" t="s">
        <v>345</v>
      </c>
      <c r="V3265">
        <v>836.16</v>
      </c>
      <c r="W3265" t="s">
        <v>14858</v>
      </c>
      <c r="X3265" t="s">
        <v>14865</v>
      </c>
      <c r="Y3265" t="s">
        <v>14883</v>
      </c>
      <c r="Z3265" t="s">
        <v>17619</v>
      </c>
      <c r="AB3265" t="s">
        <v>22695</v>
      </c>
      <c r="AC3265">
        <v>8</v>
      </c>
      <c r="AD3265" t="s">
        <v>24604</v>
      </c>
      <c r="AF3265">
        <v>17</v>
      </c>
      <c r="AG3265">
        <v>3</v>
      </c>
      <c r="AH3265">
        <v>0</v>
      </c>
      <c r="AI3265">
        <v>13.31</v>
      </c>
      <c r="AL3265" t="s">
        <v>5011</v>
      </c>
      <c r="AM3265">
        <v>2838.72</v>
      </c>
      <c r="AS3265">
        <v>0.5</v>
      </c>
      <c r="AT3265" t="s">
        <v>555</v>
      </c>
      <c r="AU3265" t="s">
        <v>114</v>
      </c>
      <c r="AV3265" t="s">
        <v>25335</v>
      </c>
      <c r="AW3265" t="s">
        <v>11447</v>
      </c>
    </row>
    <row r="3266" spans="1:49">
      <c r="A3266" s="1">
        <f>HYPERLINK("https://lsnyc.legalserver.org/matter/dynamic-profile/view/1904221","19-1904221")</f>
        <v>0</v>
      </c>
      <c r="B3266" t="s">
        <v>81</v>
      </c>
      <c r="C3266" t="s">
        <v>607</v>
      </c>
      <c r="D3266" t="s">
        <v>555</v>
      </c>
      <c r="E3266" t="s">
        <v>1873</v>
      </c>
      <c r="F3266" t="s">
        <v>5332</v>
      </c>
      <c r="G3266" t="s">
        <v>8697</v>
      </c>
      <c r="I3266" t="s">
        <v>11383</v>
      </c>
      <c r="J3266">
        <v>10475</v>
      </c>
      <c r="K3266" t="s">
        <v>11446</v>
      </c>
      <c r="L3266" t="s">
        <v>12901</v>
      </c>
      <c r="M3266" t="s">
        <v>14743</v>
      </c>
      <c r="N3266" t="s">
        <v>14778</v>
      </c>
      <c r="O3266" t="s">
        <v>14786</v>
      </c>
      <c r="P3266" t="s">
        <v>14802</v>
      </c>
      <c r="Q3266" t="s">
        <v>11448</v>
      </c>
      <c r="S3266" t="s">
        <v>14827</v>
      </c>
      <c r="U3266" t="s">
        <v>485</v>
      </c>
      <c r="V3266">
        <v>0</v>
      </c>
      <c r="W3266" t="s">
        <v>14858</v>
      </c>
      <c r="X3266" t="s">
        <v>14863</v>
      </c>
      <c r="Y3266" t="s">
        <v>14883</v>
      </c>
      <c r="Z3266" t="s">
        <v>17620</v>
      </c>
      <c r="AB3266" t="s">
        <v>22696</v>
      </c>
      <c r="AC3266">
        <v>0</v>
      </c>
      <c r="AD3266" t="s">
        <v>24598</v>
      </c>
      <c r="AF3266">
        <v>0</v>
      </c>
      <c r="AG3266">
        <v>1</v>
      </c>
      <c r="AH3266">
        <v>0</v>
      </c>
      <c r="AI3266">
        <v>0</v>
      </c>
      <c r="AL3266" t="s">
        <v>5011</v>
      </c>
      <c r="AM3266">
        <v>0</v>
      </c>
      <c r="AS3266">
        <v>1</v>
      </c>
      <c r="AT3266" t="s">
        <v>555</v>
      </c>
      <c r="AU3266" t="s">
        <v>25239</v>
      </c>
      <c r="AV3266" t="s">
        <v>25335</v>
      </c>
      <c r="AW3266" t="s">
        <v>11447</v>
      </c>
    </row>
    <row r="3267" spans="1:49">
      <c r="A3267" s="1">
        <f>HYPERLINK("https://lsnyc.legalserver.org/matter/dynamic-profile/view/1904413","19-1904413")</f>
        <v>0</v>
      </c>
      <c r="B3267" t="s">
        <v>81</v>
      </c>
      <c r="C3267" t="s">
        <v>607</v>
      </c>
      <c r="D3267" t="s">
        <v>555</v>
      </c>
      <c r="E3267" t="s">
        <v>2699</v>
      </c>
      <c r="F3267" t="s">
        <v>5333</v>
      </c>
      <c r="G3267" t="s">
        <v>8698</v>
      </c>
      <c r="H3267">
        <v>2</v>
      </c>
      <c r="I3267" t="s">
        <v>11383</v>
      </c>
      <c r="J3267">
        <v>10461</v>
      </c>
      <c r="K3267" t="s">
        <v>11446</v>
      </c>
      <c r="L3267" t="s">
        <v>12902</v>
      </c>
      <c r="M3267" t="s">
        <v>14744</v>
      </c>
      <c r="N3267" t="s">
        <v>14778</v>
      </c>
      <c r="O3267" t="s">
        <v>14786</v>
      </c>
      <c r="P3267" t="s">
        <v>14802</v>
      </c>
      <c r="S3267" t="s">
        <v>14827</v>
      </c>
      <c r="T3267" t="s">
        <v>14834</v>
      </c>
      <c r="U3267" t="s">
        <v>485</v>
      </c>
      <c r="V3267">
        <v>1900</v>
      </c>
      <c r="W3267" t="s">
        <v>14858</v>
      </c>
      <c r="X3267" t="s">
        <v>14863</v>
      </c>
      <c r="Y3267" t="s">
        <v>14883</v>
      </c>
      <c r="Z3267" t="s">
        <v>17621</v>
      </c>
      <c r="AB3267" t="s">
        <v>22697</v>
      </c>
      <c r="AC3267">
        <v>3</v>
      </c>
      <c r="AD3267" t="s">
        <v>24600</v>
      </c>
      <c r="AF3267">
        <v>1</v>
      </c>
      <c r="AG3267">
        <v>2</v>
      </c>
      <c r="AH3267">
        <v>1</v>
      </c>
      <c r="AI3267">
        <v>48.76</v>
      </c>
      <c r="AL3267" t="s">
        <v>5011</v>
      </c>
      <c r="AM3267">
        <v>10400</v>
      </c>
      <c r="AS3267">
        <v>0.4</v>
      </c>
      <c r="AT3267" t="s">
        <v>555</v>
      </c>
      <c r="AU3267" t="s">
        <v>114</v>
      </c>
      <c r="AV3267" t="s">
        <v>25335</v>
      </c>
      <c r="AW3267" t="s">
        <v>11447</v>
      </c>
    </row>
    <row r="3268" spans="1:49">
      <c r="A3268" s="1">
        <f>HYPERLINK("https://lsnyc.legalserver.org/matter/dynamic-profile/view/1904654","19-1904654")</f>
        <v>0</v>
      </c>
      <c r="B3268" t="s">
        <v>81</v>
      </c>
      <c r="C3268" t="s">
        <v>365</v>
      </c>
      <c r="D3268" t="s">
        <v>496</v>
      </c>
      <c r="E3268" t="s">
        <v>1036</v>
      </c>
      <c r="F3268" t="s">
        <v>4310</v>
      </c>
      <c r="G3268" t="s">
        <v>8699</v>
      </c>
      <c r="H3268">
        <v>325</v>
      </c>
      <c r="I3268" t="s">
        <v>11383</v>
      </c>
      <c r="J3268">
        <v>10455</v>
      </c>
      <c r="K3268" t="s">
        <v>11446</v>
      </c>
      <c r="L3268" t="s">
        <v>12903</v>
      </c>
      <c r="M3268" t="s">
        <v>14743</v>
      </c>
      <c r="N3268" t="s">
        <v>14778</v>
      </c>
      <c r="O3268" t="s">
        <v>14786</v>
      </c>
      <c r="P3268" t="s">
        <v>14802</v>
      </c>
      <c r="Q3268" t="s">
        <v>11448</v>
      </c>
      <c r="S3268" t="s">
        <v>14827</v>
      </c>
      <c r="T3268" t="s">
        <v>14832</v>
      </c>
      <c r="U3268" t="s">
        <v>485</v>
      </c>
      <c r="V3268">
        <v>1942.15</v>
      </c>
      <c r="W3268" t="s">
        <v>14858</v>
      </c>
      <c r="Y3268" t="s">
        <v>14883</v>
      </c>
      <c r="Z3268" t="s">
        <v>17622</v>
      </c>
      <c r="AB3268" t="s">
        <v>22698</v>
      </c>
      <c r="AC3268">
        <v>190</v>
      </c>
      <c r="AD3268" t="s">
        <v>24603</v>
      </c>
      <c r="AF3268">
        <v>1</v>
      </c>
      <c r="AG3268">
        <v>1</v>
      </c>
      <c r="AH3268">
        <v>0</v>
      </c>
      <c r="AI3268">
        <v>67.34999999999999</v>
      </c>
      <c r="AL3268" t="s">
        <v>5011</v>
      </c>
      <c r="AM3268">
        <v>8412</v>
      </c>
      <c r="AS3268">
        <v>0.5</v>
      </c>
      <c r="AT3268" t="s">
        <v>496</v>
      </c>
      <c r="AU3268" t="s">
        <v>114</v>
      </c>
      <c r="AV3268" t="s">
        <v>25335</v>
      </c>
      <c r="AW3268" t="s">
        <v>11447</v>
      </c>
    </row>
    <row r="3269" spans="1:49">
      <c r="A3269" s="1">
        <f>HYPERLINK("https://lsnyc.legalserver.org/matter/dynamic-profile/view/1902937","19-1902937")</f>
        <v>0</v>
      </c>
      <c r="B3269" t="s">
        <v>81</v>
      </c>
      <c r="C3269" t="s">
        <v>343</v>
      </c>
      <c r="D3269" t="s">
        <v>618</v>
      </c>
      <c r="E3269" t="s">
        <v>2700</v>
      </c>
      <c r="F3269" t="s">
        <v>4737</v>
      </c>
      <c r="G3269" t="s">
        <v>8691</v>
      </c>
      <c r="H3269">
        <v>2</v>
      </c>
      <c r="I3269" t="s">
        <v>11383</v>
      </c>
      <c r="J3269">
        <v>10459</v>
      </c>
      <c r="K3269" t="s">
        <v>11446</v>
      </c>
      <c r="L3269" t="s">
        <v>12904</v>
      </c>
      <c r="M3269" t="s">
        <v>14743</v>
      </c>
      <c r="N3269" t="s">
        <v>14778</v>
      </c>
      <c r="O3269" t="s">
        <v>14786</v>
      </c>
      <c r="P3269" t="s">
        <v>14802</v>
      </c>
      <c r="Q3269" t="s">
        <v>11448</v>
      </c>
      <c r="S3269" t="s">
        <v>14827</v>
      </c>
      <c r="T3269" t="s">
        <v>14832</v>
      </c>
      <c r="U3269" t="s">
        <v>480</v>
      </c>
      <c r="V3269">
        <v>1866</v>
      </c>
      <c r="W3269" t="s">
        <v>14858</v>
      </c>
      <c r="X3269" t="s">
        <v>14863</v>
      </c>
      <c r="Y3269" t="s">
        <v>14883</v>
      </c>
      <c r="Z3269" t="s">
        <v>17623</v>
      </c>
      <c r="AB3269" t="s">
        <v>22699</v>
      </c>
      <c r="AC3269">
        <v>4</v>
      </c>
      <c r="AD3269" t="s">
        <v>24600</v>
      </c>
      <c r="AF3269">
        <v>4</v>
      </c>
      <c r="AG3269">
        <v>1</v>
      </c>
      <c r="AH3269">
        <v>5</v>
      </c>
      <c r="AI3269">
        <v>26.38</v>
      </c>
      <c r="AL3269" t="s">
        <v>5011</v>
      </c>
      <c r="AM3269">
        <v>9126</v>
      </c>
      <c r="AS3269">
        <v>1.05</v>
      </c>
      <c r="AT3269" t="s">
        <v>618</v>
      </c>
      <c r="AU3269" t="s">
        <v>145</v>
      </c>
      <c r="AV3269" t="s">
        <v>25335</v>
      </c>
      <c r="AW3269" t="s">
        <v>11447</v>
      </c>
    </row>
    <row r="3270" spans="1:49">
      <c r="A3270" s="1">
        <f>HYPERLINK("https://lsnyc.legalserver.org/matter/dynamic-profile/view/1904932","19-1904932")</f>
        <v>0</v>
      </c>
      <c r="B3270" t="s">
        <v>81</v>
      </c>
      <c r="C3270" t="s">
        <v>593</v>
      </c>
      <c r="D3270" t="s">
        <v>618</v>
      </c>
      <c r="E3270" t="s">
        <v>2701</v>
      </c>
      <c r="F3270" t="s">
        <v>5334</v>
      </c>
      <c r="G3270" t="s">
        <v>8700</v>
      </c>
      <c r="H3270" t="s">
        <v>10665</v>
      </c>
      <c r="I3270" t="s">
        <v>11383</v>
      </c>
      <c r="J3270">
        <v>10454</v>
      </c>
      <c r="K3270" t="s">
        <v>11446</v>
      </c>
      <c r="L3270" t="s">
        <v>12905</v>
      </c>
      <c r="M3270" t="s">
        <v>14743</v>
      </c>
      <c r="N3270" t="s">
        <v>14778</v>
      </c>
      <c r="O3270" t="s">
        <v>14786</v>
      </c>
      <c r="P3270" t="s">
        <v>14802</v>
      </c>
      <c r="Q3270" t="s">
        <v>11448</v>
      </c>
      <c r="S3270" t="s">
        <v>14827</v>
      </c>
      <c r="T3270" t="s">
        <v>14832</v>
      </c>
      <c r="U3270" t="s">
        <v>618</v>
      </c>
      <c r="V3270">
        <v>2462</v>
      </c>
      <c r="W3270" t="s">
        <v>14858</v>
      </c>
      <c r="X3270" t="s">
        <v>14867</v>
      </c>
      <c r="Y3270" t="s">
        <v>14883</v>
      </c>
      <c r="Z3270" t="s">
        <v>17624</v>
      </c>
      <c r="AB3270" t="s">
        <v>22700</v>
      </c>
      <c r="AC3270">
        <v>24</v>
      </c>
      <c r="AD3270" t="s">
        <v>24596</v>
      </c>
      <c r="AE3270" t="s">
        <v>14755</v>
      </c>
      <c r="AF3270">
        <v>19</v>
      </c>
      <c r="AG3270">
        <v>1</v>
      </c>
      <c r="AH3270">
        <v>0</v>
      </c>
      <c r="AI3270">
        <v>151.96</v>
      </c>
      <c r="AL3270" t="s">
        <v>5011</v>
      </c>
      <c r="AM3270">
        <v>18980</v>
      </c>
      <c r="AS3270">
        <v>0.5</v>
      </c>
      <c r="AT3270" t="s">
        <v>618</v>
      </c>
      <c r="AU3270" t="s">
        <v>145</v>
      </c>
      <c r="AV3270" t="s">
        <v>25335</v>
      </c>
      <c r="AW3270" t="s">
        <v>11447</v>
      </c>
    </row>
    <row r="3271" spans="1:49">
      <c r="A3271" s="1">
        <f>HYPERLINK("https://lsnyc.legalserver.org/matter/dynamic-profile/view/1905314","19-1905314")</f>
        <v>0</v>
      </c>
      <c r="B3271" t="s">
        <v>81</v>
      </c>
      <c r="C3271" t="s">
        <v>480</v>
      </c>
      <c r="D3271" t="s">
        <v>618</v>
      </c>
      <c r="E3271" t="s">
        <v>1248</v>
      </c>
      <c r="F3271" t="s">
        <v>2111</v>
      </c>
      <c r="G3271" t="s">
        <v>8701</v>
      </c>
      <c r="I3271" t="s">
        <v>11383</v>
      </c>
      <c r="J3271">
        <v>10458</v>
      </c>
      <c r="K3271" t="s">
        <v>11446</v>
      </c>
      <c r="L3271" t="s">
        <v>12906</v>
      </c>
      <c r="M3271" t="s">
        <v>14744</v>
      </c>
      <c r="N3271" t="s">
        <v>14778</v>
      </c>
      <c r="O3271" t="s">
        <v>14786</v>
      </c>
      <c r="P3271" t="s">
        <v>14802</v>
      </c>
      <c r="Q3271" t="s">
        <v>11448</v>
      </c>
      <c r="S3271" t="s">
        <v>14827</v>
      </c>
      <c r="T3271" t="s">
        <v>14832</v>
      </c>
      <c r="U3271" t="s">
        <v>618</v>
      </c>
      <c r="V3271">
        <v>1054</v>
      </c>
      <c r="W3271" t="s">
        <v>14858</v>
      </c>
      <c r="X3271" t="s">
        <v>14863</v>
      </c>
      <c r="Y3271" t="s">
        <v>14883</v>
      </c>
      <c r="Z3271" t="s">
        <v>17625</v>
      </c>
      <c r="AB3271" t="s">
        <v>22701</v>
      </c>
      <c r="AC3271">
        <v>51</v>
      </c>
      <c r="AD3271" t="s">
        <v>11479</v>
      </c>
      <c r="AE3271" t="s">
        <v>11459</v>
      </c>
      <c r="AF3271">
        <v>17</v>
      </c>
      <c r="AG3271">
        <v>2</v>
      </c>
      <c r="AH3271">
        <v>1</v>
      </c>
      <c r="AI3271">
        <v>160.34</v>
      </c>
      <c r="AL3271" t="s">
        <v>5011</v>
      </c>
      <c r="AM3271">
        <v>34200</v>
      </c>
      <c r="AS3271">
        <v>0.5</v>
      </c>
      <c r="AT3271" t="s">
        <v>618</v>
      </c>
      <c r="AU3271" t="s">
        <v>25252</v>
      </c>
      <c r="AV3271" t="s">
        <v>25335</v>
      </c>
      <c r="AW3271" t="s">
        <v>11447</v>
      </c>
    </row>
    <row r="3272" spans="1:49">
      <c r="A3272" s="1">
        <f>HYPERLINK("https://lsnyc.legalserver.org/matter/dynamic-profile/view/1905253","19-1905253")</f>
        <v>0</v>
      </c>
      <c r="B3272" t="s">
        <v>81</v>
      </c>
      <c r="C3272" t="s">
        <v>480</v>
      </c>
      <c r="D3272" t="s">
        <v>618</v>
      </c>
      <c r="E3272" t="s">
        <v>2702</v>
      </c>
      <c r="F3272" t="s">
        <v>3748</v>
      </c>
      <c r="G3272" t="s">
        <v>8702</v>
      </c>
      <c r="H3272" t="s">
        <v>10491</v>
      </c>
      <c r="I3272" t="s">
        <v>11383</v>
      </c>
      <c r="J3272">
        <v>10455</v>
      </c>
      <c r="K3272" t="s">
        <v>11446</v>
      </c>
      <c r="L3272" t="s">
        <v>12907</v>
      </c>
      <c r="M3272" t="s">
        <v>14744</v>
      </c>
      <c r="N3272" t="s">
        <v>14778</v>
      </c>
      <c r="O3272" t="s">
        <v>14786</v>
      </c>
      <c r="P3272" t="s">
        <v>14802</v>
      </c>
      <c r="Q3272" t="s">
        <v>11448</v>
      </c>
      <c r="S3272" t="s">
        <v>14827</v>
      </c>
      <c r="T3272" t="s">
        <v>14834</v>
      </c>
      <c r="U3272" t="s">
        <v>485</v>
      </c>
      <c r="V3272">
        <v>1518</v>
      </c>
      <c r="W3272" t="s">
        <v>14858</v>
      </c>
      <c r="Y3272" t="s">
        <v>14883</v>
      </c>
      <c r="Z3272" t="s">
        <v>17626</v>
      </c>
      <c r="AC3272">
        <v>49</v>
      </c>
      <c r="AF3272">
        <v>3</v>
      </c>
      <c r="AG3272">
        <v>3</v>
      </c>
      <c r="AH3272">
        <v>0</v>
      </c>
      <c r="AI3272">
        <v>16.88</v>
      </c>
      <c r="AL3272" t="s">
        <v>24632</v>
      </c>
      <c r="AM3272">
        <v>3600</v>
      </c>
      <c r="AS3272">
        <v>0.3</v>
      </c>
      <c r="AT3272" t="s">
        <v>618</v>
      </c>
      <c r="AU3272" t="s">
        <v>145</v>
      </c>
      <c r="AV3272" t="s">
        <v>11459</v>
      </c>
      <c r="AW3272" t="s">
        <v>11447</v>
      </c>
    </row>
    <row r="3273" spans="1:49">
      <c r="A3273" s="1">
        <f>HYPERLINK("https://lsnyc.legalserver.org/matter/dynamic-profile/view/1901399","19-1901399")</f>
        <v>0</v>
      </c>
      <c r="B3273" t="s">
        <v>49</v>
      </c>
      <c r="C3273" t="s">
        <v>649</v>
      </c>
      <c r="D3273" t="s">
        <v>618</v>
      </c>
      <c r="E3273" t="s">
        <v>2202</v>
      </c>
      <c r="F3273" t="s">
        <v>5335</v>
      </c>
      <c r="G3273" t="s">
        <v>8703</v>
      </c>
      <c r="H3273">
        <v>63</v>
      </c>
      <c r="I3273" t="s">
        <v>11383</v>
      </c>
      <c r="J3273">
        <v>10452</v>
      </c>
      <c r="K3273" t="s">
        <v>11446</v>
      </c>
      <c r="L3273" t="s">
        <v>12908</v>
      </c>
      <c r="M3273" t="s">
        <v>14743</v>
      </c>
      <c r="N3273" t="s">
        <v>14781</v>
      </c>
      <c r="O3273" t="s">
        <v>14788</v>
      </c>
      <c r="P3273" t="s">
        <v>14802</v>
      </c>
      <c r="Q3273" t="s">
        <v>11448</v>
      </c>
      <c r="S3273" t="s">
        <v>14827</v>
      </c>
      <c r="T3273" t="s">
        <v>14832</v>
      </c>
      <c r="U3273" t="s">
        <v>485</v>
      </c>
      <c r="V3273">
        <v>627.28</v>
      </c>
      <c r="W3273" t="s">
        <v>14858</v>
      </c>
      <c r="X3273" t="s">
        <v>14867</v>
      </c>
      <c r="Y3273" t="s">
        <v>14887</v>
      </c>
      <c r="Z3273" t="s">
        <v>17627</v>
      </c>
      <c r="AC3273">
        <v>41</v>
      </c>
      <c r="AD3273" t="s">
        <v>24595</v>
      </c>
      <c r="AE3273" t="s">
        <v>11459</v>
      </c>
      <c r="AF3273">
        <v>12</v>
      </c>
      <c r="AG3273">
        <v>2</v>
      </c>
      <c r="AH3273">
        <v>0</v>
      </c>
      <c r="AI3273">
        <v>177.41</v>
      </c>
      <c r="AL3273" t="s">
        <v>5011</v>
      </c>
      <c r="AM3273">
        <v>30000</v>
      </c>
      <c r="AN3273" t="s">
        <v>24846</v>
      </c>
      <c r="AP3273" t="s">
        <v>24966</v>
      </c>
      <c r="AQ3273" t="s">
        <v>24986</v>
      </c>
      <c r="AR3273" t="s">
        <v>25070</v>
      </c>
      <c r="AS3273">
        <v>6.25</v>
      </c>
      <c r="AT3273" t="s">
        <v>461</v>
      </c>
      <c r="AU3273" t="s">
        <v>145</v>
      </c>
      <c r="AV3273" t="s">
        <v>25335</v>
      </c>
      <c r="AW3273" t="s">
        <v>11447</v>
      </c>
    </row>
    <row r="3274" spans="1:49">
      <c r="A3274" s="1">
        <f>HYPERLINK("https://lsnyc.legalserver.org/matter/dynamic-profile/view/1895448","19-1895448")</f>
        <v>0</v>
      </c>
      <c r="B3274" t="s">
        <v>201</v>
      </c>
      <c r="C3274" t="s">
        <v>756</v>
      </c>
      <c r="D3274" t="s">
        <v>553</v>
      </c>
      <c r="E3274" t="s">
        <v>2703</v>
      </c>
      <c r="F3274" t="s">
        <v>5336</v>
      </c>
      <c r="G3274" t="s">
        <v>7889</v>
      </c>
      <c r="H3274" t="s">
        <v>10484</v>
      </c>
      <c r="I3274" t="s">
        <v>11383</v>
      </c>
      <c r="J3274">
        <v>10458</v>
      </c>
      <c r="K3274" t="s">
        <v>11446</v>
      </c>
      <c r="L3274" t="s">
        <v>12909</v>
      </c>
      <c r="M3274" t="s">
        <v>14743</v>
      </c>
      <c r="N3274" t="s">
        <v>14778</v>
      </c>
      <c r="O3274" t="s">
        <v>14786</v>
      </c>
      <c r="P3274" t="s">
        <v>14802</v>
      </c>
      <c r="Q3274" t="s">
        <v>11448</v>
      </c>
      <c r="S3274" t="s">
        <v>14827</v>
      </c>
      <c r="T3274" t="s">
        <v>14837</v>
      </c>
      <c r="U3274" t="s">
        <v>365</v>
      </c>
      <c r="V3274">
        <v>0</v>
      </c>
      <c r="W3274" t="s">
        <v>14858</v>
      </c>
      <c r="X3274" t="s">
        <v>14863</v>
      </c>
      <c r="Y3274" t="s">
        <v>14883</v>
      </c>
      <c r="Z3274" t="s">
        <v>17628</v>
      </c>
      <c r="AC3274">
        <v>55</v>
      </c>
      <c r="AD3274" t="s">
        <v>11479</v>
      </c>
      <c r="AE3274" t="s">
        <v>11459</v>
      </c>
      <c r="AF3274">
        <v>1</v>
      </c>
      <c r="AG3274">
        <v>2</v>
      </c>
      <c r="AH3274">
        <v>1</v>
      </c>
      <c r="AI3274">
        <v>85.33</v>
      </c>
      <c r="AL3274" t="s">
        <v>5011</v>
      </c>
      <c r="AM3274">
        <v>18200</v>
      </c>
      <c r="AS3274">
        <v>3.9</v>
      </c>
      <c r="AT3274" t="s">
        <v>553</v>
      </c>
      <c r="AU3274" t="s">
        <v>237</v>
      </c>
      <c r="AV3274" t="s">
        <v>25335</v>
      </c>
      <c r="AW3274" t="s">
        <v>11446</v>
      </c>
    </row>
    <row r="3275" spans="1:49">
      <c r="A3275" s="1">
        <f>HYPERLINK("https://lsnyc.legalserver.org/matter/dynamic-profile/view/1905395","19-1905395")</f>
        <v>0</v>
      </c>
      <c r="B3275" t="s">
        <v>81</v>
      </c>
      <c r="C3275" t="s">
        <v>520</v>
      </c>
      <c r="D3275" t="s">
        <v>355</v>
      </c>
      <c r="E3275" t="s">
        <v>2704</v>
      </c>
      <c r="F3275" t="s">
        <v>4172</v>
      </c>
      <c r="G3275" t="s">
        <v>8704</v>
      </c>
      <c r="I3275" t="s">
        <v>11383</v>
      </c>
      <c r="J3275">
        <v>10458</v>
      </c>
      <c r="K3275" t="s">
        <v>11446</v>
      </c>
      <c r="L3275" t="s">
        <v>12910</v>
      </c>
      <c r="M3275" t="s">
        <v>14744</v>
      </c>
      <c r="N3275" t="s">
        <v>14778</v>
      </c>
      <c r="O3275" t="s">
        <v>14786</v>
      </c>
      <c r="P3275" t="s">
        <v>14802</v>
      </c>
      <c r="Q3275" t="s">
        <v>11448</v>
      </c>
      <c r="S3275" t="s">
        <v>14827</v>
      </c>
      <c r="T3275" t="s">
        <v>14832</v>
      </c>
      <c r="U3275" t="s">
        <v>355</v>
      </c>
      <c r="V3275">
        <v>1600</v>
      </c>
      <c r="W3275" t="s">
        <v>14858</v>
      </c>
      <c r="Y3275" t="s">
        <v>14883</v>
      </c>
      <c r="Z3275" t="s">
        <v>17629</v>
      </c>
      <c r="AC3275">
        <v>56</v>
      </c>
      <c r="AD3275" t="s">
        <v>24595</v>
      </c>
      <c r="AF3275">
        <v>4</v>
      </c>
      <c r="AG3275">
        <v>1</v>
      </c>
      <c r="AH3275">
        <v>0</v>
      </c>
      <c r="AI3275">
        <v>249.8</v>
      </c>
      <c r="AL3275" t="s">
        <v>5011</v>
      </c>
      <c r="AM3275">
        <v>31200</v>
      </c>
      <c r="AS3275">
        <v>0.3</v>
      </c>
      <c r="AT3275" t="s">
        <v>355</v>
      </c>
      <c r="AU3275" t="s">
        <v>114</v>
      </c>
      <c r="AV3275" t="s">
        <v>25335</v>
      </c>
      <c r="AW3275" t="s">
        <v>11447</v>
      </c>
    </row>
    <row r="3276" spans="1:49">
      <c r="A3276" s="1">
        <f>HYPERLINK("https://lsnyc.legalserver.org/matter/dynamic-profile/view/1905407","19-1905407")</f>
        <v>0</v>
      </c>
      <c r="B3276" t="s">
        <v>81</v>
      </c>
      <c r="C3276" t="s">
        <v>520</v>
      </c>
      <c r="D3276" t="s">
        <v>355</v>
      </c>
      <c r="E3276" t="s">
        <v>2705</v>
      </c>
      <c r="F3276" t="s">
        <v>5337</v>
      </c>
      <c r="G3276" t="s">
        <v>8705</v>
      </c>
      <c r="H3276" t="s">
        <v>10560</v>
      </c>
      <c r="I3276" t="s">
        <v>11383</v>
      </c>
      <c r="J3276">
        <v>10458</v>
      </c>
      <c r="K3276" t="s">
        <v>11446</v>
      </c>
      <c r="L3276" t="s">
        <v>12911</v>
      </c>
      <c r="M3276" t="s">
        <v>14743</v>
      </c>
      <c r="N3276" t="s">
        <v>14778</v>
      </c>
      <c r="O3276" t="s">
        <v>14786</v>
      </c>
      <c r="P3276" t="s">
        <v>14802</v>
      </c>
      <c r="Q3276" t="s">
        <v>11448</v>
      </c>
      <c r="S3276" t="s">
        <v>14827</v>
      </c>
      <c r="T3276" t="s">
        <v>14833</v>
      </c>
      <c r="U3276" t="s">
        <v>485</v>
      </c>
      <c r="V3276">
        <v>1838.24</v>
      </c>
      <c r="W3276" t="s">
        <v>14858</v>
      </c>
      <c r="Y3276" t="s">
        <v>14883</v>
      </c>
      <c r="Z3276" t="s">
        <v>17630</v>
      </c>
      <c r="AC3276">
        <v>58</v>
      </c>
      <c r="AD3276" t="s">
        <v>24595</v>
      </c>
      <c r="AF3276">
        <v>7</v>
      </c>
      <c r="AG3276">
        <v>1</v>
      </c>
      <c r="AH3276">
        <v>0</v>
      </c>
      <c r="AI3276">
        <v>156.12</v>
      </c>
      <c r="AL3276" t="s">
        <v>5011</v>
      </c>
      <c r="AM3276">
        <v>19500</v>
      </c>
      <c r="AS3276">
        <v>0.9</v>
      </c>
      <c r="AT3276" t="s">
        <v>355</v>
      </c>
      <c r="AU3276" t="s">
        <v>114</v>
      </c>
      <c r="AV3276" t="s">
        <v>25335</v>
      </c>
      <c r="AW3276" t="s">
        <v>11447</v>
      </c>
    </row>
    <row r="3277" spans="1:49">
      <c r="A3277" s="1">
        <f>HYPERLINK("https://lsnyc.legalserver.org/matter/dynamic-profile/view/1890882","19-1890882")</f>
        <v>0</v>
      </c>
      <c r="B3277" t="s">
        <v>69</v>
      </c>
      <c r="C3277" t="s">
        <v>829</v>
      </c>
      <c r="D3277" t="s">
        <v>380</v>
      </c>
      <c r="E3277" t="s">
        <v>1771</v>
      </c>
      <c r="F3277" t="s">
        <v>2375</v>
      </c>
      <c r="G3277" t="s">
        <v>8706</v>
      </c>
      <c r="H3277" t="s">
        <v>10665</v>
      </c>
      <c r="I3277" t="s">
        <v>11383</v>
      </c>
      <c r="J3277">
        <v>10468</v>
      </c>
      <c r="K3277" t="s">
        <v>11446</v>
      </c>
      <c r="M3277" t="s">
        <v>14746</v>
      </c>
      <c r="N3277" t="s">
        <v>14778</v>
      </c>
      <c r="O3277" t="s">
        <v>14791</v>
      </c>
      <c r="P3277" t="s">
        <v>14802</v>
      </c>
      <c r="Q3277" t="s">
        <v>11448</v>
      </c>
      <c r="S3277" t="s">
        <v>14827</v>
      </c>
      <c r="V3277">
        <v>1508</v>
      </c>
      <c r="W3277" t="s">
        <v>14858</v>
      </c>
      <c r="X3277" t="s">
        <v>14868</v>
      </c>
      <c r="Y3277" t="s">
        <v>14885</v>
      </c>
      <c r="Z3277" t="s">
        <v>16479</v>
      </c>
      <c r="AA3277" t="s">
        <v>19694</v>
      </c>
      <c r="AB3277" t="s">
        <v>22702</v>
      </c>
      <c r="AC3277">
        <v>46</v>
      </c>
      <c r="AD3277" t="s">
        <v>24595</v>
      </c>
      <c r="AE3277" t="s">
        <v>11459</v>
      </c>
      <c r="AF3277">
        <v>20</v>
      </c>
      <c r="AG3277">
        <v>3</v>
      </c>
      <c r="AH3277">
        <v>0</v>
      </c>
      <c r="AI3277">
        <v>39.83</v>
      </c>
      <c r="AL3277" t="s">
        <v>5011</v>
      </c>
      <c r="AM3277">
        <v>8496</v>
      </c>
      <c r="AN3277" t="s">
        <v>24847</v>
      </c>
      <c r="AS3277">
        <v>1</v>
      </c>
      <c r="AT3277" t="s">
        <v>333</v>
      </c>
      <c r="AU3277" t="s">
        <v>25239</v>
      </c>
      <c r="AW3277" t="s">
        <v>11446</v>
      </c>
    </row>
    <row r="3278" spans="1:49">
      <c r="A3278" s="1">
        <f>HYPERLINK("https://lsnyc.legalserver.org/matter/dynamic-profile/view/1903574","19-1903574")</f>
        <v>0</v>
      </c>
      <c r="B3278" t="s">
        <v>81</v>
      </c>
      <c r="C3278" t="s">
        <v>365</v>
      </c>
      <c r="D3278" t="s">
        <v>564</v>
      </c>
      <c r="E3278" t="s">
        <v>1385</v>
      </c>
      <c r="F3278" t="s">
        <v>2949</v>
      </c>
      <c r="G3278" t="s">
        <v>8707</v>
      </c>
      <c r="I3278" t="s">
        <v>11383</v>
      </c>
      <c r="J3278">
        <v>10458</v>
      </c>
      <c r="K3278" t="s">
        <v>11446</v>
      </c>
      <c r="L3278" t="s">
        <v>12912</v>
      </c>
      <c r="M3278" t="s">
        <v>14744</v>
      </c>
      <c r="N3278" t="s">
        <v>14778</v>
      </c>
      <c r="O3278" t="s">
        <v>14786</v>
      </c>
      <c r="P3278" t="s">
        <v>14802</v>
      </c>
      <c r="Q3278" t="s">
        <v>11448</v>
      </c>
      <c r="S3278" t="s">
        <v>14827</v>
      </c>
      <c r="T3278" t="s">
        <v>14832</v>
      </c>
      <c r="U3278" t="s">
        <v>365</v>
      </c>
      <c r="V3278">
        <v>1451.92</v>
      </c>
      <c r="W3278" t="s">
        <v>14858</v>
      </c>
      <c r="X3278" t="s">
        <v>14867</v>
      </c>
      <c r="Y3278" t="s">
        <v>14883</v>
      </c>
      <c r="Z3278" t="s">
        <v>17631</v>
      </c>
      <c r="AB3278" t="s">
        <v>22703</v>
      </c>
      <c r="AC3278">
        <v>44</v>
      </c>
      <c r="AD3278" t="s">
        <v>24595</v>
      </c>
      <c r="AE3278" t="s">
        <v>24616</v>
      </c>
      <c r="AF3278">
        <v>2</v>
      </c>
      <c r="AG3278">
        <v>0</v>
      </c>
      <c r="AH3278">
        <v>3</v>
      </c>
      <c r="AI3278">
        <v>42.19</v>
      </c>
      <c r="AL3278" t="s">
        <v>5011</v>
      </c>
      <c r="AM3278">
        <v>9000</v>
      </c>
      <c r="AS3278">
        <v>0.6</v>
      </c>
      <c r="AT3278" t="s">
        <v>496</v>
      </c>
      <c r="AU3278" t="s">
        <v>78</v>
      </c>
      <c r="AV3278" t="s">
        <v>25335</v>
      </c>
      <c r="AW3278" t="s">
        <v>11447</v>
      </c>
    </row>
    <row r="3279" spans="1:49">
      <c r="A3279" s="1">
        <f>HYPERLINK("https://lsnyc.legalserver.org/matter/dynamic-profile/view/1904969","19-1904969")</f>
        <v>0</v>
      </c>
      <c r="B3279" t="s">
        <v>81</v>
      </c>
      <c r="C3279" t="s">
        <v>593</v>
      </c>
      <c r="D3279" t="s">
        <v>564</v>
      </c>
      <c r="E3279" t="s">
        <v>2706</v>
      </c>
      <c r="F3279" t="s">
        <v>3890</v>
      </c>
      <c r="G3279" t="s">
        <v>8708</v>
      </c>
      <c r="I3279" t="s">
        <v>11383</v>
      </c>
      <c r="J3279">
        <v>10469</v>
      </c>
      <c r="K3279" t="s">
        <v>11446</v>
      </c>
      <c r="L3279" t="s">
        <v>12913</v>
      </c>
      <c r="M3279" t="s">
        <v>14743</v>
      </c>
      <c r="N3279" t="s">
        <v>14778</v>
      </c>
      <c r="O3279" t="s">
        <v>14786</v>
      </c>
      <c r="P3279" t="s">
        <v>14802</v>
      </c>
      <c r="Q3279" t="s">
        <v>11448</v>
      </c>
      <c r="S3279" t="s">
        <v>14827</v>
      </c>
      <c r="T3279" t="s">
        <v>14832</v>
      </c>
      <c r="U3279" t="s">
        <v>618</v>
      </c>
      <c r="V3279">
        <v>0</v>
      </c>
      <c r="W3279" t="s">
        <v>14858</v>
      </c>
      <c r="X3279" t="s">
        <v>14863</v>
      </c>
      <c r="Y3279" t="s">
        <v>14883</v>
      </c>
      <c r="Z3279" t="s">
        <v>17632</v>
      </c>
      <c r="AB3279" t="s">
        <v>22704</v>
      </c>
      <c r="AC3279">
        <v>0</v>
      </c>
      <c r="AD3279" t="s">
        <v>24600</v>
      </c>
      <c r="AF3279">
        <v>12</v>
      </c>
      <c r="AG3279">
        <v>2</v>
      </c>
      <c r="AH3279">
        <v>0</v>
      </c>
      <c r="AI3279">
        <v>85.16</v>
      </c>
      <c r="AL3279" t="s">
        <v>5011</v>
      </c>
      <c r="AM3279">
        <v>14400</v>
      </c>
      <c r="AS3279">
        <v>0.25</v>
      </c>
      <c r="AT3279" t="s">
        <v>618</v>
      </c>
      <c r="AU3279" t="s">
        <v>145</v>
      </c>
      <c r="AV3279" t="s">
        <v>25335</v>
      </c>
      <c r="AW3279" t="s">
        <v>11447</v>
      </c>
    </row>
    <row r="3280" spans="1:49">
      <c r="A3280" s="1">
        <f>HYPERLINK("https://lsnyc.legalserver.org/matter/dynamic-profile/view/1906557","19-1906557")</f>
        <v>0</v>
      </c>
      <c r="B3280" t="s">
        <v>81</v>
      </c>
      <c r="C3280" t="s">
        <v>380</v>
      </c>
      <c r="D3280" t="s">
        <v>564</v>
      </c>
      <c r="E3280" t="s">
        <v>1084</v>
      </c>
      <c r="F3280" t="s">
        <v>1635</v>
      </c>
      <c r="G3280" t="s">
        <v>6817</v>
      </c>
      <c r="H3280" t="s">
        <v>10476</v>
      </c>
      <c r="I3280" t="s">
        <v>11383</v>
      </c>
      <c r="J3280">
        <v>10452</v>
      </c>
      <c r="K3280" t="s">
        <v>11446</v>
      </c>
      <c r="L3280" t="s">
        <v>11465</v>
      </c>
      <c r="M3280" t="s">
        <v>11601</v>
      </c>
      <c r="N3280" t="s">
        <v>14778</v>
      </c>
      <c r="O3280" t="s">
        <v>14786</v>
      </c>
      <c r="P3280" t="s">
        <v>14802</v>
      </c>
      <c r="S3280" t="s">
        <v>14827</v>
      </c>
      <c r="V3280">
        <v>400</v>
      </c>
      <c r="W3280" t="s">
        <v>14858</v>
      </c>
      <c r="X3280" t="s">
        <v>14877</v>
      </c>
      <c r="Y3280" t="s">
        <v>14883</v>
      </c>
      <c r="Z3280" t="s">
        <v>16157</v>
      </c>
      <c r="AC3280">
        <v>36</v>
      </c>
      <c r="AD3280" t="s">
        <v>24599</v>
      </c>
      <c r="AF3280">
        <v>51</v>
      </c>
      <c r="AG3280">
        <v>1</v>
      </c>
      <c r="AH3280">
        <v>0</v>
      </c>
      <c r="AI3280">
        <v>0</v>
      </c>
      <c r="AL3280" t="s">
        <v>5011</v>
      </c>
      <c r="AM3280">
        <v>0</v>
      </c>
      <c r="AS3280">
        <v>0.5</v>
      </c>
      <c r="AT3280" t="s">
        <v>564</v>
      </c>
      <c r="AU3280" t="s">
        <v>145</v>
      </c>
      <c r="AV3280" t="s">
        <v>11459</v>
      </c>
      <c r="AW3280" t="s">
        <v>11447</v>
      </c>
    </row>
    <row r="3281" spans="1:49">
      <c r="A3281" s="1">
        <f>HYPERLINK("https://lsnyc.legalserver.org/matter/dynamic-profile/view/1906389","19-1906389")</f>
        <v>0</v>
      </c>
      <c r="B3281" t="s">
        <v>81</v>
      </c>
      <c r="C3281" t="s">
        <v>485</v>
      </c>
      <c r="D3281" t="s">
        <v>379</v>
      </c>
      <c r="E3281" t="s">
        <v>2707</v>
      </c>
      <c r="F3281" t="s">
        <v>3773</v>
      </c>
      <c r="G3281" t="s">
        <v>8709</v>
      </c>
      <c r="H3281" t="s">
        <v>10719</v>
      </c>
      <c r="I3281" t="s">
        <v>11383</v>
      </c>
      <c r="J3281">
        <v>10451</v>
      </c>
      <c r="K3281" t="s">
        <v>11446</v>
      </c>
      <c r="L3281" t="s">
        <v>12914</v>
      </c>
      <c r="M3281" t="s">
        <v>14743</v>
      </c>
      <c r="N3281" t="s">
        <v>14778</v>
      </c>
      <c r="O3281" t="s">
        <v>14786</v>
      </c>
      <c r="P3281" t="s">
        <v>14802</v>
      </c>
      <c r="Q3281" t="s">
        <v>11448</v>
      </c>
      <c r="S3281" t="s">
        <v>14828</v>
      </c>
      <c r="T3281" t="s">
        <v>14837</v>
      </c>
      <c r="U3281" t="s">
        <v>379</v>
      </c>
      <c r="V3281">
        <v>448</v>
      </c>
      <c r="W3281" t="s">
        <v>14858</v>
      </c>
      <c r="Y3281" t="s">
        <v>14883</v>
      </c>
      <c r="Z3281" t="s">
        <v>17633</v>
      </c>
      <c r="AC3281">
        <v>0</v>
      </c>
      <c r="AD3281" t="s">
        <v>24602</v>
      </c>
      <c r="AF3281">
        <v>31</v>
      </c>
      <c r="AG3281">
        <v>1</v>
      </c>
      <c r="AH3281">
        <v>0</v>
      </c>
      <c r="AI3281">
        <v>76.29000000000001</v>
      </c>
      <c r="AM3281">
        <v>9528</v>
      </c>
      <c r="AS3281">
        <v>0.5</v>
      </c>
      <c r="AT3281" t="s">
        <v>379</v>
      </c>
      <c r="AU3281" t="s">
        <v>145</v>
      </c>
      <c r="AV3281" t="s">
        <v>25335</v>
      </c>
      <c r="AW3281" t="s">
        <v>11447</v>
      </c>
    </row>
    <row r="3282" spans="1:49">
      <c r="A3282" s="1">
        <f>HYPERLINK("https://lsnyc.legalserver.org/matter/dynamic-profile/view/1906405","19-1906405")</f>
        <v>0</v>
      </c>
      <c r="B3282" t="s">
        <v>81</v>
      </c>
      <c r="C3282" t="s">
        <v>485</v>
      </c>
      <c r="D3282" t="s">
        <v>379</v>
      </c>
      <c r="E3282" t="s">
        <v>1330</v>
      </c>
      <c r="F3282" t="s">
        <v>5338</v>
      </c>
      <c r="G3282" t="s">
        <v>8710</v>
      </c>
      <c r="H3282" t="s">
        <v>10575</v>
      </c>
      <c r="I3282" t="s">
        <v>11383</v>
      </c>
      <c r="J3282">
        <v>10455</v>
      </c>
      <c r="K3282" t="s">
        <v>11446</v>
      </c>
      <c r="L3282" t="s">
        <v>12915</v>
      </c>
      <c r="M3282" t="s">
        <v>14743</v>
      </c>
      <c r="N3282" t="s">
        <v>14778</v>
      </c>
      <c r="O3282" t="s">
        <v>14786</v>
      </c>
      <c r="P3282" t="s">
        <v>14802</v>
      </c>
      <c r="S3282" t="s">
        <v>14827</v>
      </c>
      <c r="T3282" t="s">
        <v>14832</v>
      </c>
      <c r="V3282">
        <v>178</v>
      </c>
      <c r="W3282" t="s">
        <v>14858</v>
      </c>
      <c r="X3282" t="s">
        <v>14863</v>
      </c>
      <c r="Y3282" t="s">
        <v>14883</v>
      </c>
      <c r="Z3282" t="s">
        <v>16441</v>
      </c>
      <c r="AB3282" t="s">
        <v>22705</v>
      </c>
      <c r="AC3282">
        <v>50</v>
      </c>
      <c r="AD3282" t="s">
        <v>24596</v>
      </c>
      <c r="AE3282" t="s">
        <v>14755</v>
      </c>
      <c r="AF3282">
        <v>3</v>
      </c>
      <c r="AG3282">
        <v>2</v>
      </c>
      <c r="AH3282">
        <v>0</v>
      </c>
      <c r="AI3282">
        <v>60.75</v>
      </c>
      <c r="AL3282" t="s">
        <v>5011</v>
      </c>
      <c r="AM3282">
        <v>10272</v>
      </c>
      <c r="AS3282">
        <v>0.5</v>
      </c>
      <c r="AT3282" t="s">
        <v>379</v>
      </c>
      <c r="AU3282" t="s">
        <v>145</v>
      </c>
      <c r="AV3282" t="s">
        <v>25335</v>
      </c>
      <c r="AW3282" t="s">
        <v>11447</v>
      </c>
    </row>
    <row r="3283" spans="1:49">
      <c r="A3283" s="1">
        <f>HYPERLINK("https://lsnyc.legalserver.org/matter/dynamic-profile/view/1906548","19-1906548")</f>
        <v>0</v>
      </c>
      <c r="B3283" t="s">
        <v>81</v>
      </c>
      <c r="C3283" t="s">
        <v>380</v>
      </c>
      <c r="D3283" t="s">
        <v>366</v>
      </c>
      <c r="E3283" t="s">
        <v>2708</v>
      </c>
      <c r="F3283" t="s">
        <v>5339</v>
      </c>
      <c r="G3283" t="s">
        <v>8711</v>
      </c>
      <c r="H3283" t="s">
        <v>10542</v>
      </c>
      <c r="I3283" t="s">
        <v>11383</v>
      </c>
      <c r="J3283">
        <v>10453</v>
      </c>
      <c r="K3283" t="s">
        <v>11446</v>
      </c>
      <c r="L3283" t="s">
        <v>12916</v>
      </c>
      <c r="M3283" t="s">
        <v>14744</v>
      </c>
      <c r="N3283" t="s">
        <v>14778</v>
      </c>
      <c r="O3283" t="s">
        <v>14786</v>
      </c>
      <c r="P3283" t="s">
        <v>14802</v>
      </c>
      <c r="Q3283" t="s">
        <v>11448</v>
      </c>
      <c r="S3283" t="s">
        <v>14827</v>
      </c>
      <c r="T3283" t="s">
        <v>14834</v>
      </c>
      <c r="U3283" t="s">
        <v>366</v>
      </c>
      <c r="V3283">
        <v>1518</v>
      </c>
      <c r="W3283" t="s">
        <v>14858</v>
      </c>
      <c r="Y3283" t="s">
        <v>14883</v>
      </c>
      <c r="Z3283" t="s">
        <v>17634</v>
      </c>
      <c r="AC3283">
        <v>39</v>
      </c>
      <c r="AF3283">
        <v>14</v>
      </c>
      <c r="AG3283">
        <v>1</v>
      </c>
      <c r="AH3283">
        <v>3</v>
      </c>
      <c r="AI3283">
        <v>18.17</v>
      </c>
      <c r="AL3283" t="s">
        <v>5011</v>
      </c>
      <c r="AM3283">
        <v>4680</v>
      </c>
      <c r="AS3283">
        <v>1.3</v>
      </c>
      <c r="AT3283" t="s">
        <v>366</v>
      </c>
      <c r="AU3283" t="s">
        <v>145</v>
      </c>
      <c r="AV3283" t="s">
        <v>25335</v>
      </c>
      <c r="AW3283" t="s">
        <v>11447</v>
      </c>
    </row>
    <row r="3284" spans="1:49">
      <c r="A3284" s="1">
        <f>HYPERLINK("https://lsnyc.legalserver.org/matter/dynamic-profile/view/1900171","19-1900171")</f>
        <v>0</v>
      </c>
      <c r="B3284" t="s">
        <v>69</v>
      </c>
      <c r="C3284" t="s">
        <v>337</v>
      </c>
      <c r="D3284" t="s">
        <v>366</v>
      </c>
      <c r="E3284" t="s">
        <v>2709</v>
      </c>
      <c r="F3284" t="s">
        <v>5340</v>
      </c>
      <c r="G3284" t="s">
        <v>8712</v>
      </c>
      <c r="H3284" t="s">
        <v>10542</v>
      </c>
      <c r="I3284" t="s">
        <v>11383</v>
      </c>
      <c r="J3284">
        <v>10472</v>
      </c>
      <c r="K3284" t="s">
        <v>11446</v>
      </c>
      <c r="L3284" t="s">
        <v>12917</v>
      </c>
      <c r="M3284" t="s">
        <v>14744</v>
      </c>
      <c r="N3284" t="s">
        <v>14778</v>
      </c>
      <c r="O3284" t="s">
        <v>14786</v>
      </c>
      <c r="P3284" t="s">
        <v>14802</v>
      </c>
      <c r="Q3284" t="s">
        <v>11448</v>
      </c>
      <c r="S3284" t="s">
        <v>14827</v>
      </c>
      <c r="T3284" t="s">
        <v>14836</v>
      </c>
      <c r="U3284" t="s">
        <v>464</v>
      </c>
      <c r="V3284">
        <v>1350</v>
      </c>
      <c r="W3284" t="s">
        <v>14858</v>
      </c>
      <c r="Y3284" t="s">
        <v>14883</v>
      </c>
      <c r="Z3284" t="s">
        <v>17635</v>
      </c>
      <c r="AB3284" t="s">
        <v>22706</v>
      </c>
      <c r="AC3284">
        <v>46</v>
      </c>
      <c r="AD3284" t="s">
        <v>24595</v>
      </c>
      <c r="AE3284" t="s">
        <v>11459</v>
      </c>
      <c r="AF3284">
        <v>6</v>
      </c>
      <c r="AG3284">
        <v>3</v>
      </c>
      <c r="AH3284">
        <v>0</v>
      </c>
      <c r="AI3284">
        <v>91.03</v>
      </c>
      <c r="AL3284" t="s">
        <v>24646</v>
      </c>
      <c r="AM3284">
        <v>19417</v>
      </c>
      <c r="AN3284" t="s">
        <v>24848</v>
      </c>
      <c r="AS3284">
        <v>5</v>
      </c>
      <c r="AT3284" t="s">
        <v>362</v>
      </c>
      <c r="AU3284" t="s">
        <v>145</v>
      </c>
      <c r="AV3284" t="s">
        <v>25335</v>
      </c>
      <c r="AW3284" t="s">
        <v>11447</v>
      </c>
    </row>
    <row r="3285" spans="1:49">
      <c r="A3285" s="1">
        <f>HYPERLINK("https://lsnyc.legalserver.org/matter/dynamic-profile/view/1906942","19-1906942")</f>
        <v>0</v>
      </c>
      <c r="B3285" t="s">
        <v>89</v>
      </c>
      <c r="C3285" t="s">
        <v>354</v>
      </c>
      <c r="D3285" t="s">
        <v>465</v>
      </c>
      <c r="E3285" t="s">
        <v>2710</v>
      </c>
      <c r="F3285" t="s">
        <v>3584</v>
      </c>
      <c r="G3285" t="s">
        <v>8713</v>
      </c>
      <c r="H3285" t="s">
        <v>10579</v>
      </c>
      <c r="I3285" t="s">
        <v>11383</v>
      </c>
      <c r="J3285">
        <v>10455</v>
      </c>
      <c r="K3285" t="s">
        <v>11446</v>
      </c>
      <c r="L3285" t="s">
        <v>12918</v>
      </c>
      <c r="M3285" t="s">
        <v>14764</v>
      </c>
      <c r="N3285" t="s">
        <v>14778</v>
      </c>
      <c r="O3285" t="s">
        <v>14786</v>
      </c>
      <c r="P3285" t="s">
        <v>14802</v>
      </c>
      <c r="Q3285" t="s">
        <v>11448</v>
      </c>
      <c r="S3285" t="s">
        <v>14827</v>
      </c>
      <c r="T3285" t="s">
        <v>14834</v>
      </c>
      <c r="U3285" t="s">
        <v>354</v>
      </c>
      <c r="V3285">
        <v>1400</v>
      </c>
      <c r="W3285" t="s">
        <v>14858</v>
      </c>
      <c r="X3285" t="s">
        <v>14873</v>
      </c>
      <c r="Y3285" t="s">
        <v>14883</v>
      </c>
      <c r="Z3285" t="s">
        <v>17636</v>
      </c>
      <c r="AA3285" t="s">
        <v>19695</v>
      </c>
      <c r="AB3285" t="s">
        <v>22707</v>
      </c>
      <c r="AC3285">
        <v>49</v>
      </c>
      <c r="AD3285" t="s">
        <v>24597</v>
      </c>
      <c r="AE3285" t="s">
        <v>11459</v>
      </c>
      <c r="AF3285">
        <v>38</v>
      </c>
      <c r="AG3285">
        <v>1</v>
      </c>
      <c r="AH3285">
        <v>0</v>
      </c>
      <c r="AI3285">
        <v>163.01</v>
      </c>
      <c r="AL3285" t="s">
        <v>5011</v>
      </c>
      <c r="AM3285">
        <v>20360</v>
      </c>
      <c r="AS3285">
        <v>2.5</v>
      </c>
      <c r="AT3285" t="s">
        <v>633</v>
      </c>
      <c r="AU3285" t="s">
        <v>25239</v>
      </c>
      <c r="AV3285" t="s">
        <v>25334</v>
      </c>
      <c r="AW3285" t="s">
        <v>11447</v>
      </c>
    </row>
    <row r="3286" spans="1:49">
      <c r="A3286" s="1">
        <f>HYPERLINK("https://lsnyc.legalserver.org/matter/dynamic-profile/view/1905899","19-1905899")</f>
        <v>0</v>
      </c>
      <c r="B3286" t="s">
        <v>81</v>
      </c>
      <c r="C3286" t="s">
        <v>500</v>
      </c>
      <c r="D3286" t="s">
        <v>633</v>
      </c>
      <c r="E3286" t="s">
        <v>2711</v>
      </c>
      <c r="F3286" t="s">
        <v>5263</v>
      </c>
      <c r="G3286" t="s">
        <v>8714</v>
      </c>
      <c r="H3286" t="s">
        <v>11114</v>
      </c>
      <c r="I3286" t="s">
        <v>11383</v>
      </c>
      <c r="J3286">
        <v>10451</v>
      </c>
      <c r="K3286" t="s">
        <v>11446</v>
      </c>
      <c r="L3286" t="s">
        <v>12919</v>
      </c>
      <c r="M3286" t="s">
        <v>14744</v>
      </c>
      <c r="N3286" t="s">
        <v>14778</v>
      </c>
      <c r="O3286" t="s">
        <v>14786</v>
      </c>
      <c r="P3286" t="s">
        <v>14802</v>
      </c>
      <c r="Q3286" t="s">
        <v>11448</v>
      </c>
      <c r="S3286" t="s">
        <v>14828</v>
      </c>
      <c r="T3286" t="s">
        <v>14834</v>
      </c>
      <c r="U3286" t="s">
        <v>633</v>
      </c>
      <c r="V3286">
        <v>234</v>
      </c>
      <c r="W3286" t="s">
        <v>14858</v>
      </c>
      <c r="X3286" t="s">
        <v>14864</v>
      </c>
      <c r="Y3286" t="s">
        <v>14883</v>
      </c>
      <c r="Z3286" t="s">
        <v>17637</v>
      </c>
      <c r="AB3286" t="s">
        <v>22708</v>
      </c>
      <c r="AC3286">
        <v>477</v>
      </c>
      <c r="AD3286" t="s">
        <v>24597</v>
      </c>
      <c r="AE3286" t="s">
        <v>11459</v>
      </c>
      <c r="AF3286">
        <v>24</v>
      </c>
      <c r="AG3286">
        <v>1</v>
      </c>
      <c r="AH3286">
        <v>0</v>
      </c>
      <c r="AI3286">
        <v>72.42</v>
      </c>
      <c r="AL3286" t="s">
        <v>5011</v>
      </c>
      <c r="AM3286">
        <v>9045</v>
      </c>
      <c r="AS3286">
        <v>0.5</v>
      </c>
      <c r="AT3286" t="s">
        <v>633</v>
      </c>
      <c r="AU3286" t="s">
        <v>25242</v>
      </c>
      <c r="AV3286" t="s">
        <v>25335</v>
      </c>
      <c r="AW3286" t="s">
        <v>11447</v>
      </c>
    </row>
    <row r="3287" spans="1:49">
      <c r="A3287" s="1">
        <f>HYPERLINK("https://lsnyc.legalserver.org/matter/dynamic-profile/view/1906978","19-1906978")</f>
        <v>0</v>
      </c>
      <c r="B3287" t="s">
        <v>81</v>
      </c>
      <c r="C3287" t="s">
        <v>354</v>
      </c>
      <c r="D3287" t="s">
        <v>633</v>
      </c>
      <c r="E3287" t="s">
        <v>2712</v>
      </c>
      <c r="F3287" t="s">
        <v>3614</v>
      </c>
      <c r="G3287" t="s">
        <v>8715</v>
      </c>
      <c r="H3287" t="s">
        <v>11115</v>
      </c>
      <c r="I3287" t="s">
        <v>11383</v>
      </c>
      <c r="J3287">
        <v>10453</v>
      </c>
      <c r="K3287" t="s">
        <v>11446</v>
      </c>
      <c r="L3287" t="s">
        <v>12920</v>
      </c>
      <c r="M3287" t="s">
        <v>14744</v>
      </c>
      <c r="N3287" t="s">
        <v>14778</v>
      </c>
      <c r="O3287" t="s">
        <v>14786</v>
      </c>
      <c r="P3287" t="s">
        <v>14802</v>
      </c>
      <c r="Q3287" t="s">
        <v>11448</v>
      </c>
      <c r="S3287" t="s">
        <v>14827</v>
      </c>
      <c r="U3287" t="s">
        <v>633</v>
      </c>
      <c r="V3287">
        <v>1050</v>
      </c>
      <c r="W3287" t="s">
        <v>14858</v>
      </c>
      <c r="X3287" t="s">
        <v>14865</v>
      </c>
      <c r="Y3287" t="s">
        <v>14883</v>
      </c>
      <c r="Z3287" t="s">
        <v>17638</v>
      </c>
      <c r="AB3287" t="s">
        <v>22709</v>
      </c>
      <c r="AC3287">
        <v>0</v>
      </c>
      <c r="AF3287">
        <v>12</v>
      </c>
      <c r="AG3287">
        <v>1</v>
      </c>
      <c r="AH3287">
        <v>1</v>
      </c>
      <c r="AI3287">
        <v>107.63</v>
      </c>
      <c r="AL3287" t="s">
        <v>24632</v>
      </c>
      <c r="AM3287">
        <v>18200</v>
      </c>
      <c r="AS3287">
        <v>0.5</v>
      </c>
      <c r="AT3287" t="s">
        <v>633</v>
      </c>
      <c r="AU3287" t="s">
        <v>145</v>
      </c>
      <c r="AV3287" t="s">
        <v>25335</v>
      </c>
      <c r="AW3287" t="s">
        <v>11447</v>
      </c>
    </row>
    <row r="3288" spans="1:49">
      <c r="A3288" s="1">
        <f>HYPERLINK("https://lsnyc.legalserver.org/matter/dynamic-profile/view/1907403","19-1907403")</f>
        <v>0</v>
      </c>
      <c r="B3288" t="s">
        <v>81</v>
      </c>
      <c r="C3288" t="s">
        <v>368</v>
      </c>
      <c r="D3288" t="s">
        <v>633</v>
      </c>
      <c r="E3288" t="s">
        <v>2713</v>
      </c>
      <c r="F3288" t="s">
        <v>5341</v>
      </c>
      <c r="G3288" t="s">
        <v>8716</v>
      </c>
      <c r="H3288" t="s">
        <v>10484</v>
      </c>
      <c r="I3288" t="s">
        <v>11383</v>
      </c>
      <c r="J3288">
        <v>10456</v>
      </c>
      <c r="K3288" t="s">
        <v>11448</v>
      </c>
      <c r="M3288" t="s">
        <v>11601</v>
      </c>
      <c r="N3288" t="s">
        <v>14778</v>
      </c>
      <c r="O3288" t="s">
        <v>14786</v>
      </c>
      <c r="P3288" t="s">
        <v>14802</v>
      </c>
      <c r="S3288" t="s">
        <v>14827</v>
      </c>
      <c r="V3288">
        <v>0</v>
      </c>
      <c r="W3288" t="s">
        <v>14858</v>
      </c>
      <c r="X3288" t="s">
        <v>14871</v>
      </c>
      <c r="Y3288" t="s">
        <v>14883</v>
      </c>
      <c r="Z3288" t="s">
        <v>17639</v>
      </c>
      <c r="AB3288" t="s">
        <v>22710</v>
      </c>
      <c r="AC3288">
        <v>0</v>
      </c>
      <c r="AF3288">
        <v>0</v>
      </c>
      <c r="AG3288">
        <v>1</v>
      </c>
      <c r="AH3288">
        <v>2</v>
      </c>
      <c r="AI3288">
        <v>60.95</v>
      </c>
      <c r="AL3288" t="s">
        <v>5011</v>
      </c>
      <c r="AM3288">
        <v>13000</v>
      </c>
      <c r="AS3288">
        <v>1</v>
      </c>
      <c r="AT3288" t="s">
        <v>633</v>
      </c>
      <c r="AU3288" t="s">
        <v>25239</v>
      </c>
      <c r="AW3288" t="s">
        <v>11447</v>
      </c>
    </row>
    <row r="3289" spans="1:49">
      <c r="A3289" s="1">
        <f>HYPERLINK("https://lsnyc.legalserver.org/matter/dynamic-profile/view/1907069","19-1907069")</f>
        <v>0</v>
      </c>
      <c r="B3289" t="s">
        <v>81</v>
      </c>
      <c r="C3289" t="s">
        <v>626</v>
      </c>
      <c r="D3289" t="s">
        <v>377</v>
      </c>
      <c r="E3289" t="s">
        <v>2074</v>
      </c>
      <c r="F3289" t="s">
        <v>5342</v>
      </c>
      <c r="G3289" t="s">
        <v>8717</v>
      </c>
      <c r="H3289">
        <v>4</v>
      </c>
      <c r="I3289" t="s">
        <v>11383</v>
      </c>
      <c r="J3289">
        <v>10460</v>
      </c>
      <c r="K3289" t="s">
        <v>11446</v>
      </c>
      <c r="L3289" t="s">
        <v>12921</v>
      </c>
      <c r="M3289" t="s">
        <v>14743</v>
      </c>
      <c r="N3289" t="s">
        <v>14778</v>
      </c>
      <c r="O3289" t="s">
        <v>14786</v>
      </c>
      <c r="P3289" t="s">
        <v>14802</v>
      </c>
      <c r="Q3289" t="s">
        <v>11448</v>
      </c>
      <c r="S3289" t="s">
        <v>14827</v>
      </c>
      <c r="U3289" t="s">
        <v>626</v>
      </c>
      <c r="V3289">
        <v>1543.84</v>
      </c>
      <c r="W3289" t="s">
        <v>14858</v>
      </c>
      <c r="X3289" t="s">
        <v>14863</v>
      </c>
      <c r="Y3289" t="s">
        <v>14883</v>
      </c>
      <c r="Z3289" t="s">
        <v>17640</v>
      </c>
      <c r="AB3289" t="s">
        <v>22711</v>
      </c>
      <c r="AC3289">
        <v>4</v>
      </c>
      <c r="AD3289" t="s">
        <v>24600</v>
      </c>
      <c r="AE3289" t="s">
        <v>24610</v>
      </c>
      <c r="AF3289">
        <v>10</v>
      </c>
      <c r="AG3289">
        <v>1</v>
      </c>
      <c r="AH3289">
        <v>1</v>
      </c>
      <c r="AI3289">
        <v>77.42</v>
      </c>
      <c r="AL3289" t="s">
        <v>5011</v>
      </c>
      <c r="AM3289">
        <v>13092</v>
      </c>
      <c r="AS3289">
        <v>1</v>
      </c>
      <c r="AT3289" t="s">
        <v>377</v>
      </c>
      <c r="AU3289" t="s">
        <v>145</v>
      </c>
      <c r="AV3289" t="s">
        <v>25335</v>
      </c>
      <c r="AW3289" t="s">
        <v>11447</v>
      </c>
    </row>
    <row r="3290" spans="1:49">
      <c r="A3290" s="1">
        <f>HYPERLINK("https://lsnyc.legalserver.org/matter/dynamic-profile/view/1895469","19-1895469")</f>
        <v>0</v>
      </c>
      <c r="B3290" t="s">
        <v>86</v>
      </c>
      <c r="C3290" t="s">
        <v>643</v>
      </c>
      <c r="D3290" t="s">
        <v>377</v>
      </c>
      <c r="E3290" t="s">
        <v>1256</v>
      </c>
      <c r="F3290" t="s">
        <v>4673</v>
      </c>
      <c r="G3290" t="s">
        <v>6527</v>
      </c>
      <c r="H3290" t="s">
        <v>11116</v>
      </c>
      <c r="I3290" t="s">
        <v>11383</v>
      </c>
      <c r="J3290">
        <v>10453</v>
      </c>
      <c r="K3290" t="s">
        <v>11446</v>
      </c>
      <c r="L3290" t="s">
        <v>12922</v>
      </c>
      <c r="M3290" t="s">
        <v>14746</v>
      </c>
      <c r="N3290" t="s">
        <v>14778</v>
      </c>
      <c r="O3290" t="s">
        <v>14786</v>
      </c>
      <c r="P3290" t="s">
        <v>14802</v>
      </c>
      <c r="S3290" t="s">
        <v>14827</v>
      </c>
      <c r="T3290" t="s">
        <v>14832</v>
      </c>
      <c r="V3290">
        <v>1174</v>
      </c>
      <c r="W3290" t="s">
        <v>14858</v>
      </c>
      <c r="X3290" t="s">
        <v>14863</v>
      </c>
      <c r="Y3290" t="s">
        <v>14883</v>
      </c>
      <c r="Z3290" t="s">
        <v>17641</v>
      </c>
      <c r="AB3290" t="s">
        <v>22712</v>
      </c>
      <c r="AC3290">
        <v>43</v>
      </c>
      <c r="AD3290" t="s">
        <v>11479</v>
      </c>
      <c r="AF3290">
        <v>0</v>
      </c>
      <c r="AG3290">
        <v>1</v>
      </c>
      <c r="AH3290">
        <v>1</v>
      </c>
      <c r="AI3290">
        <v>105.31</v>
      </c>
      <c r="AL3290" t="s">
        <v>5011</v>
      </c>
      <c r="AM3290">
        <v>17808</v>
      </c>
      <c r="AS3290">
        <v>2</v>
      </c>
      <c r="AT3290" t="s">
        <v>859</v>
      </c>
      <c r="AU3290" t="s">
        <v>94</v>
      </c>
      <c r="AV3290" t="s">
        <v>25335</v>
      </c>
      <c r="AW3290" t="s">
        <v>11446</v>
      </c>
    </row>
    <row r="3291" spans="1:49">
      <c r="A3291" s="1">
        <f>HYPERLINK("https://lsnyc.legalserver.org/matter/dynamic-profile/view/1905500","19-1905500")</f>
        <v>0</v>
      </c>
      <c r="B3291" t="s">
        <v>81</v>
      </c>
      <c r="C3291" t="s">
        <v>520</v>
      </c>
      <c r="D3291" t="s">
        <v>458</v>
      </c>
      <c r="E3291" t="s">
        <v>1181</v>
      </c>
      <c r="F3291" t="s">
        <v>5343</v>
      </c>
      <c r="G3291" t="s">
        <v>8718</v>
      </c>
      <c r="H3291" t="s">
        <v>10476</v>
      </c>
      <c r="I3291" t="s">
        <v>11383</v>
      </c>
      <c r="J3291">
        <v>10466</v>
      </c>
      <c r="K3291" t="s">
        <v>11446</v>
      </c>
      <c r="L3291" t="s">
        <v>12923</v>
      </c>
      <c r="M3291" t="s">
        <v>14744</v>
      </c>
      <c r="N3291" t="s">
        <v>14778</v>
      </c>
      <c r="O3291" t="s">
        <v>14786</v>
      </c>
      <c r="P3291" t="s">
        <v>14802</v>
      </c>
      <c r="Q3291" t="s">
        <v>11448</v>
      </c>
      <c r="S3291" t="s">
        <v>14827</v>
      </c>
      <c r="T3291" t="s">
        <v>14832</v>
      </c>
      <c r="U3291" t="s">
        <v>485</v>
      </c>
      <c r="V3291">
        <v>1398.51</v>
      </c>
      <c r="W3291" t="s">
        <v>14858</v>
      </c>
      <c r="X3291" t="s">
        <v>14863</v>
      </c>
      <c r="Y3291" t="s">
        <v>14883</v>
      </c>
      <c r="Z3291" t="s">
        <v>17642</v>
      </c>
      <c r="AB3291" t="s">
        <v>22713</v>
      </c>
      <c r="AC3291">
        <v>50</v>
      </c>
      <c r="AD3291" t="s">
        <v>24595</v>
      </c>
      <c r="AF3291">
        <v>17</v>
      </c>
      <c r="AG3291">
        <v>3</v>
      </c>
      <c r="AH3291">
        <v>1</v>
      </c>
      <c r="AI3291">
        <v>134.21</v>
      </c>
      <c r="AL3291" t="s">
        <v>5011</v>
      </c>
      <c r="AM3291">
        <v>34560</v>
      </c>
      <c r="AS3291">
        <v>0.5</v>
      </c>
      <c r="AT3291" t="s">
        <v>354</v>
      </c>
      <c r="AU3291" t="s">
        <v>145</v>
      </c>
      <c r="AV3291" t="s">
        <v>25335</v>
      </c>
      <c r="AW3291" t="s">
        <v>11447</v>
      </c>
    </row>
    <row r="3292" spans="1:49">
      <c r="A3292" s="1">
        <f>HYPERLINK("https://lsnyc.legalserver.org/matter/dynamic-profile/view/1907045","19-1907045")</f>
        <v>0</v>
      </c>
      <c r="B3292" t="s">
        <v>81</v>
      </c>
      <c r="C3292" t="s">
        <v>626</v>
      </c>
      <c r="D3292" t="s">
        <v>458</v>
      </c>
      <c r="E3292" t="s">
        <v>2505</v>
      </c>
      <c r="F3292" t="s">
        <v>3769</v>
      </c>
      <c r="G3292" t="s">
        <v>8719</v>
      </c>
      <c r="H3292" t="s">
        <v>10594</v>
      </c>
      <c r="I3292" t="s">
        <v>11383</v>
      </c>
      <c r="J3292">
        <v>10459</v>
      </c>
      <c r="K3292" t="s">
        <v>11446</v>
      </c>
      <c r="L3292" t="s">
        <v>12924</v>
      </c>
      <c r="M3292" t="s">
        <v>14743</v>
      </c>
      <c r="N3292" t="s">
        <v>14778</v>
      </c>
      <c r="O3292" t="s">
        <v>14786</v>
      </c>
      <c r="P3292" t="s">
        <v>14802</v>
      </c>
      <c r="Q3292" t="s">
        <v>11446</v>
      </c>
      <c r="S3292" t="s">
        <v>14827</v>
      </c>
      <c r="T3292" t="s">
        <v>14835</v>
      </c>
      <c r="U3292" t="s">
        <v>626</v>
      </c>
      <c r="V3292">
        <v>826</v>
      </c>
      <c r="W3292" t="s">
        <v>14858</v>
      </c>
      <c r="Y3292" t="s">
        <v>14883</v>
      </c>
      <c r="Z3292" t="s">
        <v>17643</v>
      </c>
      <c r="AA3292" t="s">
        <v>19696</v>
      </c>
      <c r="AB3292" t="s">
        <v>22714</v>
      </c>
      <c r="AC3292">
        <v>27</v>
      </c>
      <c r="AD3292" t="s">
        <v>24595</v>
      </c>
      <c r="AE3292" t="s">
        <v>11459</v>
      </c>
      <c r="AF3292">
        <v>14</v>
      </c>
      <c r="AG3292">
        <v>1</v>
      </c>
      <c r="AH3292">
        <v>3</v>
      </c>
      <c r="AI3292">
        <v>168.95</v>
      </c>
      <c r="AL3292" t="s">
        <v>5011</v>
      </c>
      <c r="AM3292">
        <v>43504</v>
      </c>
      <c r="AS3292">
        <v>0.8</v>
      </c>
      <c r="AT3292" t="s">
        <v>458</v>
      </c>
      <c r="AU3292" t="s">
        <v>145</v>
      </c>
      <c r="AV3292" t="s">
        <v>25335</v>
      </c>
      <c r="AW3292" t="s">
        <v>11447</v>
      </c>
    </row>
    <row r="3293" spans="1:49">
      <c r="A3293" s="1">
        <f>HYPERLINK("https://lsnyc.legalserver.org/matter/dynamic-profile/view/1907521","19-1907521")</f>
        <v>0</v>
      </c>
      <c r="B3293" t="s">
        <v>81</v>
      </c>
      <c r="C3293" t="s">
        <v>465</v>
      </c>
      <c r="D3293" t="s">
        <v>458</v>
      </c>
      <c r="E3293" t="s">
        <v>1652</v>
      </c>
      <c r="F3293" t="s">
        <v>3600</v>
      </c>
      <c r="G3293" t="s">
        <v>8720</v>
      </c>
      <c r="I3293" t="s">
        <v>11383</v>
      </c>
      <c r="J3293">
        <v>10460</v>
      </c>
      <c r="K3293" t="s">
        <v>11446</v>
      </c>
      <c r="L3293" t="s">
        <v>12925</v>
      </c>
      <c r="M3293" t="s">
        <v>14743</v>
      </c>
      <c r="N3293" t="s">
        <v>14778</v>
      </c>
      <c r="O3293" t="s">
        <v>14786</v>
      </c>
      <c r="P3293" t="s">
        <v>14802</v>
      </c>
      <c r="Q3293" t="s">
        <v>11448</v>
      </c>
      <c r="S3293" t="s">
        <v>14827</v>
      </c>
      <c r="U3293" t="s">
        <v>458</v>
      </c>
      <c r="V3293">
        <v>1083</v>
      </c>
      <c r="W3293" t="s">
        <v>14858</v>
      </c>
      <c r="X3293" t="s">
        <v>14863</v>
      </c>
      <c r="Y3293" t="s">
        <v>14883</v>
      </c>
      <c r="Z3293" t="s">
        <v>16396</v>
      </c>
      <c r="AB3293" t="s">
        <v>22715</v>
      </c>
      <c r="AC3293">
        <v>240</v>
      </c>
      <c r="AD3293" t="s">
        <v>24604</v>
      </c>
      <c r="AE3293" t="s">
        <v>24610</v>
      </c>
      <c r="AF3293">
        <v>2</v>
      </c>
      <c r="AG3293">
        <v>4</v>
      </c>
      <c r="AH3293">
        <v>0</v>
      </c>
      <c r="AI3293">
        <v>63</v>
      </c>
      <c r="AL3293" t="s">
        <v>5011</v>
      </c>
      <c r="AM3293">
        <v>16222</v>
      </c>
      <c r="AS3293">
        <v>0.5</v>
      </c>
      <c r="AT3293" t="s">
        <v>458</v>
      </c>
      <c r="AU3293" t="s">
        <v>145</v>
      </c>
      <c r="AV3293" t="s">
        <v>25335</v>
      </c>
      <c r="AW3293" t="s">
        <v>11447</v>
      </c>
    </row>
    <row r="3294" spans="1:49">
      <c r="A3294" s="1">
        <f>HYPERLINK("https://lsnyc.legalserver.org/matter/dynamic-profile/view/1902390","19-1902390")</f>
        <v>0</v>
      </c>
      <c r="B3294" t="s">
        <v>79</v>
      </c>
      <c r="C3294" t="s">
        <v>362</v>
      </c>
      <c r="D3294" t="s">
        <v>375</v>
      </c>
      <c r="E3294" t="s">
        <v>2714</v>
      </c>
      <c r="F3294" t="s">
        <v>5344</v>
      </c>
      <c r="G3294" t="s">
        <v>8721</v>
      </c>
      <c r="H3294" t="s">
        <v>11117</v>
      </c>
      <c r="I3294" t="s">
        <v>11383</v>
      </c>
      <c r="J3294">
        <v>10460</v>
      </c>
      <c r="K3294" t="s">
        <v>11446</v>
      </c>
      <c r="L3294" t="s">
        <v>12926</v>
      </c>
      <c r="M3294" t="s">
        <v>14744</v>
      </c>
      <c r="N3294" t="s">
        <v>14781</v>
      </c>
      <c r="O3294" t="s">
        <v>14788</v>
      </c>
      <c r="P3294" t="s">
        <v>14802</v>
      </c>
      <c r="Q3294" t="s">
        <v>11448</v>
      </c>
      <c r="S3294" t="s">
        <v>14827</v>
      </c>
      <c r="T3294" t="s">
        <v>14832</v>
      </c>
      <c r="U3294" t="s">
        <v>555</v>
      </c>
      <c r="V3294">
        <v>800</v>
      </c>
      <c r="W3294" t="s">
        <v>14858</v>
      </c>
      <c r="X3294" t="s">
        <v>14868</v>
      </c>
      <c r="Y3294" t="s">
        <v>14887</v>
      </c>
      <c r="Z3294" t="s">
        <v>17503</v>
      </c>
      <c r="AA3294" t="s">
        <v>19697</v>
      </c>
      <c r="AB3294" t="s">
        <v>22716</v>
      </c>
      <c r="AC3294">
        <v>102</v>
      </c>
      <c r="AD3294" t="s">
        <v>24598</v>
      </c>
      <c r="AE3294" t="s">
        <v>11459</v>
      </c>
      <c r="AF3294">
        <v>5</v>
      </c>
      <c r="AG3294">
        <v>1</v>
      </c>
      <c r="AH3294">
        <v>1</v>
      </c>
      <c r="AI3294">
        <v>15.26</v>
      </c>
      <c r="AL3294" t="s">
        <v>5011</v>
      </c>
      <c r="AM3294">
        <v>2580</v>
      </c>
      <c r="AO3294" t="s">
        <v>24932</v>
      </c>
      <c r="AP3294" t="s">
        <v>24941</v>
      </c>
      <c r="AQ3294" t="s">
        <v>24986</v>
      </c>
      <c r="AR3294" t="s">
        <v>25071</v>
      </c>
      <c r="AS3294">
        <v>5.1</v>
      </c>
      <c r="AT3294" t="s">
        <v>375</v>
      </c>
      <c r="AU3294" t="s">
        <v>25251</v>
      </c>
      <c r="AV3294" t="s">
        <v>25335</v>
      </c>
      <c r="AW3294" t="s">
        <v>11447</v>
      </c>
    </row>
    <row r="3295" spans="1:49">
      <c r="A3295" s="1">
        <f>HYPERLINK("https://lsnyc.legalserver.org/matter/dynamic-profile/view/1906485","19-1906485")</f>
        <v>0</v>
      </c>
      <c r="B3295" t="s">
        <v>81</v>
      </c>
      <c r="C3295" t="s">
        <v>380</v>
      </c>
      <c r="D3295" t="s">
        <v>375</v>
      </c>
      <c r="E3295" t="s">
        <v>2715</v>
      </c>
      <c r="F3295" t="s">
        <v>3580</v>
      </c>
      <c r="G3295" t="s">
        <v>8722</v>
      </c>
      <c r="H3295" t="s">
        <v>10464</v>
      </c>
      <c r="I3295" t="s">
        <v>11383</v>
      </c>
      <c r="J3295">
        <v>10472</v>
      </c>
      <c r="K3295" t="s">
        <v>11446</v>
      </c>
      <c r="L3295" t="s">
        <v>12927</v>
      </c>
      <c r="M3295" t="s">
        <v>14743</v>
      </c>
      <c r="N3295" t="s">
        <v>14778</v>
      </c>
      <c r="O3295" t="s">
        <v>14786</v>
      </c>
      <c r="P3295" t="s">
        <v>14802</v>
      </c>
      <c r="Q3295" t="s">
        <v>11448</v>
      </c>
      <c r="S3295" t="s">
        <v>14827</v>
      </c>
      <c r="T3295" t="s">
        <v>14832</v>
      </c>
      <c r="U3295" t="s">
        <v>375</v>
      </c>
      <c r="V3295">
        <v>215</v>
      </c>
      <c r="W3295" t="s">
        <v>14858</v>
      </c>
      <c r="X3295" t="s">
        <v>14863</v>
      </c>
      <c r="Y3295" t="s">
        <v>14883</v>
      </c>
      <c r="Z3295" t="s">
        <v>17644</v>
      </c>
      <c r="AB3295" t="s">
        <v>22717</v>
      </c>
      <c r="AC3295">
        <v>4</v>
      </c>
      <c r="AF3295">
        <v>0</v>
      </c>
      <c r="AG3295">
        <v>1</v>
      </c>
      <c r="AH3295">
        <v>0</v>
      </c>
      <c r="AI3295">
        <v>0</v>
      </c>
      <c r="AL3295" t="s">
        <v>5011</v>
      </c>
      <c r="AM3295">
        <v>0</v>
      </c>
      <c r="AS3295">
        <v>1.5</v>
      </c>
      <c r="AT3295" t="s">
        <v>375</v>
      </c>
      <c r="AU3295" t="s">
        <v>145</v>
      </c>
      <c r="AV3295" t="s">
        <v>25335</v>
      </c>
      <c r="AW3295" t="s">
        <v>11447</v>
      </c>
    </row>
    <row r="3296" spans="1:49">
      <c r="A3296" s="1">
        <f>HYPERLINK("https://lsnyc.legalserver.org/matter/dynamic-profile/view/1906298","19-1906298")</f>
        <v>0</v>
      </c>
      <c r="B3296" t="s">
        <v>81</v>
      </c>
      <c r="C3296" t="s">
        <v>355</v>
      </c>
      <c r="D3296" t="s">
        <v>375</v>
      </c>
      <c r="E3296" t="s">
        <v>1361</v>
      </c>
      <c r="F3296" t="s">
        <v>3968</v>
      </c>
      <c r="G3296" t="s">
        <v>8723</v>
      </c>
      <c r="H3296">
        <v>2</v>
      </c>
      <c r="I3296" t="s">
        <v>11383</v>
      </c>
      <c r="J3296">
        <v>10463</v>
      </c>
      <c r="K3296" t="s">
        <v>11446</v>
      </c>
      <c r="L3296" t="s">
        <v>12928</v>
      </c>
      <c r="M3296" t="s">
        <v>14743</v>
      </c>
      <c r="N3296" t="s">
        <v>14778</v>
      </c>
      <c r="O3296" t="s">
        <v>14786</v>
      </c>
      <c r="P3296" t="s">
        <v>14802</v>
      </c>
      <c r="Q3296" t="s">
        <v>11448</v>
      </c>
      <c r="S3296" t="s">
        <v>14827</v>
      </c>
      <c r="T3296" t="s">
        <v>14832</v>
      </c>
      <c r="U3296" t="s">
        <v>375</v>
      </c>
      <c r="V3296">
        <v>1783</v>
      </c>
      <c r="W3296" t="s">
        <v>14858</v>
      </c>
      <c r="Y3296" t="s">
        <v>14883</v>
      </c>
      <c r="Z3296" t="s">
        <v>17645</v>
      </c>
      <c r="AB3296" t="s">
        <v>22718</v>
      </c>
      <c r="AC3296">
        <v>0</v>
      </c>
      <c r="AE3296" t="s">
        <v>24610</v>
      </c>
      <c r="AF3296">
        <v>7</v>
      </c>
      <c r="AG3296">
        <v>5</v>
      </c>
      <c r="AH3296">
        <v>0</v>
      </c>
      <c r="AI3296">
        <v>68.84</v>
      </c>
      <c r="AL3296" t="s">
        <v>5011</v>
      </c>
      <c r="AM3296">
        <v>20768.36</v>
      </c>
      <c r="AS3296">
        <v>0.8</v>
      </c>
      <c r="AT3296" t="s">
        <v>375</v>
      </c>
      <c r="AU3296" t="s">
        <v>145</v>
      </c>
      <c r="AV3296" t="s">
        <v>25335</v>
      </c>
      <c r="AW3296" t="s">
        <v>11447</v>
      </c>
    </row>
    <row r="3297" spans="1:49">
      <c r="A3297" s="1">
        <f>HYPERLINK("https://lsnyc.legalserver.org/matter/dynamic-profile/view/1905909","19-1905909")</f>
        <v>0</v>
      </c>
      <c r="B3297" t="s">
        <v>81</v>
      </c>
      <c r="C3297" t="s">
        <v>500</v>
      </c>
      <c r="D3297" t="s">
        <v>464</v>
      </c>
      <c r="E3297" t="s">
        <v>2035</v>
      </c>
      <c r="F3297" t="s">
        <v>3623</v>
      </c>
      <c r="G3297" t="s">
        <v>6527</v>
      </c>
      <c r="H3297" t="s">
        <v>11118</v>
      </c>
      <c r="I3297" t="s">
        <v>11383</v>
      </c>
      <c r="J3297">
        <v>10453</v>
      </c>
      <c r="K3297" t="s">
        <v>11446</v>
      </c>
      <c r="L3297" t="s">
        <v>12929</v>
      </c>
      <c r="M3297" t="s">
        <v>14744</v>
      </c>
      <c r="N3297" t="s">
        <v>14778</v>
      </c>
      <c r="O3297" t="s">
        <v>14786</v>
      </c>
      <c r="P3297" t="s">
        <v>14802</v>
      </c>
      <c r="Q3297" t="s">
        <v>11448</v>
      </c>
      <c r="S3297" t="s">
        <v>14827</v>
      </c>
      <c r="T3297" t="s">
        <v>14834</v>
      </c>
      <c r="U3297" t="s">
        <v>465</v>
      </c>
      <c r="V3297">
        <v>628</v>
      </c>
      <c r="W3297" t="s">
        <v>14858</v>
      </c>
      <c r="X3297" t="s">
        <v>14863</v>
      </c>
      <c r="Y3297" t="s">
        <v>14883</v>
      </c>
      <c r="Z3297" t="s">
        <v>17646</v>
      </c>
      <c r="AB3297" t="s">
        <v>22719</v>
      </c>
      <c r="AC3297">
        <v>1660</v>
      </c>
      <c r="AD3297" t="s">
        <v>24596</v>
      </c>
      <c r="AE3297" t="s">
        <v>14755</v>
      </c>
      <c r="AF3297">
        <v>10</v>
      </c>
      <c r="AG3297">
        <v>1</v>
      </c>
      <c r="AH3297">
        <v>0</v>
      </c>
      <c r="AI3297">
        <v>84.36</v>
      </c>
      <c r="AL3297" t="s">
        <v>5011</v>
      </c>
      <c r="AM3297">
        <v>10536</v>
      </c>
      <c r="AS3297">
        <v>1.8</v>
      </c>
      <c r="AT3297" t="s">
        <v>464</v>
      </c>
      <c r="AU3297" t="s">
        <v>245</v>
      </c>
      <c r="AV3297" t="s">
        <v>25335</v>
      </c>
      <c r="AW3297" t="s">
        <v>11447</v>
      </c>
    </row>
    <row r="3298" spans="1:49">
      <c r="A3298" s="1">
        <f>HYPERLINK("https://lsnyc.legalserver.org/matter/dynamic-profile/view/1906675","19-1906675")</f>
        <v>0</v>
      </c>
      <c r="B3298" t="s">
        <v>81</v>
      </c>
      <c r="C3298" t="s">
        <v>373</v>
      </c>
      <c r="D3298" t="s">
        <v>464</v>
      </c>
      <c r="E3298" t="s">
        <v>2716</v>
      </c>
      <c r="F3298" t="s">
        <v>3623</v>
      </c>
      <c r="G3298" t="s">
        <v>6997</v>
      </c>
      <c r="H3298">
        <v>2</v>
      </c>
      <c r="I3298" t="s">
        <v>11383</v>
      </c>
      <c r="J3298">
        <v>10473</v>
      </c>
      <c r="K3298" t="s">
        <v>11446</v>
      </c>
      <c r="L3298" t="s">
        <v>12930</v>
      </c>
      <c r="M3298" t="s">
        <v>14743</v>
      </c>
      <c r="N3298" t="s">
        <v>14778</v>
      </c>
      <c r="O3298" t="s">
        <v>14786</v>
      </c>
      <c r="P3298" t="s">
        <v>14802</v>
      </c>
      <c r="Q3298" t="s">
        <v>11448</v>
      </c>
      <c r="S3298" t="s">
        <v>14827</v>
      </c>
      <c r="T3298" t="s">
        <v>14832</v>
      </c>
      <c r="U3298" t="s">
        <v>464</v>
      </c>
      <c r="V3298">
        <v>800</v>
      </c>
      <c r="W3298" t="s">
        <v>14858</v>
      </c>
      <c r="Y3298" t="s">
        <v>14883</v>
      </c>
      <c r="Z3298" t="s">
        <v>16953</v>
      </c>
      <c r="AC3298">
        <v>0</v>
      </c>
      <c r="AD3298" t="s">
        <v>24607</v>
      </c>
      <c r="AE3298" t="s">
        <v>24615</v>
      </c>
      <c r="AF3298">
        <v>1</v>
      </c>
      <c r="AG3298">
        <v>1</v>
      </c>
      <c r="AH3298">
        <v>0</v>
      </c>
      <c r="AI3298">
        <v>83.11</v>
      </c>
      <c r="AL3298" t="s">
        <v>24632</v>
      </c>
      <c r="AM3298">
        <v>10380</v>
      </c>
      <c r="AS3298">
        <v>0.5</v>
      </c>
      <c r="AT3298" t="s">
        <v>464</v>
      </c>
      <c r="AU3298" t="s">
        <v>145</v>
      </c>
      <c r="AV3298" t="s">
        <v>25335</v>
      </c>
      <c r="AW3298" t="s">
        <v>11447</v>
      </c>
    </row>
    <row r="3299" spans="1:49">
      <c r="A3299" s="1">
        <f>HYPERLINK("https://lsnyc.legalserver.org/matter/dynamic-profile/view/1907103","19-1907103")</f>
        <v>0</v>
      </c>
      <c r="B3299" t="s">
        <v>81</v>
      </c>
      <c r="C3299" t="s">
        <v>626</v>
      </c>
      <c r="D3299" t="s">
        <v>464</v>
      </c>
      <c r="E3299" t="s">
        <v>2717</v>
      </c>
      <c r="F3299" t="s">
        <v>5345</v>
      </c>
      <c r="G3299" t="s">
        <v>8724</v>
      </c>
      <c r="I3299" t="s">
        <v>11383</v>
      </c>
      <c r="J3299">
        <v>10472</v>
      </c>
      <c r="K3299" t="s">
        <v>11446</v>
      </c>
      <c r="L3299" t="s">
        <v>12931</v>
      </c>
      <c r="M3299" t="s">
        <v>14744</v>
      </c>
      <c r="N3299" t="s">
        <v>14778</v>
      </c>
      <c r="O3299" t="s">
        <v>14786</v>
      </c>
      <c r="P3299" t="s">
        <v>14802</v>
      </c>
      <c r="Q3299" t="s">
        <v>11448</v>
      </c>
      <c r="S3299" t="s">
        <v>14827</v>
      </c>
      <c r="U3299" t="s">
        <v>464</v>
      </c>
      <c r="V3299">
        <v>990</v>
      </c>
      <c r="W3299" t="s">
        <v>14858</v>
      </c>
      <c r="X3299" t="s">
        <v>14863</v>
      </c>
      <c r="Y3299" t="s">
        <v>14883</v>
      </c>
      <c r="Z3299" t="s">
        <v>17647</v>
      </c>
      <c r="AA3299" t="s">
        <v>19698</v>
      </c>
      <c r="AB3299" t="s">
        <v>22720</v>
      </c>
      <c r="AC3299">
        <v>67</v>
      </c>
      <c r="AD3299" t="s">
        <v>24595</v>
      </c>
      <c r="AE3299" t="s">
        <v>24610</v>
      </c>
      <c r="AF3299">
        <v>0</v>
      </c>
      <c r="AG3299">
        <v>1</v>
      </c>
      <c r="AH3299">
        <v>2</v>
      </c>
      <c r="AI3299">
        <v>189.97</v>
      </c>
      <c r="AL3299" t="s">
        <v>5011</v>
      </c>
      <c r="AM3299">
        <v>40520</v>
      </c>
      <c r="AS3299">
        <v>0.5</v>
      </c>
      <c r="AT3299" t="s">
        <v>464</v>
      </c>
      <c r="AU3299" t="s">
        <v>145</v>
      </c>
      <c r="AV3299" t="s">
        <v>25335</v>
      </c>
      <c r="AW3299" t="s">
        <v>11447</v>
      </c>
    </row>
    <row r="3300" spans="1:49">
      <c r="A3300" s="1">
        <f>HYPERLINK("https://lsnyc.legalserver.org/matter/dynamic-profile/view/1893583","19-1893583")</f>
        <v>0</v>
      </c>
      <c r="B3300" t="s">
        <v>69</v>
      </c>
      <c r="C3300" t="s">
        <v>754</v>
      </c>
      <c r="D3300" t="s">
        <v>464</v>
      </c>
      <c r="E3300" t="s">
        <v>1598</v>
      </c>
      <c r="F3300" t="s">
        <v>3840</v>
      </c>
      <c r="G3300" t="s">
        <v>8725</v>
      </c>
      <c r="H3300" t="s">
        <v>10485</v>
      </c>
      <c r="I3300" t="s">
        <v>11383</v>
      </c>
      <c r="J3300">
        <v>10456</v>
      </c>
      <c r="K3300" t="s">
        <v>11446</v>
      </c>
      <c r="M3300" t="s">
        <v>14746</v>
      </c>
      <c r="N3300" t="s">
        <v>14781</v>
      </c>
      <c r="O3300" t="s">
        <v>14786</v>
      </c>
      <c r="P3300" t="s">
        <v>14802</v>
      </c>
      <c r="S3300" t="s">
        <v>14827</v>
      </c>
      <c r="V3300">
        <v>1004.69</v>
      </c>
      <c r="W3300" t="s">
        <v>14858</v>
      </c>
      <c r="X3300" t="s">
        <v>14865</v>
      </c>
      <c r="Y3300" t="s">
        <v>14883</v>
      </c>
      <c r="Z3300" t="s">
        <v>17648</v>
      </c>
      <c r="AA3300" t="s">
        <v>19699</v>
      </c>
      <c r="AB3300" t="s">
        <v>22721</v>
      </c>
      <c r="AC3300">
        <v>0</v>
      </c>
      <c r="AD3300" t="s">
        <v>24595</v>
      </c>
      <c r="AE3300" t="s">
        <v>24612</v>
      </c>
      <c r="AF3300">
        <v>29</v>
      </c>
      <c r="AG3300">
        <v>2</v>
      </c>
      <c r="AH3300">
        <v>0</v>
      </c>
      <c r="AI3300">
        <v>156.18</v>
      </c>
      <c r="AL3300" t="s">
        <v>5011</v>
      </c>
      <c r="AM3300">
        <v>26410</v>
      </c>
      <c r="AN3300" t="s">
        <v>24849</v>
      </c>
      <c r="AS3300">
        <v>4.75</v>
      </c>
      <c r="AT3300" t="s">
        <v>380</v>
      </c>
      <c r="AU3300" t="s">
        <v>25239</v>
      </c>
      <c r="AW3300" t="s">
        <v>11446</v>
      </c>
    </row>
    <row r="3301" spans="1:49">
      <c r="A3301" s="1">
        <f>HYPERLINK("https://lsnyc.legalserver.org/matter/dynamic-profile/view/1908526","19-1908526")</f>
        <v>0</v>
      </c>
      <c r="B3301" t="s">
        <v>73</v>
      </c>
      <c r="C3301" t="s">
        <v>466</v>
      </c>
      <c r="D3301" t="s">
        <v>497</v>
      </c>
      <c r="E3301" t="s">
        <v>2718</v>
      </c>
      <c r="F3301" t="s">
        <v>5346</v>
      </c>
      <c r="G3301" t="s">
        <v>8726</v>
      </c>
      <c r="I3301" t="s">
        <v>11383</v>
      </c>
      <c r="J3301">
        <v>10463</v>
      </c>
      <c r="K3301" t="s">
        <v>11448</v>
      </c>
      <c r="N3301" t="s">
        <v>14782</v>
      </c>
      <c r="O3301" t="s">
        <v>14786</v>
      </c>
      <c r="P3301" t="s">
        <v>14802</v>
      </c>
      <c r="Q3301" t="s">
        <v>11448</v>
      </c>
      <c r="S3301" t="s">
        <v>14827</v>
      </c>
      <c r="V3301">
        <v>0</v>
      </c>
      <c r="W3301" t="s">
        <v>14858</v>
      </c>
      <c r="X3301" t="s">
        <v>14864</v>
      </c>
      <c r="Y3301" t="s">
        <v>14883</v>
      </c>
      <c r="Z3301" t="s">
        <v>15986</v>
      </c>
      <c r="AB3301" t="s">
        <v>22722</v>
      </c>
      <c r="AC3301">
        <v>0</v>
      </c>
      <c r="AF3301">
        <v>0</v>
      </c>
      <c r="AG3301">
        <v>1</v>
      </c>
      <c r="AH3301">
        <v>0</v>
      </c>
      <c r="AI3301">
        <v>70.34999999999999</v>
      </c>
      <c r="AL3301" t="s">
        <v>5011</v>
      </c>
      <c r="AM3301">
        <v>8786.4</v>
      </c>
      <c r="AS3301">
        <v>0.8</v>
      </c>
      <c r="AT3301" t="s">
        <v>497</v>
      </c>
      <c r="AU3301" t="s">
        <v>25239</v>
      </c>
      <c r="AV3301" t="s">
        <v>11459</v>
      </c>
      <c r="AW3301" t="s">
        <v>11447</v>
      </c>
    </row>
    <row r="3302" spans="1:49">
      <c r="A3302" s="1">
        <f>HYPERLINK("https://lsnyc.legalserver.org/matter/dynamic-profile/view/1906561","19-1906561")</f>
        <v>0</v>
      </c>
      <c r="B3302" t="s">
        <v>81</v>
      </c>
      <c r="C3302" t="s">
        <v>373</v>
      </c>
      <c r="D3302" t="s">
        <v>585</v>
      </c>
      <c r="E3302" t="s">
        <v>2719</v>
      </c>
      <c r="F3302" t="s">
        <v>3769</v>
      </c>
      <c r="G3302" t="s">
        <v>6997</v>
      </c>
      <c r="H3302">
        <v>2</v>
      </c>
      <c r="I3302" t="s">
        <v>11383</v>
      </c>
      <c r="J3302">
        <v>10473</v>
      </c>
      <c r="K3302" t="s">
        <v>11446</v>
      </c>
      <c r="L3302" t="s">
        <v>12930</v>
      </c>
      <c r="M3302" t="s">
        <v>14743</v>
      </c>
      <c r="N3302" t="s">
        <v>14778</v>
      </c>
      <c r="O3302" t="s">
        <v>14786</v>
      </c>
      <c r="P3302" t="s">
        <v>14802</v>
      </c>
      <c r="Q3302" t="s">
        <v>11448</v>
      </c>
      <c r="S3302" t="s">
        <v>14827</v>
      </c>
      <c r="U3302" t="s">
        <v>373</v>
      </c>
      <c r="V3302">
        <v>750</v>
      </c>
      <c r="W3302" t="s">
        <v>14858</v>
      </c>
      <c r="Y3302" t="s">
        <v>14883</v>
      </c>
      <c r="Z3302" t="s">
        <v>16982</v>
      </c>
      <c r="AB3302" t="s">
        <v>22723</v>
      </c>
      <c r="AC3302">
        <v>3</v>
      </c>
      <c r="AD3302" t="s">
        <v>24607</v>
      </c>
      <c r="AE3302" t="s">
        <v>24616</v>
      </c>
      <c r="AF3302">
        <v>1</v>
      </c>
      <c r="AG3302">
        <v>1</v>
      </c>
      <c r="AH3302">
        <v>0</v>
      </c>
      <c r="AI3302">
        <v>81.18000000000001</v>
      </c>
      <c r="AL3302" t="s">
        <v>24632</v>
      </c>
      <c r="AM3302">
        <v>10140</v>
      </c>
      <c r="AS3302">
        <v>0.8</v>
      </c>
      <c r="AT3302" t="s">
        <v>410</v>
      </c>
      <c r="AU3302" t="s">
        <v>145</v>
      </c>
      <c r="AV3302" t="s">
        <v>25335</v>
      </c>
      <c r="AW3302" t="s">
        <v>11447</v>
      </c>
    </row>
    <row r="3303" spans="1:49">
      <c r="A3303" s="1">
        <f>HYPERLINK("https://lsnyc.legalserver.org/matter/dynamic-profile/view/1907111","19-1907111")</f>
        <v>0</v>
      </c>
      <c r="B3303" t="s">
        <v>81</v>
      </c>
      <c r="C3303" t="s">
        <v>626</v>
      </c>
      <c r="D3303" t="s">
        <v>585</v>
      </c>
      <c r="E3303" t="s">
        <v>1247</v>
      </c>
      <c r="F3303" t="s">
        <v>4310</v>
      </c>
      <c r="G3303" t="s">
        <v>8727</v>
      </c>
      <c r="I3303" t="s">
        <v>11383</v>
      </c>
      <c r="J3303">
        <v>10456</v>
      </c>
      <c r="K3303" t="s">
        <v>11446</v>
      </c>
      <c r="L3303" t="s">
        <v>12932</v>
      </c>
      <c r="M3303" t="s">
        <v>14743</v>
      </c>
      <c r="N3303" t="s">
        <v>14778</v>
      </c>
      <c r="O3303" t="s">
        <v>14786</v>
      </c>
      <c r="P3303" t="s">
        <v>14802</v>
      </c>
      <c r="Q3303" t="s">
        <v>11448</v>
      </c>
      <c r="S3303" t="s">
        <v>14827</v>
      </c>
      <c r="T3303" t="s">
        <v>14832</v>
      </c>
      <c r="U3303" t="s">
        <v>626</v>
      </c>
      <c r="V3303">
        <v>783</v>
      </c>
      <c r="W3303" t="s">
        <v>14858</v>
      </c>
      <c r="X3303" t="s">
        <v>14863</v>
      </c>
      <c r="Y3303" t="s">
        <v>14883</v>
      </c>
      <c r="Z3303" t="s">
        <v>17649</v>
      </c>
      <c r="AB3303" t="s">
        <v>22724</v>
      </c>
      <c r="AC3303">
        <v>30</v>
      </c>
      <c r="AF3303">
        <v>27</v>
      </c>
      <c r="AG3303">
        <v>2</v>
      </c>
      <c r="AH3303">
        <v>0</v>
      </c>
      <c r="AI3303">
        <v>65.29000000000001</v>
      </c>
      <c r="AL3303" t="s">
        <v>5011</v>
      </c>
      <c r="AM3303">
        <v>11040</v>
      </c>
      <c r="AS3303">
        <v>0.5</v>
      </c>
      <c r="AT3303" t="s">
        <v>410</v>
      </c>
      <c r="AU3303" t="s">
        <v>145</v>
      </c>
      <c r="AV3303" t="s">
        <v>25335</v>
      </c>
      <c r="AW3303" t="s">
        <v>11447</v>
      </c>
    </row>
    <row r="3304" spans="1:49">
      <c r="A3304" s="1">
        <f>HYPERLINK("https://lsnyc.legalserver.org/matter/dynamic-profile/view/1907117","19-1907117")</f>
        <v>0</v>
      </c>
      <c r="B3304" t="s">
        <v>81</v>
      </c>
      <c r="C3304" t="s">
        <v>626</v>
      </c>
      <c r="D3304" t="s">
        <v>585</v>
      </c>
      <c r="E3304" t="s">
        <v>1111</v>
      </c>
      <c r="F3304" t="s">
        <v>3662</v>
      </c>
      <c r="G3304" t="s">
        <v>8728</v>
      </c>
      <c r="H3304" t="s">
        <v>10523</v>
      </c>
      <c r="I3304" t="s">
        <v>11383</v>
      </c>
      <c r="J3304">
        <v>10456</v>
      </c>
      <c r="K3304" t="s">
        <v>11446</v>
      </c>
      <c r="L3304" t="s">
        <v>12933</v>
      </c>
      <c r="M3304" t="s">
        <v>14743</v>
      </c>
      <c r="N3304" t="s">
        <v>14778</v>
      </c>
      <c r="O3304" t="s">
        <v>14786</v>
      </c>
      <c r="P3304" t="s">
        <v>14802</v>
      </c>
      <c r="Q3304" t="s">
        <v>11448</v>
      </c>
      <c r="S3304" t="s">
        <v>14827</v>
      </c>
      <c r="T3304" t="s">
        <v>14832</v>
      </c>
      <c r="U3304" t="s">
        <v>626</v>
      </c>
      <c r="V3304">
        <v>430</v>
      </c>
      <c r="W3304" t="s">
        <v>14858</v>
      </c>
      <c r="X3304" t="s">
        <v>14865</v>
      </c>
      <c r="Y3304" t="s">
        <v>14883</v>
      </c>
      <c r="Z3304" t="s">
        <v>17650</v>
      </c>
      <c r="AC3304">
        <v>0</v>
      </c>
      <c r="AD3304" t="s">
        <v>24602</v>
      </c>
      <c r="AF3304">
        <v>26</v>
      </c>
      <c r="AG3304">
        <v>1</v>
      </c>
      <c r="AH3304">
        <v>3</v>
      </c>
      <c r="AI3304">
        <v>100.97</v>
      </c>
      <c r="AL3304" t="s">
        <v>5011</v>
      </c>
      <c r="AM3304">
        <v>26000</v>
      </c>
      <c r="AS3304">
        <v>0.5</v>
      </c>
      <c r="AT3304" t="s">
        <v>410</v>
      </c>
      <c r="AU3304" t="s">
        <v>145</v>
      </c>
      <c r="AV3304" t="s">
        <v>25335</v>
      </c>
      <c r="AW3304" t="s">
        <v>11447</v>
      </c>
    </row>
    <row r="3305" spans="1:49">
      <c r="A3305" s="1">
        <f>HYPERLINK("https://lsnyc.legalserver.org/matter/dynamic-profile/view/1907447","19-1907447")</f>
        <v>0</v>
      </c>
      <c r="B3305" t="s">
        <v>81</v>
      </c>
      <c r="C3305" t="s">
        <v>465</v>
      </c>
      <c r="D3305" t="s">
        <v>585</v>
      </c>
      <c r="E3305" t="s">
        <v>2322</v>
      </c>
      <c r="F3305" t="s">
        <v>5347</v>
      </c>
      <c r="G3305" t="s">
        <v>8729</v>
      </c>
      <c r="H3305">
        <v>3</v>
      </c>
      <c r="I3305" t="s">
        <v>11383</v>
      </c>
      <c r="J3305">
        <v>10466</v>
      </c>
      <c r="K3305" t="s">
        <v>11446</v>
      </c>
      <c r="L3305" t="s">
        <v>12934</v>
      </c>
      <c r="M3305" t="s">
        <v>14743</v>
      </c>
      <c r="N3305" t="s">
        <v>14778</v>
      </c>
      <c r="O3305" t="s">
        <v>14786</v>
      </c>
      <c r="P3305" t="s">
        <v>14802</v>
      </c>
      <c r="Q3305" t="s">
        <v>11448</v>
      </c>
      <c r="S3305" t="s">
        <v>14827</v>
      </c>
      <c r="U3305" t="s">
        <v>465</v>
      </c>
      <c r="V3305">
        <v>1100</v>
      </c>
      <c r="W3305" t="s">
        <v>14858</v>
      </c>
      <c r="X3305" t="s">
        <v>14863</v>
      </c>
      <c r="Y3305" t="s">
        <v>14883</v>
      </c>
      <c r="Z3305" t="s">
        <v>17651</v>
      </c>
      <c r="AB3305" t="s">
        <v>22725</v>
      </c>
      <c r="AC3305">
        <v>6</v>
      </c>
      <c r="AD3305" t="s">
        <v>24600</v>
      </c>
      <c r="AF3305">
        <v>5</v>
      </c>
      <c r="AG3305">
        <v>1</v>
      </c>
      <c r="AH3305">
        <v>0</v>
      </c>
      <c r="AI3305">
        <v>90.31</v>
      </c>
      <c r="AL3305" t="s">
        <v>5011</v>
      </c>
      <c r="AM3305">
        <v>11280</v>
      </c>
      <c r="AS3305">
        <v>0.5</v>
      </c>
      <c r="AT3305" t="s">
        <v>585</v>
      </c>
      <c r="AU3305" t="s">
        <v>145</v>
      </c>
      <c r="AV3305" t="s">
        <v>25335</v>
      </c>
      <c r="AW3305" t="s">
        <v>11447</v>
      </c>
    </row>
    <row r="3306" spans="1:49">
      <c r="A3306" s="1">
        <f>HYPERLINK("https://lsnyc.legalserver.org/matter/dynamic-profile/view/1895913","19-1895913")</f>
        <v>0</v>
      </c>
      <c r="B3306" t="s">
        <v>86</v>
      </c>
      <c r="C3306" t="s">
        <v>415</v>
      </c>
      <c r="D3306" t="s">
        <v>585</v>
      </c>
      <c r="E3306" t="s">
        <v>2720</v>
      </c>
      <c r="F3306" t="s">
        <v>3839</v>
      </c>
      <c r="G3306" t="s">
        <v>8730</v>
      </c>
      <c r="H3306" t="s">
        <v>10873</v>
      </c>
      <c r="I3306" t="s">
        <v>11383</v>
      </c>
      <c r="J3306">
        <v>10451</v>
      </c>
      <c r="K3306" t="s">
        <v>11446</v>
      </c>
      <c r="N3306" t="s">
        <v>14779</v>
      </c>
      <c r="O3306" t="s">
        <v>14787</v>
      </c>
      <c r="P3306" t="s">
        <v>14802</v>
      </c>
      <c r="S3306" t="s">
        <v>14830</v>
      </c>
      <c r="V3306">
        <v>0</v>
      </c>
      <c r="W3306" t="s">
        <v>14858</v>
      </c>
      <c r="Y3306" t="s">
        <v>14884</v>
      </c>
      <c r="Z3306" t="s">
        <v>17652</v>
      </c>
      <c r="AB3306" t="s">
        <v>22726</v>
      </c>
      <c r="AC3306">
        <v>10</v>
      </c>
      <c r="AD3306" t="s">
        <v>24597</v>
      </c>
      <c r="AF3306">
        <v>0</v>
      </c>
      <c r="AG3306">
        <v>1</v>
      </c>
      <c r="AH3306">
        <v>3</v>
      </c>
      <c r="AI3306">
        <v>126.21</v>
      </c>
      <c r="AM3306">
        <v>32500</v>
      </c>
      <c r="AS3306">
        <v>3</v>
      </c>
      <c r="AT3306" t="s">
        <v>680</v>
      </c>
      <c r="AU3306" t="s">
        <v>25251</v>
      </c>
      <c r="AV3306" t="s">
        <v>25335</v>
      </c>
      <c r="AW3306" t="s">
        <v>11447</v>
      </c>
    </row>
    <row r="3307" spans="1:49">
      <c r="A3307" s="1">
        <f>HYPERLINK("https://lsnyc.legalserver.org/matter/dynamic-profile/view/1907097","19-1907097")</f>
        <v>0</v>
      </c>
      <c r="B3307" t="s">
        <v>81</v>
      </c>
      <c r="C3307" t="s">
        <v>626</v>
      </c>
      <c r="D3307" t="s">
        <v>640</v>
      </c>
      <c r="E3307" t="s">
        <v>2721</v>
      </c>
      <c r="F3307" t="s">
        <v>5348</v>
      </c>
      <c r="G3307" t="s">
        <v>8731</v>
      </c>
      <c r="H3307" t="s">
        <v>10451</v>
      </c>
      <c r="I3307" t="s">
        <v>11383</v>
      </c>
      <c r="J3307">
        <v>10452</v>
      </c>
      <c r="K3307" t="s">
        <v>11446</v>
      </c>
      <c r="L3307" t="s">
        <v>12935</v>
      </c>
      <c r="M3307" t="s">
        <v>14744</v>
      </c>
      <c r="N3307" t="s">
        <v>14778</v>
      </c>
      <c r="O3307" t="s">
        <v>14786</v>
      </c>
      <c r="P3307" t="s">
        <v>14802</v>
      </c>
      <c r="Q3307" t="s">
        <v>11448</v>
      </c>
      <c r="S3307" t="s">
        <v>14827</v>
      </c>
      <c r="T3307" t="s">
        <v>14835</v>
      </c>
      <c r="U3307" t="s">
        <v>626</v>
      </c>
      <c r="V3307">
        <v>1050</v>
      </c>
      <c r="W3307" t="s">
        <v>14858</v>
      </c>
      <c r="X3307" t="s">
        <v>14873</v>
      </c>
      <c r="Y3307" t="s">
        <v>14883</v>
      </c>
      <c r="Z3307" t="s">
        <v>17653</v>
      </c>
      <c r="AC3307">
        <v>54</v>
      </c>
      <c r="AD3307" t="s">
        <v>24595</v>
      </c>
      <c r="AF3307">
        <v>23</v>
      </c>
      <c r="AG3307">
        <v>1</v>
      </c>
      <c r="AH3307">
        <v>0</v>
      </c>
      <c r="AI3307">
        <v>67.25</v>
      </c>
      <c r="AL3307" t="s">
        <v>24632</v>
      </c>
      <c r="AM3307">
        <v>8400</v>
      </c>
      <c r="AS3307">
        <v>0.5</v>
      </c>
      <c r="AT3307" t="s">
        <v>640</v>
      </c>
      <c r="AU3307" t="s">
        <v>145</v>
      </c>
      <c r="AV3307" t="s">
        <v>25335</v>
      </c>
      <c r="AW3307" t="s">
        <v>11447</v>
      </c>
    </row>
    <row r="3308" spans="1:49">
      <c r="A3308" s="1">
        <f>HYPERLINK("https://lsnyc.legalserver.org/matter/dynamic-profile/view/1907434","19-1907434")</f>
        <v>0</v>
      </c>
      <c r="B3308" t="s">
        <v>81</v>
      </c>
      <c r="C3308" t="s">
        <v>465</v>
      </c>
      <c r="D3308" t="s">
        <v>641</v>
      </c>
      <c r="E3308" t="s">
        <v>2722</v>
      </c>
      <c r="F3308" t="s">
        <v>4079</v>
      </c>
      <c r="G3308" t="s">
        <v>8732</v>
      </c>
      <c r="H3308" t="s">
        <v>10719</v>
      </c>
      <c r="I3308" t="s">
        <v>11383</v>
      </c>
      <c r="J3308">
        <v>10474</v>
      </c>
      <c r="K3308" t="s">
        <v>11446</v>
      </c>
      <c r="L3308" t="s">
        <v>12936</v>
      </c>
      <c r="M3308" t="s">
        <v>14743</v>
      </c>
      <c r="N3308" t="s">
        <v>14778</v>
      </c>
      <c r="O3308" t="s">
        <v>14786</v>
      </c>
      <c r="P3308" t="s">
        <v>14802</v>
      </c>
      <c r="Q3308" t="s">
        <v>11448</v>
      </c>
      <c r="S3308" t="s">
        <v>14827</v>
      </c>
      <c r="U3308" t="s">
        <v>465</v>
      </c>
      <c r="V3308">
        <v>1316</v>
      </c>
      <c r="W3308" t="s">
        <v>14858</v>
      </c>
      <c r="X3308" t="s">
        <v>14863</v>
      </c>
      <c r="Y3308" t="s">
        <v>14883</v>
      </c>
      <c r="Z3308" t="s">
        <v>17654</v>
      </c>
      <c r="AB3308" t="s">
        <v>22727</v>
      </c>
      <c r="AC3308">
        <v>44</v>
      </c>
      <c r="AD3308" t="s">
        <v>24595</v>
      </c>
      <c r="AF3308">
        <v>3</v>
      </c>
      <c r="AG3308">
        <v>1</v>
      </c>
      <c r="AH3308">
        <v>2</v>
      </c>
      <c r="AI3308">
        <v>183.45</v>
      </c>
      <c r="AL3308" t="s">
        <v>5011</v>
      </c>
      <c r="AM3308">
        <v>39130</v>
      </c>
      <c r="AS3308">
        <v>1</v>
      </c>
      <c r="AT3308" t="s">
        <v>641</v>
      </c>
      <c r="AU3308" t="s">
        <v>145</v>
      </c>
      <c r="AV3308" t="s">
        <v>25335</v>
      </c>
      <c r="AW3308" t="s">
        <v>11447</v>
      </c>
    </row>
    <row r="3309" spans="1:49">
      <c r="A3309" s="1">
        <f>HYPERLINK("https://lsnyc.legalserver.org/matter/dynamic-profile/view/1908833","19-1908833")</f>
        <v>0</v>
      </c>
      <c r="B3309" t="s">
        <v>295</v>
      </c>
      <c r="C3309" t="s">
        <v>585</v>
      </c>
      <c r="D3309" t="s">
        <v>462</v>
      </c>
      <c r="E3309" t="s">
        <v>1727</v>
      </c>
      <c r="F3309" t="s">
        <v>3848</v>
      </c>
      <c r="G3309" t="s">
        <v>8733</v>
      </c>
      <c r="H3309" t="s">
        <v>10552</v>
      </c>
      <c r="I3309" t="s">
        <v>11383</v>
      </c>
      <c r="J3309">
        <v>10455</v>
      </c>
      <c r="K3309" t="s">
        <v>11446</v>
      </c>
      <c r="L3309" t="s">
        <v>12937</v>
      </c>
      <c r="M3309" t="s">
        <v>14744</v>
      </c>
      <c r="N3309" t="s">
        <v>14778</v>
      </c>
      <c r="O3309" t="s">
        <v>14786</v>
      </c>
      <c r="P3309" t="s">
        <v>14802</v>
      </c>
      <c r="Q3309" t="s">
        <v>11448</v>
      </c>
      <c r="S3309" t="s">
        <v>14827</v>
      </c>
      <c r="T3309" t="s">
        <v>14834</v>
      </c>
      <c r="U3309" t="s">
        <v>585</v>
      </c>
      <c r="V3309">
        <v>1322</v>
      </c>
      <c r="W3309" t="s">
        <v>14858</v>
      </c>
      <c r="X3309" t="s">
        <v>14865</v>
      </c>
      <c r="Y3309" t="s">
        <v>14883</v>
      </c>
      <c r="Z3309" t="s">
        <v>17655</v>
      </c>
      <c r="AA3309">
        <v>37673841</v>
      </c>
      <c r="AC3309">
        <v>8</v>
      </c>
      <c r="AD3309" t="s">
        <v>24600</v>
      </c>
      <c r="AE3309" t="s">
        <v>11459</v>
      </c>
      <c r="AF3309">
        <v>3</v>
      </c>
      <c r="AG3309">
        <v>1</v>
      </c>
      <c r="AH3309">
        <v>1</v>
      </c>
      <c r="AI3309">
        <v>86.09999999999999</v>
      </c>
      <c r="AL3309" t="s">
        <v>5011</v>
      </c>
      <c r="AM3309">
        <v>14560</v>
      </c>
      <c r="AS3309">
        <v>0.5</v>
      </c>
      <c r="AT3309" t="s">
        <v>462</v>
      </c>
      <c r="AU3309" t="s">
        <v>145</v>
      </c>
      <c r="AV3309" t="s">
        <v>25335</v>
      </c>
      <c r="AW3309" t="s">
        <v>11447</v>
      </c>
    </row>
    <row r="3310" spans="1:49">
      <c r="A3310" s="1">
        <f>HYPERLINK("https://lsnyc.legalserver.org/matter/dynamic-profile/view/1909301","19-1909301")</f>
        <v>0</v>
      </c>
      <c r="B3310" t="s">
        <v>296</v>
      </c>
      <c r="C3310" t="s">
        <v>589</v>
      </c>
      <c r="D3310" t="s">
        <v>412</v>
      </c>
      <c r="E3310" t="s">
        <v>2723</v>
      </c>
      <c r="F3310" t="s">
        <v>5349</v>
      </c>
      <c r="G3310" t="s">
        <v>8734</v>
      </c>
      <c r="H3310" t="s">
        <v>10460</v>
      </c>
      <c r="I3310" t="s">
        <v>11383</v>
      </c>
      <c r="J3310">
        <v>10456</v>
      </c>
      <c r="K3310" t="s">
        <v>11446</v>
      </c>
      <c r="L3310" t="s">
        <v>12938</v>
      </c>
      <c r="N3310" t="s">
        <v>14778</v>
      </c>
      <c r="O3310" t="s">
        <v>14786</v>
      </c>
      <c r="P3310" t="s">
        <v>14802</v>
      </c>
      <c r="Q3310" t="s">
        <v>11448</v>
      </c>
      <c r="S3310" t="s">
        <v>14828</v>
      </c>
      <c r="V3310">
        <v>236</v>
      </c>
      <c r="W3310" t="s">
        <v>14858</v>
      </c>
      <c r="X3310" t="s">
        <v>14863</v>
      </c>
      <c r="Y3310" t="s">
        <v>14883</v>
      </c>
      <c r="Z3310" t="s">
        <v>17656</v>
      </c>
      <c r="AB3310" t="s">
        <v>22728</v>
      </c>
      <c r="AC3310">
        <v>0</v>
      </c>
      <c r="AD3310" t="s">
        <v>24597</v>
      </c>
      <c r="AE3310" t="s">
        <v>14755</v>
      </c>
      <c r="AF3310">
        <v>4</v>
      </c>
      <c r="AG3310">
        <v>1</v>
      </c>
      <c r="AH3310">
        <v>3</v>
      </c>
      <c r="AI3310">
        <v>18.13</v>
      </c>
      <c r="AL3310" t="s">
        <v>5011</v>
      </c>
      <c r="AM3310">
        <v>4668</v>
      </c>
      <c r="AS3310">
        <v>0.1</v>
      </c>
      <c r="AT3310" t="s">
        <v>412</v>
      </c>
      <c r="AU3310" t="s">
        <v>25268</v>
      </c>
      <c r="AV3310" t="s">
        <v>25335</v>
      </c>
      <c r="AW3310" t="s">
        <v>11447</v>
      </c>
    </row>
    <row r="3311" spans="1:49">
      <c r="A3311" s="1">
        <f>HYPERLINK("https://lsnyc.legalserver.org/matter/dynamic-profile/view/1908791","19-1908791")</f>
        <v>0</v>
      </c>
      <c r="B3311" t="s">
        <v>81</v>
      </c>
      <c r="C3311" t="s">
        <v>585</v>
      </c>
      <c r="D3311" t="s">
        <v>488</v>
      </c>
      <c r="E3311" t="s">
        <v>2724</v>
      </c>
      <c r="F3311" t="s">
        <v>5350</v>
      </c>
      <c r="G3311" t="s">
        <v>8735</v>
      </c>
      <c r="H3311" t="s">
        <v>10448</v>
      </c>
      <c r="I3311" t="s">
        <v>11383</v>
      </c>
      <c r="J3311">
        <v>10451</v>
      </c>
      <c r="K3311" t="s">
        <v>11446</v>
      </c>
      <c r="L3311" t="s">
        <v>12939</v>
      </c>
      <c r="M3311" t="s">
        <v>14744</v>
      </c>
      <c r="N3311" t="s">
        <v>14778</v>
      </c>
      <c r="O3311" t="s">
        <v>14786</v>
      </c>
      <c r="P3311" t="s">
        <v>14802</v>
      </c>
      <c r="Q3311" t="s">
        <v>11448</v>
      </c>
      <c r="S3311" t="s">
        <v>14827</v>
      </c>
      <c r="T3311" t="s">
        <v>14832</v>
      </c>
      <c r="U3311" t="s">
        <v>585</v>
      </c>
      <c r="V3311">
        <v>638.64</v>
      </c>
      <c r="W3311" t="s">
        <v>14858</v>
      </c>
      <c r="X3311" t="s">
        <v>14863</v>
      </c>
      <c r="Y3311" t="s">
        <v>14883</v>
      </c>
      <c r="Z3311" t="s">
        <v>17657</v>
      </c>
      <c r="AB3311" t="s">
        <v>22729</v>
      </c>
      <c r="AC3311">
        <v>0</v>
      </c>
      <c r="AD3311" t="s">
        <v>24595</v>
      </c>
      <c r="AF3311">
        <v>0</v>
      </c>
      <c r="AG3311">
        <v>1</v>
      </c>
      <c r="AH3311">
        <v>1</v>
      </c>
      <c r="AI3311">
        <v>81.8</v>
      </c>
      <c r="AL3311" t="s">
        <v>5011</v>
      </c>
      <c r="AM3311">
        <v>13832</v>
      </c>
      <c r="AS3311">
        <v>0.8</v>
      </c>
      <c r="AT3311" t="s">
        <v>488</v>
      </c>
      <c r="AU3311" t="s">
        <v>145</v>
      </c>
      <c r="AV3311" t="s">
        <v>25335</v>
      </c>
      <c r="AW3311" t="s">
        <v>11447</v>
      </c>
    </row>
    <row r="3312" spans="1:49">
      <c r="A3312" s="1">
        <f>HYPERLINK("https://lsnyc.legalserver.org/matter/dynamic-profile/view/1899352","19-1899352")</f>
        <v>0</v>
      </c>
      <c r="B3312" t="s">
        <v>112</v>
      </c>
      <c r="C3312" t="s">
        <v>361</v>
      </c>
      <c r="D3312" t="s">
        <v>463</v>
      </c>
      <c r="E3312" t="s">
        <v>2725</v>
      </c>
      <c r="F3312" t="s">
        <v>5351</v>
      </c>
      <c r="G3312" t="s">
        <v>8736</v>
      </c>
      <c r="H3312" t="s">
        <v>10489</v>
      </c>
      <c r="I3312" t="s">
        <v>11383</v>
      </c>
      <c r="J3312">
        <v>10458</v>
      </c>
      <c r="K3312" t="s">
        <v>11446</v>
      </c>
      <c r="L3312" t="s">
        <v>12940</v>
      </c>
      <c r="M3312" t="s">
        <v>14743</v>
      </c>
      <c r="N3312" t="s">
        <v>14778</v>
      </c>
      <c r="O3312" t="s">
        <v>14786</v>
      </c>
      <c r="P3312" t="s">
        <v>14802</v>
      </c>
      <c r="Q3312" t="s">
        <v>11448</v>
      </c>
      <c r="S3312" t="s">
        <v>14827</v>
      </c>
      <c r="T3312" t="s">
        <v>14832</v>
      </c>
      <c r="U3312" t="s">
        <v>545</v>
      </c>
      <c r="V3312">
        <v>1453</v>
      </c>
      <c r="W3312" t="s">
        <v>14858</v>
      </c>
      <c r="Y3312" t="s">
        <v>14883</v>
      </c>
      <c r="Z3312" t="s">
        <v>17658</v>
      </c>
      <c r="AB3312" t="s">
        <v>22730</v>
      </c>
      <c r="AC3312">
        <v>57</v>
      </c>
      <c r="AD3312" t="s">
        <v>11479</v>
      </c>
      <c r="AF3312">
        <v>10</v>
      </c>
      <c r="AG3312">
        <v>1</v>
      </c>
      <c r="AH3312">
        <v>0</v>
      </c>
      <c r="AI3312">
        <v>72.34999999999999</v>
      </c>
      <c r="AL3312" t="s">
        <v>24646</v>
      </c>
      <c r="AM3312">
        <v>9036</v>
      </c>
      <c r="AS3312">
        <v>1.5</v>
      </c>
      <c r="AT3312" t="s">
        <v>463</v>
      </c>
      <c r="AU3312" t="s">
        <v>25252</v>
      </c>
      <c r="AV3312" t="s">
        <v>25335</v>
      </c>
      <c r="AW3312" t="s">
        <v>11447</v>
      </c>
    </row>
    <row r="3313" spans="1:49">
      <c r="A3313" s="1">
        <f>HYPERLINK("https://lsnyc.legalserver.org/matter/dynamic-profile/view/1893026","19-1893026")</f>
        <v>0</v>
      </c>
      <c r="B3313" t="s">
        <v>257</v>
      </c>
      <c r="C3313" t="s">
        <v>751</v>
      </c>
      <c r="D3313" t="s">
        <v>463</v>
      </c>
      <c r="E3313" t="s">
        <v>1244</v>
      </c>
      <c r="F3313" t="s">
        <v>4273</v>
      </c>
      <c r="G3313" t="s">
        <v>8737</v>
      </c>
      <c r="H3313" t="s">
        <v>10522</v>
      </c>
      <c r="I3313" t="s">
        <v>11383</v>
      </c>
      <c r="J3313">
        <v>10459</v>
      </c>
      <c r="K3313" t="s">
        <v>11446</v>
      </c>
      <c r="L3313" t="s">
        <v>12941</v>
      </c>
      <c r="M3313" t="s">
        <v>14743</v>
      </c>
      <c r="N3313" t="s">
        <v>14778</v>
      </c>
      <c r="O3313" t="s">
        <v>14786</v>
      </c>
      <c r="P3313" t="s">
        <v>14802</v>
      </c>
      <c r="Q3313" t="s">
        <v>11448</v>
      </c>
      <c r="S3313" t="s">
        <v>14827</v>
      </c>
      <c r="T3313" t="s">
        <v>14833</v>
      </c>
      <c r="U3313" t="s">
        <v>485</v>
      </c>
      <c r="V3313">
        <v>585</v>
      </c>
      <c r="W3313" t="s">
        <v>14858</v>
      </c>
      <c r="X3313" t="s">
        <v>14863</v>
      </c>
      <c r="Y3313" t="s">
        <v>14883</v>
      </c>
      <c r="Z3313" t="s">
        <v>17659</v>
      </c>
      <c r="AB3313" t="s">
        <v>22731</v>
      </c>
      <c r="AC3313">
        <v>144</v>
      </c>
      <c r="AD3313" t="s">
        <v>24597</v>
      </c>
      <c r="AE3313" t="s">
        <v>11459</v>
      </c>
      <c r="AF3313">
        <v>0</v>
      </c>
      <c r="AG3313">
        <v>1</v>
      </c>
      <c r="AH3313">
        <v>0</v>
      </c>
      <c r="AI3313">
        <v>13.64</v>
      </c>
      <c r="AM3313">
        <v>1704</v>
      </c>
      <c r="AN3313" t="s">
        <v>24850</v>
      </c>
      <c r="AS3313">
        <v>7.2</v>
      </c>
      <c r="AT3313" t="s">
        <v>372</v>
      </c>
      <c r="AU3313" t="s">
        <v>94</v>
      </c>
      <c r="AV3313" t="s">
        <v>25335</v>
      </c>
      <c r="AW3313" t="s">
        <v>11446</v>
      </c>
    </row>
    <row r="3314" spans="1:49">
      <c r="A3314" s="1">
        <f>HYPERLINK("https://lsnyc.legalserver.org/matter/dynamic-profile/view/1903892","19-1903892")</f>
        <v>0</v>
      </c>
      <c r="B3314" t="s">
        <v>257</v>
      </c>
      <c r="C3314" t="s">
        <v>378</v>
      </c>
      <c r="D3314" t="s">
        <v>463</v>
      </c>
      <c r="E3314" t="s">
        <v>2726</v>
      </c>
      <c r="F3314" t="s">
        <v>5352</v>
      </c>
      <c r="G3314" t="s">
        <v>8738</v>
      </c>
      <c r="H3314" t="s">
        <v>10468</v>
      </c>
      <c r="I3314" t="s">
        <v>11383</v>
      </c>
      <c r="J3314">
        <v>10453</v>
      </c>
      <c r="K3314" t="s">
        <v>11446</v>
      </c>
      <c r="L3314" t="s">
        <v>12942</v>
      </c>
      <c r="M3314" t="s">
        <v>14744</v>
      </c>
      <c r="N3314" t="s">
        <v>14781</v>
      </c>
      <c r="O3314" t="s">
        <v>14788</v>
      </c>
      <c r="P3314" t="s">
        <v>14802</v>
      </c>
      <c r="S3314" t="s">
        <v>14827</v>
      </c>
      <c r="T3314" t="s">
        <v>14837</v>
      </c>
      <c r="U3314" t="s">
        <v>455</v>
      </c>
      <c r="V3314">
        <v>338.1</v>
      </c>
      <c r="W3314" t="s">
        <v>14858</v>
      </c>
      <c r="X3314" t="s">
        <v>14868</v>
      </c>
      <c r="Y3314" t="s">
        <v>14887</v>
      </c>
      <c r="Z3314" t="s">
        <v>17660</v>
      </c>
      <c r="AB3314" t="s">
        <v>22732</v>
      </c>
      <c r="AC3314">
        <v>30</v>
      </c>
      <c r="AD3314" t="s">
        <v>24603</v>
      </c>
      <c r="AE3314" t="s">
        <v>14755</v>
      </c>
      <c r="AF3314">
        <v>9</v>
      </c>
      <c r="AG3314">
        <v>1</v>
      </c>
      <c r="AH3314">
        <v>0</v>
      </c>
      <c r="AI3314">
        <v>108.28</v>
      </c>
      <c r="AL3314" t="s">
        <v>5011</v>
      </c>
      <c r="AM3314">
        <v>13524</v>
      </c>
      <c r="AO3314" t="s">
        <v>24931</v>
      </c>
      <c r="AP3314" t="s">
        <v>24942</v>
      </c>
      <c r="AQ3314" t="s">
        <v>24986</v>
      </c>
      <c r="AR3314" t="s">
        <v>25042</v>
      </c>
      <c r="AS3314">
        <v>12.65</v>
      </c>
      <c r="AT3314" t="s">
        <v>497</v>
      </c>
      <c r="AU3314" t="s">
        <v>25226</v>
      </c>
      <c r="AV3314" t="s">
        <v>25335</v>
      </c>
      <c r="AW3314" t="s">
        <v>11447</v>
      </c>
    </row>
    <row r="3315" spans="1:49">
      <c r="A3315" s="1">
        <f>HYPERLINK("https://lsnyc.legalserver.org/matter/dynamic-profile/view/1908380","19-1908380")</f>
        <v>0</v>
      </c>
      <c r="B3315" t="s">
        <v>81</v>
      </c>
      <c r="C3315" t="s">
        <v>464</v>
      </c>
      <c r="D3315" t="s">
        <v>463</v>
      </c>
      <c r="E3315" t="s">
        <v>1024</v>
      </c>
      <c r="F3315" t="s">
        <v>5353</v>
      </c>
      <c r="G3315" t="s">
        <v>8739</v>
      </c>
      <c r="I3315" t="s">
        <v>11383</v>
      </c>
      <c r="J3315">
        <v>10461</v>
      </c>
      <c r="K3315" t="s">
        <v>11446</v>
      </c>
      <c r="L3315" t="s">
        <v>12943</v>
      </c>
      <c r="M3315" t="s">
        <v>14743</v>
      </c>
      <c r="N3315" t="s">
        <v>14778</v>
      </c>
      <c r="O3315" t="s">
        <v>14786</v>
      </c>
      <c r="P3315" t="s">
        <v>14802</v>
      </c>
      <c r="Q3315" t="s">
        <v>11448</v>
      </c>
      <c r="S3315" t="s">
        <v>14827</v>
      </c>
      <c r="T3315" t="s">
        <v>14834</v>
      </c>
      <c r="U3315" t="s">
        <v>14839</v>
      </c>
      <c r="V3315">
        <v>0</v>
      </c>
      <c r="W3315" t="s">
        <v>14858</v>
      </c>
      <c r="X3315" t="s">
        <v>14863</v>
      </c>
      <c r="Y3315" t="s">
        <v>14883</v>
      </c>
      <c r="Z3315" t="s">
        <v>15928</v>
      </c>
      <c r="AB3315" t="s">
        <v>22733</v>
      </c>
      <c r="AC3315">
        <v>2</v>
      </c>
      <c r="AD3315" t="s">
        <v>24600</v>
      </c>
      <c r="AE3315" t="s">
        <v>11459</v>
      </c>
      <c r="AF3315">
        <v>42</v>
      </c>
      <c r="AG3315">
        <v>1</v>
      </c>
      <c r="AH3315">
        <v>0</v>
      </c>
      <c r="AI3315">
        <v>105.68</v>
      </c>
      <c r="AL3315" t="s">
        <v>24652</v>
      </c>
      <c r="AM3315">
        <v>13200</v>
      </c>
      <c r="AS3315">
        <v>2.4</v>
      </c>
      <c r="AT3315" t="s">
        <v>463</v>
      </c>
      <c r="AU3315" t="s">
        <v>25239</v>
      </c>
      <c r="AV3315" t="s">
        <v>25335</v>
      </c>
      <c r="AW3315" t="s">
        <v>11447</v>
      </c>
    </row>
    <row r="3316" spans="1:49">
      <c r="A3316" s="1">
        <f>HYPERLINK("https://lsnyc.legalserver.org/matter/dynamic-profile/view/1909444","19-1909444")</f>
        <v>0</v>
      </c>
      <c r="B3316" t="s">
        <v>201</v>
      </c>
      <c r="C3316" t="s">
        <v>488</v>
      </c>
      <c r="D3316" t="s">
        <v>463</v>
      </c>
      <c r="E3316" t="s">
        <v>2727</v>
      </c>
      <c r="F3316" t="s">
        <v>1395</v>
      </c>
      <c r="G3316" t="s">
        <v>8740</v>
      </c>
      <c r="H3316" t="s">
        <v>10699</v>
      </c>
      <c r="I3316" t="s">
        <v>11383</v>
      </c>
      <c r="J3316">
        <v>10460</v>
      </c>
      <c r="K3316" t="s">
        <v>11446</v>
      </c>
      <c r="L3316" t="s">
        <v>12944</v>
      </c>
      <c r="M3316" t="s">
        <v>14744</v>
      </c>
      <c r="N3316" t="s">
        <v>14778</v>
      </c>
      <c r="O3316" t="s">
        <v>14786</v>
      </c>
      <c r="P3316" t="s">
        <v>14802</v>
      </c>
      <c r="Q3316" t="s">
        <v>11448</v>
      </c>
      <c r="S3316" t="s">
        <v>14827</v>
      </c>
      <c r="T3316" t="s">
        <v>14832</v>
      </c>
      <c r="U3316" t="s">
        <v>488</v>
      </c>
      <c r="V3316">
        <v>1510.83</v>
      </c>
      <c r="W3316" t="s">
        <v>14858</v>
      </c>
      <c r="X3316" t="s">
        <v>14868</v>
      </c>
      <c r="Y3316" t="s">
        <v>14883</v>
      </c>
      <c r="Z3316" t="s">
        <v>17661</v>
      </c>
      <c r="AA3316" t="s">
        <v>19700</v>
      </c>
      <c r="AC3316">
        <v>128</v>
      </c>
      <c r="AD3316" t="s">
        <v>24595</v>
      </c>
      <c r="AE3316" t="s">
        <v>24616</v>
      </c>
      <c r="AF3316">
        <v>2</v>
      </c>
      <c r="AG3316">
        <v>1</v>
      </c>
      <c r="AH3316">
        <v>2</v>
      </c>
      <c r="AI3316">
        <v>103.14</v>
      </c>
      <c r="AL3316" t="s">
        <v>5011</v>
      </c>
      <c r="AM3316">
        <v>22000</v>
      </c>
      <c r="AS3316">
        <v>11.2</v>
      </c>
      <c r="AT3316" t="s">
        <v>463</v>
      </c>
      <c r="AU3316" t="s">
        <v>237</v>
      </c>
      <c r="AV3316" t="s">
        <v>25335</v>
      </c>
      <c r="AW3316" t="s">
        <v>11447</v>
      </c>
    </row>
    <row r="3317" spans="1:49">
      <c r="A3317" s="1">
        <f>HYPERLINK("https://lsnyc.legalserver.org/matter/dynamic-profile/view/1909473","19-1909473")</f>
        <v>0</v>
      </c>
      <c r="B3317" t="s">
        <v>81</v>
      </c>
      <c r="C3317" t="s">
        <v>488</v>
      </c>
      <c r="D3317" t="s">
        <v>504</v>
      </c>
      <c r="E3317" t="s">
        <v>2728</v>
      </c>
      <c r="F3317" t="s">
        <v>5319</v>
      </c>
      <c r="G3317" t="s">
        <v>8741</v>
      </c>
      <c r="H3317" t="s">
        <v>10481</v>
      </c>
      <c r="I3317" t="s">
        <v>11383</v>
      </c>
      <c r="J3317">
        <v>10453</v>
      </c>
      <c r="K3317" t="s">
        <v>11446</v>
      </c>
      <c r="L3317" t="s">
        <v>12945</v>
      </c>
      <c r="M3317" t="s">
        <v>14743</v>
      </c>
      <c r="N3317" t="s">
        <v>14778</v>
      </c>
      <c r="O3317" t="s">
        <v>14786</v>
      </c>
      <c r="P3317" t="s">
        <v>14802</v>
      </c>
      <c r="Q3317" t="s">
        <v>11448</v>
      </c>
      <c r="S3317" t="s">
        <v>14827</v>
      </c>
      <c r="T3317" t="s">
        <v>14834</v>
      </c>
      <c r="U3317" t="s">
        <v>504</v>
      </c>
      <c r="V3317">
        <v>1385</v>
      </c>
      <c r="W3317" t="s">
        <v>14858</v>
      </c>
      <c r="X3317" t="s">
        <v>14868</v>
      </c>
      <c r="Y3317" t="s">
        <v>14883</v>
      </c>
      <c r="Z3317" t="s">
        <v>17662</v>
      </c>
      <c r="AA3317" t="s">
        <v>19701</v>
      </c>
      <c r="AB3317" t="s">
        <v>22734</v>
      </c>
      <c r="AC3317">
        <v>29</v>
      </c>
      <c r="AD3317" t="s">
        <v>24595</v>
      </c>
      <c r="AE3317" t="s">
        <v>11459</v>
      </c>
      <c r="AF3317">
        <v>1</v>
      </c>
      <c r="AG3317">
        <v>1</v>
      </c>
      <c r="AH3317">
        <v>2</v>
      </c>
      <c r="AI3317">
        <v>62.55</v>
      </c>
      <c r="AL3317" t="s">
        <v>5011</v>
      </c>
      <c r="AM3317">
        <v>13341.12</v>
      </c>
      <c r="AS3317">
        <v>1</v>
      </c>
      <c r="AT3317" t="s">
        <v>504</v>
      </c>
      <c r="AU3317" t="s">
        <v>25239</v>
      </c>
      <c r="AV3317" t="s">
        <v>25334</v>
      </c>
      <c r="AW3317" t="s">
        <v>11447</v>
      </c>
    </row>
    <row r="3318" spans="1:49">
      <c r="A3318" s="1">
        <f>HYPERLINK("https://lsnyc.legalserver.org/matter/dynamic-profile/view/1908842","19-1908842")</f>
        <v>0</v>
      </c>
      <c r="B3318" t="s">
        <v>81</v>
      </c>
      <c r="C3318" t="s">
        <v>585</v>
      </c>
      <c r="D3318" t="s">
        <v>504</v>
      </c>
      <c r="E3318" t="s">
        <v>1089</v>
      </c>
      <c r="F3318" t="s">
        <v>2041</v>
      </c>
      <c r="G3318" t="s">
        <v>8742</v>
      </c>
      <c r="H3318" t="s">
        <v>10489</v>
      </c>
      <c r="I3318" t="s">
        <v>11383</v>
      </c>
      <c r="J3318">
        <v>10471</v>
      </c>
      <c r="K3318" t="s">
        <v>11446</v>
      </c>
      <c r="L3318" t="s">
        <v>12946</v>
      </c>
      <c r="M3318" t="s">
        <v>14744</v>
      </c>
      <c r="N3318" t="s">
        <v>14778</v>
      </c>
      <c r="O3318" t="s">
        <v>14786</v>
      </c>
      <c r="P3318" t="s">
        <v>14802</v>
      </c>
      <c r="Q3318" t="s">
        <v>11448</v>
      </c>
      <c r="S3318" t="s">
        <v>14827</v>
      </c>
      <c r="T3318" t="s">
        <v>14832</v>
      </c>
      <c r="U3318" t="s">
        <v>504</v>
      </c>
      <c r="V3318">
        <v>1800</v>
      </c>
      <c r="W3318" t="s">
        <v>14858</v>
      </c>
      <c r="X3318" t="s">
        <v>14865</v>
      </c>
      <c r="Y3318" t="s">
        <v>14883</v>
      </c>
      <c r="Z3318" t="s">
        <v>17186</v>
      </c>
      <c r="AB3318" t="s">
        <v>22735</v>
      </c>
      <c r="AC3318">
        <v>61</v>
      </c>
      <c r="AD3318" t="s">
        <v>24598</v>
      </c>
      <c r="AF3318">
        <v>11</v>
      </c>
      <c r="AG3318">
        <v>3</v>
      </c>
      <c r="AH3318">
        <v>4</v>
      </c>
      <c r="AI3318">
        <v>128.17</v>
      </c>
      <c r="AL3318" t="s">
        <v>5011</v>
      </c>
      <c r="AM3318">
        <v>50000</v>
      </c>
      <c r="AS3318">
        <v>0.6</v>
      </c>
      <c r="AT3318" t="s">
        <v>504</v>
      </c>
      <c r="AU3318" t="s">
        <v>145</v>
      </c>
      <c r="AV3318" t="s">
        <v>25335</v>
      </c>
      <c r="AW3318" t="s">
        <v>11447</v>
      </c>
    </row>
    <row r="3319" spans="1:49">
      <c r="A3319" s="1">
        <f>HYPERLINK("https://lsnyc.legalserver.org/matter/dynamic-profile/view/1907033","19-1907033")</f>
        <v>0</v>
      </c>
      <c r="B3319" t="s">
        <v>81</v>
      </c>
      <c r="C3319" t="s">
        <v>626</v>
      </c>
      <c r="D3319" t="s">
        <v>504</v>
      </c>
      <c r="E3319" t="s">
        <v>1692</v>
      </c>
      <c r="F3319" t="s">
        <v>1114</v>
      </c>
      <c r="G3319" t="s">
        <v>8743</v>
      </c>
      <c r="H3319" t="s">
        <v>10532</v>
      </c>
      <c r="I3319" t="s">
        <v>11383</v>
      </c>
      <c r="J3319">
        <v>10473</v>
      </c>
      <c r="K3319" t="s">
        <v>11446</v>
      </c>
      <c r="L3319" t="s">
        <v>12947</v>
      </c>
      <c r="M3319" t="s">
        <v>14744</v>
      </c>
      <c r="N3319" t="s">
        <v>14778</v>
      </c>
      <c r="O3319" t="s">
        <v>14786</v>
      </c>
      <c r="P3319" t="s">
        <v>14802</v>
      </c>
      <c r="Q3319" t="s">
        <v>11448</v>
      </c>
      <c r="S3319" t="s">
        <v>14827</v>
      </c>
      <c r="T3319" t="s">
        <v>14832</v>
      </c>
      <c r="U3319" t="s">
        <v>504</v>
      </c>
      <c r="V3319">
        <v>1485.31</v>
      </c>
      <c r="W3319" t="s">
        <v>14858</v>
      </c>
      <c r="X3319" t="s">
        <v>14863</v>
      </c>
      <c r="Y3319" t="s">
        <v>14883</v>
      </c>
      <c r="Z3319" t="s">
        <v>17663</v>
      </c>
      <c r="AB3319" t="s">
        <v>22736</v>
      </c>
      <c r="AC3319">
        <v>154</v>
      </c>
      <c r="AD3319" t="s">
        <v>24595</v>
      </c>
      <c r="AF3319">
        <v>11</v>
      </c>
      <c r="AG3319">
        <v>1</v>
      </c>
      <c r="AH3319">
        <v>0</v>
      </c>
      <c r="AI3319">
        <v>164.04</v>
      </c>
      <c r="AL3319" t="s">
        <v>5011</v>
      </c>
      <c r="AM3319">
        <v>20488</v>
      </c>
      <c r="AS3319">
        <v>2.1</v>
      </c>
      <c r="AT3319" t="s">
        <v>504</v>
      </c>
      <c r="AU3319" t="s">
        <v>145</v>
      </c>
      <c r="AV3319" t="s">
        <v>25335</v>
      </c>
      <c r="AW3319" t="s">
        <v>11447</v>
      </c>
    </row>
    <row r="3320" spans="1:49">
      <c r="A3320" s="1">
        <f>HYPERLINK("https://lsnyc.legalserver.org/matter/dynamic-profile/view/1908052","19-1908052")</f>
        <v>0</v>
      </c>
      <c r="B3320" t="s">
        <v>81</v>
      </c>
      <c r="C3320" t="s">
        <v>455</v>
      </c>
      <c r="D3320" t="s">
        <v>468</v>
      </c>
      <c r="E3320" t="s">
        <v>2729</v>
      </c>
      <c r="F3320" t="s">
        <v>3709</v>
      </c>
      <c r="G3320" t="s">
        <v>8744</v>
      </c>
      <c r="H3320">
        <v>30</v>
      </c>
      <c r="I3320" t="s">
        <v>11383</v>
      </c>
      <c r="J3320">
        <v>10458</v>
      </c>
      <c r="K3320" t="s">
        <v>11446</v>
      </c>
      <c r="L3320" t="s">
        <v>12948</v>
      </c>
      <c r="M3320" t="s">
        <v>14744</v>
      </c>
      <c r="N3320" t="s">
        <v>14778</v>
      </c>
      <c r="O3320" t="s">
        <v>14786</v>
      </c>
      <c r="P3320" t="s">
        <v>14802</v>
      </c>
      <c r="Q3320" t="s">
        <v>11448</v>
      </c>
      <c r="S3320" t="s">
        <v>14827</v>
      </c>
      <c r="U3320" t="s">
        <v>468</v>
      </c>
      <c r="V3320">
        <v>1827</v>
      </c>
      <c r="W3320" t="s">
        <v>14858</v>
      </c>
      <c r="X3320" t="s">
        <v>14865</v>
      </c>
      <c r="Y3320" t="s">
        <v>14883</v>
      </c>
      <c r="Z3320" t="s">
        <v>17664</v>
      </c>
      <c r="AA3320" t="s">
        <v>19702</v>
      </c>
      <c r="AB3320" t="s">
        <v>22737</v>
      </c>
      <c r="AC3320">
        <v>30</v>
      </c>
      <c r="AD3320" t="s">
        <v>24595</v>
      </c>
      <c r="AF3320">
        <v>1</v>
      </c>
      <c r="AG3320">
        <v>1</v>
      </c>
      <c r="AH3320">
        <v>0</v>
      </c>
      <c r="AI3320">
        <v>89.67</v>
      </c>
      <c r="AM3320">
        <v>11200</v>
      </c>
      <c r="AS3320">
        <v>0.5</v>
      </c>
      <c r="AT3320" t="s">
        <v>468</v>
      </c>
      <c r="AU3320" t="s">
        <v>145</v>
      </c>
      <c r="AV3320" t="s">
        <v>25335</v>
      </c>
      <c r="AW3320" t="s">
        <v>11447</v>
      </c>
    </row>
    <row r="3321" spans="1:49">
      <c r="A3321" s="1">
        <f>HYPERLINK("https://lsnyc.legalserver.org/matter/dynamic-profile/view/1907455","19-1907455")</f>
        <v>0</v>
      </c>
      <c r="B3321" t="s">
        <v>81</v>
      </c>
      <c r="C3321" t="s">
        <v>465</v>
      </c>
      <c r="D3321" t="s">
        <v>468</v>
      </c>
      <c r="E3321" t="s">
        <v>1170</v>
      </c>
      <c r="F3321" t="s">
        <v>3547</v>
      </c>
      <c r="G3321" t="s">
        <v>8745</v>
      </c>
      <c r="H3321" t="s">
        <v>10620</v>
      </c>
      <c r="I3321" t="s">
        <v>11383</v>
      </c>
      <c r="J3321">
        <v>10474</v>
      </c>
      <c r="K3321" t="s">
        <v>11446</v>
      </c>
      <c r="L3321" t="s">
        <v>12949</v>
      </c>
      <c r="M3321" t="s">
        <v>14744</v>
      </c>
      <c r="N3321" t="s">
        <v>14778</v>
      </c>
      <c r="O3321" t="s">
        <v>14786</v>
      </c>
      <c r="P3321" t="s">
        <v>14802</v>
      </c>
      <c r="Q3321" t="s">
        <v>11448</v>
      </c>
      <c r="S3321" t="s">
        <v>14827</v>
      </c>
      <c r="T3321" t="s">
        <v>14832</v>
      </c>
      <c r="U3321" t="s">
        <v>468</v>
      </c>
      <c r="V3321">
        <v>900</v>
      </c>
      <c r="W3321" t="s">
        <v>14858</v>
      </c>
      <c r="X3321" t="s">
        <v>14863</v>
      </c>
      <c r="Y3321" t="s">
        <v>14883</v>
      </c>
      <c r="Z3321" t="s">
        <v>17665</v>
      </c>
      <c r="AB3321" t="s">
        <v>22738</v>
      </c>
      <c r="AC3321">
        <v>22</v>
      </c>
      <c r="AD3321" t="s">
        <v>24595</v>
      </c>
      <c r="AF3321">
        <v>13</v>
      </c>
      <c r="AG3321">
        <v>1</v>
      </c>
      <c r="AH3321">
        <v>2</v>
      </c>
      <c r="AI3321">
        <v>196.91</v>
      </c>
      <c r="AL3321" t="s">
        <v>5011</v>
      </c>
      <c r="AM3321">
        <v>42000</v>
      </c>
      <c r="AS3321">
        <v>0.9</v>
      </c>
      <c r="AT3321" t="s">
        <v>468</v>
      </c>
      <c r="AU3321" t="s">
        <v>145</v>
      </c>
      <c r="AV3321" t="s">
        <v>25335</v>
      </c>
      <c r="AW3321" t="s">
        <v>11447</v>
      </c>
    </row>
    <row r="3322" spans="1:49">
      <c r="A3322" s="1">
        <f>HYPERLINK("https://lsnyc.legalserver.org/matter/dynamic-profile/view/1909175","19-1909175")</f>
        <v>0</v>
      </c>
      <c r="B3322" t="s">
        <v>81</v>
      </c>
      <c r="C3322" t="s">
        <v>462</v>
      </c>
      <c r="D3322" t="s">
        <v>468</v>
      </c>
      <c r="E3322" t="s">
        <v>1241</v>
      </c>
      <c r="F3322" t="s">
        <v>5354</v>
      </c>
      <c r="G3322" t="s">
        <v>8746</v>
      </c>
      <c r="H3322">
        <v>405</v>
      </c>
      <c r="I3322" t="s">
        <v>11383</v>
      </c>
      <c r="J3322">
        <v>10460</v>
      </c>
      <c r="K3322" t="s">
        <v>11446</v>
      </c>
      <c r="L3322" t="s">
        <v>12950</v>
      </c>
      <c r="M3322" t="s">
        <v>14743</v>
      </c>
      <c r="N3322" t="s">
        <v>14778</v>
      </c>
      <c r="O3322" t="s">
        <v>14786</v>
      </c>
      <c r="P3322" t="s">
        <v>14802</v>
      </c>
      <c r="Q3322" t="s">
        <v>11448</v>
      </c>
      <c r="S3322" t="s">
        <v>14827</v>
      </c>
      <c r="U3322" t="s">
        <v>604</v>
      </c>
      <c r="V3322">
        <v>0</v>
      </c>
      <c r="W3322" t="s">
        <v>14858</v>
      </c>
      <c r="X3322" t="s">
        <v>14873</v>
      </c>
      <c r="Y3322" t="s">
        <v>14883</v>
      </c>
      <c r="Z3322" t="s">
        <v>17666</v>
      </c>
      <c r="AB3322" t="s">
        <v>22739</v>
      </c>
      <c r="AC3322">
        <v>47</v>
      </c>
      <c r="AD3322" t="s">
        <v>24595</v>
      </c>
      <c r="AE3322" t="s">
        <v>24610</v>
      </c>
      <c r="AF3322">
        <v>2</v>
      </c>
      <c r="AG3322">
        <v>1</v>
      </c>
      <c r="AH3322">
        <v>0</v>
      </c>
      <c r="AI3322">
        <v>72.06</v>
      </c>
      <c r="AL3322" t="s">
        <v>5011</v>
      </c>
      <c r="AM3322">
        <v>9000</v>
      </c>
      <c r="AS3322">
        <v>1</v>
      </c>
      <c r="AT3322" t="s">
        <v>468</v>
      </c>
      <c r="AU3322" t="s">
        <v>145</v>
      </c>
      <c r="AV3322" t="s">
        <v>25335</v>
      </c>
      <c r="AW3322" t="s">
        <v>11447</v>
      </c>
    </row>
    <row r="3323" spans="1:49">
      <c r="A3323" s="1">
        <f>HYPERLINK("https://lsnyc.legalserver.org/matter/dynamic-profile/view/1908773","19-1908773")</f>
        <v>0</v>
      </c>
      <c r="B3323" t="s">
        <v>81</v>
      </c>
      <c r="C3323" t="s">
        <v>585</v>
      </c>
      <c r="D3323" t="s">
        <v>468</v>
      </c>
      <c r="E3323" t="s">
        <v>2730</v>
      </c>
      <c r="F3323" t="s">
        <v>5355</v>
      </c>
      <c r="G3323" t="s">
        <v>8747</v>
      </c>
      <c r="H3323" t="s">
        <v>11119</v>
      </c>
      <c r="I3323" t="s">
        <v>11383</v>
      </c>
      <c r="J3323">
        <v>10466</v>
      </c>
      <c r="K3323" t="s">
        <v>11446</v>
      </c>
      <c r="M3323" t="s">
        <v>14743</v>
      </c>
      <c r="N3323" t="s">
        <v>14778</v>
      </c>
      <c r="O3323" t="s">
        <v>14786</v>
      </c>
      <c r="P3323" t="s">
        <v>14802</v>
      </c>
      <c r="Q3323" t="s">
        <v>11448</v>
      </c>
      <c r="S3323" t="s">
        <v>14827</v>
      </c>
      <c r="V3323">
        <v>1300</v>
      </c>
      <c r="W3323" t="s">
        <v>14858</v>
      </c>
      <c r="X3323" t="s">
        <v>14863</v>
      </c>
      <c r="Y3323" t="s">
        <v>14883</v>
      </c>
      <c r="Z3323" t="s">
        <v>17667</v>
      </c>
      <c r="AB3323" t="s">
        <v>22740</v>
      </c>
      <c r="AC3323">
        <v>2</v>
      </c>
      <c r="AD3323" t="s">
        <v>24600</v>
      </c>
      <c r="AE3323" t="s">
        <v>24610</v>
      </c>
      <c r="AF3323">
        <v>2</v>
      </c>
      <c r="AG3323">
        <v>2</v>
      </c>
      <c r="AH3323">
        <v>0</v>
      </c>
      <c r="AI3323">
        <v>123.64</v>
      </c>
      <c r="AL3323" t="s">
        <v>5011</v>
      </c>
      <c r="AM3323">
        <v>20907.24</v>
      </c>
      <c r="AS3323">
        <v>0.9</v>
      </c>
      <c r="AT3323" t="s">
        <v>468</v>
      </c>
      <c r="AU3323" t="s">
        <v>245</v>
      </c>
      <c r="AV3323" t="s">
        <v>25335</v>
      </c>
      <c r="AW3323" t="s">
        <v>11447</v>
      </c>
    </row>
    <row r="3324" spans="1:49">
      <c r="A3324" s="1">
        <f>HYPERLINK("https://lsnyc.legalserver.org/matter/dynamic-profile/view/1903729","19-1903729")</f>
        <v>0</v>
      </c>
      <c r="B3324" t="s">
        <v>89</v>
      </c>
      <c r="C3324" t="s">
        <v>545</v>
      </c>
      <c r="D3324" t="s">
        <v>471</v>
      </c>
      <c r="E3324" t="s">
        <v>2731</v>
      </c>
      <c r="F3324" t="s">
        <v>3961</v>
      </c>
      <c r="G3324" t="s">
        <v>8748</v>
      </c>
      <c r="H3324" t="s">
        <v>10578</v>
      </c>
      <c r="I3324" t="s">
        <v>11383</v>
      </c>
      <c r="J3324">
        <v>10451</v>
      </c>
      <c r="K3324" t="s">
        <v>11446</v>
      </c>
      <c r="L3324" t="s">
        <v>12951</v>
      </c>
      <c r="M3324" t="s">
        <v>14743</v>
      </c>
      <c r="N3324" t="s">
        <v>14779</v>
      </c>
      <c r="O3324" t="s">
        <v>14787</v>
      </c>
      <c r="P3324" t="s">
        <v>14802</v>
      </c>
      <c r="Q3324" t="s">
        <v>11448</v>
      </c>
      <c r="S3324" t="s">
        <v>14827</v>
      </c>
      <c r="T3324" t="s">
        <v>14836</v>
      </c>
      <c r="U3324" t="s">
        <v>545</v>
      </c>
      <c r="V3324">
        <v>0</v>
      </c>
      <c r="W3324" t="s">
        <v>14858</v>
      </c>
      <c r="X3324" t="s">
        <v>14863</v>
      </c>
      <c r="Y3324" t="s">
        <v>14883</v>
      </c>
      <c r="Z3324" t="s">
        <v>17668</v>
      </c>
      <c r="AB3324" t="s">
        <v>22741</v>
      </c>
      <c r="AC3324">
        <v>7</v>
      </c>
      <c r="AD3324" t="s">
        <v>24595</v>
      </c>
      <c r="AE3324" t="s">
        <v>11459</v>
      </c>
      <c r="AF3324">
        <v>40</v>
      </c>
      <c r="AG3324">
        <v>1</v>
      </c>
      <c r="AH3324">
        <v>0</v>
      </c>
      <c r="AI3324">
        <v>0</v>
      </c>
      <c r="AL3324" t="s">
        <v>24632</v>
      </c>
      <c r="AM3324">
        <v>0</v>
      </c>
      <c r="AS3324">
        <v>4.9</v>
      </c>
      <c r="AT3324" t="s">
        <v>471</v>
      </c>
      <c r="AU3324" t="s">
        <v>25239</v>
      </c>
      <c r="AV3324" t="s">
        <v>25335</v>
      </c>
      <c r="AW3324" t="s">
        <v>11447</v>
      </c>
    </row>
    <row r="3325" spans="1:49">
      <c r="A3325" s="1">
        <f>HYPERLINK("https://lsnyc.legalserver.org/matter/dynamic-profile/view/1908373","19-1908373")</f>
        <v>0</v>
      </c>
      <c r="B3325" t="s">
        <v>81</v>
      </c>
      <c r="C3325" t="s">
        <v>464</v>
      </c>
      <c r="D3325" t="s">
        <v>471</v>
      </c>
      <c r="E3325" t="s">
        <v>1725</v>
      </c>
      <c r="F3325" t="s">
        <v>3696</v>
      </c>
      <c r="G3325" t="s">
        <v>8749</v>
      </c>
      <c r="H3325" t="s">
        <v>10581</v>
      </c>
      <c r="I3325" t="s">
        <v>11383</v>
      </c>
      <c r="J3325">
        <v>10458</v>
      </c>
      <c r="K3325" t="s">
        <v>11446</v>
      </c>
      <c r="L3325" t="s">
        <v>12952</v>
      </c>
      <c r="M3325" t="s">
        <v>14743</v>
      </c>
      <c r="N3325" t="s">
        <v>14778</v>
      </c>
      <c r="O3325" t="s">
        <v>14786</v>
      </c>
      <c r="P3325" t="s">
        <v>14802</v>
      </c>
      <c r="Q3325" t="s">
        <v>11448</v>
      </c>
      <c r="S3325" t="s">
        <v>14827</v>
      </c>
      <c r="V3325">
        <v>910.27</v>
      </c>
      <c r="W3325" t="s">
        <v>14858</v>
      </c>
      <c r="X3325" t="s">
        <v>14863</v>
      </c>
      <c r="Y3325" t="s">
        <v>14883</v>
      </c>
      <c r="Z3325" t="s">
        <v>17669</v>
      </c>
      <c r="AC3325">
        <v>6</v>
      </c>
      <c r="AD3325" t="s">
        <v>24595</v>
      </c>
      <c r="AE3325" t="s">
        <v>11459</v>
      </c>
      <c r="AF3325">
        <v>12</v>
      </c>
      <c r="AG3325">
        <v>1</v>
      </c>
      <c r="AH3325">
        <v>0</v>
      </c>
      <c r="AI3325">
        <v>0</v>
      </c>
      <c r="AL3325" t="s">
        <v>5011</v>
      </c>
      <c r="AM3325">
        <v>0</v>
      </c>
      <c r="AS3325">
        <v>2.1</v>
      </c>
      <c r="AT3325" t="s">
        <v>574</v>
      </c>
      <c r="AU3325" t="s">
        <v>25239</v>
      </c>
      <c r="AV3325" t="s">
        <v>11459</v>
      </c>
      <c r="AW3325" t="s">
        <v>11447</v>
      </c>
    </row>
    <row r="3326" spans="1:49">
      <c r="A3326" s="1">
        <f>HYPERLINK("https://lsnyc.legalserver.org/matter/dynamic-profile/view/1908075","19-1908075")</f>
        <v>0</v>
      </c>
      <c r="B3326" t="s">
        <v>81</v>
      </c>
      <c r="C3326" t="s">
        <v>455</v>
      </c>
      <c r="D3326" t="s">
        <v>471</v>
      </c>
      <c r="E3326" t="s">
        <v>2732</v>
      </c>
      <c r="F3326" t="s">
        <v>5356</v>
      </c>
      <c r="G3326" t="s">
        <v>8750</v>
      </c>
      <c r="H3326" t="s">
        <v>10762</v>
      </c>
      <c r="I3326" t="s">
        <v>11383</v>
      </c>
      <c r="J3326">
        <v>10456</v>
      </c>
      <c r="K3326" t="s">
        <v>11446</v>
      </c>
      <c r="L3326" t="s">
        <v>12953</v>
      </c>
      <c r="M3326" t="s">
        <v>14744</v>
      </c>
      <c r="N3326" t="s">
        <v>14778</v>
      </c>
      <c r="O3326" t="s">
        <v>14786</v>
      </c>
      <c r="P3326" t="s">
        <v>14802</v>
      </c>
      <c r="Q3326" t="s">
        <v>11448</v>
      </c>
      <c r="S3326" t="s">
        <v>14827</v>
      </c>
      <c r="T3326" t="s">
        <v>14834</v>
      </c>
      <c r="V3326">
        <v>0</v>
      </c>
      <c r="W3326" t="s">
        <v>14858</v>
      </c>
      <c r="X3326" t="s">
        <v>14863</v>
      </c>
      <c r="Y3326" t="s">
        <v>14883</v>
      </c>
      <c r="Z3326" t="s">
        <v>17670</v>
      </c>
      <c r="AC3326">
        <v>0</v>
      </c>
      <c r="AF3326">
        <v>0</v>
      </c>
      <c r="AG3326">
        <v>1</v>
      </c>
      <c r="AH3326">
        <v>0</v>
      </c>
      <c r="AI3326">
        <v>0</v>
      </c>
      <c r="AL3326" t="s">
        <v>24646</v>
      </c>
      <c r="AM3326">
        <v>0</v>
      </c>
      <c r="AS3326">
        <v>0.7</v>
      </c>
      <c r="AT3326" t="s">
        <v>471</v>
      </c>
      <c r="AU3326" t="s">
        <v>145</v>
      </c>
      <c r="AV3326" t="s">
        <v>11459</v>
      </c>
      <c r="AW3326" t="s">
        <v>11447</v>
      </c>
    </row>
    <row r="3327" spans="1:49">
      <c r="A3327" s="1">
        <f>HYPERLINK("https://lsnyc.legalserver.org/matter/dynamic-profile/view/1907552","19-1907552")</f>
        <v>0</v>
      </c>
      <c r="B3327" t="s">
        <v>81</v>
      </c>
      <c r="C3327" t="s">
        <v>630</v>
      </c>
      <c r="D3327" t="s">
        <v>471</v>
      </c>
      <c r="E3327" t="s">
        <v>2733</v>
      </c>
      <c r="F3327" t="s">
        <v>3682</v>
      </c>
      <c r="G3327" t="s">
        <v>8751</v>
      </c>
      <c r="H3327" t="s">
        <v>10448</v>
      </c>
      <c r="I3327" t="s">
        <v>11383</v>
      </c>
      <c r="J3327">
        <v>10459</v>
      </c>
      <c r="K3327" t="s">
        <v>11446</v>
      </c>
      <c r="M3327" t="s">
        <v>14744</v>
      </c>
      <c r="N3327" t="s">
        <v>14778</v>
      </c>
      <c r="O3327" t="s">
        <v>14786</v>
      </c>
      <c r="P3327" t="s">
        <v>14802</v>
      </c>
      <c r="Q3327" t="s">
        <v>11446</v>
      </c>
      <c r="S3327" t="s">
        <v>14827</v>
      </c>
      <c r="V3327">
        <v>525.67</v>
      </c>
      <c r="W3327" t="s">
        <v>14858</v>
      </c>
      <c r="X3327" t="s">
        <v>14873</v>
      </c>
      <c r="Y3327" t="s">
        <v>14883</v>
      </c>
      <c r="Z3327" t="s">
        <v>16655</v>
      </c>
      <c r="AB3327" t="s">
        <v>22742</v>
      </c>
      <c r="AC3327">
        <v>0</v>
      </c>
      <c r="AD3327" t="s">
        <v>24597</v>
      </c>
      <c r="AF3327">
        <v>5</v>
      </c>
      <c r="AG3327">
        <v>1</v>
      </c>
      <c r="AH3327">
        <v>0</v>
      </c>
      <c r="AI3327">
        <v>76.86</v>
      </c>
      <c r="AL3327" t="s">
        <v>24632</v>
      </c>
      <c r="AM3327">
        <v>9600</v>
      </c>
      <c r="AS3327">
        <v>0.7</v>
      </c>
      <c r="AT3327" t="s">
        <v>471</v>
      </c>
      <c r="AU3327" t="s">
        <v>25311</v>
      </c>
      <c r="AW3327" t="s">
        <v>11447</v>
      </c>
    </row>
    <row r="3328" spans="1:49">
      <c r="A3328" s="1">
        <f>HYPERLINK("https://lsnyc.legalserver.org/matter/dynamic-profile/view/1907433","19-1907433")</f>
        <v>0</v>
      </c>
      <c r="B3328" t="s">
        <v>257</v>
      </c>
      <c r="C3328" t="s">
        <v>465</v>
      </c>
      <c r="D3328" t="s">
        <v>528</v>
      </c>
      <c r="E3328" t="s">
        <v>1222</v>
      </c>
      <c r="F3328" t="s">
        <v>3769</v>
      </c>
      <c r="G3328" t="s">
        <v>8752</v>
      </c>
      <c r="H3328" t="s">
        <v>11120</v>
      </c>
      <c r="I3328" t="s">
        <v>11383</v>
      </c>
      <c r="J3328">
        <v>10458</v>
      </c>
      <c r="K3328" t="s">
        <v>11446</v>
      </c>
      <c r="L3328" t="s">
        <v>12954</v>
      </c>
      <c r="M3328" t="s">
        <v>14744</v>
      </c>
      <c r="N3328" t="s">
        <v>14781</v>
      </c>
      <c r="O3328" t="s">
        <v>14788</v>
      </c>
      <c r="P3328" t="s">
        <v>14802</v>
      </c>
      <c r="Q3328" t="s">
        <v>11448</v>
      </c>
      <c r="S3328" t="s">
        <v>14827</v>
      </c>
      <c r="T3328" t="s">
        <v>14834</v>
      </c>
      <c r="U3328" t="s">
        <v>465</v>
      </c>
      <c r="V3328">
        <v>1326.8</v>
      </c>
      <c r="W3328" t="s">
        <v>14858</v>
      </c>
      <c r="X3328" t="s">
        <v>14873</v>
      </c>
      <c r="Y3328" t="s">
        <v>14887</v>
      </c>
      <c r="Z3328" t="s">
        <v>15144</v>
      </c>
      <c r="AA3328" t="s">
        <v>19703</v>
      </c>
      <c r="AB3328" t="s">
        <v>22743</v>
      </c>
      <c r="AC3328">
        <v>25</v>
      </c>
      <c r="AD3328" t="s">
        <v>24595</v>
      </c>
      <c r="AE3328" t="s">
        <v>24615</v>
      </c>
      <c r="AF3328">
        <v>10</v>
      </c>
      <c r="AG3328">
        <v>2</v>
      </c>
      <c r="AH3328">
        <v>3</v>
      </c>
      <c r="AI3328">
        <v>103.41</v>
      </c>
      <c r="AL3328" t="s">
        <v>24632</v>
      </c>
      <c r="AM3328">
        <v>31200</v>
      </c>
      <c r="AP3328" t="s">
        <v>24941</v>
      </c>
      <c r="AQ3328" t="s">
        <v>24986</v>
      </c>
      <c r="AR3328" t="s">
        <v>25014</v>
      </c>
      <c r="AS3328">
        <v>3.4</v>
      </c>
      <c r="AT3328" t="s">
        <v>466</v>
      </c>
      <c r="AU3328" t="s">
        <v>25239</v>
      </c>
      <c r="AV3328" t="s">
        <v>25334</v>
      </c>
      <c r="AW3328" t="s">
        <v>11447</v>
      </c>
    </row>
    <row r="3329" spans="1:49">
      <c r="A3329" s="1">
        <f>HYPERLINK("https://lsnyc.legalserver.org/matter/dynamic-profile/view/1907649","19-1907649")</f>
        <v>0</v>
      </c>
      <c r="B3329" t="s">
        <v>272</v>
      </c>
      <c r="C3329" t="s">
        <v>633</v>
      </c>
      <c r="D3329" t="s">
        <v>528</v>
      </c>
      <c r="E3329" t="s">
        <v>1240</v>
      </c>
      <c r="F3329" t="s">
        <v>3758</v>
      </c>
      <c r="G3329" t="s">
        <v>8753</v>
      </c>
      <c r="H3329" t="s">
        <v>10665</v>
      </c>
      <c r="I3329" t="s">
        <v>11383</v>
      </c>
      <c r="J3329">
        <v>10452</v>
      </c>
      <c r="K3329" t="s">
        <v>11446</v>
      </c>
      <c r="L3329" t="s">
        <v>12955</v>
      </c>
      <c r="M3329" t="s">
        <v>14744</v>
      </c>
      <c r="N3329" t="s">
        <v>14781</v>
      </c>
      <c r="O3329" t="s">
        <v>14788</v>
      </c>
      <c r="P3329" t="s">
        <v>14802</v>
      </c>
      <c r="Q3329" t="s">
        <v>11448</v>
      </c>
      <c r="S3329" t="s">
        <v>14827</v>
      </c>
      <c r="T3329" t="s">
        <v>14836</v>
      </c>
      <c r="U3329" t="s">
        <v>375</v>
      </c>
      <c r="V3329">
        <v>1150</v>
      </c>
      <c r="W3329" t="s">
        <v>14858</v>
      </c>
      <c r="X3329" t="s">
        <v>14755</v>
      </c>
      <c r="Y3329" t="s">
        <v>14887</v>
      </c>
      <c r="Z3329" t="s">
        <v>17671</v>
      </c>
      <c r="AB3329" t="s">
        <v>22744</v>
      </c>
      <c r="AC3329">
        <v>72</v>
      </c>
      <c r="AD3329" t="s">
        <v>24595</v>
      </c>
      <c r="AE3329" t="s">
        <v>11459</v>
      </c>
      <c r="AF3329">
        <v>2</v>
      </c>
      <c r="AG3329">
        <v>1</v>
      </c>
      <c r="AH3329">
        <v>0</v>
      </c>
      <c r="AI3329">
        <v>228.98</v>
      </c>
      <c r="AJ3329" t="s">
        <v>462</v>
      </c>
      <c r="AK3329" t="s">
        <v>24629</v>
      </c>
      <c r="AL3329" t="s">
        <v>5011</v>
      </c>
      <c r="AM3329">
        <v>28600</v>
      </c>
      <c r="AP3329" t="s">
        <v>24942</v>
      </c>
      <c r="AQ3329" t="s">
        <v>24986</v>
      </c>
      <c r="AR3329" t="s">
        <v>25072</v>
      </c>
      <c r="AS3329">
        <v>10</v>
      </c>
      <c r="AT3329" t="s">
        <v>375</v>
      </c>
      <c r="AU3329" t="s">
        <v>25252</v>
      </c>
      <c r="AV3329" t="s">
        <v>25335</v>
      </c>
      <c r="AW3329" t="s">
        <v>11447</v>
      </c>
    </row>
    <row r="3330" spans="1:49">
      <c r="A3330" s="1">
        <f>HYPERLINK("https://lsnyc.legalserver.org/matter/dynamic-profile/view/1908042","19-1908042")</f>
        <v>0</v>
      </c>
      <c r="B3330" t="s">
        <v>81</v>
      </c>
      <c r="C3330" t="s">
        <v>455</v>
      </c>
      <c r="D3330" t="s">
        <v>528</v>
      </c>
      <c r="E3330" t="s">
        <v>2734</v>
      </c>
      <c r="F3330" t="s">
        <v>5357</v>
      </c>
      <c r="G3330" t="s">
        <v>8754</v>
      </c>
      <c r="H3330" t="s">
        <v>10574</v>
      </c>
      <c r="I3330" t="s">
        <v>11383</v>
      </c>
      <c r="J3330">
        <v>10452</v>
      </c>
      <c r="K3330" t="s">
        <v>11446</v>
      </c>
      <c r="L3330" t="s">
        <v>12956</v>
      </c>
      <c r="M3330" t="s">
        <v>14743</v>
      </c>
      <c r="N3330" t="s">
        <v>14778</v>
      </c>
      <c r="O3330" t="s">
        <v>14786</v>
      </c>
      <c r="P3330" t="s">
        <v>14802</v>
      </c>
      <c r="Q3330" t="s">
        <v>11448</v>
      </c>
      <c r="S3330" t="s">
        <v>14827</v>
      </c>
      <c r="T3330" t="s">
        <v>14835</v>
      </c>
      <c r="U3330" t="s">
        <v>488</v>
      </c>
      <c r="V3330">
        <v>300</v>
      </c>
      <c r="W3330" t="s">
        <v>14858</v>
      </c>
      <c r="X3330" t="s">
        <v>14863</v>
      </c>
      <c r="Y3330" t="s">
        <v>14883</v>
      </c>
      <c r="Z3330" t="s">
        <v>17672</v>
      </c>
      <c r="AC3330">
        <v>0</v>
      </c>
      <c r="AD3330" t="s">
        <v>24599</v>
      </c>
      <c r="AE3330" t="s">
        <v>11459</v>
      </c>
      <c r="AF3330">
        <v>2</v>
      </c>
      <c r="AG3330">
        <v>1</v>
      </c>
      <c r="AH3330">
        <v>0</v>
      </c>
      <c r="AI3330">
        <v>72.06</v>
      </c>
      <c r="AL3330" t="s">
        <v>5011</v>
      </c>
      <c r="AM3330">
        <v>9000</v>
      </c>
      <c r="AS3330">
        <v>2.2</v>
      </c>
      <c r="AT3330" t="s">
        <v>471</v>
      </c>
      <c r="AU3330" t="s">
        <v>145</v>
      </c>
      <c r="AV3330" t="s">
        <v>25335</v>
      </c>
      <c r="AW3330" t="s">
        <v>11447</v>
      </c>
    </row>
    <row r="3331" spans="1:49">
      <c r="A3331" s="1">
        <f>HYPERLINK("https://lsnyc.legalserver.org/matter/dynamic-profile/view/1886478","18-1886478")</f>
        <v>0</v>
      </c>
      <c r="B3331" t="s">
        <v>257</v>
      </c>
      <c r="C3331" t="s">
        <v>830</v>
      </c>
      <c r="D3331" t="s">
        <v>540</v>
      </c>
      <c r="E3331" t="s">
        <v>1538</v>
      </c>
      <c r="F3331" t="s">
        <v>3587</v>
      </c>
      <c r="G3331" t="s">
        <v>8755</v>
      </c>
      <c r="H3331" t="s">
        <v>10677</v>
      </c>
      <c r="I3331" t="s">
        <v>11383</v>
      </c>
      <c r="J3331">
        <v>10466</v>
      </c>
      <c r="K3331" t="s">
        <v>11446</v>
      </c>
      <c r="L3331" t="s">
        <v>12957</v>
      </c>
      <c r="M3331" t="s">
        <v>14760</v>
      </c>
      <c r="N3331" t="s">
        <v>14781</v>
      </c>
      <c r="O3331" t="s">
        <v>14788</v>
      </c>
      <c r="P3331" t="s">
        <v>14802</v>
      </c>
      <c r="Q3331" t="s">
        <v>14816</v>
      </c>
      <c r="S3331" t="s">
        <v>14827</v>
      </c>
      <c r="T3331" t="s">
        <v>14834</v>
      </c>
      <c r="V3331">
        <v>1200</v>
      </c>
      <c r="W3331" t="s">
        <v>14858</v>
      </c>
      <c r="X3331" t="s">
        <v>14867</v>
      </c>
      <c r="Y3331" t="s">
        <v>14885</v>
      </c>
      <c r="Z3331" t="s">
        <v>17673</v>
      </c>
      <c r="AB3331" t="s">
        <v>22745</v>
      </c>
      <c r="AC3331">
        <v>61</v>
      </c>
      <c r="AD3331" t="s">
        <v>24595</v>
      </c>
      <c r="AE3331" t="s">
        <v>11459</v>
      </c>
      <c r="AF3331">
        <v>9</v>
      </c>
      <c r="AG3331">
        <v>2</v>
      </c>
      <c r="AH3331">
        <v>0</v>
      </c>
      <c r="AI3331">
        <v>115.92</v>
      </c>
      <c r="AL3331" t="s">
        <v>5011</v>
      </c>
      <c r="AM3331">
        <v>19080</v>
      </c>
      <c r="AN3331" t="s">
        <v>24851</v>
      </c>
      <c r="AO3331" t="s">
        <v>24931</v>
      </c>
      <c r="AQ3331" t="s">
        <v>24988</v>
      </c>
      <c r="AR3331" t="s">
        <v>25010</v>
      </c>
      <c r="AS3331">
        <v>36.4</v>
      </c>
      <c r="AT3331" t="s">
        <v>471</v>
      </c>
      <c r="AU3331" t="s">
        <v>25252</v>
      </c>
      <c r="AW3331" t="s">
        <v>11446</v>
      </c>
    </row>
    <row r="3332" spans="1:49">
      <c r="A3332" s="1">
        <f>HYPERLINK("https://lsnyc.legalserver.org/matter/dynamic-profile/view/1905501","19-1905501")</f>
        <v>0</v>
      </c>
      <c r="B3332" t="s">
        <v>297</v>
      </c>
      <c r="C3332" t="s">
        <v>520</v>
      </c>
      <c r="D3332" t="s">
        <v>508</v>
      </c>
      <c r="E3332" t="s">
        <v>2735</v>
      </c>
      <c r="F3332" t="s">
        <v>5358</v>
      </c>
      <c r="G3332" t="s">
        <v>8756</v>
      </c>
      <c r="H3332" t="s">
        <v>10498</v>
      </c>
      <c r="I3332" t="s">
        <v>11383</v>
      </c>
      <c r="J3332">
        <v>10460</v>
      </c>
      <c r="K3332" t="s">
        <v>11446</v>
      </c>
      <c r="L3332" t="s">
        <v>12958</v>
      </c>
      <c r="M3332" t="s">
        <v>14744</v>
      </c>
      <c r="N3332" t="s">
        <v>14778</v>
      </c>
      <c r="O3332" t="s">
        <v>14786</v>
      </c>
      <c r="P3332" t="s">
        <v>14802</v>
      </c>
      <c r="Q3332" t="s">
        <v>11448</v>
      </c>
      <c r="S3332" t="s">
        <v>14827</v>
      </c>
      <c r="T3332" t="s">
        <v>14834</v>
      </c>
      <c r="U3332" t="s">
        <v>14839</v>
      </c>
      <c r="V3332">
        <v>710</v>
      </c>
      <c r="W3332" t="s">
        <v>14858</v>
      </c>
      <c r="X3332" t="s">
        <v>14863</v>
      </c>
      <c r="Y3332" t="s">
        <v>14883</v>
      </c>
      <c r="Z3332" t="s">
        <v>17674</v>
      </c>
      <c r="AB3332" t="s">
        <v>22746</v>
      </c>
      <c r="AC3332">
        <v>163</v>
      </c>
      <c r="AD3332" t="s">
        <v>24596</v>
      </c>
      <c r="AF3332">
        <v>4</v>
      </c>
      <c r="AG3332">
        <v>1</v>
      </c>
      <c r="AH3332">
        <v>2</v>
      </c>
      <c r="AI3332">
        <v>17.44</v>
      </c>
      <c r="AL3332" t="s">
        <v>5011</v>
      </c>
      <c r="AM3332">
        <v>3720</v>
      </c>
      <c r="AS3332">
        <v>0.9</v>
      </c>
      <c r="AT3332" t="s">
        <v>508</v>
      </c>
      <c r="AU3332" t="s">
        <v>114</v>
      </c>
      <c r="AV3332" t="s">
        <v>25335</v>
      </c>
      <c r="AW3332" t="s">
        <v>11447</v>
      </c>
    </row>
    <row r="3333" spans="1:49">
      <c r="A3333" s="1">
        <f>HYPERLINK("https://lsnyc.legalserver.org/matter/dynamic-profile/view/1909096","19-1909096")</f>
        <v>0</v>
      </c>
      <c r="B3333" t="s">
        <v>81</v>
      </c>
      <c r="C3333" t="s">
        <v>641</v>
      </c>
      <c r="D3333" t="s">
        <v>508</v>
      </c>
      <c r="E3333" t="s">
        <v>2736</v>
      </c>
      <c r="F3333" t="s">
        <v>5359</v>
      </c>
      <c r="G3333" t="s">
        <v>8757</v>
      </c>
      <c r="H3333" t="s">
        <v>10522</v>
      </c>
      <c r="I3333" t="s">
        <v>11383</v>
      </c>
      <c r="J3333">
        <v>10453</v>
      </c>
      <c r="K3333" t="s">
        <v>11446</v>
      </c>
      <c r="L3333" t="s">
        <v>12959</v>
      </c>
      <c r="M3333" t="s">
        <v>14743</v>
      </c>
      <c r="N3333" t="s">
        <v>14778</v>
      </c>
      <c r="O3333" t="s">
        <v>14786</v>
      </c>
      <c r="P3333" t="s">
        <v>14802</v>
      </c>
      <c r="Q3333" t="s">
        <v>11448</v>
      </c>
      <c r="S3333" t="s">
        <v>14827</v>
      </c>
      <c r="U3333" t="s">
        <v>508</v>
      </c>
      <c r="V3333">
        <v>650</v>
      </c>
      <c r="W3333" t="s">
        <v>14858</v>
      </c>
      <c r="X3333" t="s">
        <v>14863</v>
      </c>
      <c r="Y3333" t="s">
        <v>14883</v>
      </c>
      <c r="Z3333" t="s">
        <v>17675</v>
      </c>
      <c r="AB3333" t="s">
        <v>22747</v>
      </c>
      <c r="AC3333">
        <v>3</v>
      </c>
      <c r="AD3333" t="s">
        <v>24600</v>
      </c>
      <c r="AF3333">
        <v>1</v>
      </c>
      <c r="AG3333">
        <v>1</v>
      </c>
      <c r="AH3333">
        <v>0</v>
      </c>
      <c r="AI3333">
        <v>0</v>
      </c>
      <c r="AL3333" t="s">
        <v>5011</v>
      </c>
      <c r="AM3333">
        <v>0</v>
      </c>
      <c r="AS3333">
        <v>0.5</v>
      </c>
      <c r="AT3333" t="s">
        <v>508</v>
      </c>
      <c r="AU3333" t="s">
        <v>145</v>
      </c>
      <c r="AV3333" t="s">
        <v>25335</v>
      </c>
      <c r="AW3333" t="s">
        <v>11447</v>
      </c>
    </row>
    <row r="3334" spans="1:49">
      <c r="A3334" s="1">
        <f>HYPERLINK("https://lsnyc.legalserver.org/matter/dynamic-profile/view/1909086","19-1909086")</f>
        <v>0</v>
      </c>
      <c r="B3334" t="s">
        <v>81</v>
      </c>
      <c r="C3334" t="s">
        <v>641</v>
      </c>
      <c r="D3334" t="s">
        <v>508</v>
      </c>
      <c r="E3334" t="s">
        <v>1106</v>
      </c>
      <c r="F3334" t="s">
        <v>3682</v>
      </c>
      <c r="G3334" t="s">
        <v>7489</v>
      </c>
      <c r="H3334" t="s">
        <v>10569</v>
      </c>
      <c r="I3334" t="s">
        <v>11383</v>
      </c>
      <c r="J3334">
        <v>10459</v>
      </c>
      <c r="K3334" t="s">
        <v>11446</v>
      </c>
      <c r="L3334" t="s">
        <v>12960</v>
      </c>
      <c r="M3334" t="s">
        <v>14744</v>
      </c>
      <c r="N3334" t="s">
        <v>14778</v>
      </c>
      <c r="O3334" t="s">
        <v>14786</v>
      </c>
      <c r="P3334" t="s">
        <v>14802</v>
      </c>
      <c r="Q3334" t="s">
        <v>11448</v>
      </c>
      <c r="S3334" t="s">
        <v>14827</v>
      </c>
      <c r="T3334" t="s">
        <v>14837</v>
      </c>
      <c r="U3334" t="s">
        <v>508</v>
      </c>
      <c r="V3334">
        <v>1348</v>
      </c>
      <c r="W3334" t="s">
        <v>14858</v>
      </c>
      <c r="X3334" t="s">
        <v>14863</v>
      </c>
      <c r="Y3334" t="s">
        <v>14883</v>
      </c>
      <c r="Z3334" t="s">
        <v>17676</v>
      </c>
      <c r="AB3334" t="s">
        <v>22748</v>
      </c>
      <c r="AC3334">
        <v>0</v>
      </c>
      <c r="AE3334" t="s">
        <v>24610</v>
      </c>
      <c r="AF3334">
        <v>11</v>
      </c>
      <c r="AG3334">
        <v>1</v>
      </c>
      <c r="AH3334">
        <v>0</v>
      </c>
      <c r="AI3334">
        <v>82.43000000000001</v>
      </c>
      <c r="AL3334" t="s">
        <v>5011</v>
      </c>
      <c r="AM3334">
        <v>10296</v>
      </c>
      <c r="AS3334">
        <v>0.5</v>
      </c>
      <c r="AT3334" t="s">
        <v>508</v>
      </c>
      <c r="AU3334" t="s">
        <v>145</v>
      </c>
      <c r="AV3334" t="s">
        <v>25335</v>
      </c>
      <c r="AW3334" t="s">
        <v>11447</v>
      </c>
    </row>
    <row r="3335" spans="1:49">
      <c r="A3335" s="1">
        <f>HYPERLINK("https://lsnyc.legalserver.org/matter/dynamic-profile/view/1908987","19-1908987")</f>
        <v>0</v>
      </c>
      <c r="B3335" t="s">
        <v>81</v>
      </c>
      <c r="C3335" t="s">
        <v>640</v>
      </c>
      <c r="D3335" t="s">
        <v>508</v>
      </c>
      <c r="E3335" t="s">
        <v>2737</v>
      </c>
      <c r="F3335" t="s">
        <v>3727</v>
      </c>
      <c r="G3335" t="s">
        <v>8758</v>
      </c>
      <c r="H3335" t="s">
        <v>10601</v>
      </c>
      <c r="I3335" t="s">
        <v>11383</v>
      </c>
      <c r="J3335">
        <v>10458</v>
      </c>
      <c r="K3335" t="s">
        <v>11447</v>
      </c>
      <c r="M3335" t="s">
        <v>14744</v>
      </c>
      <c r="N3335" t="s">
        <v>14778</v>
      </c>
      <c r="O3335" t="s">
        <v>14786</v>
      </c>
      <c r="P3335" t="s">
        <v>14802</v>
      </c>
      <c r="S3335" t="s">
        <v>14827</v>
      </c>
      <c r="V3335">
        <v>1200</v>
      </c>
      <c r="W3335" t="s">
        <v>14858</v>
      </c>
      <c r="X3335" t="s">
        <v>14873</v>
      </c>
      <c r="Y3335" t="s">
        <v>14883</v>
      </c>
      <c r="Z3335" t="s">
        <v>17677</v>
      </c>
      <c r="AC3335">
        <v>0</v>
      </c>
      <c r="AE3335" t="s">
        <v>24615</v>
      </c>
      <c r="AF3335">
        <v>2</v>
      </c>
      <c r="AG3335">
        <v>1</v>
      </c>
      <c r="AH3335">
        <v>3</v>
      </c>
      <c r="AI3335">
        <v>0</v>
      </c>
      <c r="AK3335" t="s">
        <v>24629</v>
      </c>
      <c r="AL3335" t="s">
        <v>24632</v>
      </c>
      <c r="AM3335">
        <v>0</v>
      </c>
      <c r="AS3335">
        <v>0.5</v>
      </c>
      <c r="AT3335" t="s">
        <v>508</v>
      </c>
      <c r="AU3335" t="s">
        <v>25311</v>
      </c>
      <c r="AV3335" t="s">
        <v>25335</v>
      </c>
      <c r="AW3335" t="s">
        <v>11447</v>
      </c>
    </row>
    <row r="3336" spans="1:49">
      <c r="A3336" s="1">
        <f>HYPERLINK("https://lsnyc.legalserver.org/matter/dynamic-profile/view/1908857","19-1908857")</f>
        <v>0</v>
      </c>
      <c r="B3336" t="s">
        <v>81</v>
      </c>
      <c r="C3336" t="s">
        <v>585</v>
      </c>
      <c r="D3336" t="s">
        <v>602</v>
      </c>
      <c r="E3336" t="s">
        <v>2738</v>
      </c>
      <c r="F3336" t="s">
        <v>5360</v>
      </c>
      <c r="G3336" t="s">
        <v>8759</v>
      </c>
      <c r="H3336" t="s">
        <v>11121</v>
      </c>
      <c r="I3336" t="s">
        <v>11383</v>
      </c>
      <c r="J3336">
        <v>10460</v>
      </c>
      <c r="K3336" t="s">
        <v>11446</v>
      </c>
      <c r="L3336" t="s">
        <v>12961</v>
      </c>
      <c r="M3336" t="s">
        <v>14743</v>
      </c>
      <c r="N3336" t="s">
        <v>14778</v>
      </c>
      <c r="O3336" t="s">
        <v>14786</v>
      </c>
      <c r="P3336" t="s">
        <v>14802</v>
      </c>
      <c r="Q3336" t="s">
        <v>11448</v>
      </c>
      <c r="S3336" t="s">
        <v>14827</v>
      </c>
      <c r="U3336" t="s">
        <v>585</v>
      </c>
      <c r="V3336">
        <v>915</v>
      </c>
      <c r="W3336" t="s">
        <v>14858</v>
      </c>
      <c r="X3336" t="s">
        <v>14873</v>
      </c>
      <c r="Y3336" t="s">
        <v>14883</v>
      </c>
      <c r="Z3336" t="s">
        <v>17678</v>
      </c>
      <c r="AB3336" t="s">
        <v>22749</v>
      </c>
      <c r="AC3336">
        <v>52</v>
      </c>
      <c r="AD3336" t="s">
        <v>24595</v>
      </c>
      <c r="AE3336" t="s">
        <v>14755</v>
      </c>
      <c r="AF3336">
        <v>2</v>
      </c>
      <c r="AG3336">
        <v>1</v>
      </c>
      <c r="AH3336">
        <v>1</v>
      </c>
      <c r="AI3336">
        <v>72.03</v>
      </c>
      <c r="AL3336" t="s">
        <v>5011</v>
      </c>
      <c r="AM3336">
        <v>12180</v>
      </c>
      <c r="AS3336">
        <v>0.7</v>
      </c>
      <c r="AT3336" t="s">
        <v>462</v>
      </c>
      <c r="AU3336" t="s">
        <v>25252</v>
      </c>
      <c r="AV3336" t="s">
        <v>25335</v>
      </c>
      <c r="AW3336" t="s">
        <v>11447</v>
      </c>
    </row>
    <row r="3337" spans="1:49">
      <c r="A3337" s="1">
        <f>HYPERLINK("https://lsnyc.legalserver.org/matter/dynamic-profile/view/1909113","19-1909113")</f>
        <v>0</v>
      </c>
      <c r="B3337" t="s">
        <v>81</v>
      </c>
      <c r="C3337" t="s">
        <v>462</v>
      </c>
      <c r="D3337" t="s">
        <v>602</v>
      </c>
      <c r="E3337" t="s">
        <v>1587</v>
      </c>
      <c r="F3337" t="s">
        <v>4255</v>
      </c>
      <c r="G3337" t="s">
        <v>7818</v>
      </c>
      <c r="H3337" t="s">
        <v>11122</v>
      </c>
      <c r="I3337" t="s">
        <v>11383</v>
      </c>
      <c r="J3337">
        <v>10453</v>
      </c>
      <c r="K3337" t="s">
        <v>11446</v>
      </c>
      <c r="L3337" t="s">
        <v>12962</v>
      </c>
      <c r="M3337" t="s">
        <v>14744</v>
      </c>
      <c r="N3337" t="s">
        <v>14778</v>
      </c>
      <c r="O3337" t="s">
        <v>14786</v>
      </c>
      <c r="P3337" t="s">
        <v>14802</v>
      </c>
      <c r="Q3337" t="s">
        <v>11448</v>
      </c>
      <c r="S3337" t="s">
        <v>14827</v>
      </c>
      <c r="T3337" t="s">
        <v>14834</v>
      </c>
      <c r="U3337" t="s">
        <v>462</v>
      </c>
      <c r="V3337">
        <v>1174</v>
      </c>
      <c r="W3337" t="s">
        <v>14858</v>
      </c>
      <c r="X3337" t="s">
        <v>14865</v>
      </c>
      <c r="Y3337" t="s">
        <v>14883</v>
      </c>
      <c r="Z3337" t="s">
        <v>17679</v>
      </c>
      <c r="AB3337" t="s">
        <v>22750</v>
      </c>
      <c r="AC3337">
        <v>344</v>
      </c>
      <c r="AD3337" t="s">
        <v>24604</v>
      </c>
      <c r="AF3337">
        <v>7</v>
      </c>
      <c r="AG3337">
        <v>1</v>
      </c>
      <c r="AH3337">
        <v>0</v>
      </c>
      <c r="AI3337">
        <v>77.05</v>
      </c>
      <c r="AL3337" t="s">
        <v>24632</v>
      </c>
      <c r="AM3337">
        <v>9624</v>
      </c>
      <c r="AS3337">
        <v>0.5</v>
      </c>
      <c r="AT3337" t="s">
        <v>602</v>
      </c>
      <c r="AU3337" t="s">
        <v>145</v>
      </c>
      <c r="AV3337" t="s">
        <v>25335</v>
      </c>
      <c r="AW3337" t="s">
        <v>11447</v>
      </c>
    </row>
    <row r="3338" spans="1:49">
      <c r="A3338" s="1">
        <f>HYPERLINK("https://lsnyc.legalserver.org/matter/dynamic-profile/view/1909291","19-1909291")</f>
        <v>0</v>
      </c>
      <c r="B3338" t="s">
        <v>81</v>
      </c>
      <c r="C3338" t="s">
        <v>589</v>
      </c>
      <c r="D3338" t="s">
        <v>602</v>
      </c>
      <c r="E3338" t="s">
        <v>2739</v>
      </c>
      <c r="F3338" t="s">
        <v>3951</v>
      </c>
      <c r="G3338" t="s">
        <v>8760</v>
      </c>
      <c r="H3338">
        <v>7</v>
      </c>
      <c r="I3338" t="s">
        <v>11383</v>
      </c>
      <c r="J3338">
        <v>10460</v>
      </c>
      <c r="K3338" t="s">
        <v>11446</v>
      </c>
      <c r="L3338" t="s">
        <v>12963</v>
      </c>
      <c r="M3338" t="s">
        <v>14744</v>
      </c>
      <c r="N3338" t="s">
        <v>14778</v>
      </c>
      <c r="O3338" t="s">
        <v>14786</v>
      </c>
      <c r="P3338" t="s">
        <v>14802</v>
      </c>
      <c r="Q3338" t="s">
        <v>11446</v>
      </c>
      <c r="S3338" t="s">
        <v>14827</v>
      </c>
      <c r="T3338" t="s">
        <v>14832</v>
      </c>
      <c r="U3338" t="s">
        <v>589</v>
      </c>
      <c r="V3338">
        <v>596</v>
      </c>
      <c r="W3338" t="s">
        <v>14858</v>
      </c>
      <c r="X3338" t="s">
        <v>14873</v>
      </c>
      <c r="Y3338" t="s">
        <v>14883</v>
      </c>
      <c r="Z3338" t="s">
        <v>17680</v>
      </c>
      <c r="AB3338" t="s">
        <v>22251</v>
      </c>
      <c r="AC3338">
        <v>0</v>
      </c>
      <c r="AE3338" t="s">
        <v>24615</v>
      </c>
      <c r="AF3338">
        <v>3</v>
      </c>
      <c r="AG3338">
        <v>2</v>
      </c>
      <c r="AH3338">
        <v>6</v>
      </c>
      <c r="AI3338">
        <v>34.44</v>
      </c>
      <c r="AK3338" t="s">
        <v>24629</v>
      </c>
      <c r="AL3338" t="s">
        <v>5011</v>
      </c>
      <c r="AM3338">
        <v>14955.6</v>
      </c>
      <c r="AS3338">
        <v>0.3</v>
      </c>
      <c r="AT3338" t="s">
        <v>602</v>
      </c>
      <c r="AU3338" t="s">
        <v>25311</v>
      </c>
      <c r="AV3338" t="s">
        <v>25335</v>
      </c>
      <c r="AW3338" t="s">
        <v>11447</v>
      </c>
    </row>
    <row r="3339" spans="1:49">
      <c r="A3339" s="1">
        <f>HYPERLINK("https://lsnyc.legalserver.org/matter/dynamic-profile/view/1910286","19-1910286")</f>
        <v>0</v>
      </c>
      <c r="B3339" t="s">
        <v>297</v>
      </c>
      <c r="C3339" t="s">
        <v>540</v>
      </c>
      <c r="D3339" t="s">
        <v>602</v>
      </c>
      <c r="E3339" t="s">
        <v>1501</v>
      </c>
      <c r="F3339" t="s">
        <v>5361</v>
      </c>
      <c r="G3339" t="s">
        <v>8761</v>
      </c>
      <c r="H3339">
        <v>512</v>
      </c>
      <c r="I3339" t="s">
        <v>11383</v>
      </c>
      <c r="J3339">
        <v>10451</v>
      </c>
      <c r="K3339" t="s">
        <v>11446</v>
      </c>
      <c r="L3339" t="s">
        <v>12964</v>
      </c>
      <c r="M3339" t="s">
        <v>14744</v>
      </c>
      <c r="N3339" t="s">
        <v>14778</v>
      </c>
      <c r="O3339" t="s">
        <v>14786</v>
      </c>
      <c r="P3339" t="s">
        <v>14802</v>
      </c>
      <c r="Q3339" t="s">
        <v>11448</v>
      </c>
      <c r="S3339" t="s">
        <v>14827</v>
      </c>
      <c r="T3339" t="s">
        <v>14837</v>
      </c>
      <c r="U3339" t="s">
        <v>540</v>
      </c>
      <c r="V3339">
        <v>1043</v>
      </c>
      <c r="W3339" t="s">
        <v>14858</v>
      </c>
      <c r="X3339" t="s">
        <v>14873</v>
      </c>
      <c r="Y3339" t="s">
        <v>14883</v>
      </c>
      <c r="Z3339" t="s">
        <v>17681</v>
      </c>
      <c r="AB3339" t="s">
        <v>22751</v>
      </c>
      <c r="AC3339">
        <v>151</v>
      </c>
      <c r="AD3339" t="s">
        <v>24595</v>
      </c>
      <c r="AF3339">
        <v>2</v>
      </c>
      <c r="AG3339">
        <v>2</v>
      </c>
      <c r="AH3339">
        <v>1</v>
      </c>
      <c r="AI3339">
        <v>60.95</v>
      </c>
      <c r="AK3339" t="s">
        <v>24629</v>
      </c>
      <c r="AL3339" t="s">
        <v>5011</v>
      </c>
      <c r="AM3339">
        <v>13000</v>
      </c>
      <c r="AS3339">
        <v>2.55</v>
      </c>
      <c r="AT3339" t="s">
        <v>540</v>
      </c>
      <c r="AU3339" t="s">
        <v>25311</v>
      </c>
      <c r="AV3339" t="s">
        <v>25335</v>
      </c>
      <c r="AW3339" t="s">
        <v>11447</v>
      </c>
    </row>
    <row r="3340" spans="1:49">
      <c r="A3340" s="1">
        <f>HYPERLINK("https://lsnyc.legalserver.org/matter/dynamic-profile/view/1908808","19-1908808")</f>
        <v>0</v>
      </c>
      <c r="B3340" t="s">
        <v>81</v>
      </c>
      <c r="C3340" t="s">
        <v>585</v>
      </c>
      <c r="D3340" t="s">
        <v>602</v>
      </c>
      <c r="E3340" t="s">
        <v>1299</v>
      </c>
      <c r="F3340" t="s">
        <v>5362</v>
      </c>
      <c r="G3340" t="s">
        <v>8762</v>
      </c>
      <c r="H3340" t="s">
        <v>10522</v>
      </c>
      <c r="I3340" t="s">
        <v>11383</v>
      </c>
      <c r="J3340">
        <v>10460</v>
      </c>
      <c r="K3340" t="s">
        <v>11446</v>
      </c>
      <c r="L3340" t="s">
        <v>12965</v>
      </c>
      <c r="M3340" t="s">
        <v>14743</v>
      </c>
      <c r="N3340" t="s">
        <v>14778</v>
      </c>
      <c r="O3340" t="s">
        <v>14786</v>
      </c>
      <c r="P3340" t="s">
        <v>14802</v>
      </c>
      <c r="Q3340" t="s">
        <v>11448</v>
      </c>
      <c r="S3340" t="s">
        <v>14827</v>
      </c>
      <c r="T3340" t="s">
        <v>14832</v>
      </c>
      <c r="U3340" t="s">
        <v>602</v>
      </c>
      <c r="V3340">
        <v>0</v>
      </c>
      <c r="W3340" t="s">
        <v>14858</v>
      </c>
      <c r="X3340" t="s">
        <v>14865</v>
      </c>
      <c r="Y3340" t="s">
        <v>14883</v>
      </c>
      <c r="Z3340" t="s">
        <v>17682</v>
      </c>
      <c r="AB3340" t="s">
        <v>22752</v>
      </c>
      <c r="AC3340">
        <v>0</v>
      </c>
      <c r="AD3340" t="s">
        <v>24605</v>
      </c>
      <c r="AF3340">
        <v>1</v>
      </c>
      <c r="AG3340">
        <v>1</v>
      </c>
      <c r="AH3340">
        <v>0</v>
      </c>
      <c r="AI3340">
        <v>109.5</v>
      </c>
      <c r="AL3340" t="s">
        <v>5011</v>
      </c>
      <c r="AM3340">
        <v>13676</v>
      </c>
      <c r="AS3340">
        <v>0.5</v>
      </c>
      <c r="AT3340" t="s">
        <v>602</v>
      </c>
      <c r="AU3340" t="s">
        <v>145</v>
      </c>
      <c r="AV3340" t="s">
        <v>25335</v>
      </c>
      <c r="AW3340" t="s">
        <v>11447</v>
      </c>
    </row>
    <row r="3341" spans="1:49">
      <c r="A3341" s="1">
        <f>HYPERLINK("https://lsnyc.legalserver.org/matter/dynamic-profile/view/1906048","19-1906048")</f>
        <v>0</v>
      </c>
      <c r="B3341" t="s">
        <v>297</v>
      </c>
      <c r="C3341" t="s">
        <v>618</v>
      </c>
      <c r="D3341" t="s">
        <v>602</v>
      </c>
      <c r="E3341" t="s">
        <v>1041</v>
      </c>
      <c r="F3341" t="s">
        <v>3887</v>
      </c>
      <c r="G3341" t="s">
        <v>8763</v>
      </c>
      <c r="H3341" t="s">
        <v>10719</v>
      </c>
      <c r="I3341" t="s">
        <v>11383</v>
      </c>
      <c r="J3341">
        <v>10452</v>
      </c>
      <c r="K3341" t="s">
        <v>11446</v>
      </c>
      <c r="L3341" t="s">
        <v>12966</v>
      </c>
      <c r="M3341" t="s">
        <v>14744</v>
      </c>
      <c r="N3341" t="s">
        <v>14781</v>
      </c>
      <c r="O3341" t="s">
        <v>14788</v>
      </c>
      <c r="P3341" t="s">
        <v>14802</v>
      </c>
      <c r="Q3341" t="s">
        <v>11448</v>
      </c>
      <c r="S3341" t="s">
        <v>14827</v>
      </c>
      <c r="T3341" t="s">
        <v>14834</v>
      </c>
      <c r="V3341">
        <v>983</v>
      </c>
      <c r="W3341" t="s">
        <v>14858</v>
      </c>
      <c r="X3341" t="s">
        <v>14868</v>
      </c>
      <c r="Y3341" t="s">
        <v>14887</v>
      </c>
      <c r="Z3341" t="s">
        <v>17683</v>
      </c>
      <c r="AB3341" t="s">
        <v>22753</v>
      </c>
      <c r="AC3341">
        <v>68</v>
      </c>
      <c r="AD3341" t="s">
        <v>24595</v>
      </c>
      <c r="AE3341" t="s">
        <v>11459</v>
      </c>
      <c r="AF3341">
        <v>40</v>
      </c>
      <c r="AG3341">
        <v>1</v>
      </c>
      <c r="AH3341">
        <v>0</v>
      </c>
      <c r="AI3341">
        <v>124.9</v>
      </c>
      <c r="AL3341" t="s">
        <v>5011</v>
      </c>
      <c r="AM3341">
        <v>15600</v>
      </c>
      <c r="AN3341" t="s">
        <v>24747</v>
      </c>
      <c r="AO3341" t="s">
        <v>24931</v>
      </c>
      <c r="AP3341" t="s">
        <v>24959</v>
      </c>
      <c r="AQ3341" t="s">
        <v>24986</v>
      </c>
      <c r="AR3341" t="s">
        <v>25073</v>
      </c>
      <c r="AS3341">
        <v>7.7</v>
      </c>
      <c r="AT3341" t="s">
        <v>602</v>
      </c>
      <c r="AU3341" t="s">
        <v>237</v>
      </c>
      <c r="AV3341" t="s">
        <v>25335</v>
      </c>
      <c r="AW3341" t="s">
        <v>11447</v>
      </c>
    </row>
    <row r="3342" spans="1:49">
      <c r="A3342" s="1">
        <f>HYPERLINK("https://lsnyc.legalserver.org/matter/dynamic-profile/view/1897789","19-1897789")</f>
        <v>0</v>
      </c>
      <c r="B3342" t="s">
        <v>297</v>
      </c>
      <c r="C3342" t="s">
        <v>529</v>
      </c>
      <c r="D3342" t="s">
        <v>644</v>
      </c>
      <c r="E3342" t="s">
        <v>1885</v>
      </c>
      <c r="F3342" t="s">
        <v>3797</v>
      </c>
      <c r="G3342" t="s">
        <v>8764</v>
      </c>
      <c r="H3342" t="s">
        <v>10638</v>
      </c>
      <c r="I3342" t="s">
        <v>11383</v>
      </c>
      <c r="J3342">
        <v>10454</v>
      </c>
      <c r="K3342" t="s">
        <v>11446</v>
      </c>
      <c r="L3342" t="s">
        <v>12967</v>
      </c>
      <c r="M3342" t="s">
        <v>14743</v>
      </c>
      <c r="N3342" t="s">
        <v>14778</v>
      </c>
      <c r="O3342" t="s">
        <v>14786</v>
      </c>
      <c r="P3342" t="s">
        <v>14802</v>
      </c>
      <c r="Q3342" t="s">
        <v>11448</v>
      </c>
      <c r="S3342" t="s">
        <v>14827</v>
      </c>
      <c r="T3342" t="s">
        <v>14832</v>
      </c>
      <c r="U3342" t="s">
        <v>366</v>
      </c>
      <c r="V3342">
        <v>0</v>
      </c>
      <c r="W3342" t="s">
        <v>14858</v>
      </c>
      <c r="X3342" t="s">
        <v>14868</v>
      </c>
      <c r="Y3342" t="s">
        <v>14883</v>
      </c>
      <c r="Z3342" t="s">
        <v>17684</v>
      </c>
      <c r="AA3342" t="s">
        <v>19704</v>
      </c>
      <c r="AB3342" t="s">
        <v>22754</v>
      </c>
      <c r="AC3342">
        <v>74</v>
      </c>
      <c r="AE3342" t="s">
        <v>24615</v>
      </c>
      <c r="AF3342">
        <v>11</v>
      </c>
      <c r="AG3342">
        <v>2</v>
      </c>
      <c r="AH3342">
        <v>2</v>
      </c>
      <c r="AI3342">
        <v>18.92</v>
      </c>
      <c r="AL3342" t="s">
        <v>5011</v>
      </c>
      <c r="AM3342">
        <v>4870.8</v>
      </c>
      <c r="AN3342" t="s">
        <v>24852</v>
      </c>
      <c r="AS3342">
        <v>8.050000000000001</v>
      </c>
      <c r="AT3342" t="s">
        <v>459</v>
      </c>
      <c r="AU3342" t="s">
        <v>237</v>
      </c>
      <c r="AV3342" t="s">
        <v>25335</v>
      </c>
      <c r="AW3342" t="s">
        <v>11447</v>
      </c>
    </row>
    <row r="3343" spans="1:49">
      <c r="A3343" s="1">
        <f>HYPERLINK("https://lsnyc.legalserver.org/matter/dynamic-profile/view/1908440","19-1908440")</f>
        <v>0</v>
      </c>
      <c r="B3343" t="s">
        <v>111</v>
      </c>
      <c r="C3343" t="s">
        <v>464</v>
      </c>
      <c r="D3343" t="s">
        <v>644</v>
      </c>
      <c r="E3343" t="s">
        <v>2740</v>
      </c>
      <c r="F3343" t="s">
        <v>4184</v>
      </c>
      <c r="G3343" t="s">
        <v>8765</v>
      </c>
      <c r="H3343">
        <v>29</v>
      </c>
      <c r="I3343" t="s">
        <v>11383</v>
      </c>
      <c r="J3343">
        <v>10460</v>
      </c>
      <c r="K3343" t="s">
        <v>11446</v>
      </c>
      <c r="L3343" t="s">
        <v>12968</v>
      </c>
      <c r="M3343" t="s">
        <v>14744</v>
      </c>
      <c r="N3343" t="s">
        <v>14781</v>
      </c>
      <c r="O3343" t="s">
        <v>14788</v>
      </c>
      <c r="P3343" t="s">
        <v>14802</v>
      </c>
      <c r="Q3343" t="s">
        <v>11448</v>
      </c>
      <c r="S3343" t="s">
        <v>14827</v>
      </c>
      <c r="T3343" t="s">
        <v>14836</v>
      </c>
      <c r="U3343" t="s">
        <v>14839</v>
      </c>
      <c r="V3343">
        <v>1154</v>
      </c>
      <c r="W3343" t="s">
        <v>14858</v>
      </c>
      <c r="X3343" t="s">
        <v>14755</v>
      </c>
      <c r="Y3343" t="s">
        <v>14899</v>
      </c>
      <c r="Z3343" t="s">
        <v>17685</v>
      </c>
      <c r="AB3343" t="s">
        <v>22755</v>
      </c>
      <c r="AC3343">
        <v>29</v>
      </c>
      <c r="AD3343" t="s">
        <v>24595</v>
      </c>
      <c r="AE3343" t="s">
        <v>24611</v>
      </c>
      <c r="AF3343">
        <v>6</v>
      </c>
      <c r="AG3343">
        <v>1</v>
      </c>
      <c r="AH3343">
        <v>0</v>
      </c>
      <c r="AI3343">
        <v>76.86</v>
      </c>
      <c r="AL3343" t="s">
        <v>5011</v>
      </c>
      <c r="AM3343">
        <v>9600</v>
      </c>
      <c r="AO3343" t="s">
        <v>24931</v>
      </c>
      <c r="AP3343" t="s">
        <v>24942</v>
      </c>
      <c r="AQ3343" t="s">
        <v>24986</v>
      </c>
      <c r="AR3343" t="s">
        <v>25044</v>
      </c>
      <c r="AS3343">
        <v>10</v>
      </c>
      <c r="AT3343" t="s">
        <v>463</v>
      </c>
      <c r="AU3343" t="s">
        <v>25232</v>
      </c>
      <c r="AV3343" t="s">
        <v>25335</v>
      </c>
      <c r="AW3343" t="s">
        <v>11447</v>
      </c>
    </row>
    <row r="3344" spans="1:49">
      <c r="A3344" s="1">
        <f>HYPERLINK("https://lsnyc.legalserver.org/matter/dynamic-profile/view/1909196","19-1909196")</f>
        <v>0</v>
      </c>
      <c r="B3344" t="s">
        <v>81</v>
      </c>
      <c r="C3344" t="s">
        <v>462</v>
      </c>
      <c r="D3344" t="s">
        <v>644</v>
      </c>
      <c r="E3344" t="s">
        <v>1339</v>
      </c>
      <c r="F3344" t="s">
        <v>3727</v>
      </c>
      <c r="G3344" t="s">
        <v>8766</v>
      </c>
      <c r="H3344" t="s">
        <v>11123</v>
      </c>
      <c r="I3344" t="s">
        <v>11383</v>
      </c>
      <c r="J3344">
        <v>10466</v>
      </c>
      <c r="K3344" t="s">
        <v>11446</v>
      </c>
      <c r="L3344" t="s">
        <v>12969</v>
      </c>
      <c r="M3344" t="s">
        <v>14743</v>
      </c>
      <c r="N3344" t="s">
        <v>14778</v>
      </c>
      <c r="O3344" t="s">
        <v>14786</v>
      </c>
      <c r="P3344" t="s">
        <v>14802</v>
      </c>
      <c r="Q3344" t="s">
        <v>11448</v>
      </c>
      <c r="S3344" t="s">
        <v>14827</v>
      </c>
      <c r="U3344" t="s">
        <v>604</v>
      </c>
      <c r="V3344">
        <v>800</v>
      </c>
      <c r="W3344" t="s">
        <v>14858</v>
      </c>
      <c r="X3344" t="s">
        <v>14865</v>
      </c>
      <c r="Y3344" t="s">
        <v>14883</v>
      </c>
      <c r="Z3344" t="s">
        <v>15340</v>
      </c>
      <c r="AB3344" t="s">
        <v>22756</v>
      </c>
      <c r="AC3344">
        <v>6</v>
      </c>
      <c r="AD3344" t="s">
        <v>24600</v>
      </c>
      <c r="AE3344" t="s">
        <v>24612</v>
      </c>
      <c r="AF3344">
        <v>2</v>
      </c>
      <c r="AG3344">
        <v>1</v>
      </c>
      <c r="AH3344">
        <v>0</v>
      </c>
      <c r="AI3344">
        <v>24.98</v>
      </c>
      <c r="AL3344" t="s">
        <v>24632</v>
      </c>
      <c r="AM3344">
        <v>3120</v>
      </c>
      <c r="AS3344">
        <v>0.7</v>
      </c>
      <c r="AT3344" t="s">
        <v>604</v>
      </c>
      <c r="AU3344" t="s">
        <v>145</v>
      </c>
      <c r="AV3344" t="s">
        <v>25335</v>
      </c>
      <c r="AW3344" t="s">
        <v>11447</v>
      </c>
    </row>
    <row r="3345" spans="1:49">
      <c r="A3345" s="1">
        <f>HYPERLINK("https://lsnyc.legalserver.org/matter/dynamic-profile/view/1909628","19-1909628")</f>
        <v>0</v>
      </c>
      <c r="B3345" t="s">
        <v>81</v>
      </c>
      <c r="C3345" t="s">
        <v>463</v>
      </c>
      <c r="D3345" t="s">
        <v>644</v>
      </c>
      <c r="E3345" t="s">
        <v>1495</v>
      </c>
      <c r="F3345" t="s">
        <v>2719</v>
      </c>
      <c r="G3345" t="s">
        <v>8767</v>
      </c>
      <c r="H3345" t="s">
        <v>10495</v>
      </c>
      <c r="I3345" t="s">
        <v>11383</v>
      </c>
      <c r="J3345">
        <v>10460</v>
      </c>
      <c r="K3345" t="s">
        <v>11446</v>
      </c>
      <c r="L3345" t="s">
        <v>12970</v>
      </c>
      <c r="M3345" t="s">
        <v>14743</v>
      </c>
      <c r="N3345" t="s">
        <v>14778</v>
      </c>
      <c r="O3345" t="s">
        <v>14786</v>
      </c>
      <c r="P3345" t="s">
        <v>14802</v>
      </c>
      <c r="Q3345" t="s">
        <v>11448</v>
      </c>
      <c r="S3345" t="s">
        <v>14827</v>
      </c>
      <c r="U3345" t="s">
        <v>604</v>
      </c>
      <c r="V3345">
        <v>257</v>
      </c>
      <c r="W3345" t="s">
        <v>14858</v>
      </c>
      <c r="X3345" t="s">
        <v>14863</v>
      </c>
      <c r="Y3345" t="s">
        <v>14883</v>
      </c>
      <c r="Z3345" t="s">
        <v>17194</v>
      </c>
      <c r="AB3345" t="s">
        <v>22757</v>
      </c>
      <c r="AC3345">
        <v>237</v>
      </c>
      <c r="AD3345" t="s">
        <v>24606</v>
      </c>
      <c r="AF3345">
        <v>2</v>
      </c>
      <c r="AG3345">
        <v>1</v>
      </c>
      <c r="AH3345">
        <v>0</v>
      </c>
      <c r="AI3345">
        <v>74.08</v>
      </c>
      <c r="AL3345" t="s">
        <v>5011</v>
      </c>
      <c r="AM3345">
        <v>9252</v>
      </c>
      <c r="AS3345">
        <v>0.5</v>
      </c>
      <c r="AT3345" t="s">
        <v>644</v>
      </c>
      <c r="AU3345" t="s">
        <v>145</v>
      </c>
      <c r="AV3345" t="s">
        <v>25335</v>
      </c>
      <c r="AW3345" t="s">
        <v>11447</v>
      </c>
    </row>
    <row r="3346" spans="1:49">
      <c r="A3346" s="1">
        <f>HYPERLINK("https://lsnyc.legalserver.org/matter/dynamic-profile/view/1909293","19-1909293")</f>
        <v>0</v>
      </c>
      <c r="B3346" t="s">
        <v>81</v>
      </c>
      <c r="C3346" t="s">
        <v>589</v>
      </c>
      <c r="D3346" t="s">
        <v>644</v>
      </c>
      <c r="E3346" t="s">
        <v>1245</v>
      </c>
      <c r="F3346" t="s">
        <v>3968</v>
      </c>
      <c r="G3346" t="s">
        <v>8768</v>
      </c>
      <c r="I3346" t="s">
        <v>11383</v>
      </c>
      <c r="J3346">
        <v>10453</v>
      </c>
      <c r="K3346" t="s">
        <v>11446</v>
      </c>
      <c r="L3346" t="s">
        <v>12971</v>
      </c>
      <c r="M3346" t="s">
        <v>14744</v>
      </c>
      <c r="N3346" t="s">
        <v>14778</v>
      </c>
      <c r="O3346" t="s">
        <v>14786</v>
      </c>
      <c r="P3346" t="s">
        <v>14802</v>
      </c>
      <c r="Q3346" t="s">
        <v>11448</v>
      </c>
      <c r="S3346" t="s">
        <v>14827</v>
      </c>
      <c r="T3346" t="s">
        <v>14832</v>
      </c>
      <c r="V3346">
        <v>1428</v>
      </c>
      <c r="W3346" t="s">
        <v>14858</v>
      </c>
      <c r="X3346" t="s">
        <v>14873</v>
      </c>
      <c r="Y3346" t="s">
        <v>14883</v>
      </c>
      <c r="Z3346" t="s">
        <v>17686</v>
      </c>
      <c r="AB3346" t="s">
        <v>22758</v>
      </c>
      <c r="AC3346">
        <v>70</v>
      </c>
      <c r="AD3346" t="s">
        <v>24595</v>
      </c>
      <c r="AF3346">
        <v>3</v>
      </c>
      <c r="AG3346">
        <v>1</v>
      </c>
      <c r="AH3346">
        <v>2</v>
      </c>
      <c r="AI3346">
        <v>0</v>
      </c>
      <c r="AL3346" t="s">
        <v>24632</v>
      </c>
      <c r="AM3346">
        <v>0</v>
      </c>
      <c r="AS3346">
        <v>0.5</v>
      </c>
      <c r="AT3346" t="s">
        <v>644</v>
      </c>
      <c r="AU3346" t="s">
        <v>145</v>
      </c>
      <c r="AV3346" t="s">
        <v>25335</v>
      </c>
      <c r="AW3346" t="s">
        <v>11447</v>
      </c>
    </row>
    <row r="3347" spans="1:49">
      <c r="A3347" s="1">
        <f>HYPERLINK("https://lsnyc.legalserver.org/matter/dynamic-profile/view/1909570","19-1909570")</f>
        <v>0</v>
      </c>
      <c r="B3347" t="s">
        <v>81</v>
      </c>
      <c r="C3347" t="s">
        <v>488</v>
      </c>
      <c r="D3347" t="s">
        <v>644</v>
      </c>
      <c r="E3347" t="s">
        <v>1855</v>
      </c>
      <c r="F3347" t="s">
        <v>5363</v>
      </c>
      <c r="G3347" t="s">
        <v>8769</v>
      </c>
      <c r="H3347" t="s">
        <v>10842</v>
      </c>
      <c r="I3347" t="s">
        <v>11383</v>
      </c>
      <c r="J3347">
        <v>10451</v>
      </c>
      <c r="K3347" t="s">
        <v>11446</v>
      </c>
      <c r="L3347" t="s">
        <v>12972</v>
      </c>
      <c r="M3347" t="s">
        <v>14743</v>
      </c>
      <c r="N3347" t="s">
        <v>14778</v>
      </c>
      <c r="O3347" t="s">
        <v>14786</v>
      </c>
      <c r="P3347" t="s">
        <v>14802</v>
      </c>
      <c r="Q3347" t="s">
        <v>11448</v>
      </c>
      <c r="S3347" t="s">
        <v>14827</v>
      </c>
      <c r="V3347">
        <v>215</v>
      </c>
      <c r="W3347" t="s">
        <v>14858</v>
      </c>
      <c r="X3347" t="s">
        <v>14865</v>
      </c>
      <c r="Y3347" t="s">
        <v>14883</v>
      </c>
      <c r="Z3347" t="s">
        <v>17687</v>
      </c>
      <c r="AB3347" t="s">
        <v>22759</v>
      </c>
      <c r="AC3347">
        <v>0</v>
      </c>
      <c r="AD3347" t="s">
        <v>24597</v>
      </c>
      <c r="AF3347">
        <v>9</v>
      </c>
      <c r="AG3347">
        <v>1</v>
      </c>
      <c r="AH3347">
        <v>0</v>
      </c>
      <c r="AI3347">
        <v>83.27</v>
      </c>
      <c r="AL3347" t="s">
        <v>24632</v>
      </c>
      <c r="AM3347">
        <v>10400</v>
      </c>
      <c r="AS3347">
        <v>0.3</v>
      </c>
      <c r="AT3347" t="s">
        <v>644</v>
      </c>
      <c r="AU3347" t="s">
        <v>145</v>
      </c>
      <c r="AV3347" t="s">
        <v>25335</v>
      </c>
      <c r="AW3347" t="s">
        <v>11447</v>
      </c>
    </row>
    <row r="3348" spans="1:49">
      <c r="A3348" s="1">
        <f>HYPERLINK("https://lsnyc.legalserver.org/matter/dynamic-profile/view/1906377","19-1906377")</f>
        <v>0</v>
      </c>
      <c r="B3348" t="s">
        <v>52</v>
      </c>
      <c r="C3348" t="s">
        <v>485</v>
      </c>
      <c r="D3348" t="s">
        <v>663</v>
      </c>
      <c r="E3348" t="s">
        <v>2741</v>
      </c>
      <c r="F3348" t="s">
        <v>5364</v>
      </c>
      <c r="G3348" t="s">
        <v>8770</v>
      </c>
      <c r="H3348" t="s">
        <v>10601</v>
      </c>
      <c r="I3348" t="s">
        <v>11383</v>
      </c>
      <c r="J3348">
        <v>10453</v>
      </c>
      <c r="K3348" t="s">
        <v>11446</v>
      </c>
      <c r="L3348" t="s">
        <v>12973</v>
      </c>
      <c r="M3348" t="s">
        <v>14743</v>
      </c>
      <c r="N3348" t="s">
        <v>14778</v>
      </c>
      <c r="O3348" t="s">
        <v>14786</v>
      </c>
      <c r="P3348" t="s">
        <v>14802</v>
      </c>
      <c r="Q3348" t="s">
        <v>11448</v>
      </c>
      <c r="S3348" t="s">
        <v>14827</v>
      </c>
      <c r="T3348" t="s">
        <v>14834</v>
      </c>
      <c r="U3348" t="s">
        <v>485</v>
      </c>
      <c r="V3348">
        <v>1515</v>
      </c>
      <c r="W3348" t="s">
        <v>14858</v>
      </c>
      <c r="X3348" t="s">
        <v>14870</v>
      </c>
      <c r="Y3348" t="s">
        <v>14883</v>
      </c>
      <c r="Z3348" t="s">
        <v>17688</v>
      </c>
      <c r="AA3348" t="s">
        <v>19705</v>
      </c>
      <c r="AB3348" t="s">
        <v>22760</v>
      </c>
      <c r="AC3348">
        <v>0</v>
      </c>
      <c r="AD3348" t="s">
        <v>24598</v>
      </c>
      <c r="AE3348" t="s">
        <v>24616</v>
      </c>
      <c r="AF3348">
        <v>1</v>
      </c>
      <c r="AG3348">
        <v>1</v>
      </c>
      <c r="AH3348">
        <v>2</v>
      </c>
      <c r="AI3348">
        <v>58.51</v>
      </c>
      <c r="AL3348" t="s">
        <v>5011</v>
      </c>
      <c r="AM3348">
        <v>12480</v>
      </c>
      <c r="AP3348" t="s">
        <v>14755</v>
      </c>
      <c r="AQ3348" t="s">
        <v>24987</v>
      </c>
      <c r="AR3348" t="s">
        <v>25074</v>
      </c>
      <c r="AS3348">
        <v>3.9</v>
      </c>
      <c r="AT3348" t="s">
        <v>368</v>
      </c>
      <c r="AU3348" t="s">
        <v>25239</v>
      </c>
      <c r="AV3348" t="s">
        <v>25334</v>
      </c>
      <c r="AW3348" t="s">
        <v>11447</v>
      </c>
    </row>
    <row r="3349" spans="1:49">
      <c r="A3349" s="1">
        <f>HYPERLINK("https://lsnyc.legalserver.org/matter/dynamic-profile/view/1907506","19-1907506")</f>
        <v>0</v>
      </c>
      <c r="B3349" t="s">
        <v>52</v>
      </c>
      <c r="C3349" t="s">
        <v>465</v>
      </c>
      <c r="D3349" t="s">
        <v>663</v>
      </c>
      <c r="E3349" t="s">
        <v>1065</v>
      </c>
      <c r="F3349" t="s">
        <v>5365</v>
      </c>
      <c r="G3349" t="s">
        <v>8771</v>
      </c>
      <c r="H3349" t="s">
        <v>10973</v>
      </c>
      <c r="I3349" t="s">
        <v>11383</v>
      </c>
      <c r="J3349">
        <v>10456</v>
      </c>
      <c r="K3349" t="s">
        <v>11446</v>
      </c>
      <c r="L3349" t="s">
        <v>12974</v>
      </c>
      <c r="M3349" t="s">
        <v>14744</v>
      </c>
      <c r="N3349" t="s">
        <v>14781</v>
      </c>
      <c r="O3349" t="s">
        <v>14787</v>
      </c>
      <c r="P3349" t="s">
        <v>14802</v>
      </c>
      <c r="Q3349" t="s">
        <v>11448</v>
      </c>
      <c r="S3349" t="s">
        <v>14827</v>
      </c>
      <c r="T3349" t="s">
        <v>14836</v>
      </c>
      <c r="U3349" t="s">
        <v>465</v>
      </c>
      <c r="V3349">
        <v>1118</v>
      </c>
      <c r="W3349" t="s">
        <v>14858</v>
      </c>
      <c r="X3349" t="s">
        <v>14865</v>
      </c>
      <c r="Y3349" t="s">
        <v>14889</v>
      </c>
      <c r="Z3349" t="s">
        <v>17689</v>
      </c>
      <c r="AA3349" t="s">
        <v>19706</v>
      </c>
      <c r="AC3349">
        <v>11</v>
      </c>
      <c r="AD3349" t="s">
        <v>24595</v>
      </c>
      <c r="AE3349" t="s">
        <v>24616</v>
      </c>
      <c r="AF3349">
        <v>25</v>
      </c>
      <c r="AG3349">
        <v>2</v>
      </c>
      <c r="AH3349">
        <v>0</v>
      </c>
      <c r="AI3349">
        <v>0</v>
      </c>
      <c r="AL3349" t="s">
        <v>5011</v>
      </c>
      <c r="AM3349">
        <v>0</v>
      </c>
      <c r="AO3349" t="s">
        <v>24931</v>
      </c>
      <c r="AP3349" t="s">
        <v>24964</v>
      </c>
      <c r="AQ3349" t="s">
        <v>24986</v>
      </c>
      <c r="AR3349" t="s">
        <v>25075</v>
      </c>
      <c r="AS3349">
        <v>1.4</v>
      </c>
      <c r="AT3349" t="s">
        <v>585</v>
      </c>
      <c r="AU3349" t="s">
        <v>145</v>
      </c>
      <c r="AV3349" t="s">
        <v>25334</v>
      </c>
      <c r="AW3349" t="s">
        <v>11447</v>
      </c>
    </row>
    <row r="3350" spans="1:49">
      <c r="A3350" s="1">
        <f>HYPERLINK("https://lsnyc.legalserver.org/matter/dynamic-profile/view/1909514","19-1909514")</f>
        <v>0</v>
      </c>
      <c r="B3350" t="s">
        <v>81</v>
      </c>
      <c r="C3350" t="s">
        <v>488</v>
      </c>
      <c r="D3350" t="s">
        <v>601</v>
      </c>
      <c r="E3350" t="s">
        <v>2742</v>
      </c>
      <c r="F3350" t="s">
        <v>5366</v>
      </c>
      <c r="G3350" t="s">
        <v>8772</v>
      </c>
      <c r="H3350" t="s">
        <v>11124</v>
      </c>
      <c r="I3350" t="s">
        <v>11383</v>
      </c>
      <c r="J3350">
        <v>10460</v>
      </c>
      <c r="K3350" t="s">
        <v>11446</v>
      </c>
      <c r="L3350" t="s">
        <v>12975</v>
      </c>
      <c r="M3350" t="s">
        <v>14744</v>
      </c>
      <c r="N3350" t="s">
        <v>14778</v>
      </c>
      <c r="O3350" t="s">
        <v>14786</v>
      </c>
      <c r="P3350" t="s">
        <v>14802</v>
      </c>
      <c r="Q3350" t="s">
        <v>11448</v>
      </c>
      <c r="S3350" t="s">
        <v>14827</v>
      </c>
      <c r="T3350" t="s">
        <v>14832</v>
      </c>
      <c r="V3350">
        <v>1211</v>
      </c>
      <c r="W3350" t="s">
        <v>14858</v>
      </c>
      <c r="X3350" t="s">
        <v>14863</v>
      </c>
      <c r="Y3350" t="s">
        <v>14883</v>
      </c>
      <c r="Z3350" t="s">
        <v>17690</v>
      </c>
      <c r="AB3350" t="s">
        <v>22761</v>
      </c>
      <c r="AC3350">
        <v>53</v>
      </c>
      <c r="AD3350" t="s">
        <v>24596</v>
      </c>
      <c r="AE3350" t="s">
        <v>24610</v>
      </c>
      <c r="AF3350">
        <v>2</v>
      </c>
      <c r="AG3350">
        <v>2</v>
      </c>
      <c r="AH3350">
        <v>2</v>
      </c>
      <c r="AI3350">
        <v>86.12</v>
      </c>
      <c r="AL3350" t="s">
        <v>5011</v>
      </c>
      <c r="AM3350">
        <v>22176</v>
      </c>
      <c r="AS3350">
        <v>0.5</v>
      </c>
      <c r="AT3350" t="s">
        <v>601</v>
      </c>
      <c r="AU3350" t="s">
        <v>145</v>
      </c>
      <c r="AV3350" t="s">
        <v>25335</v>
      </c>
      <c r="AW3350" t="s">
        <v>11447</v>
      </c>
    </row>
    <row r="3351" spans="1:49">
      <c r="A3351" s="1">
        <f>HYPERLINK("https://lsnyc.legalserver.org/matter/dynamic-profile/view/1909334","19-1909334")</f>
        <v>0</v>
      </c>
      <c r="B3351" t="s">
        <v>81</v>
      </c>
      <c r="C3351" t="s">
        <v>589</v>
      </c>
      <c r="D3351" t="s">
        <v>604</v>
      </c>
      <c r="E3351" t="s">
        <v>1361</v>
      </c>
      <c r="F3351" t="s">
        <v>3552</v>
      </c>
      <c r="G3351" t="s">
        <v>8773</v>
      </c>
      <c r="H3351" t="s">
        <v>10973</v>
      </c>
      <c r="I3351" t="s">
        <v>11383</v>
      </c>
      <c r="J3351">
        <v>10458</v>
      </c>
      <c r="K3351" t="s">
        <v>11446</v>
      </c>
      <c r="L3351" t="s">
        <v>12976</v>
      </c>
      <c r="M3351" t="s">
        <v>14744</v>
      </c>
      <c r="N3351" t="s">
        <v>14778</v>
      </c>
      <c r="O3351" t="s">
        <v>14786</v>
      </c>
      <c r="P3351" t="s">
        <v>14802</v>
      </c>
      <c r="Q3351" t="s">
        <v>11448</v>
      </c>
      <c r="S3351" t="s">
        <v>14827</v>
      </c>
      <c r="T3351" t="s">
        <v>14832</v>
      </c>
      <c r="V3351">
        <v>1359.15</v>
      </c>
      <c r="W3351" t="s">
        <v>14858</v>
      </c>
      <c r="X3351" t="s">
        <v>14863</v>
      </c>
      <c r="Y3351" t="s">
        <v>14883</v>
      </c>
      <c r="Z3351" t="s">
        <v>17691</v>
      </c>
      <c r="AB3351" t="s">
        <v>22762</v>
      </c>
      <c r="AC3351">
        <v>6</v>
      </c>
      <c r="AD3351" t="s">
        <v>24595</v>
      </c>
      <c r="AF3351">
        <v>6</v>
      </c>
      <c r="AG3351">
        <v>3</v>
      </c>
      <c r="AH3351">
        <v>3</v>
      </c>
      <c r="AI3351">
        <v>86.73</v>
      </c>
      <c r="AL3351" t="s">
        <v>24632</v>
      </c>
      <c r="AM3351">
        <v>30000</v>
      </c>
      <c r="AS3351">
        <v>0.5</v>
      </c>
      <c r="AT3351" t="s">
        <v>604</v>
      </c>
      <c r="AU3351" t="s">
        <v>145</v>
      </c>
      <c r="AV3351" t="s">
        <v>25335</v>
      </c>
      <c r="AW3351" t="s">
        <v>11447</v>
      </c>
    </row>
    <row r="3352" spans="1:49">
      <c r="A3352" s="1">
        <f>HYPERLINK("https://lsnyc.legalserver.org/matter/dynamic-profile/view/1905872","19-1905872")</f>
        <v>0</v>
      </c>
      <c r="B3352" t="s">
        <v>81</v>
      </c>
      <c r="C3352" t="s">
        <v>496</v>
      </c>
      <c r="D3352" t="s">
        <v>460</v>
      </c>
      <c r="E3352" t="s">
        <v>2743</v>
      </c>
      <c r="F3352" t="s">
        <v>5367</v>
      </c>
      <c r="G3352" t="s">
        <v>8774</v>
      </c>
      <c r="H3352">
        <v>2</v>
      </c>
      <c r="I3352" t="s">
        <v>11383</v>
      </c>
      <c r="J3352">
        <v>10459</v>
      </c>
      <c r="K3352" t="s">
        <v>11446</v>
      </c>
      <c r="L3352" t="s">
        <v>12977</v>
      </c>
      <c r="M3352" t="s">
        <v>14743</v>
      </c>
      <c r="N3352" t="s">
        <v>14781</v>
      </c>
      <c r="O3352" t="s">
        <v>14788</v>
      </c>
      <c r="P3352" t="s">
        <v>14802</v>
      </c>
      <c r="Q3352" t="s">
        <v>11448</v>
      </c>
      <c r="S3352" t="s">
        <v>14827</v>
      </c>
      <c r="T3352" t="s">
        <v>14832</v>
      </c>
      <c r="U3352" t="s">
        <v>465</v>
      </c>
      <c r="V3352">
        <v>1100</v>
      </c>
      <c r="W3352" t="s">
        <v>14858</v>
      </c>
      <c r="X3352" t="s">
        <v>14863</v>
      </c>
      <c r="Y3352" t="s">
        <v>14887</v>
      </c>
      <c r="Z3352" t="s">
        <v>17692</v>
      </c>
      <c r="AB3352" t="s">
        <v>22763</v>
      </c>
      <c r="AC3352">
        <v>4</v>
      </c>
      <c r="AD3352" t="s">
        <v>24600</v>
      </c>
      <c r="AE3352" t="s">
        <v>11459</v>
      </c>
      <c r="AF3352">
        <v>14</v>
      </c>
      <c r="AG3352">
        <v>1</v>
      </c>
      <c r="AH3352">
        <v>1</v>
      </c>
      <c r="AI3352">
        <v>0</v>
      </c>
      <c r="AL3352" t="s">
        <v>5011</v>
      </c>
      <c r="AM3352">
        <v>0</v>
      </c>
      <c r="AO3352" t="s">
        <v>24932</v>
      </c>
      <c r="AP3352" t="s">
        <v>24941</v>
      </c>
      <c r="AQ3352" t="s">
        <v>24986</v>
      </c>
      <c r="AR3352" t="s">
        <v>25034</v>
      </c>
      <c r="AS3352">
        <v>16.3</v>
      </c>
      <c r="AT3352" t="s">
        <v>460</v>
      </c>
      <c r="AU3352" t="s">
        <v>237</v>
      </c>
      <c r="AV3352" t="s">
        <v>25335</v>
      </c>
      <c r="AW3352" t="s">
        <v>11447</v>
      </c>
    </row>
    <row r="3353" spans="1:49">
      <c r="A3353" s="1">
        <f>HYPERLINK("https://lsnyc.legalserver.org/matter/dynamic-profile/view/1902878","19-1902878")</f>
        <v>0</v>
      </c>
      <c r="B3353" t="s">
        <v>82</v>
      </c>
      <c r="C3353" t="s">
        <v>343</v>
      </c>
      <c r="D3353" t="s">
        <v>475</v>
      </c>
      <c r="E3353" t="s">
        <v>1050</v>
      </c>
      <c r="F3353" t="s">
        <v>5368</v>
      </c>
      <c r="G3353" t="s">
        <v>8775</v>
      </c>
      <c r="H3353" t="s">
        <v>10509</v>
      </c>
      <c r="I3353" t="s">
        <v>11383</v>
      </c>
      <c r="J3353">
        <v>10456</v>
      </c>
      <c r="K3353" t="s">
        <v>11446</v>
      </c>
      <c r="L3353" t="s">
        <v>12978</v>
      </c>
      <c r="M3353" t="s">
        <v>14744</v>
      </c>
      <c r="N3353" t="s">
        <v>14781</v>
      </c>
      <c r="O3353" t="s">
        <v>14788</v>
      </c>
      <c r="P3353" t="s">
        <v>14802</v>
      </c>
      <c r="Q3353" t="s">
        <v>11448</v>
      </c>
      <c r="S3353" t="s">
        <v>14827</v>
      </c>
      <c r="T3353" t="s">
        <v>14834</v>
      </c>
      <c r="U3353" t="s">
        <v>338</v>
      </c>
      <c r="V3353">
        <v>1500</v>
      </c>
      <c r="W3353" t="s">
        <v>14858</v>
      </c>
      <c r="X3353" t="s">
        <v>14863</v>
      </c>
      <c r="Y3353" t="s">
        <v>14887</v>
      </c>
      <c r="Z3353" t="s">
        <v>17693</v>
      </c>
      <c r="AA3353">
        <v>9410634</v>
      </c>
      <c r="AB3353" t="s">
        <v>22764</v>
      </c>
      <c r="AC3353">
        <v>20</v>
      </c>
      <c r="AD3353" t="s">
        <v>24595</v>
      </c>
      <c r="AF3353">
        <v>1</v>
      </c>
      <c r="AG3353">
        <v>1</v>
      </c>
      <c r="AH3353">
        <v>3</v>
      </c>
      <c r="AI3353">
        <v>15.65</v>
      </c>
      <c r="AL3353" t="s">
        <v>5011</v>
      </c>
      <c r="AM3353">
        <v>4030</v>
      </c>
      <c r="AO3353" t="s">
        <v>24931</v>
      </c>
      <c r="AP3353" t="s">
        <v>24948</v>
      </c>
      <c r="AQ3353" t="s">
        <v>24986</v>
      </c>
      <c r="AR3353" t="s">
        <v>25010</v>
      </c>
      <c r="AS3353">
        <v>10.15</v>
      </c>
      <c r="AT3353" t="s">
        <v>497</v>
      </c>
      <c r="AU3353" t="s">
        <v>25232</v>
      </c>
      <c r="AV3353" t="s">
        <v>25335</v>
      </c>
      <c r="AW3353" t="s">
        <v>11447</v>
      </c>
    </row>
    <row r="3354" spans="1:49">
      <c r="A3354" s="1">
        <f>HYPERLINK("https://lsnyc.legalserver.org/matter/dynamic-profile/view/1909535","19-1909535")</f>
        <v>0</v>
      </c>
      <c r="B3354" t="s">
        <v>81</v>
      </c>
      <c r="C3354" t="s">
        <v>488</v>
      </c>
      <c r="D3354" t="s">
        <v>475</v>
      </c>
      <c r="E3354" t="s">
        <v>1777</v>
      </c>
      <c r="F3354" t="s">
        <v>4816</v>
      </c>
      <c r="G3354" t="s">
        <v>8776</v>
      </c>
      <c r="H3354" t="s">
        <v>10745</v>
      </c>
      <c r="I3354" t="s">
        <v>11383</v>
      </c>
      <c r="J3354">
        <v>10463</v>
      </c>
      <c r="K3354" t="s">
        <v>11446</v>
      </c>
      <c r="L3354" t="s">
        <v>12979</v>
      </c>
      <c r="M3354" t="s">
        <v>14744</v>
      </c>
      <c r="N3354" t="s">
        <v>14778</v>
      </c>
      <c r="O3354" t="s">
        <v>14786</v>
      </c>
      <c r="P3354" t="s">
        <v>14802</v>
      </c>
      <c r="Q3354" t="s">
        <v>11448</v>
      </c>
      <c r="S3354" t="s">
        <v>14827</v>
      </c>
      <c r="V3354">
        <v>1501</v>
      </c>
      <c r="W3354" t="s">
        <v>14858</v>
      </c>
      <c r="X3354" t="s">
        <v>14863</v>
      </c>
      <c r="Y3354" t="s">
        <v>14883</v>
      </c>
      <c r="Z3354" t="s">
        <v>17694</v>
      </c>
      <c r="AB3354" t="s">
        <v>22765</v>
      </c>
      <c r="AC3354">
        <v>137</v>
      </c>
      <c r="AD3354" t="s">
        <v>24595</v>
      </c>
      <c r="AF3354">
        <v>1</v>
      </c>
      <c r="AG3354">
        <v>1</v>
      </c>
      <c r="AH3354">
        <v>1</v>
      </c>
      <c r="AI3354">
        <v>83.26000000000001</v>
      </c>
      <c r="AL3354" t="s">
        <v>5011</v>
      </c>
      <c r="AM3354">
        <v>14079</v>
      </c>
      <c r="AS3354">
        <v>0.6</v>
      </c>
      <c r="AT3354" t="s">
        <v>604</v>
      </c>
      <c r="AU3354" t="s">
        <v>145</v>
      </c>
      <c r="AV3354" t="s">
        <v>25335</v>
      </c>
      <c r="AW3354" t="s">
        <v>11447</v>
      </c>
    </row>
    <row r="3355" spans="1:49">
      <c r="A3355" s="1">
        <f>HYPERLINK("https://lsnyc.legalserver.org/matter/dynamic-profile/view/1901333","19-1901333")</f>
        <v>0</v>
      </c>
      <c r="B3355" t="s">
        <v>298</v>
      </c>
      <c r="C3355" t="s">
        <v>649</v>
      </c>
      <c r="D3355" t="s">
        <v>511</v>
      </c>
      <c r="E3355" t="s">
        <v>1423</v>
      </c>
      <c r="F3355" t="s">
        <v>5369</v>
      </c>
      <c r="G3355" t="s">
        <v>8777</v>
      </c>
      <c r="H3355" t="s">
        <v>10555</v>
      </c>
      <c r="I3355" t="s">
        <v>11383</v>
      </c>
      <c r="J3355">
        <v>10474</v>
      </c>
      <c r="K3355" t="s">
        <v>11446</v>
      </c>
      <c r="L3355" t="s">
        <v>12980</v>
      </c>
      <c r="M3355" t="s">
        <v>14744</v>
      </c>
      <c r="N3355" t="s">
        <v>14781</v>
      </c>
      <c r="O3355" t="s">
        <v>14788</v>
      </c>
      <c r="P3355" t="s">
        <v>14802</v>
      </c>
      <c r="Q3355" t="s">
        <v>11448</v>
      </c>
      <c r="S3355" t="s">
        <v>14827</v>
      </c>
      <c r="T3355" t="s">
        <v>14834</v>
      </c>
      <c r="U3355" t="s">
        <v>545</v>
      </c>
      <c r="V3355">
        <v>790</v>
      </c>
      <c r="W3355" t="s">
        <v>14858</v>
      </c>
      <c r="X3355" t="s">
        <v>14863</v>
      </c>
      <c r="Y3355" t="s">
        <v>14887</v>
      </c>
      <c r="Z3355" t="s">
        <v>17695</v>
      </c>
      <c r="AA3355" t="s">
        <v>19707</v>
      </c>
      <c r="AB3355" t="s">
        <v>22766</v>
      </c>
      <c r="AC3355">
        <v>61</v>
      </c>
      <c r="AD3355" t="s">
        <v>24595</v>
      </c>
      <c r="AE3355" t="s">
        <v>24610</v>
      </c>
      <c r="AF3355">
        <v>9</v>
      </c>
      <c r="AG3355">
        <v>1</v>
      </c>
      <c r="AH3355">
        <v>2</v>
      </c>
      <c r="AI3355">
        <v>146.27</v>
      </c>
      <c r="AL3355" t="s">
        <v>5011</v>
      </c>
      <c r="AM3355">
        <v>31200</v>
      </c>
      <c r="AO3355" t="s">
        <v>24932</v>
      </c>
      <c r="AP3355" t="s">
        <v>24942</v>
      </c>
      <c r="AQ3355" t="s">
        <v>24986</v>
      </c>
      <c r="AR3355" t="s">
        <v>25076</v>
      </c>
      <c r="AS3355">
        <v>21.25</v>
      </c>
      <c r="AT3355" t="s">
        <v>488</v>
      </c>
      <c r="AU3355" t="s">
        <v>145</v>
      </c>
      <c r="AV3355" t="s">
        <v>25334</v>
      </c>
      <c r="AW3355" t="s">
        <v>11447</v>
      </c>
    </row>
    <row r="3356" spans="1:49">
      <c r="A3356" s="1">
        <f>HYPERLINK("https://lsnyc.legalserver.org/matter/dynamic-profile/view/1901335","19-1901335")</f>
        <v>0</v>
      </c>
      <c r="B3356" t="s">
        <v>96</v>
      </c>
      <c r="C3356" t="s">
        <v>649</v>
      </c>
      <c r="D3356" t="s">
        <v>511</v>
      </c>
      <c r="E3356" t="s">
        <v>2544</v>
      </c>
      <c r="F3356" t="s">
        <v>5370</v>
      </c>
      <c r="G3356" t="s">
        <v>8684</v>
      </c>
      <c r="H3356" t="s">
        <v>11125</v>
      </c>
      <c r="I3356" t="s">
        <v>11383</v>
      </c>
      <c r="J3356">
        <v>10473</v>
      </c>
      <c r="K3356" t="s">
        <v>11446</v>
      </c>
      <c r="M3356" t="s">
        <v>14743</v>
      </c>
      <c r="N3356" t="s">
        <v>14778</v>
      </c>
      <c r="O3356" t="s">
        <v>14786</v>
      </c>
      <c r="P3356" t="s">
        <v>14802</v>
      </c>
      <c r="S3356" t="s">
        <v>14827</v>
      </c>
      <c r="V3356">
        <v>0</v>
      </c>
      <c r="W3356" t="s">
        <v>14858</v>
      </c>
      <c r="Y3356" t="s">
        <v>14883</v>
      </c>
      <c r="Z3356" t="s">
        <v>16445</v>
      </c>
      <c r="AB3356" t="s">
        <v>22767</v>
      </c>
      <c r="AC3356">
        <v>583</v>
      </c>
      <c r="AD3356" t="s">
        <v>24597</v>
      </c>
      <c r="AF3356">
        <v>30</v>
      </c>
      <c r="AG3356">
        <v>4</v>
      </c>
      <c r="AH3356">
        <v>3</v>
      </c>
      <c r="AI3356">
        <v>0</v>
      </c>
      <c r="AL3356" t="s">
        <v>5011</v>
      </c>
      <c r="AM3356">
        <v>0</v>
      </c>
      <c r="AN3356" t="s">
        <v>24846</v>
      </c>
      <c r="AR3356" t="s">
        <v>24996</v>
      </c>
      <c r="AS3356">
        <v>0.1</v>
      </c>
      <c r="AT3356" t="s">
        <v>511</v>
      </c>
      <c r="AU3356" t="s">
        <v>114</v>
      </c>
      <c r="AV3356" t="s">
        <v>25335</v>
      </c>
      <c r="AW3356" t="s">
        <v>11447</v>
      </c>
    </row>
    <row r="3357" spans="1:49">
      <c r="A3357" s="1">
        <f>HYPERLINK("https://lsnyc.legalserver.org/matter/dynamic-profile/view/1909567","19-1909567")</f>
        <v>0</v>
      </c>
      <c r="B3357" t="s">
        <v>81</v>
      </c>
      <c r="C3357" t="s">
        <v>488</v>
      </c>
      <c r="D3357" t="s">
        <v>511</v>
      </c>
      <c r="E3357" t="s">
        <v>1258</v>
      </c>
      <c r="F3357" t="s">
        <v>3730</v>
      </c>
      <c r="G3357" t="s">
        <v>8778</v>
      </c>
      <c r="H3357" t="s">
        <v>10509</v>
      </c>
      <c r="I3357" t="s">
        <v>11383</v>
      </c>
      <c r="J3357">
        <v>10456</v>
      </c>
      <c r="K3357" t="s">
        <v>11446</v>
      </c>
      <c r="L3357" t="s">
        <v>12981</v>
      </c>
      <c r="M3357" t="s">
        <v>14743</v>
      </c>
      <c r="N3357" t="s">
        <v>14778</v>
      </c>
      <c r="O3357" t="s">
        <v>14786</v>
      </c>
      <c r="P3357" t="s">
        <v>14802</v>
      </c>
      <c r="Q3357" t="s">
        <v>11448</v>
      </c>
      <c r="S3357" t="s">
        <v>14827</v>
      </c>
      <c r="V3357">
        <v>0</v>
      </c>
      <c r="W3357" t="s">
        <v>14858</v>
      </c>
      <c r="X3357" t="s">
        <v>14863</v>
      </c>
      <c r="Y3357" t="s">
        <v>14883</v>
      </c>
      <c r="Z3357" t="s">
        <v>17696</v>
      </c>
      <c r="AB3357" t="s">
        <v>22768</v>
      </c>
      <c r="AC3357">
        <v>35</v>
      </c>
      <c r="AD3357" t="s">
        <v>24595</v>
      </c>
      <c r="AF3357">
        <v>0</v>
      </c>
      <c r="AG3357">
        <v>1</v>
      </c>
      <c r="AH3357">
        <v>1</v>
      </c>
      <c r="AI3357">
        <v>165.29</v>
      </c>
      <c r="AL3357" t="s">
        <v>5011</v>
      </c>
      <c r="AM3357">
        <v>27950</v>
      </c>
      <c r="AS3357">
        <v>0.5</v>
      </c>
      <c r="AT3357" t="s">
        <v>663</v>
      </c>
      <c r="AU3357" t="s">
        <v>145</v>
      </c>
      <c r="AV3357" t="s">
        <v>25335</v>
      </c>
      <c r="AW3357" t="s">
        <v>11447</v>
      </c>
    </row>
    <row r="3358" spans="1:49">
      <c r="A3358" s="1">
        <f>HYPERLINK("https://lsnyc.legalserver.org/matter/dynamic-profile/view/1910975","19-1910975")</f>
        <v>0</v>
      </c>
      <c r="B3358" t="s">
        <v>81</v>
      </c>
      <c r="C3358" t="s">
        <v>604</v>
      </c>
      <c r="D3358" t="s">
        <v>467</v>
      </c>
      <c r="E3358" t="s">
        <v>2744</v>
      </c>
      <c r="F3358" t="s">
        <v>1893</v>
      </c>
      <c r="G3358" t="s">
        <v>7818</v>
      </c>
      <c r="H3358" t="s">
        <v>11126</v>
      </c>
      <c r="I3358" t="s">
        <v>11383</v>
      </c>
      <c r="J3358">
        <v>10453</v>
      </c>
      <c r="K3358" t="s">
        <v>11446</v>
      </c>
      <c r="L3358" t="s">
        <v>12982</v>
      </c>
      <c r="M3358" t="s">
        <v>14743</v>
      </c>
      <c r="N3358" t="s">
        <v>14778</v>
      </c>
      <c r="O3358" t="s">
        <v>14786</v>
      </c>
      <c r="P3358" t="s">
        <v>14802</v>
      </c>
      <c r="Q3358" t="s">
        <v>11448</v>
      </c>
      <c r="S3358" t="s">
        <v>14827</v>
      </c>
      <c r="T3358" t="s">
        <v>14834</v>
      </c>
      <c r="V3358">
        <v>1029</v>
      </c>
      <c r="W3358" t="s">
        <v>14858</v>
      </c>
      <c r="X3358" t="s">
        <v>14867</v>
      </c>
      <c r="Y3358" t="s">
        <v>14883</v>
      </c>
      <c r="Z3358" t="s">
        <v>17697</v>
      </c>
      <c r="AB3358" t="s">
        <v>22769</v>
      </c>
      <c r="AC3358">
        <v>434</v>
      </c>
      <c r="AD3358" t="s">
        <v>24604</v>
      </c>
      <c r="AF3358">
        <v>2</v>
      </c>
      <c r="AG3358">
        <v>1</v>
      </c>
      <c r="AH3358">
        <v>1</v>
      </c>
      <c r="AI3358">
        <v>0</v>
      </c>
      <c r="AL3358" t="s">
        <v>5011</v>
      </c>
      <c r="AM3358">
        <v>0</v>
      </c>
      <c r="AS3358">
        <v>1.5</v>
      </c>
      <c r="AT3358" t="s">
        <v>467</v>
      </c>
      <c r="AU3358" t="s">
        <v>145</v>
      </c>
      <c r="AV3358" t="s">
        <v>25335</v>
      </c>
      <c r="AW3358" t="s">
        <v>11447</v>
      </c>
    </row>
    <row r="3359" spans="1:49">
      <c r="A3359" s="1">
        <f>HYPERLINK("https://lsnyc.legalserver.org/matter/dynamic-profile/view/1901938","19-1901938")</f>
        <v>0</v>
      </c>
      <c r="B3359" t="s">
        <v>79</v>
      </c>
      <c r="C3359" t="s">
        <v>347</v>
      </c>
      <c r="D3359" t="s">
        <v>486</v>
      </c>
      <c r="E3359" t="s">
        <v>2745</v>
      </c>
      <c r="F3359" t="s">
        <v>1210</v>
      </c>
      <c r="G3359" t="s">
        <v>8779</v>
      </c>
      <c r="H3359" t="s">
        <v>10474</v>
      </c>
      <c r="I3359" t="s">
        <v>11383</v>
      </c>
      <c r="J3359">
        <v>10466</v>
      </c>
      <c r="K3359" t="s">
        <v>11446</v>
      </c>
      <c r="L3359" t="s">
        <v>12983</v>
      </c>
      <c r="M3359" t="s">
        <v>14743</v>
      </c>
      <c r="N3359" t="s">
        <v>14778</v>
      </c>
      <c r="O3359" t="s">
        <v>14786</v>
      </c>
      <c r="P3359" t="s">
        <v>14802</v>
      </c>
      <c r="Q3359" t="s">
        <v>11448</v>
      </c>
      <c r="S3359" t="s">
        <v>14827</v>
      </c>
      <c r="T3359" t="s">
        <v>14832</v>
      </c>
      <c r="U3359" t="s">
        <v>485</v>
      </c>
      <c r="V3359">
        <v>1600</v>
      </c>
      <c r="W3359" t="s">
        <v>14858</v>
      </c>
      <c r="X3359" t="s">
        <v>14865</v>
      </c>
      <c r="Y3359" t="s">
        <v>14883</v>
      </c>
      <c r="Z3359" t="s">
        <v>17698</v>
      </c>
      <c r="AB3359" t="s">
        <v>22770</v>
      </c>
      <c r="AC3359">
        <v>2</v>
      </c>
      <c r="AD3359" t="s">
        <v>24600</v>
      </c>
      <c r="AE3359" t="s">
        <v>24610</v>
      </c>
      <c r="AF3359">
        <v>1</v>
      </c>
      <c r="AG3359">
        <v>1</v>
      </c>
      <c r="AH3359">
        <v>0</v>
      </c>
      <c r="AI3359">
        <v>36.89</v>
      </c>
      <c r="AL3359" t="s">
        <v>5011</v>
      </c>
      <c r="AM3359">
        <v>4608</v>
      </c>
      <c r="AN3359" t="s">
        <v>24671</v>
      </c>
      <c r="AS3359">
        <v>0.5</v>
      </c>
      <c r="AT3359" t="s">
        <v>621</v>
      </c>
      <c r="AU3359" t="s">
        <v>114</v>
      </c>
      <c r="AV3359" t="s">
        <v>25335</v>
      </c>
      <c r="AW3359" t="s">
        <v>11447</v>
      </c>
    </row>
    <row r="3360" spans="1:49">
      <c r="A3360" s="1">
        <f>HYPERLINK("https://lsnyc.legalserver.org/matter/dynamic-profile/view/1902949","19-1902949")</f>
        <v>0</v>
      </c>
      <c r="B3360" t="s">
        <v>297</v>
      </c>
      <c r="C3360" t="s">
        <v>343</v>
      </c>
      <c r="D3360" t="s">
        <v>526</v>
      </c>
      <c r="E3360" t="s">
        <v>2746</v>
      </c>
      <c r="F3360" t="s">
        <v>4519</v>
      </c>
      <c r="G3360" t="s">
        <v>8780</v>
      </c>
      <c r="I3360" t="s">
        <v>11383</v>
      </c>
      <c r="J3360">
        <v>10454</v>
      </c>
      <c r="K3360" t="s">
        <v>11446</v>
      </c>
      <c r="L3360" t="s">
        <v>12984</v>
      </c>
      <c r="M3360" t="s">
        <v>14743</v>
      </c>
      <c r="N3360" t="s">
        <v>14778</v>
      </c>
      <c r="O3360" t="s">
        <v>14786</v>
      </c>
      <c r="P3360" t="s">
        <v>14802</v>
      </c>
      <c r="Q3360" t="s">
        <v>11448</v>
      </c>
      <c r="S3360" t="s">
        <v>14827</v>
      </c>
      <c r="T3360" t="s">
        <v>14832</v>
      </c>
      <c r="U3360" t="s">
        <v>545</v>
      </c>
      <c r="V3360">
        <v>1661.56</v>
      </c>
      <c r="W3360" t="s">
        <v>14858</v>
      </c>
      <c r="X3360" t="s">
        <v>14863</v>
      </c>
      <c r="Y3360" t="s">
        <v>14883</v>
      </c>
      <c r="Z3360" t="s">
        <v>17699</v>
      </c>
      <c r="AB3360" t="s">
        <v>22771</v>
      </c>
      <c r="AC3360">
        <v>29</v>
      </c>
      <c r="AD3360" t="s">
        <v>24595</v>
      </c>
      <c r="AE3360" t="s">
        <v>24615</v>
      </c>
      <c r="AF3360">
        <v>12</v>
      </c>
      <c r="AG3360">
        <v>1</v>
      </c>
      <c r="AH3360">
        <v>0</v>
      </c>
      <c r="AI3360">
        <v>172.94</v>
      </c>
      <c r="AL3360" t="s">
        <v>24632</v>
      </c>
      <c r="AM3360">
        <v>21600</v>
      </c>
      <c r="AN3360" t="s">
        <v>24686</v>
      </c>
      <c r="AS3360">
        <v>1.5</v>
      </c>
      <c r="AT3360" t="s">
        <v>608</v>
      </c>
      <c r="AU3360" t="s">
        <v>25252</v>
      </c>
      <c r="AV3360" t="s">
        <v>25335</v>
      </c>
      <c r="AW3360" t="s">
        <v>11447</v>
      </c>
    </row>
    <row r="3361" spans="1:49">
      <c r="A3361" s="1">
        <f>HYPERLINK("https://lsnyc.legalserver.org/matter/dynamic-profile/view/1911152","19-1911152")</f>
        <v>0</v>
      </c>
      <c r="B3361" t="s">
        <v>201</v>
      </c>
      <c r="C3361" t="s">
        <v>475</v>
      </c>
      <c r="D3361" t="s">
        <v>526</v>
      </c>
      <c r="E3361" t="s">
        <v>1501</v>
      </c>
      <c r="F3361" t="s">
        <v>5371</v>
      </c>
      <c r="G3361" t="s">
        <v>8781</v>
      </c>
      <c r="H3361" t="s">
        <v>10496</v>
      </c>
      <c r="I3361" t="s">
        <v>11383</v>
      </c>
      <c r="J3361">
        <v>10472</v>
      </c>
      <c r="K3361" t="s">
        <v>11446</v>
      </c>
      <c r="L3361" t="s">
        <v>12985</v>
      </c>
      <c r="M3361" t="s">
        <v>14744</v>
      </c>
      <c r="N3361" t="s">
        <v>14778</v>
      </c>
      <c r="O3361" t="s">
        <v>14786</v>
      </c>
      <c r="P3361" t="s">
        <v>14802</v>
      </c>
      <c r="Q3361" t="s">
        <v>11448</v>
      </c>
      <c r="S3361" t="s">
        <v>14827</v>
      </c>
      <c r="T3361" t="s">
        <v>14837</v>
      </c>
      <c r="U3361" t="s">
        <v>475</v>
      </c>
      <c r="V3361">
        <v>2200</v>
      </c>
      <c r="W3361" t="s">
        <v>14858</v>
      </c>
      <c r="X3361" t="s">
        <v>14868</v>
      </c>
      <c r="Y3361" t="s">
        <v>14883</v>
      </c>
      <c r="Z3361" t="s">
        <v>17700</v>
      </c>
      <c r="AA3361" t="s">
        <v>19708</v>
      </c>
      <c r="AB3361" t="s">
        <v>22772</v>
      </c>
      <c r="AC3361">
        <v>3</v>
      </c>
      <c r="AD3361" t="s">
        <v>24600</v>
      </c>
      <c r="AE3361" t="s">
        <v>24620</v>
      </c>
      <c r="AF3361">
        <v>3</v>
      </c>
      <c r="AG3361">
        <v>2</v>
      </c>
      <c r="AH3361">
        <v>2</v>
      </c>
      <c r="AI3361">
        <v>41.94</v>
      </c>
      <c r="AL3361" t="s">
        <v>5011</v>
      </c>
      <c r="AM3361">
        <v>10800</v>
      </c>
      <c r="AS3361">
        <v>7.5</v>
      </c>
      <c r="AT3361" t="s">
        <v>586</v>
      </c>
      <c r="AU3361" t="s">
        <v>145</v>
      </c>
      <c r="AV3361" t="s">
        <v>25334</v>
      </c>
      <c r="AW3361" t="s">
        <v>11447</v>
      </c>
    </row>
    <row r="3362" spans="1:49">
      <c r="A3362" s="1">
        <f>HYPERLINK("https://lsnyc.legalserver.org/matter/dynamic-profile/view/1909350","19-1909350")</f>
        <v>0</v>
      </c>
      <c r="B3362" t="s">
        <v>81</v>
      </c>
      <c r="C3362" t="s">
        <v>589</v>
      </c>
      <c r="D3362" t="s">
        <v>526</v>
      </c>
      <c r="E3362" t="s">
        <v>2747</v>
      </c>
      <c r="F3362" t="s">
        <v>3584</v>
      </c>
      <c r="G3362" t="s">
        <v>8782</v>
      </c>
      <c r="H3362" t="s">
        <v>10506</v>
      </c>
      <c r="I3362" t="s">
        <v>11383</v>
      </c>
      <c r="J3362">
        <v>10452</v>
      </c>
      <c r="K3362" t="s">
        <v>11446</v>
      </c>
      <c r="L3362" t="s">
        <v>12986</v>
      </c>
      <c r="M3362" t="s">
        <v>14744</v>
      </c>
      <c r="N3362" t="s">
        <v>14778</v>
      </c>
      <c r="O3362" t="s">
        <v>14786</v>
      </c>
      <c r="P3362" t="s">
        <v>14802</v>
      </c>
      <c r="Q3362" t="s">
        <v>11448</v>
      </c>
      <c r="S3362" t="s">
        <v>14827</v>
      </c>
      <c r="V3362">
        <v>1530</v>
      </c>
      <c r="W3362" t="s">
        <v>14858</v>
      </c>
      <c r="X3362" t="s">
        <v>14863</v>
      </c>
      <c r="Y3362" t="s">
        <v>14883</v>
      </c>
      <c r="Z3362" t="s">
        <v>17025</v>
      </c>
      <c r="AB3362" t="s">
        <v>22773</v>
      </c>
      <c r="AC3362">
        <v>9</v>
      </c>
      <c r="AD3362" t="s">
        <v>24595</v>
      </c>
      <c r="AE3362" t="s">
        <v>24615</v>
      </c>
      <c r="AF3362">
        <v>6</v>
      </c>
      <c r="AG3362">
        <v>1</v>
      </c>
      <c r="AH3362">
        <v>5</v>
      </c>
      <c r="AI3362">
        <v>95.34999999999999</v>
      </c>
      <c r="AL3362" t="s">
        <v>5011</v>
      </c>
      <c r="AM3362">
        <v>32981</v>
      </c>
      <c r="AS3362">
        <v>0.9</v>
      </c>
      <c r="AT3362" t="s">
        <v>526</v>
      </c>
      <c r="AU3362" t="s">
        <v>145</v>
      </c>
      <c r="AV3362" t="s">
        <v>25335</v>
      </c>
      <c r="AW3362" t="s">
        <v>11447</v>
      </c>
    </row>
    <row r="3363" spans="1:49">
      <c r="A3363" s="1">
        <f>HYPERLINK("https://lsnyc.legalserver.org/matter/dynamic-profile/view/1898249","19-1898249")</f>
        <v>0</v>
      </c>
      <c r="B3363" t="s">
        <v>201</v>
      </c>
      <c r="C3363" t="s">
        <v>831</v>
      </c>
      <c r="D3363" t="s">
        <v>505</v>
      </c>
      <c r="E3363" t="s">
        <v>2748</v>
      </c>
      <c r="F3363" t="s">
        <v>3738</v>
      </c>
      <c r="G3363" t="s">
        <v>8783</v>
      </c>
      <c r="H3363" t="s">
        <v>10506</v>
      </c>
      <c r="I3363" t="s">
        <v>11383</v>
      </c>
      <c r="J3363">
        <v>10466</v>
      </c>
      <c r="K3363" t="s">
        <v>11446</v>
      </c>
      <c r="L3363" t="s">
        <v>12987</v>
      </c>
      <c r="M3363" t="s">
        <v>14743</v>
      </c>
      <c r="N3363" t="s">
        <v>14781</v>
      </c>
      <c r="O3363" t="s">
        <v>14788</v>
      </c>
      <c r="P3363" t="s">
        <v>14802</v>
      </c>
      <c r="Q3363" t="s">
        <v>11448</v>
      </c>
      <c r="S3363" t="s">
        <v>14827</v>
      </c>
      <c r="T3363" t="s">
        <v>14832</v>
      </c>
      <c r="U3363" t="s">
        <v>545</v>
      </c>
      <c r="V3363">
        <v>975</v>
      </c>
      <c r="W3363" t="s">
        <v>14858</v>
      </c>
      <c r="X3363" t="s">
        <v>14863</v>
      </c>
      <c r="Y3363" t="s">
        <v>14888</v>
      </c>
      <c r="Z3363" t="s">
        <v>17701</v>
      </c>
      <c r="AB3363" t="s">
        <v>22774</v>
      </c>
      <c r="AC3363">
        <v>3</v>
      </c>
      <c r="AD3363" t="s">
        <v>24607</v>
      </c>
      <c r="AE3363" t="s">
        <v>24610</v>
      </c>
      <c r="AF3363">
        <v>15</v>
      </c>
      <c r="AG3363">
        <v>1</v>
      </c>
      <c r="AH3363">
        <v>0</v>
      </c>
      <c r="AI3363">
        <v>79.73999999999999</v>
      </c>
      <c r="AL3363" t="s">
        <v>5011</v>
      </c>
      <c r="AM3363">
        <v>9960</v>
      </c>
      <c r="AO3363" t="s">
        <v>24932</v>
      </c>
      <c r="AP3363" t="s">
        <v>24942</v>
      </c>
      <c r="AQ3363" t="s">
        <v>24987</v>
      </c>
      <c r="AR3363" t="s">
        <v>25040</v>
      </c>
      <c r="AS3363">
        <v>32.2</v>
      </c>
      <c r="AT3363" t="s">
        <v>645</v>
      </c>
      <c r="AU3363" t="s">
        <v>237</v>
      </c>
      <c r="AV3363" t="s">
        <v>25335</v>
      </c>
      <c r="AW3363" t="s">
        <v>11446</v>
      </c>
    </row>
    <row r="3364" spans="1:49">
      <c r="A3364" s="1">
        <f>HYPERLINK("https://lsnyc.legalserver.org/matter/dynamic-profile/view/1906365","19-1906365")</f>
        <v>0</v>
      </c>
      <c r="B3364" t="s">
        <v>49</v>
      </c>
      <c r="C3364" t="s">
        <v>485</v>
      </c>
      <c r="D3364" t="s">
        <v>505</v>
      </c>
      <c r="E3364" t="s">
        <v>1868</v>
      </c>
      <c r="F3364" t="s">
        <v>3892</v>
      </c>
      <c r="G3364" t="s">
        <v>8784</v>
      </c>
      <c r="H3364" t="s">
        <v>10719</v>
      </c>
      <c r="I3364" t="s">
        <v>11383</v>
      </c>
      <c r="J3364">
        <v>10455</v>
      </c>
      <c r="K3364" t="s">
        <v>11446</v>
      </c>
      <c r="L3364" t="s">
        <v>12988</v>
      </c>
      <c r="M3364" t="s">
        <v>14744</v>
      </c>
      <c r="N3364" t="s">
        <v>14781</v>
      </c>
      <c r="O3364" t="s">
        <v>14788</v>
      </c>
      <c r="P3364" t="s">
        <v>14802</v>
      </c>
      <c r="Q3364" t="s">
        <v>11448</v>
      </c>
      <c r="S3364" t="s">
        <v>14827</v>
      </c>
      <c r="T3364" t="s">
        <v>14836</v>
      </c>
      <c r="U3364" t="s">
        <v>485</v>
      </c>
      <c r="V3364">
        <v>1441</v>
      </c>
      <c r="W3364" t="s">
        <v>14858</v>
      </c>
      <c r="X3364" t="s">
        <v>14868</v>
      </c>
      <c r="Y3364" t="s">
        <v>14887</v>
      </c>
      <c r="Z3364" t="s">
        <v>17702</v>
      </c>
      <c r="AA3364" t="s">
        <v>19709</v>
      </c>
      <c r="AB3364" t="s">
        <v>22775</v>
      </c>
      <c r="AC3364">
        <v>40</v>
      </c>
      <c r="AD3364" t="s">
        <v>24605</v>
      </c>
      <c r="AE3364" t="s">
        <v>11459</v>
      </c>
      <c r="AF3364">
        <v>4</v>
      </c>
      <c r="AG3364">
        <v>2</v>
      </c>
      <c r="AH3364">
        <v>2</v>
      </c>
      <c r="AI3364">
        <v>92.92</v>
      </c>
      <c r="AL3364" t="s">
        <v>5011</v>
      </c>
      <c r="AM3364">
        <v>23926.8</v>
      </c>
      <c r="AO3364" t="s">
        <v>24931</v>
      </c>
      <c r="AP3364" t="s">
        <v>24942</v>
      </c>
      <c r="AQ3364" t="s">
        <v>24986</v>
      </c>
      <c r="AR3364" t="s">
        <v>25043</v>
      </c>
      <c r="AS3364">
        <v>9.5</v>
      </c>
      <c r="AT3364" t="s">
        <v>626</v>
      </c>
      <c r="AU3364" t="s">
        <v>145</v>
      </c>
      <c r="AV3364" t="s">
        <v>25335</v>
      </c>
      <c r="AW3364" t="s">
        <v>11447</v>
      </c>
    </row>
    <row r="3365" spans="1:49">
      <c r="A3365" s="1">
        <f>HYPERLINK("https://lsnyc.legalserver.org/matter/dynamic-profile/view/1909443","19-1909443")</f>
        <v>0</v>
      </c>
      <c r="B3365" t="s">
        <v>299</v>
      </c>
      <c r="C3365" t="s">
        <v>412</v>
      </c>
      <c r="D3365" t="s">
        <v>505</v>
      </c>
      <c r="E3365" t="s">
        <v>2749</v>
      </c>
      <c r="F3365" t="s">
        <v>4614</v>
      </c>
      <c r="G3365" t="s">
        <v>8785</v>
      </c>
      <c r="H3365">
        <v>11</v>
      </c>
      <c r="I3365" t="s">
        <v>11383</v>
      </c>
      <c r="J3365">
        <v>10458</v>
      </c>
      <c r="K3365" t="s">
        <v>11446</v>
      </c>
      <c r="L3365" t="s">
        <v>12989</v>
      </c>
      <c r="M3365" t="s">
        <v>14744</v>
      </c>
      <c r="N3365" t="s">
        <v>14781</v>
      </c>
      <c r="O3365" t="s">
        <v>14788</v>
      </c>
      <c r="P3365" t="s">
        <v>14802</v>
      </c>
      <c r="Q3365" t="s">
        <v>11448</v>
      </c>
      <c r="S3365" t="s">
        <v>14827</v>
      </c>
      <c r="U3365" t="s">
        <v>412</v>
      </c>
      <c r="V3365">
        <v>1568</v>
      </c>
      <c r="W3365" t="s">
        <v>14858</v>
      </c>
      <c r="X3365" t="s">
        <v>14863</v>
      </c>
      <c r="Y3365" t="s">
        <v>14897</v>
      </c>
      <c r="Z3365" t="s">
        <v>17703</v>
      </c>
      <c r="AA3365" t="s">
        <v>19710</v>
      </c>
      <c r="AB3365" t="s">
        <v>22776</v>
      </c>
      <c r="AC3365">
        <v>13</v>
      </c>
      <c r="AD3365" t="s">
        <v>24595</v>
      </c>
      <c r="AE3365" t="s">
        <v>24616</v>
      </c>
      <c r="AF3365">
        <v>4</v>
      </c>
      <c r="AG3365">
        <v>1</v>
      </c>
      <c r="AH3365">
        <v>2</v>
      </c>
      <c r="AI3365">
        <v>42.66</v>
      </c>
      <c r="AL3365" t="s">
        <v>5011</v>
      </c>
      <c r="AM3365">
        <v>9100</v>
      </c>
      <c r="AS3365">
        <v>5</v>
      </c>
      <c r="AT3365" t="s">
        <v>585</v>
      </c>
      <c r="AU3365" t="s">
        <v>245</v>
      </c>
      <c r="AV3365" t="s">
        <v>25334</v>
      </c>
      <c r="AW3365" t="s">
        <v>11447</v>
      </c>
    </row>
    <row r="3366" spans="1:49">
      <c r="A3366" s="1">
        <f>HYPERLINK("https://lsnyc.legalserver.org/matter/dynamic-profile/view/1911237","19-1911237")</f>
        <v>0</v>
      </c>
      <c r="B3366" t="s">
        <v>81</v>
      </c>
      <c r="C3366" t="s">
        <v>511</v>
      </c>
      <c r="D3366" t="s">
        <v>586</v>
      </c>
      <c r="E3366" t="s">
        <v>1069</v>
      </c>
      <c r="F3366" t="s">
        <v>1879</v>
      </c>
      <c r="G3366" t="s">
        <v>6323</v>
      </c>
      <c r="H3366" t="s">
        <v>10482</v>
      </c>
      <c r="I3366" t="s">
        <v>11383</v>
      </c>
      <c r="J3366">
        <v>10470</v>
      </c>
      <c r="K3366" t="s">
        <v>11446</v>
      </c>
      <c r="L3366" t="s">
        <v>11469</v>
      </c>
      <c r="M3366" t="s">
        <v>14744</v>
      </c>
      <c r="N3366" t="s">
        <v>14778</v>
      </c>
      <c r="O3366" t="s">
        <v>14786</v>
      </c>
      <c r="P3366" t="s">
        <v>14802</v>
      </c>
      <c r="Q3366" t="s">
        <v>11448</v>
      </c>
      <c r="S3366" t="s">
        <v>14827</v>
      </c>
      <c r="T3366" t="s">
        <v>14832</v>
      </c>
      <c r="U3366" t="s">
        <v>511</v>
      </c>
      <c r="V3366">
        <v>1438</v>
      </c>
      <c r="W3366" t="s">
        <v>14858</v>
      </c>
      <c r="X3366" t="s">
        <v>14868</v>
      </c>
      <c r="Y3366" t="s">
        <v>14883</v>
      </c>
      <c r="Z3366" t="s">
        <v>14949</v>
      </c>
      <c r="AB3366" t="s">
        <v>22777</v>
      </c>
      <c r="AC3366">
        <v>55</v>
      </c>
      <c r="AF3366">
        <v>5</v>
      </c>
      <c r="AG3366">
        <v>1</v>
      </c>
      <c r="AH3366">
        <v>2</v>
      </c>
      <c r="AI3366">
        <v>138.17</v>
      </c>
      <c r="AL3366" t="s">
        <v>5011</v>
      </c>
      <c r="AM3366">
        <v>29472</v>
      </c>
      <c r="AS3366">
        <v>1</v>
      </c>
      <c r="AT3366" t="s">
        <v>586</v>
      </c>
      <c r="AU3366" t="s">
        <v>145</v>
      </c>
      <c r="AV3366" t="s">
        <v>25335</v>
      </c>
      <c r="AW3366" t="s">
        <v>11447</v>
      </c>
    </row>
    <row r="3367" spans="1:49">
      <c r="A3367" s="1">
        <f>HYPERLINK("https://lsnyc.legalserver.org/matter/dynamic-profile/view/1907049","19-1907049")</f>
        <v>0</v>
      </c>
      <c r="B3367" t="s">
        <v>272</v>
      </c>
      <c r="C3367" t="s">
        <v>564</v>
      </c>
      <c r="D3367" t="s">
        <v>559</v>
      </c>
      <c r="E3367" t="s">
        <v>2750</v>
      </c>
      <c r="F3367" t="s">
        <v>5372</v>
      </c>
      <c r="G3367" t="s">
        <v>8786</v>
      </c>
      <c r="H3367" t="s">
        <v>11127</v>
      </c>
      <c r="I3367" t="s">
        <v>11383</v>
      </c>
      <c r="J3367">
        <v>10455</v>
      </c>
      <c r="K3367" t="s">
        <v>11446</v>
      </c>
      <c r="L3367" t="s">
        <v>12990</v>
      </c>
      <c r="M3367" t="s">
        <v>14744</v>
      </c>
      <c r="N3367" t="s">
        <v>14781</v>
      </c>
      <c r="O3367" t="s">
        <v>14788</v>
      </c>
      <c r="P3367" t="s">
        <v>14802</v>
      </c>
      <c r="Q3367" t="s">
        <v>11448</v>
      </c>
      <c r="S3367" t="s">
        <v>14827</v>
      </c>
      <c r="T3367" t="s">
        <v>14837</v>
      </c>
      <c r="U3367" t="s">
        <v>564</v>
      </c>
      <c r="V3367">
        <v>1299</v>
      </c>
      <c r="W3367" t="s">
        <v>14858</v>
      </c>
      <c r="X3367" t="s">
        <v>14863</v>
      </c>
      <c r="Y3367" t="s">
        <v>14887</v>
      </c>
      <c r="Z3367" t="s">
        <v>17704</v>
      </c>
      <c r="AA3367">
        <v>8658968</v>
      </c>
      <c r="AC3367">
        <v>42</v>
      </c>
      <c r="AD3367" t="s">
        <v>24607</v>
      </c>
      <c r="AE3367" t="s">
        <v>24617</v>
      </c>
      <c r="AF3367">
        <v>3</v>
      </c>
      <c r="AG3367">
        <v>1</v>
      </c>
      <c r="AH3367">
        <v>1</v>
      </c>
      <c r="AI3367">
        <v>153.74</v>
      </c>
      <c r="AL3367" t="s">
        <v>5011</v>
      </c>
      <c r="AM3367">
        <v>25998</v>
      </c>
      <c r="AO3367" t="s">
        <v>24931</v>
      </c>
      <c r="AP3367" t="s">
        <v>24942</v>
      </c>
      <c r="AQ3367" t="s">
        <v>24986</v>
      </c>
      <c r="AR3367" t="s">
        <v>25034</v>
      </c>
      <c r="AS3367">
        <v>18.65</v>
      </c>
      <c r="AT3367" t="s">
        <v>559</v>
      </c>
      <c r="AU3367" t="s">
        <v>237</v>
      </c>
      <c r="AV3367" t="s">
        <v>25335</v>
      </c>
      <c r="AW3367" t="s">
        <v>11447</v>
      </c>
    </row>
    <row r="3368" spans="1:49">
      <c r="A3368" s="1">
        <f>HYPERLINK("https://lsnyc.legalserver.org/matter/dynamic-profile/view/1911168","19-1911168")</f>
        <v>0</v>
      </c>
      <c r="B3368" t="s">
        <v>81</v>
      </c>
      <c r="C3368" t="s">
        <v>475</v>
      </c>
      <c r="D3368" t="s">
        <v>489</v>
      </c>
      <c r="E3368" t="s">
        <v>2751</v>
      </c>
      <c r="F3368" t="s">
        <v>4741</v>
      </c>
      <c r="G3368" t="s">
        <v>8787</v>
      </c>
      <c r="H3368" t="s">
        <v>11091</v>
      </c>
      <c r="I3368" t="s">
        <v>11383</v>
      </c>
      <c r="J3368">
        <v>10460</v>
      </c>
      <c r="K3368" t="s">
        <v>11446</v>
      </c>
      <c r="L3368" t="s">
        <v>12991</v>
      </c>
      <c r="M3368" t="s">
        <v>14743</v>
      </c>
      <c r="N3368" t="s">
        <v>14778</v>
      </c>
      <c r="O3368" t="s">
        <v>14786</v>
      </c>
      <c r="P3368" t="s">
        <v>14802</v>
      </c>
      <c r="Q3368" t="s">
        <v>11448</v>
      </c>
      <c r="S3368" t="s">
        <v>14827</v>
      </c>
      <c r="T3368" t="s">
        <v>14832</v>
      </c>
      <c r="U3368" t="s">
        <v>475</v>
      </c>
      <c r="V3368">
        <v>1650</v>
      </c>
      <c r="W3368" t="s">
        <v>14858</v>
      </c>
      <c r="X3368" t="s">
        <v>14863</v>
      </c>
      <c r="Y3368" t="s">
        <v>14883</v>
      </c>
      <c r="Z3368" t="s">
        <v>17705</v>
      </c>
      <c r="AC3368">
        <v>2</v>
      </c>
      <c r="AD3368" t="s">
        <v>24607</v>
      </c>
      <c r="AF3368">
        <v>20</v>
      </c>
      <c r="AG3368">
        <v>4</v>
      </c>
      <c r="AH3368">
        <v>0</v>
      </c>
      <c r="AI3368">
        <v>178.25</v>
      </c>
      <c r="AL3368" t="s">
        <v>24632</v>
      </c>
      <c r="AM3368">
        <v>45900</v>
      </c>
      <c r="AS3368">
        <v>0.5</v>
      </c>
      <c r="AT3368" t="s">
        <v>511</v>
      </c>
      <c r="AU3368" t="s">
        <v>145</v>
      </c>
      <c r="AV3368" t="s">
        <v>25335</v>
      </c>
      <c r="AW3368" t="s">
        <v>11447</v>
      </c>
    </row>
    <row r="3369" spans="1:49">
      <c r="A3369" s="1">
        <f>HYPERLINK("https://lsnyc.legalserver.org/matter/dynamic-profile/view/1911329","19-1911329")</f>
        <v>0</v>
      </c>
      <c r="B3369" t="s">
        <v>81</v>
      </c>
      <c r="C3369" t="s">
        <v>467</v>
      </c>
      <c r="D3369" t="s">
        <v>489</v>
      </c>
      <c r="E3369" t="s">
        <v>1633</v>
      </c>
      <c r="F3369" t="s">
        <v>4573</v>
      </c>
      <c r="G3369" t="s">
        <v>8788</v>
      </c>
      <c r="H3369" t="s">
        <v>10464</v>
      </c>
      <c r="I3369" t="s">
        <v>11383</v>
      </c>
      <c r="J3369">
        <v>10460</v>
      </c>
      <c r="K3369" t="s">
        <v>11446</v>
      </c>
      <c r="L3369" t="s">
        <v>12992</v>
      </c>
      <c r="M3369" t="s">
        <v>14743</v>
      </c>
      <c r="N3369" t="s">
        <v>14778</v>
      </c>
      <c r="O3369" t="s">
        <v>14786</v>
      </c>
      <c r="P3369" t="s">
        <v>14802</v>
      </c>
      <c r="Q3369" t="s">
        <v>11448</v>
      </c>
      <c r="S3369" t="s">
        <v>14827</v>
      </c>
      <c r="T3369" t="s">
        <v>14832</v>
      </c>
      <c r="V3369">
        <v>0</v>
      </c>
      <c r="W3369" t="s">
        <v>14858</v>
      </c>
      <c r="X3369" t="s">
        <v>14863</v>
      </c>
      <c r="Y3369" t="s">
        <v>14883</v>
      </c>
      <c r="Z3369" t="s">
        <v>17706</v>
      </c>
      <c r="AB3369" t="s">
        <v>22778</v>
      </c>
      <c r="AC3369">
        <v>2</v>
      </c>
      <c r="AD3369" t="s">
        <v>24607</v>
      </c>
      <c r="AF3369">
        <v>3</v>
      </c>
      <c r="AG3369">
        <v>2</v>
      </c>
      <c r="AH3369">
        <v>0</v>
      </c>
      <c r="AI3369">
        <v>123</v>
      </c>
      <c r="AL3369" t="s">
        <v>5011</v>
      </c>
      <c r="AM3369">
        <v>20800</v>
      </c>
      <c r="AS3369">
        <v>2.1</v>
      </c>
      <c r="AT3369" t="s">
        <v>489</v>
      </c>
      <c r="AU3369" t="s">
        <v>145</v>
      </c>
      <c r="AV3369" t="s">
        <v>25335</v>
      </c>
      <c r="AW3369" t="s">
        <v>11447</v>
      </c>
    </row>
    <row r="3370" spans="1:49">
      <c r="A3370" s="1">
        <f>HYPERLINK("https://lsnyc.legalserver.org/matter/dynamic-profile/view/1909557","19-1909557")</f>
        <v>0</v>
      </c>
      <c r="B3370" t="s">
        <v>130</v>
      </c>
      <c r="C3370" t="s">
        <v>488</v>
      </c>
      <c r="D3370" t="s">
        <v>472</v>
      </c>
      <c r="E3370" t="s">
        <v>1619</v>
      </c>
      <c r="F3370" t="s">
        <v>3986</v>
      </c>
      <c r="G3370" t="s">
        <v>8789</v>
      </c>
      <c r="H3370" t="s">
        <v>10510</v>
      </c>
      <c r="I3370" t="s">
        <v>11383</v>
      </c>
      <c r="J3370">
        <v>10455</v>
      </c>
      <c r="K3370" t="s">
        <v>11446</v>
      </c>
      <c r="L3370" t="s">
        <v>12993</v>
      </c>
      <c r="M3370" t="s">
        <v>14744</v>
      </c>
      <c r="N3370" t="s">
        <v>14781</v>
      </c>
      <c r="O3370" t="s">
        <v>14789</v>
      </c>
      <c r="P3370" t="s">
        <v>14802</v>
      </c>
      <c r="Q3370" t="s">
        <v>11446</v>
      </c>
      <c r="S3370" t="s">
        <v>14827</v>
      </c>
      <c r="U3370" t="s">
        <v>488</v>
      </c>
      <c r="V3370">
        <v>1500</v>
      </c>
      <c r="W3370" t="s">
        <v>14858</v>
      </c>
      <c r="X3370" t="s">
        <v>14873</v>
      </c>
      <c r="Y3370" t="s">
        <v>14894</v>
      </c>
      <c r="Z3370" t="s">
        <v>17707</v>
      </c>
      <c r="AA3370" t="s">
        <v>19711</v>
      </c>
      <c r="AB3370" t="s">
        <v>22779</v>
      </c>
      <c r="AC3370">
        <v>0</v>
      </c>
      <c r="AD3370" t="s">
        <v>24602</v>
      </c>
      <c r="AE3370" t="s">
        <v>24610</v>
      </c>
      <c r="AF3370">
        <v>15</v>
      </c>
      <c r="AG3370">
        <v>3</v>
      </c>
      <c r="AH3370">
        <v>3</v>
      </c>
      <c r="AI3370">
        <v>86.43000000000001</v>
      </c>
      <c r="AK3370" t="s">
        <v>24629</v>
      </c>
      <c r="AL3370" t="s">
        <v>5011</v>
      </c>
      <c r="AM3370">
        <v>29896</v>
      </c>
      <c r="AP3370" t="s">
        <v>24967</v>
      </c>
      <c r="AQ3370" t="s">
        <v>24986</v>
      </c>
      <c r="AR3370" t="s">
        <v>25018</v>
      </c>
      <c r="AS3370">
        <v>16.35</v>
      </c>
      <c r="AT3370" t="s">
        <v>472</v>
      </c>
      <c r="AU3370" t="s">
        <v>25311</v>
      </c>
      <c r="AV3370" t="s">
        <v>25334</v>
      </c>
      <c r="AW3370" t="s">
        <v>11447</v>
      </c>
    </row>
    <row r="3371" spans="1:49">
      <c r="A3371" s="1">
        <f>HYPERLINK("https://lsnyc.legalserver.org/matter/dynamic-profile/view/1909506","19-1909506")</f>
        <v>0</v>
      </c>
      <c r="B3371" t="s">
        <v>81</v>
      </c>
      <c r="C3371" t="s">
        <v>488</v>
      </c>
      <c r="D3371" t="s">
        <v>472</v>
      </c>
      <c r="E3371" t="s">
        <v>2743</v>
      </c>
      <c r="F3371" t="s">
        <v>5367</v>
      </c>
      <c r="G3371" t="s">
        <v>8774</v>
      </c>
      <c r="H3371">
        <v>2</v>
      </c>
      <c r="I3371" t="s">
        <v>11383</v>
      </c>
      <c r="J3371">
        <v>10459</v>
      </c>
      <c r="K3371" t="s">
        <v>11446</v>
      </c>
      <c r="L3371" t="s">
        <v>12994</v>
      </c>
      <c r="M3371" t="s">
        <v>14746</v>
      </c>
      <c r="N3371" t="s">
        <v>14781</v>
      </c>
      <c r="O3371" t="s">
        <v>14792</v>
      </c>
      <c r="P3371" t="s">
        <v>14802</v>
      </c>
      <c r="Q3371" t="s">
        <v>11448</v>
      </c>
      <c r="S3371" t="s">
        <v>14827</v>
      </c>
      <c r="T3371" t="s">
        <v>14832</v>
      </c>
      <c r="V3371">
        <v>1100</v>
      </c>
      <c r="W3371" t="s">
        <v>14858</v>
      </c>
      <c r="X3371" t="s">
        <v>14868</v>
      </c>
      <c r="Y3371" t="s">
        <v>14885</v>
      </c>
      <c r="Z3371" t="s">
        <v>17692</v>
      </c>
      <c r="AB3371" t="s">
        <v>22763</v>
      </c>
      <c r="AC3371">
        <v>4</v>
      </c>
      <c r="AD3371" t="s">
        <v>24600</v>
      </c>
      <c r="AE3371" t="s">
        <v>11459</v>
      </c>
      <c r="AF3371">
        <v>14</v>
      </c>
      <c r="AG3371">
        <v>1</v>
      </c>
      <c r="AH3371">
        <v>1</v>
      </c>
      <c r="AI3371">
        <v>0</v>
      </c>
      <c r="AL3371" t="s">
        <v>5011</v>
      </c>
      <c r="AM3371">
        <v>0</v>
      </c>
      <c r="AS3371">
        <v>16.7</v>
      </c>
      <c r="AT3371" t="s">
        <v>489</v>
      </c>
      <c r="AU3371" t="s">
        <v>25239</v>
      </c>
      <c r="AV3371" t="s">
        <v>25335</v>
      </c>
      <c r="AW3371" t="s">
        <v>11447</v>
      </c>
    </row>
    <row r="3372" spans="1:49">
      <c r="A3372" s="1">
        <f>HYPERLINK("https://lsnyc.legalserver.org/matter/dynamic-profile/view/1908881","19-1908881")</f>
        <v>0</v>
      </c>
      <c r="B3372" t="s">
        <v>111</v>
      </c>
      <c r="C3372" t="s">
        <v>640</v>
      </c>
      <c r="D3372" t="s">
        <v>574</v>
      </c>
      <c r="E3372" t="s">
        <v>2752</v>
      </c>
      <c r="F3372" t="s">
        <v>3555</v>
      </c>
      <c r="G3372" t="s">
        <v>8790</v>
      </c>
      <c r="H3372" t="s">
        <v>11128</v>
      </c>
      <c r="I3372" t="s">
        <v>11383</v>
      </c>
      <c r="J3372">
        <v>10459</v>
      </c>
      <c r="K3372" t="s">
        <v>11446</v>
      </c>
      <c r="L3372" t="s">
        <v>12995</v>
      </c>
      <c r="M3372" t="s">
        <v>14744</v>
      </c>
      <c r="N3372" t="s">
        <v>14781</v>
      </c>
      <c r="O3372" t="s">
        <v>14788</v>
      </c>
      <c r="P3372" t="s">
        <v>14802</v>
      </c>
      <c r="Q3372" t="s">
        <v>11448</v>
      </c>
      <c r="S3372" t="s">
        <v>14827</v>
      </c>
      <c r="U3372" t="s">
        <v>640</v>
      </c>
      <c r="V3372">
        <v>1650</v>
      </c>
      <c r="W3372" t="s">
        <v>14858</v>
      </c>
      <c r="X3372" t="s">
        <v>14873</v>
      </c>
      <c r="Y3372" t="s">
        <v>14899</v>
      </c>
      <c r="Z3372" t="s">
        <v>17708</v>
      </c>
      <c r="AB3372" t="s">
        <v>22780</v>
      </c>
      <c r="AC3372">
        <v>60</v>
      </c>
      <c r="AE3372" t="s">
        <v>24617</v>
      </c>
      <c r="AF3372">
        <v>1</v>
      </c>
      <c r="AG3372">
        <v>2</v>
      </c>
      <c r="AH3372">
        <v>1</v>
      </c>
      <c r="AI3372">
        <v>37.24</v>
      </c>
      <c r="AK3372" t="s">
        <v>24629</v>
      </c>
      <c r="AL3372" t="s">
        <v>5011</v>
      </c>
      <c r="AM3372">
        <v>7944</v>
      </c>
      <c r="AO3372" t="s">
        <v>24931</v>
      </c>
      <c r="AP3372" t="s">
        <v>24944</v>
      </c>
      <c r="AQ3372" t="s">
        <v>24986</v>
      </c>
      <c r="AR3372" t="s">
        <v>25011</v>
      </c>
      <c r="AS3372">
        <v>16</v>
      </c>
      <c r="AT3372" t="s">
        <v>460</v>
      </c>
      <c r="AU3372" t="s">
        <v>25311</v>
      </c>
      <c r="AV3372" t="s">
        <v>25335</v>
      </c>
      <c r="AW3372" t="s">
        <v>11447</v>
      </c>
    </row>
    <row r="3373" spans="1:49">
      <c r="A3373" s="1">
        <f>HYPERLINK("https://lsnyc.legalserver.org/matter/dynamic-profile/view/1911114","19-1911114")</f>
        <v>0</v>
      </c>
      <c r="B3373" t="s">
        <v>201</v>
      </c>
      <c r="C3373" t="s">
        <v>475</v>
      </c>
      <c r="D3373" t="s">
        <v>574</v>
      </c>
      <c r="E3373" t="s">
        <v>1423</v>
      </c>
      <c r="F3373" t="s">
        <v>5251</v>
      </c>
      <c r="G3373" t="s">
        <v>8791</v>
      </c>
      <c r="H3373" t="s">
        <v>10665</v>
      </c>
      <c r="I3373" t="s">
        <v>11383</v>
      </c>
      <c r="J3373">
        <v>10472</v>
      </c>
      <c r="K3373" t="s">
        <v>11446</v>
      </c>
      <c r="L3373" t="s">
        <v>12996</v>
      </c>
      <c r="M3373" t="s">
        <v>14744</v>
      </c>
      <c r="N3373" t="s">
        <v>14781</v>
      </c>
      <c r="O3373" t="s">
        <v>14788</v>
      </c>
      <c r="P3373" t="s">
        <v>14802</v>
      </c>
      <c r="Q3373" t="s">
        <v>11448</v>
      </c>
      <c r="S3373" t="s">
        <v>14827</v>
      </c>
      <c r="T3373" t="s">
        <v>14834</v>
      </c>
      <c r="U3373" t="s">
        <v>475</v>
      </c>
      <c r="V3373">
        <v>1574</v>
      </c>
      <c r="W3373" t="s">
        <v>14858</v>
      </c>
      <c r="X3373" t="s">
        <v>14868</v>
      </c>
      <c r="Y3373" t="s">
        <v>14887</v>
      </c>
      <c r="Z3373" t="s">
        <v>17709</v>
      </c>
      <c r="AA3373" t="s">
        <v>19712</v>
      </c>
      <c r="AB3373" t="s">
        <v>22781</v>
      </c>
      <c r="AC3373">
        <v>159</v>
      </c>
      <c r="AD3373" t="s">
        <v>24595</v>
      </c>
      <c r="AE3373" t="s">
        <v>14755</v>
      </c>
      <c r="AF3373">
        <v>3</v>
      </c>
      <c r="AG3373">
        <v>1</v>
      </c>
      <c r="AH3373">
        <v>2</v>
      </c>
      <c r="AI3373">
        <v>216.95</v>
      </c>
      <c r="AJ3373" t="s">
        <v>489</v>
      </c>
      <c r="AK3373" t="s">
        <v>24629</v>
      </c>
      <c r="AL3373" t="s">
        <v>5011</v>
      </c>
      <c r="AM3373">
        <v>46276</v>
      </c>
      <c r="AO3373" t="s">
        <v>24931</v>
      </c>
      <c r="AP3373" t="s">
        <v>24942</v>
      </c>
      <c r="AQ3373" t="s">
        <v>24986</v>
      </c>
      <c r="AR3373" t="s">
        <v>25077</v>
      </c>
      <c r="AS3373">
        <v>15.9</v>
      </c>
      <c r="AT3373" t="s">
        <v>574</v>
      </c>
      <c r="AU3373" t="s">
        <v>145</v>
      </c>
      <c r="AV3373" t="s">
        <v>25335</v>
      </c>
      <c r="AW3373" t="s">
        <v>11447</v>
      </c>
    </row>
    <row r="3374" spans="1:49">
      <c r="A3374" s="1">
        <f>HYPERLINK("https://lsnyc.legalserver.org/matter/dynamic-profile/view/1908846","19-1908846")</f>
        <v>0</v>
      </c>
      <c r="B3374" t="s">
        <v>297</v>
      </c>
      <c r="C3374" t="s">
        <v>585</v>
      </c>
      <c r="D3374" t="s">
        <v>603</v>
      </c>
      <c r="E3374" t="s">
        <v>2753</v>
      </c>
      <c r="F3374" t="s">
        <v>5373</v>
      </c>
      <c r="G3374" t="s">
        <v>8792</v>
      </c>
      <c r="H3374" t="s">
        <v>10722</v>
      </c>
      <c r="I3374" t="s">
        <v>11383</v>
      </c>
      <c r="J3374">
        <v>10456</v>
      </c>
      <c r="K3374" t="s">
        <v>11446</v>
      </c>
      <c r="L3374" t="s">
        <v>12997</v>
      </c>
      <c r="M3374" t="s">
        <v>14744</v>
      </c>
      <c r="N3374" t="s">
        <v>14781</v>
      </c>
      <c r="O3374" t="s">
        <v>14788</v>
      </c>
      <c r="P3374" t="s">
        <v>14802</v>
      </c>
      <c r="Q3374" t="s">
        <v>11448</v>
      </c>
      <c r="S3374" t="s">
        <v>14827</v>
      </c>
      <c r="T3374" t="s">
        <v>14834</v>
      </c>
      <c r="U3374" t="s">
        <v>468</v>
      </c>
      <c r="V3374">
        <v>538</v>
      </c>
      <c r="W3374" t="s">
        <v>14858</v>
      </c>
      <c r="X3374" t="s">
        <v>14864</v>
      </c>
      <c r="Y3374" t="s">
        <v>14887</v>
      </c>
      <c r="Z3374" t="s">
        <v>17710</v>
      </c>
      <c r="AC3374">
        <v>227</v>
      </c>
      <c r="AD3374" t="s">
        <v>24595</v>
      </c>
      <c r="AE3374" t="s">
        <v>24613</v>
      </c>
      <c r="AF3374">
        <v>10</v>
      </c>
      <c r="AG3374">
        <v>1</v>
      </c>
      <c r="AH3374">
        <v>0</v>
      </c>
      <c r="AI3374">
        <v>161.22</v>
      </c>
      <c r="AL3374" t="s">
        <v>5011</v>
      </c>
      <c r="AM3374">
        <v>20136</v>
      </c>
      <c r="AO3374" t="s">
        <v>24931</v>
      </c>
      <c r="AP3374" t="s">
        <v>24941</v>
      </c>
      <c r="AQ3374" t="s">
        <v>24986</v>
      </c>
      <c r="AR3374" t="s">
        <v>25077</v>
      </c>
      <c r="AS3374">
        <v>9.9</v>
      </c>
      <c r="AT3374" t="s">
        <v>603</v>
      </c>
      <c r="AU3374" t="s">
        <v>25256</v>
      </c>
      <c r="AV3374" t="s">
        <v>25335</v>
      </c>
      <c r="AW3374" t="s">
        <v>11447</v>
      </c>
    </row>
    <row r="3375" spans="1:49">
      <c r="A3375" s="1">
        <f>HYPERLINK("https://lsnyc.legalserver.org/matter/dynamic-profile/view/1910254","19-1910254")</f>
        <v>0</v>
      </c>
      <c r="B3375" t="s">
        <v>295</v>
      </c>
      <c r="C3375" t="s">
        <v>528</v>
      </c>
      <c r="D3375" t="s">
        <v>603</v>
      </c>
      <c r="E3375" t="s">
        <v>1588</v>
      </c>
      <c r="F3375" t="s">
        <v>5374</v>
      </c>
      <c r="G3375" t="s">
        <v>8793</v>
      </c>
      <c r="H3375" t="s">
        <v>10569</v>
      </c>
      <c r="I3375" t="s">
        <v>11383</v>
      </c>
      <c r="J3375">
        <v>10455</v>
      </c>
      <c r="K3375" t="s">
        <v>11446</v>
      </c>
      <c r="L3375" t="s">
        <v>12998</v>
      </c>
      <c r="M3375" t="s">
        <v>14743</v>
      </c>
      <c r="N3375" t="s">
        <v>14778</v>
      </c>
      <c r="O3375" t="s">
        <v>14786</v>
      </c>
      <c r="P3375" t="s">
        <v>14802</v>
      </c>
      <c r="Q3375" t="s">
        <v>11448</v>
      </c>
      <c r="S3375" t="s">
        <v>14827</v>
      </c>
      <c r="T3375" t="s">
        <v>14837</v>
      </c>
      <c r="V3375">
        <v>0</v>
      </c>
      <c r="W3375" t="s">
        <v>14858</v>
      </c>
      <c r="X3375" t="s">
        <v>14863</v>
      </c>
      <c r="Y3375" t="s">
        <v>14883</v>
      </c>
      <c r="Z3375" t="s">
        <v>17711</v>
      </c>
      <c r="AB3375" t="s">
        <v>22782</v>
      </c>
      <c r="AC3375">
        <v>2</v>
      </c>
      <c r="AD3375" t="s">
        <v>24597</v>
      </c>
      <c r="AF3375">
        <v>9</v>
      </c>
      <c r="AG3375">
        <v>1</v>
      </c>
      <c r="AH3375">
        <v>3</v>
      </c>
      <c r="AI3375">
        <v>60.58</v>
      </c>
      <c r="AL3375" t="s">
        <v>5011</v>
      </c>
      <c r="AM3375">
        <v>15600</v>
      </c>
      <c r="AS3375">
        <v>0.5</v>
      </c>
      <c r="AT3375" t="s">
        <v>467</v>
      </c>
      <c r="AU3375" t="s">
        <v>145</v>
      </c>
      <c r="AV3375" t="s">
        <v>25335</v>
      </c>
      <c r="AW3375" t="s">
        <v>11447</v>
      </c>
    </row>
    <row r="3376" spans="1:49">
      <c r="A3376" s="1">
        <f>HYPERLINK("https://lsnyc.legalserver.org/matter/dynamic-profile/view/1910895","19-1910895")</f>
        <v>0</v>
      </c>
      <c r="B3376" t="s">
        <v>297</v>
      </c>
      <c r="C3376" t="s">
        <v>604</v>
      </c>
      <c r="D3376" t="s">
        <v>603</v>
      </c>
      <c r="E3376" t="s">
        <v>1912</v>
      </c>
      <c r="F3376" t="s">
        <v>3783</v>
      </c>
      <c r="G3376" t="s">
        <v>8794</v>
      </c>
      <c r="H3376" t="s">
        <v>10593</v>
      </c>
      <c r="I3376" t="s">
        <v>11383</v>
      </c>
      <c r="J3376">
        <v>10454</v>
      </c>
      <c r="K3376" t="s">
        <v>11446</v>
      </c>
      <c r="M3376" t="s">
        <v>14744</v>
      </c>
      <c r="N3376" t="s">
        <v>14778</v>
      </c>
      <c r="O3376" t="s">
        <v>14786</v>
      </c>
      <c r="P3376" t="s">
        <v>14802</v>
      </c>
      <c r="Q3376" t="s">
        <v>11448</v>
      </c>
      <c r="S3376" t="s">
        <v>14827</v>
      </c>
      <c r="T3376" t="s">
        <v>14832</v>
      </c>
      <c r="V3376">
        <v>1499.34</v>
      </c>
      <c r="W3376" t="s">
        <v>14858</v>
      </c>
      <c r="X3376" t="s">
        <v>14868</v>
      </c>
      <c r="Y3376" t="s">
        <v>14883</v>
      </c>
      <c r="Z3376" t="s">
        <v>17712</v>
      </c>
      <c r="AB3376" t="s">
        <v>22783</v>
      </c>
      <c r="AC3376">
        <v>50</v>
      </c>
      <c r="AD3376" t="s">
        <v>24595</v>
      </c>
      <c r="AE3376" t="s">
        <v>24610</v>
      </c>
      <c r="AF3376">
        <v>35</v>
      </c>
      <c r="AG3376">
        <v>1</v>
      </c>
      <c r="AH3376">
        <v>0</v>
      </c>
      <c r="AI3376">
        <v>62.64</v>
      </c>
      <c r="AL3376" t="s">
        <v>5011</v>
      </c>
      <c r="AM3376">
        <v>7824</v>
      </c>
      <c r="AS3376">
        <v>1.65</v>
      </c>
      <c r="AT3376" t="s">
        <v>603</v>
      </c>
      <c r="AU3376" t="s">
        <v>237</v>
      </c>
      <c r="AV3376" t="s">
        <v>25335</v>
      </c>
      <c r="AW3376" t="s">
        <v>11447</v>
      </c>
    </row>
    <row r="3377" spans="1:49">
      <c r="A3377" s="1">
        <f>HYPERLINK("https://lsnyc.legalserver.org/matter/dynamic-profile/view/1912362","19-1912362")</f>
        <v>0</v>
      </c>
      <c r="B3377" t="s">
        <v>81</v>
      </c>
      <c r="C3377" t="s">
        <v>473</v>
      </c>
      <c r="D3377" t="s">
        <v>571</v>
      </c>
      <c r="E3377" t="s">
        <v>1439</v>
      </c>
      <c r="F3377" t="s">
        <v>3859</v>
      </c>
      <c r="G3377" t="s">
        <v>8795</v>
      </c>
      <c r="H3377">
        <v>2</v>
      </c>
      <c r="I3377" t="s">
        <v>11383</v>
      </c>
      <c r="J3377">
        <v>10474</v>
      </c>
      <c r="K3377" t="s">
        <v>11446</v>
      </c>
      <c r="L3377" t="s">
        <v>12999</v>
      </c>
      <c r="M3377" t="s">
        <v>14744</v>
      </c>
      <c r="N3377" t="s">
        <v>14778</v>
      </c>
      <c r="O3377" t="s">
        <v>14786</v>
      </c>
      <c r="P3377" t="s">
        <v>14802</v>
      </c>
      <c r="Q3377" t="s">
        <v>11448</v>
      </c>
      <c r="S3377" t="s">
        <v>14827</v>
      </c>
      <c r="T3377" t="s">
        <v>14832</v>
      </c>
      <c r="U3377" t="s">
        <v>484</v>
      </c>
      <c r="V3377">
        <v>1700</v>
      </c>
      <c r="W3377" t="s">
        <v>14858</v>
      </c>
      <c r="X3377" t="s">
        <v>14863</v>
      </c>
      <c r="Y3377" t="s">
        <v>14883</v>
      </c>
      <c r="Z3377" t="s">
        <v>17713</v>
      </c>
      <c r="AB3377" t="s">
        <v>22784</v>
      </c>
      <c r="AC3377">
        <v>4</v>
      </c>
      <c r="AD3377" t="s">
        <v>24600</v>
      </c>
      <c r="AF3377">
        <v>0</v>
      </c>
      <c r="AG3377">
        <v>1</v>
      </c>
      <c r="AH3377">
        <v>2</v>
      </c>
      <c r="AI3377">
        <v>48.76</v>
      </c>
      <c r="AL3377" t="s">
        <v>5011</v>
      </c>
      <c r="AM3377">
        <v>10400</v>
      </c>
      <c r="AS3377">
        <v>1</v>
      </c>
      <c r="AT3377" t="s">
        <v>571</v>
      </c>
      <c r="AU3377" t="s">
        <v>145</v>
      </c>
      <c r="AV3377" t="s">
        <v>25335</v>
      </c>
      <c r="AW3377" t="s">
        <v>11447</v>
      </c>
    </row>
    <row r="3378" spans="1:49">
      <c r="A3378" s="1">
        <f>HYPERLINK("https://lsnyc.legalserver.org/matter/dynamic-profile/view/1912845","19-1912845")</f>
        <v>0</v>
      </c>
      <c r="B3378" t="s">
        <v>81</v>
      </c>
      <c r="C3378" t="s">
        <v>470</v>
      </c>
      <c r="D3378" t="s">
        <v>484</v>
      </c>
      <c r="E3378" t="s">
        <v>1245</v>
      </c>
      <c r="F3378" t="s">
        <v>1925</v>
      </c>
      <c r="G3378" t="s">
        <v>8796</v>
      </c>
      <c r="H3378">
        <v>13</v>
      </c>
      <c r="I3378" t="s">
        <v>11383</v>
      </c>
      <c r="J3378">
        <v>10455</v>
      </c>
      <c r="K3378" t="s">
        <v>11446</v>
      </c>
      <c r="L3378" t="s">
        <v>13000</v>
      </c>
      <c r="M3378" t="s">
        <v>14744</v>
      </c>
      <c r="N3378" t="s">
        <v>14778</v>
      </c>
      <c r="O3378" t="s">
        <v>14786</v>
      </c>
      <c r="P3378" t="s">
        <v>14802</v>
      </c>
      <c r="Q3378" t="s">
        <v>11448</v>
      </c>
      <c r="S3378" t="s">
        <v>14827</v>
      </c>
      <c r="T3378" t="s">
        <v>14832</v>
      </c>
      <c r="V3378">
        <v>1515</v>
      </c>
      <c r="W3378" t="s">
        <v>14858</v>
      </c>
      <c r="X3378" t="s">
        <v>14863</v>
      </c>
      <c r="Y3378" t="s">
        <v>14883</v>
      </c>
      <c r="Z3378" t="s">
        <v>17714</v>
      </c>
      <c r="AB3378" t="s">
        <v>22785</v>
      </c>
      <c r="AC3378">
        <v>27</v>
      </c>
      <c r="AD3378" t="s">
        <v>24595</v>
      </c>
      <c r="AE3378" t="s">
        <v>24616</v>
      </c>
      <c r="AF3378">
        <v>4</v>
      </c>
      <c r="AG3378">
        <v>1</v>
      </c>
      <c r="AH3378">
        <v>2</v>
      </c>
      <c r="AI3378">
        <v>85.33</v>
      </c>
      <c r="AL3378" t="s">
        <v>5011</v>
      </c>
      <c r="AM3378">
        <v>18200</v>
      </c>
      <c r="AS3378">
        <v>0.7</v>
      </c>
      <c r="AT3378" t="s">
        <v>484</v>
      </c>
      <c r="AU3378" t="s">
        <v>145</v>
      </c>
      <c r="AV3378" t="s">
        <v>25335</v>
      </c>
      <c r="AW3378" t="s">
        <v>11447</v>
      </c>
    </row>
    <row r="3379" spans="1:49">
      <c r="A3379" s="1">
        <f>HYPERLINK("https://lsnyc.legalserver.org/matter/dynamic-profile/view/1889494","19-1889494")</f>
        <v>0</v>
      </c>
      <c r="B3379" t="s">
        <v>86</v>
      </c>
      <c r="C3379" t="s">
        <v>832</v>
      </c>
      <c r="D3379" t="s">
        <v>490</v>
      </c>
      <c r="E3379" t="s">
        <v>2754</v>
      </c>
      <c r="F3379" t="s">
        <v>5375</v>
      </c>
      <c r="G3379" t="s">
        <v>8797</v>
      </c>
      <c r="H3379" t="s">
        <v>10569</v>
      </c>
      <c r="I3379" t="s">
        <v>11383</v>
      </c>
      <c r="J3379">
        <v>10451</v>
      </c>
      <c r="K3379" t="s">
        <v>11447</v>
      </c>
      <c r="L3379" t="s">
        <v>13001</v>
      </c>
      <c r="M3379" t="s">
        <v>14770</v>
      </c>
      <c r="N3379" t="s">
        <v>14781</v>
      </c>
      <c r="O3379" t="s">
        <v>14794</v>
      </c>
      <c r="P3379" t="s">
        <v>14802</v>
      </c>
      <c r="Q3379" t="s">
        <v>11448</v>
      </c>
      <c r="S3379" t="s">
        <v>14827</v>
      </c>
      <c r="T3379" t="s">
        <v>14832</v>
      </c>
      <c r="V3379">
        <v>0</v>
      </c>
      <c r="W3379" t="s">
        <v>14858</v>
      </c>
      <c r="X3379" t="s">
        <v>14755</v>
      </c>
      <c r="Y3379" t="s">
        <v>14885</v>
      </c>
      <c r="AC3379">
        <v>103</v>
      </c>
      <c r="AD3379" t="s">
        <v>24595</v>
      </c>
      <c r="AE3379" t="s">
        <v>24613</v>
      </c>
      <c r="AF3379">
        <v>40</v>
      </c>
      <c r="AG3379">
        <v>2</v>
      </c>
      <c r="AH3379">
        <v>0</v>
      </c>
      <c r="AI3379">
        <v>70.95999999999999</v>
      </c>
      <c r="AL3379" t="s">
        <v>5011</v>
      </c>
      <c r="AM3379">
        <v>12000</v>
      </c>
      <c r="AN3379" t="s">
        <v>24853</v>
      </c>
      <c r="AS3379">
        <v>27.85</v>
      </c>
      <c r="AT3379" t="s">
        <v>348</v>
      </c>
      <c r="AU3379" t="s">
        <v>86</v>
      </c>
      <c r="AW3379" t="s">
        <v>11447</v>
      </c>
    </row>
    <row r="3380" spans="1:49">
      <c r="A3380" s="1">
        <f>HYPERLINK("https://lsnyc.legalserver.org/matter/dynamic-profile/view/1903894","19-1903894")</f>
        <v>0</v>
      </c>
      <c r="B3380" t="s">
        <v>86</v>
      </c>
      <c r="C3380" t="s">
        <v>378</v>
      </c>
      <c r="D3380" t="s">
        <v>490</v>
      </c>
      <c r="E3380" t="s">
        <v>1847</v>
      </c>
      <c r="F3380" t="s">
        <v>5376</v>
      </c>
      <c r="G3380" t="s">
        <v>6555</v>
      </c>
      <c r="H3380" t="s">
        <v>10749</v>
      </c>
      <c r="I3380" t="s">
        <v>11383</v>
      </c>
      <c r="J3380">
        <v>10451</v>
      </c>
      <c r="K3380" t="s">
        <v>11448</v>
      </c>
      <c r="L3380" t="s">
        <v>13002</v>
      </c>
      <c r="M3380" t="s">
        <v>14743</v>
      </c>
      <c r="N3380" t="s">
        <v>14781</v>
      </c>
      <c r="O3380" t="s">
        <v>14788</v>
      </c>
      <c r="P3380" t="s">
        <v>14802</v>
      </c>
      <c r="Q3380" t="s">
        <v>11448</v>
      </c>
      <c r="S3380" t="s">
        <v>14827</v>
      </c>
      <c r="V3380">
        <v>0</v>
      </c>
      <c r="W3380" t="s">
        <v>14858</v>
      </c>
      <c r="Y3380" t="s">
        <v>14887</v>
      </c>
      <c r="Z3380" t="s">
        <v>17715</v>
      </c>
      <c r="AC3380">
        <v>11</v>
      </c>
      <c r="AF3380">
        <v>22</v>
      </c>
      <c r="AG3380">
        <v>1</v>
      </c>
      <c r="AH3380">
        <v>0</v>
      </c>
      <c r="AI3380">
        <v>72.92</v>
      </c>
      <c r="AL3380" t="s">
        <v>5011</v>
      </c>
      <c r="AM3380">
        <v>9108</v>
      </c>
      <c r="AN3380" t="s">
        <v>24792</v>
      </c>
      <c r="AS3380">
        <v>6.6</v>
      </c>
      <c r="AT3380" t="s">
        <v>604</v>
      </c>
      <c r="AU3380" t="s">
        <v>145</v>
      </c>
      <c r="AV3380" t="s">
        <v>11459</v>
      </c>
      <c r="AW3380" t="s">
        <v>11447</v>
      </c>
    </row>
    <row r="3381" spans="1:49">
      <c r="A3381" s="1">
        <f>HYPERLINK("https://lsnyc.legalserver.org/matter/dynamic-profile/view/1908060","19-1908060")</f>
        <v>0</v>
      </c>
      <c r="B3381" t="s">
        <v>81</v>
      </c>
      <c r="C3381" t="s">
        <v>455</v>
      </c>
      <c r="D3381" t="s">
        <v>1021</v>
      </c>
      <c r="E3381" t="s">
        <v>2755</v>
      </c>
      <c r="F3381" t="s">
        <v>5377</v>
      </c>
      <c r="G3381" t="s">
        <v>8798</v>
      </c>
      <c r="H3381" t="s">
        <v>11129</v>
      </c>
      <c r="I3381" t="s">
        <v>11383</v>
      </c>
      <c r="J3381">
        <v>10466</v>
      </c>
      <c r="K3381" t="s">
        <v>11446</v>
      </c>
      <c r="L3381" t="s">
        <v>13003</v>
      </c>
      <c r="M3381" t="s">
        <v>14744</v>
      </c>
      <c r="N3381" t="s">
        <v>14781</v>
      </c>
      <c r="O3381" t="s">
        <v>14788</v>
      </c>
      <c r="P3381" t="s">
        <v>14802</v>
      </c>
      <c r="Q3381" t="s">
        <v>11448</v>
      </c>
      <c r="S3381" t="s">
        <v>14827</v>
      </c>
      <c r="U3381" t="s">
        <v>540</v>
      </c>
      <c r="V3381">
        <v>0</v>
      </c>
      <c r="W3381" t="s">
        <v>14858</v>
      </c>
      <c r="X3381" t="s">
        <v>14873</v>
      </c>
      <c r="Y3381" t="s">
        <v>14887</v>
      </c>
      <c r="Z3381" t="s">
        <v>17716</v>
      </c>
      <c r="AB3381" t="s">
        <v>22786</v>
      </c>
      <c r="AC3381">
        <v>0</v>
      </c>
      <c r="AF3381">
        <v>0</v>
      </c>
      <c r="AG3381">
        <v>1</v>
      </c>
      <c r="AH3381">
        <v>0</v>
      </c>
      <c r="AI3381">
        <v>166.53</v>
      </c>
      <c r="AL3381" t="s">
        <v>5011</v>
      </c>
      <c r="AM3381">
        <v>20800</v>
      </c>
      <c r="AS3381">
        <v>10.4</v>
      </c>
      <c r="AT3381" t="s">
        <v>476</v>
      </c>
      <c r="AU3381" t="s">
        <v>145</v>
      </c>
      <c r="AV3381" t="s">
        <v>25335</v>
      </c>
      <c r="AW3381" t="s">
        <v>11447</v>
      </c>
    </row>
    <row r="3382" spans="1:49">
      <c r="A3382" s="1">
        <f>HYPERLINK("https://lsnyc.legalserver.org/matter/dynamic-profile/view/1912351","19-1912351")</f>
        <v>0</v>
      </c>
      <c r="B3382" t="s">
        <v>81</v>
      </c>
      <c r="C3382" t="s">
        <v>473</v>
      </c>
      <c r="D3382" t="s">
        <v>1021</v>
      </c>
      <c r="E3382" t="s">
        <v>1135</v>
      </c>
      <c r="F3382" t="s">
        <v>5378</v>
      </c>
      <c r="G3382" t="s">
        <v>8799</v>
      </c>
      <c r="H3382">
        <v>117</v>
      </c>
      <c r="I3382" t="s">
        <v>11383</v>
      </c>
      <c r="J3382">
        <v>10461</v>
      </c>
      <c r="K3382" t="s">
        <v>11446</v>
      </c>
      <c r="L3382" t="s">
        <v>13004</v>
      </c>
      <c r="M3382" t="s">
        <v>14744</v>
      </c>
      <c r="N3382" t="s">
        <v>14778</v>
      </c>
      <c r="O3382" t="s">
        <v>14786</v>
      </c>
      <c r="P3382" t="s">
        <v>14802</v>
      </c>
      <c r="Q3382" t="s">
        <v>11448</v>
      </c>
      <c r="S3382" t="s">
        <v>14827</v>
      </c>
      <c r="U3382" t="s">
        <v>483</v>
      </c>
      <c r="V3382">
        <v>1665</v>
      </c>
      <c r="W3382" t="s">
        <v>14858</v>
      </c>
      <c r="X3382" t="s">
        <v>14863</v>
      </c>
      <c r="Y3382" t="s">
        <v>14883</v>
      </c>
      <c r="Z3382" t="s">
        <v>16998</v>
      </c>
      <c r="AB3382" t="s">
        <v>22787</v>
      </c>
      <c r="AC3382">
        <v>129</v>
      </c>
      <c r="AD3382" t="s">
        <v>24600</v>
      </c>
      <c r="AF3382">
        <v>1</v>
      </c>
      <c r="AG3382">
        <v>1</v>
      </c>
      <c r="AH3382">
        <v>0</v>
      </c>
      <c r="AI3382">
        <v>0</v>
      </c>
      <c r="AL3382" t="s">
        <v>5011</v>
      </c>
      <c r="AM3382">
        <v>0</v>
      </c>
      <c r="AS3382">
        <v>1.8</v>
      </c>
      <c r="AT3382" t="s">
        <v>483</v>
      </c>
      <c r="AU3382" t="s">
        <v>145</v>
      </c>
      <c r="AV3382" t="s">
        <v>25335</v>
      </c>
      <c r="AW3382" t="s">
        <v>11447</v>
      </c>
    </row>
    <row r="3383" spans="1:49">
      <c r="A3383" s="1">
        <f>HYPERLINK("https://lsnyc.legalserver.org/matter/dynamic-profile/view/1913139","19-1913139")</f>
        <v>0</v>
      </c>
      <c r="B3383" t="s">
        <v>81</v>
      </c>
      <c r="C3383" t="s">
        <v>571</v>
      </c>
      <c r="D3383" t="s">
        <v>1021</v>
      </c>
      <c r="E3383" t="s">
        <v>1943</v>
      </c>
      <c r="F3383" t="s">
        <v>3597</v>
      </c>
      <c r="G3383" t="s">
        <v>8800</v>
      </c>
      <c r="H3383" t="s">
        <v>10485</v>
      </c>
      <c r="I3383" t="s">
        <v>11383</v>
      </c>
      <c r="J3383">
        <v>10473</v>
      </c>
      <c r="K3383" t="s">
        <v>11446</v>
      </c>
      <c r="M3383" t="s">
        <v>14766</v>
      </c>
      <c r="N3383" t="s">
        <v>14778</v>
      </c>
      <c r="O3383" t="s">
        <v>14786</v>
      </c>
      <c r="P3383" t="s">
        <v>14802</v>
      </c>
      <c r="Q3383" t="s">
        <v>11448</v>
      </c>
      <c r="S3383" t="s">
        <v>14827</v>
      </c>
      <c r="V3383">
        <v>360</v>
      </c>
      <c r="W3383" t="s">
        <v>14858</v>
      </c>
      <c r="X3383" t="s">
        <v>14863</v>
      </c>
      <c r="Y3383" t="s">
        <v>14883</v>
      </c>
      <c r="Z3383" t="s">
        <v>17717</v>
      </c>
      <c r="AB3383" t="s">
        <v>22788</v>
      </c>
      <c r="AC3383">
        <v>40</v>
      </c>
      <c r="AD3383" t="s">
        <v>24597</v>
      </c>
      <c r="AF3383">
        <v>45</v>
      </c>
      <c r="AG3383">
        <v>1</v>
      </c>
      <c r="AH3383">
        <v>1</v>
      </c>
      <c r="AI3383">
        <v>13.99</v>
      </c>
      <c r="AL3383" t="s">
        <v>5011</v>
      </c>
      <c r="AM3383">
        <v>2366</v>
      </c>
      <c r="AS3383">
        <v>0.5</v>
      </c>
      <c r="AT3383" t="s">
        <v>533</v>
      </c>
      <c r="AU3383" t="s">
        <v>145</v>
      </c>
      <c r="AV3383" t="s">
        <v>25335</v>
      </c>
      <c r="AW3383" t="s">
        <v>11447</v>
      </c>
    </row>
    <row r="3384" spans="1:49">
      <c r="A3384" s="1">
        <f>HYPERLINK("https://lsnyc.legalserver.org/matter/dynamic-profile/view/1913422","19-1913422")</f>
        <v>0</v>
      </c>
      <c r="B3384" t="s">
        <v>81</v>
      </c>
      <c r="C3384" t="s">
        <v>484</v>
      </c>
      <c r="D3384" t="s">
        <v>580</v>
      </c>
      <c r="E3384" t="s">
        <v>2756</v>
      </c>
      <c r="F3384" t="s">
        <v>3709</v>
      </c>
      <c r="G3384" t="s">
        <v>8742</v>
      </c>
      <c r="H3384" t="s">
        <v>10894</v>
      </c>
      <c r="I3384" t="s">
        <v>11383</v>
      </c>
      <c r="J3384">
        <v>10471</v>
      </c>
      <c r="K3384" t="s">
        <v>11446</v>
      </c>
      <c r="L3384" t="s">
        <v>13005</v>
      </c>
      <c r="M3384" t="s">
        <v>14744</v>
      </c>
      <c r="N3384" t="s">
        <v>14778</v>
      </c>
      <c r="O3384" t="s">
        <v>14786</v>
      </c>
      <c r="P3384" t="s">
        <v>14802</v>
      </c>
      <c r="Q3384" t="s">
        <v>11448</v>
      </c>
      <c r="S3384" t="s">
        <v>14827</v>
      </c>
      <c r="T3384" t="s">
        <v>14832</v>
      </c>
      <c r="V3384">
        <v>1950</v>
      </c>
      <c r="W3384" t="s">
        <v>14858</v>
      </c>
      <c r="X3384" t="s">
        <v>14863</v>
      </c>
      <c r="Y3384" t="s">
        <v>14883</v>
      </c>
      <c r="Z3384" t="s">
        <v>17718</v>
      </c>
      <c r="AB3384" t="s">
        <v>22789</v>
      </c>
      <c r="AC3384">
        <v>61</v>
      </c>
      <c r="AD3384" t="s">
        <v>24598</v>
      </c>
      <c r="AF3384">
        <v>10</v>
      </c>
      <c r="AG3384">
        <v>1</v>
      </c>
      <c r="AH3384">
        <v>0</v>
      </c>
      <c r="AI3384">
        <v>0</v>
      </c>
      <c r="AL3384" t="s">
        <v>5011</v>
      </c>
      <c r="AM3384">
        <v>0</v>
      </c>
      <c r="AS3384">
        <v>0.8</v>
      </c>
      <c r="AT3384" t="s">
        <v>580</v>
      </c>
      <c r="AU3384" t="s">
        <v>145</v>
      </c>
      <c r="AV3384" t="s">
        <v>25335</v>
      </c>
      <c r="AW3384" t="s">
        <v>11447</v>
      </c>
    </row>
    <row r="3385" spans="1:49">
      <c r="A3385" s="1">
        <f>HYPERLINK("https://lsnyc.legalserver.org/matter/dynamic-profile/view/1913814","19-1913814")</f>
        <v>0</v>
      </c>
      <c r="B3385" t="s">
        <v>81</v>
      </c>
      <c r="C3385" t="s">
        <v>533</v>
      </c>
      <c r="D3385" t="s">
        <v>539</v>
      </c>
      <c r="E3385" t="s">
        <v>1856</v>
      </c>
      <c r="F3385" t="s">
        <v>4140</v>
      </c>
      <c r="G3385" t="s">
        <v>8801</v>
      </c>
      <c r="H3385" t="s">
        <v>10620</v>
      </c>
      <c r="I3385" t="s">
        <v>11383</v>
      </c>
      <c r="J3385">
        <v>10451</v>
      </c>
      <c r="K3385" t="s">
        <v>11446</v>
      </c>
      <c r="L3385" t="s">
        <v>13006</v>
      </c>
      <c r="M3385" t="s">
        <v>14743</v>
      </c>
      <c r="N3385" t="s">
        <v>14778</v>
      </c>
      <c r="O3385" t="s">
        <v>14786</v>
      </c>
      <c r="P3385" t="s">
        <v>14802</v>
      </c>
      <c r="Q3385" t="s">
        <v>11448</v>
      </c>
      <c r="S3385" t="s">
        <v>14827</v>
      </c>
      <c r="U3385" t="s">
        <v>533</v>
      </c>
      <c r="V3385">
        <v>1760</v>
      </c>
      <c r="W3385" t="s">
        <v>14858</v>
      </c>
      <c r="X3385" t="s">
        <v>14863</v>
      </c>
      <c r="Y3385" t="s">
        <v>14883</v>
      </c>
      <c r="Z3385" t="s">
        <v>17719</v>
      </c>
      <c r="AB3385" t="s">
        <v>22790</v>
      </c>
      <c r="AC3385">
        <v>72</v>
      </c>
      <c r="AD3385" t="s">
        <v>24595</v>
      </c>
      <c r="AF3385">
        <v>6</v>
      </c>
      <c r="AG3385">
        <v>3</v>
      </c>
      <c r="AH3385">
        <v>2</v>
      </c>
      <c r="AI3385">
        <v>82.86</v>
      </c>
      <c r="AL3385" t="s">
        <v>5011</v>
      </c>
      <c r="AM3385">
        <v>25000</v>
      </c>
      <c r="AS3385">
        <v>0.5</v>
      </c>
      <c r="AT3385" t="s">
        <v>539</v>
      </c>
      <c r="AU3385" t="s">
        <v>145</v>
      </c>
      <c r="AV3385" t="s">
        <v>25335</v>
      </c>
      <c r="AW3385" t="s">
        <v>11447</v>
      </c>
    </row>
    <row r="3386" spans="1:49">
      <c r="A3386" s="1">
        <f>HYPERLINK("https://lsnyc.legalserver.org/matter/dynamic-profile/view/1912319","19-1912319")</f>
        <v>0</v>
      </c>
      <c r="B3386" t="s">
        <v>81</v>
      </c>
      <c r="C3386" t="s">
        <v>473</v>
      </c>
      <c r="D3386" t="s">
        <v>539</v>
      </c>
      <c r="E3386" t="s">
        <v>2757</v>
      </c>
      <c r="F3386" t="s">
        <v>5319</v>
      </c>
      <c r="G3386" t="s">
        <v>8802</v>
      </c>
      <c r="H3386" t="s">
        <v>10581</v>
      </c>
      <c r="I3386" t="s">
        <v>11383</v>
      </c>
      <c r="J3386">
        <v>10466</v>
      </c>
      <c r="K3386" t="s">
        <v>11448</v>
      </c>
      <c r="L3386" t="s">
        <v>13007</v>
      </c>
      <c r="M3386" t="s">
        <v>14744</v>
      </c>
      <c r="N3386" t="s">
        <v>14778</v>
      </c>
      <c r="O3386" t="s">
        <v>14786</v>
      </c>
      <c r="P3386" t="s">
        <v>14802</v>
      </c>
      <c r="Q3386" t="s">
        <v>11448</v>
      </c>
      <c r="S3386" t="s">
        <v>14827</v>
      </c>
      <c r="T3386" t="s">
        <v>14832</v>
      </c>
      <c r="V3386">
        <v>1800</v>
      </c>
      <c r="W3386" t="s">
        <v>14858</v>
      </c>
      <c r="X3386" t="s">
        <v>14755</v>
      </c>
      <c r="Y3386" t="s">
        <v>14883</v>
      </c>
      <c r="Z3386" t="s">
        <v>16830</v>
      </c>
      <c r="AC3386">
        <v>8</v>
      </c>
      <c r="AD3386" t="s">
        <v>24595</v>
      </c>
      <c r="AE3386" t="s">
        <v>14755</v>
      </c>
      <c r="AF3386">
        <v>1</v>
      </c>
      <c r="AG3386">
        <v>1</v>
      </c>
      <c r="AH3386">
        <v>0</v>
      </c>
      <c r="AI3386">
        <v>0</v>
      </c>
      <c r="AL3386" t="s">
        <v>24632</v>
      </c>
      <c r="AM3386">
        <v>0</v>
      </c>
      <c r="AS3386">
        <v>1.3</v>
      </c>
      <c r="AT3386" t="s">
        <v>483</v>
      </c>
      <c r="AU3386" t="s">
        <v>145</v>
      </c>
      <c r="AV3386" t="s">
        <v>11459</v>
      </c>
      <c r="AW3386" t="s">
        <v>11447</v>
      </c>
    </row>
    <row r="3387" spans="1:49">
      <c r="A3387" s="1">
        <f>HYPERLINK("https://lsnyc.legalserver.org/matter/dynamic-profile/view/1912461","19-1912461")</f>
        <v>0</v>
      </c>
      <c r="B3387" t="s">
        <v>81</v>
      </c>
      <c r="C3387" t="s">
        <v>489</v>
      </c>
      <c r="D3387" t="s">
        <v>539</v>
      </c>
      <c r="E3387" t="s">
        <v>2758</v>
      </c>
      <c r="F3387" t="s">
        <v>5379</v>
      </c>
      <c r="G3387" t="s">
        <v>8803</v>
      </c>
      <c r="H3387" t="s">
        <v>10464</v>
      </c>
      <c r="I3387" t="s">
        <v>11383</v>
      </c>
      <c r="J3387">
        <v>10458</v>
      </c>
      <c r="K3387" t="s">
        <v>11446</v>
      </c>
      <c r="L3387" t="s">
        <v>13008</v>
      </c>
      <c r="M3387" t="s">
        <v>14744</v>
      </c>
      <c r="N3387" t="s">
        <v>14778</v>
      </c>
      <c r="O3387" t="s">
        <v>14786</v>
      </c>
      <c r="P3387" t="s">
        <v>14802</v>
      </c>
      <c r="Q3387" t="s">
        <v>11448</v>
      </c>
      <c r="S3387" t="s">
        <v>14827</v>
      </c>
      <c r="T3387" t="s">
        <v>14832</v>
      </c>
      <c r="V3387">
        <v>869.86</v>
      </c>
      <c r="W3387" t="s">
        <v>14858</v>
      </c>
      <c r="X3387" t="s">
        <v>14863</v>
      </c>
      <c r="Y3387" t="s">
        <v>14883</v>
      </c>
      <c r="Z3387" t="s">
        <v>17408</v>
      </c>
      <c r="AB3387" t="s">
        <v>22791</v>
      </c>
      <c r="AC3387">
        <v>28</v>
      </c>
      <c r="AD3387" t="s">
        <v>24595</v>
      </c>
      <c r="AF3387">
        <v>28</v>
      </c>
      <c r="AG3387">
        <v>2</v>
      </c>
      <c r="AH3387">
        <v>0</v>
      </c>
      <c r="AI3387">
        <v>0</v>
      </c>
      <c r="AL3387" t="s">
        <v>5011</v>
      </c>
      <c r="AM3387">
        <v>0</v>
      </c>
      <c r="AS3387">
        <v>1</v>
      </c>
      <c r="AT3387" t="s">
        <v>539</v>
      </c>
      <c r="AU3387" t="s">
        <v>145</v>
      </c>
      <c r="AV3387" t="s">
        <v>25335</v>
      </c>
      <c r="AW3387" t="s">
        <v>11447</v>
      </c>
    </row>
    <row r="3388" spans="1:49">
      <c r="A3388" s="1">
        <f>HYPERLINK("https://lsnyc.legalserver.org/matter/dynamic-profile/view/1913875","19-1913875")</f>
        <v>0</v>
      </c>
      <c r="B3388" t="s">
        <v>81</v>
      </c>
      <c r="C3388" t="s">
        <v>533</v>
      </c>
      <c r="D3388" t="s">
        <v>539</v>
      </c>
      <c r="E3388" t="s">
        <v>2759</v>
      </c>
      <c r="F3388" t="s">
        <v>5380</v>
      </c>
      <c r="G3388" t="s">
        <v>8804</v>
      </c>
      <c r="I3388" t="s">
        <v>11383</v>
      </c>
      <c r="J3388">
        <v>10453</v>
      </c>
      <c r="K3388" t="s">
        <v>11446</v>
      </c>
      <c r="L3388" t="s">
        <v>13009</v>
      </c>
      <c r="M3388" t="s">
        <v>14743</v>
      </c>
      <c r="N3388" t="s">
        <v>14778</v>
      </c>
      <c r="O3388" t="s">
        <v>14786</v>
      </c>
      <c r="P3388" t="s">
        <v>14802</v>
      </c>
      <c r="Q3388" t="s">
        <v>11448</v>
      </c>
      <c r="S3388" t="s">
        <v>14827</v>
      </c>
      <c r="V3388">
        <v>0</v>
      </c>
      <c r="W3388" t="s">
        <v>14858</v>
      </c>
      <c r="Y3388" t="s">
        <v>14883</v>
      </c>
      <c r="Z3388" t="s">
        <v>17720</v>
      </c>
      <c r="AB3388" t="s">
        <v>22792</v>
      </c>
      <c r="AC3388">
        <v>67</v>
      </c>
      <c r="AD3388" t="s">
        <v>24595</v>
      </c>
      <c r="AF3388">
        <v>0</v>
      </c>
      <c r="AG3388">
        <v>3</v>
      </c>
      <c r="AH3388">
        <v>0</v>
      </c>
      <c r="AI3388">
        <v>29.25</v>
      </c>
      <c r="AL3388" t="s">
        <v>5011</v>
      </c>
      <c r="AM3388">
        <v>6240</v>
      </c>
      <c r="AN3388" t="s">
        <v>24854</v>
      </c>
      <c r="AS3388">
        <v>0.5</v>
      </c>
      <c r="AT3388" t="s">
        <v>539</v>
      </c>
      <c r="AU3388" t="s">
        <v>145</v>
      </c>
      <c r="AV3388" t="s">
        <v>25335</v>
      </c>
      <c r="AW3388" t="s">
        <v>11447</v>
      </c>
    </row>
    <row r="3389" spans="1:49">
      <c r="A3389" s="1">
        <f>HYPERLINK("https://lsnyc.legalserver.org/matter/dynamic-profile/view/1913834","19-1913834")</f>
        <v>0</v>
      </c>
      <c r="B3389" t="s">
        <v>81</v>
      </c>
      <c r="C3389" t="s">
        <v>533</v>
      </c>
      <c r="D3389" t="s">
        <v>539</v>
      </c>
      <c r="E3389" t="s">
        <v>2760</v>
      </c>
      <c r="F3389" t="s">
        <v>5381</v>
      </c>
      <c r="G3389" t="s">
        <v>8805</v>
      </c>
      <c r="H3389" t="s">
        <v>11130</v>
      </c>
      <c r="I3389" t="s">
        <v>11383</v>
      </c>
      <c r="J3389">
        <v>10454</v>
      </c>
      <c r="K3389" t="s">
        <v>11446</v>
      </c>
      <c r="L3389" t="s">
        <v>13010</v>
      </c>
      <c r="M3389" t="s">
        <v>14744</v>
      </c>
      <c r="N3389" t="s">
        <v>14778</v>
      </c>
      <c r="O3389" t="s">
        <v>14786</v>
      </c>
      <c r="P3389" t="s">
        <v>14802</v>
      </c>
      <c r="Q3389" t="s">
        <v>11448</v>
      </c>
      <c r="S3389" t="s">
        <v>14827</v>
      </c>
      <c r="T3389" t="s">
        <v>14834</v>
      </c>
      <c r="V3389">
        <v>941</v>
      </c>
      <c r="W3389" t="s">
        <v>14858</v>
      </c>
      <c r="X3389" t="s">
        <v>14863</v>
      </c>
      <c r="Y3389" t="s">
        <v>14883</v>
      </c>
      <c r="Z3389" t="s">
        <v>17721</v>
      </c>
      <c r="AB3389" t="s">
        <v>22793</v>
      </c>
      <c r="AC3389">
        <v>172</v>
      </c>
      <c r="AD3389" t="s">
        <v>24597</v>
      </c>
      <c r="AF3389">
        <v>20</v>
      </c>
      <c r="AG3389">
        <v>1</v>
      </c>
      <c r="AH3389">
        <v>0</v>
      </c>
      <c r="AI3389">
        <v>72.06</v>
      </c>
      <c r="AL3389" t="s">
        <v>5011</v>
      </c>
      <c r="AM3389">
        <v>9000</v>
      </c>
      <c r="AS3389">
        <v>0.5</v>
      </c>
      <c r="AT3389" t="s">
        <v>539</v>
      </c>
      <c r="AU3389" t="s">
        <v>145</v>
      </c>
      <c r="AV3389" t="s">
        <v>25335</v>
      </c>
      <c r="AW3389" t="s">
        <v>11447</v>
      </c>
    </row>
    <row r="3390" spans="1:49">
      <c r="A3390" s="1">
        <f>HYPERLINK("https://lsnyc.legalserver.org/matter/dynamic-profile/view/1913115","19-1913115")</f>
        <v>0</v>
      </c>
      <c r="B3390" t="s">
        <v>81</v>
      </c>
      <c r="C3390" t="s">
        <v>571</v>
      </c>
      <c r="D3390" t="s">
        <v>539</v>
      </c>
      <c r="E3390" t="s">
        <v>2761</v>
      </c>
      <c r="F3390" t="s">
        <v>5382</v>
      </c>
      <c r="G3390" t="s">
        <v>8806</v>
      </c>
      <c r="H3390" t="s">
        <v>10962</v>
      </c>
      <c r="I3390" t="s">
        <v>11383</v>
      </c>
      <c r="J3390">
        <v>10451</v>
      </c>
      <c r="K3390" t="s">
        <v>11446</v>
      </c>
      <c r="L3390" t="s">
        <v>13011</v>
      </c>
      <c r="M3390" t="s">
        <v>14743</v>
      </c>
      <c r="N3390" t="s">
        <v>14778</v>
      </c>
      <c r="O3390" t="s">
        <v>14786</v>
      </c>
      <c r="P3390" t="s">
        <v>14802</v>
      </c>
      <c r="Q3390" t="s">
        <v>11448</v>
      </c>
      <c r="S3390" t="s">
        <v>14827</v>
      </c>
      <c r="T3390" t="s">
        <v>14834</v>
      </c>
      <c r="V3390">
        <v>522</v>
      </c>
      <c r="W3390" t="s">
        <v>14858</v>
      </c>
      <c r="X3390" t="s">
        <v>14863</v>
      </c>
      <c r="Y3390" t="s">
        <v>14883</v>
      </c>
      <c r="Z3390" t="s">
        <v>17722</v>
      </c>
      <c r="AB3390" t="s">
        <v>22794</v>
      </c>
      <c r="AC3390">
        <v>208</v>
      </c>
      <c r="AD3390" t="s">
        <v>24597</v>
      </c>
      <c r="AF3390">
        <v>13</v>
      </c>
      <c r="AG3390">
        <v>2</v>
      </c>
      <c r="AH3390">
        <v>0</v>
      </c>
      <c r="AI3390">
        <v>92.25</v>
      </c>
      <c r="AL3390" t="s">
        <v>5011</v>
      </c>
      <c r="AM3390">
        <v>15600</v>
      </c>
      <c r="AS3390">
        <v>1</v>
      </c>
      <c r="AT3390" t="s">
        <v>539</v>
      </c>
      <c r="AU3390" t="s">
        <v>145</v>
      </c>
      <c r="AV3390" t="s">
        <v>25335</v>
      </c>
      <c r="AW3390" t="s">
        <v>11447</v>
      </c>
    </row>
    <row r="3391" spans="1:49">
      <c r="A3391" s="1">
        <f>HYPERLINK("https://lsnyc.legalserver.org/matter/dynamic-profile/view/1906580","19-1906580")</f>
        <v>0</v>
      </c>
      <c r="B3391" t="s">
        <v>256</v>
      </c>
      <c r="C3391" t="s">
        <v>373</v>
      </c>
      <c r="D3391" t="s">
        <v>506</v>
      </c>
      <c r="E3391" t="s">
        <v>2762</v>
      </c>
      <c r="F3391" t="s">
        <v>5383</v>
      </c>
      <c r="G3391" t="s">
        <v>8807</v>
      </c>
      <c r="H3391" t="s">
        <v>10762</v>
      </c>
      <c r="I3391" t="s">
        <v>11383</v>
      </c>
      <c r="J3391">
        <v>10471</v>
      </c>
      <c r="K3391" t="s">
        <v>11446</v>
      </c>
      <c r="L3391" t="s">
        <v>13012</v>
      </c>
      <c r="M3391" t="s">
        <v>14744</v>
      </c>
      <c r="N3391" t="s">
        <v>14778</v>
      </c>
      <c r="O3391" t="s">
        <v>14786</v>
      </c>
      <c r="P3391" t="s">
        <v>14802</v>
      </c>
      <c r="Q3391" t="s">
        <v>11448</v>
      </c>
      <c r="S3391" t="s">
        <v>14827</v>
      </c>
      <c r="V3391">
        <v>1300</v>
      </c>
      <c r="W3391" t="s">
        <v>14858</v>
      </c>
      <c r="X3391" t="s">
        <v>14872</v>
      </c>
      <c r="Y3391" t="s">
        <v>14883</v>
      </c>
      <c r="Z3391" t="s">
        <v>17723</v>
      </c>
      <c r="AB3391" t="s">
        <v>22795</v>
      </c>
      <c r="AC3391">
        <v>180</v>
      </c>
      <c r="AD3391" t="s">
        <v>24598</v>
      </c>
      <c r="AE3391" t="s">
        <v>11459</v>
      </c>
      <c r="AF3391">
        <v>60</v>
      </c>
      <c r="AG3391">
        <v>1</v>
      </c>
      <c r="AH3391">
        <v>0</v>
      </c>
      <c r="AI3391">
        <v>77.81999999999999</v>
      </c>
      <c r="AL3391" t="s">
        <v>5011</v>
      </c>
      <c r="AM3391">
        <v>9720</v>
      </c>
      <c r="AS3391">
        <v>2</v>
      </c>
      <c r="AT3391" t="s">
        <v>373</v>
      </c>
      <c r="AU3391" t="s">
        <v>25252</v>
      </c>
      <c r="AV3391" t="s">
        <v>25335</v>
      </c>
      <c r="AW3391" t="s">
        <v>11447</v>
      </c>
    </row>
    <row r="3392" spans="1:49">
      <c r="A3392" s="1">
        <f>HYPERLINK("https://lsnyc.legalserver.org/matter/dynamic-profile/view/1913430","19-1913430")</f>
        <v>0</v>
      </c>
      <c r="B3392" t="s">
        <v>81</v>
      </c>
      <c r="C3392" t="s">
        <v>484</v>
      </c>
      <c r="D3392" t="s">
        <v>478</v>
      </c>
      <c r="E3392" t="s">
        <v>1216</v>
      </c>
      <c r="F3392" t="s">
        <v>3901</v>
      </c>
      <c r="G3392" t="s">
        <v>8808</v>
      </c>
      <c r="H3392" t="s">
        <v>10569</v>
      </c>
      <c r="I3392" t="s">
        <v>11383</v>
      </c>
      <c r="J3392">
        <v>10452</v>
      </c>
      <c r="K3392" t="s">
        <v>11446</v>
      </c>
      <c r="L3392" t="s">
        <v>13013</v>
      </c>
      <c r="M3392" t="s">
        <v>14744</v>
      </c>
      <c r="N3392" t="s">
        <v>14778</v>
      </c>
      <c r="O3392" t="s">
        <v>14786</v>
      </c>
      <c r="P3392" t="s">
        <v>14802</v>
      </c>
      <c r="Q3392" t="s">
        <v>11448</v>
      </c>
      <c r="S3392" t="s">
        <v>14827</v>
      </c>
      <c r="T3392" t="s">
        <v>14832</v>
      </c>
      <c r="U3392" t="s">
        <v>484</v>
      </c>
      <c r="V3392">
        <v>1223.78</v>
      </c>
      <c r="W3392" t="s">
        <v>14858</v>
      </c>
      <c r="X3392" t="s">
        <v>14863</v>
      </c>
      <c r="Y3392" t="s">
        <v>14883</v>
      </c>
      <c r="Z3392" t="s">
        <v>17724</v>
      </c>
      <c r="AB3392" t="s">
        <v>22796</v>
      </c>
      <c r="AC3392">
        <v>18</v>
      </c>
      <c r="AD3392" t="s">
        <v>24605</v>
      </c>
      <c r="AE3392" t="s">
        <v>24617</v>
      </c>
      <c r="AF3392">
        <v>3</v>
      </c>
      <c r="AG3392">
        <v>1</v>
      </c>
      <c r="AH3392">
        <v>0</v>
      </c>
      <c r="AI3392">
        <v>74.08</v>
      </c>
      <c r="AL3392" t="s">
        <v>5011</v>
      </c>
      <c r="AM3392">
        <v>9252</v>
      </c>
      <c r="AS3392">
        <v>1.1</v>
      </c>
      <c r="AT3392" t="s">
        <v>478</v>
      </c>
      <c r="AU3392" t="s">
        <v>145</v>
      </c>
      <c r="AV3392" t="s">
        <v>25335</v>
      </c>
      <c r="AW3392" t="s">
        <v>11447</v>
      </c>
    </row>
    <row r="3393" spans="1:49">
      <c r="A3393" s="1">
        <f>HYPERLINK("https://lsnyc.legalserver.org/matter/dynamic-profile/view/1914335","19-1914335")</f>
        <v>0</v>
      </c>
      <c r="B3393" t="s">
        <v>132</v>
      </c>
      <c r="C3393" t="s">
        <v>506</v>
      </c>
      <c r="D3393" t="s">
        <v>478</v>
      </c>
      <c r="E3393" t="s">
        <v>2763</v>
      </c>
      <c r="F3393" t="s">
        <v>5384</v>
      </c>
      <c r="G3393" t="s">
        <v>8809</v>
      </c>
      <c r="H3393" t="s">
        <v>10568</v>
      </c>
      <c r="I3393" t="s">
        <v>11383</v>
      </c>
      <c r="J3393">
        <v>10455</v>
      </c>
      <c r="K3393" t="s">
        <v>11446</v>
      </c>
      <c r="L3393" t="s">
        <v>13014</v>
      </c>
      <c r="M3393" t="s">
        <v>14744</v>
      </c>
      <c r="O3393" t="s">
        <v>14786</v>
      </c>
      <c r="P3393" t="s">
        <v>14802</v>
      </c>
      <c r="Q3393" t="s">
        <v>11448</v>
      </c>
      <c r="S3393" t="s">
        <v>14827</v>
      </c>
      <c r="T3393" t="s">
        <v>14834</v>
      </c>
      <c r="V3393">
        <v>1495</v>
      </c>
      <c r="W3393" t="s">
        <v>14858</v>
      </c>
      <c r="X3393" t="s">
        <v>14867</v>
      </c>
      <c r="Y3393" t="s">
        <v>14883</v>
      </c>
      <c r="Z3393" t="s">
        <v>17725</v>
      </c>
      <c r="AA3393" t="s">
        <v>19713</v>
      </c>
      <c r="AB3393" t="s">
        <v>22797</v>
      </c>
      <c r="AC3393">
        <v>58</v>
      </c>
      <c r="AF3393">
        <v>5</v>
      </c>
      <c r="AG3393">
        <v>1</v>
      </c>
      <c r="AH3393">
        <v>1</v>
      </c>
      <c r="AI3393">
        <v>42.58</v>
      </c>
      <c r="AL3393" t="s">
        <v>5011</v>
      </c>
      <c r="AM3393">
        <v>7200</v>
      </c>
      <c r="AS3393">
        <v>3</v>
      </c>
      <c r="AT3393" t="s">
        <v>478</v>
      </c>
      <c r="AU3393" t="s">
        <v>145</v>
      </c>
      <c r="AV3393" t="s">
        <v>25335</v>
      </c>
      <c r="AW3393" t="s">
        <v>11447</v>
      </c>
    </row>
    <row r="3394" spans="1:49">
      <c r="A3394" s="1">
        <f>HYPERLINK("https://lsnyc.legalserver.org/matter/dynamic-profile/view/1907639","19-1907639")</f>
        <v>0</v>
      </c>
      <c r="B3394" t="s">
        <v>272</v>
      </c>
      <c r="C3394" t="s">
        <v>633</v>
      </c>
      <c r="D3394" t="s">
        <v>491</v>
      </c>
      <c r="E3394" t="s">
        <v>2764</v>
      </c>
      <c r="F3394" t="s">
        <v>5385</v>
      </c>
      <c r="G3394" t="s">
        <v>8810</v>
      </c>
      <c r="H3394" t="s">
        <v>11131</v>
      </c>
      <c r="I3394" t="s">
        <v>11383</v>
      </c>
      <c r="J3394">
        <v>10452</v>
      </c>
      <c r="K3394" t="s">
        <v>11446</v>
      </c>
      <c r="L3394" t="s">
        <v>13015</v>
      </c>
      <c r="M3394" t="s">
        <v>14744</v>
      </c>
      <c r="N3394" t="s">
        <v>14779</v>
      </c>
      <c r="O3394" t="s">
        <v>14787</v>
      </c>
      <c r="P3394" t="s">
        <v>14802</v>
      </c>
      <c r="Q3394" t="s">
        <v>11448</v>
      </c>
      <c r="S3394" t="s">
        <v>14827</v>
      </c>
      <c r="U3394" t="s">
        <v>491</v>
      </c>
      <c r="V3394">
        <v>719.34</v>
      </c>
      <c r="W3394" t="s">
        <v>14858</v>
      </c>
      <c r="X3394" t="s">
        <v>14873</v>
      </c>
      <c r="Y3394" t="s">
        <v>14884</v>
      </c>
      <c r="Z3394" t="s">
        <v>17334</v>
      </c>
      <c r="AB3394" t="s">
        <v>22798</v>
      </c>
      <c r="AC3394">
        <v>49</v>
      </c>
      <c r="AD3394" t="s">
        <v>24595</v>
      </c>
      <c r="AE3394" t="s">
        <v>24613</v>
      </c>
      <c r="AF3394">
        <v>48</v>
      </c>
      <c r="AG3394">
        <v>1</v>
      </c>
      <c r="AH3394">
        <v>1</v>
      </c>
      <c r="AI3394">
        <v>97.09999999999999</v>
      </c>
      <c r="AL3394" t="s">
        <v>5011</v>
      </c>
      <c r="AM3394">
        <v>16420</v>
      </c>
      <c r="AS3394">
        <v>8.85</v>
      </c>
      <c r="AT3394" t="s">
        <v>484</v>
      </c>
      <c r="AU3394" t="s">
        <v>145</v>
      </c>
      <c r="AV3394" t="s">
        <v>25335</v>
      </c>
      <c r="AW3394" t="s">
        <v>11447</v>
      </c>
    </row>
    <row r="3395" spans="1:49">
      <c r="A3395" s="1">
        <f>HYPERLINK("https://lsnyc.legalserver.org/matter/dynamic-profile/view/1913569","19-1913569")</f>
        <v>0</v>
      </c>
      <c r="B3395" t="s">
        <v>297</v>
      </c>
      <c r="C3395" t="s">
        <v>477</v>
      </c>
      <c r="D3395" t="s">
        <v>592</v>
      </c>
      <c r="E3395" t="s">
        <v>2195</v>
      </c>
      <c r="F3395" t="s">
        <v>4750</v>
      </c>
      <c r="G3395" t="s">
        <v>7803</v>
      </c>
      <c r="H3395" t="s">
        <v>10524</v>
      </c>
      <c r="I3395" t="s">
        <v>11383</v>
      </c>
      <c r="J3395">
        <v>10453</v>
      </c>
      <c r="K3395" t="s">
        <v>11446</v>
      </c>
      <c r="L3395" t="s">
        <v>13016</v>
      </c>
      <c r="M3395" t="s">
        <v>14744</v>
      </c>
      <c r="N3395" t="s">
        <v>14781</v>
      </c>
      <c r="O3395" t="s">
        <v>14788</v>
      </c>
      <c r="P3395" t="s">
        <v>14802</v>
      </c>
      <c r="Q3395" t="s">
        <v>11448</v>
      </c>
      <c r="S3395" t="s">
        <v>14827</v>
      </c>
      <c r="T3395" t="s">
        <v>14834</v>
      </c>
      <c r="V3395">
        <v>1633</v>
      </c>
      <c r="W3395" t="s">
        <v>14858</v>
      </c>
      <c r="X3395" t="s">
        <v>14868</v>
      </c>
      <c r="Y3395" t="s">
        <v>14887</v>
      </c>
      <c r="Z3395" t="s">
        <v>16719</v>
      </c>
      <c r="AB3395" t="s">
        <v>21748</v>
      </c>
      <c r="AC3395">
        <v>31</v>
      </c>
      <c r="AD3395" t="s">
        <v>24606</v>
      </c>
      <c r="AE3395" t="s">
        <v>24610</v>
      </c>
      <c r="AF3395">
        <v>10</v>
      </c>
      <c r="AG3395">
        <v>2</v>
      </c>
      <c r="AH3395">
        <v>2</v>
      </c>
      <c r="AI3395">
        <v>155.34</v>
      </c>
      <c r="AM3395">
        <v>40000</v>
      </c>
      <c r="AO3395" t="s">
        <v>24931</v>
      </c>
      <c r="AP3395" t="s">
        <v>24941</v>
      </c>
      <c r="AQ3395" t="s">
        <v>24986</v>
      </c>
      <c r="AR3395" t="s">
        <v>25078</v>
      </c>
      <c r="AS3395">
        <v>8.300000000000001</v>
      </c>
      <c r="AT3395" t="s">
        <v>592</v>
      </c>
      <c r="AU3395" t="s">
        <v>145</v>
      </c>
      <c r="AV3395" t="s">
        <v>25335</v>
      </c>
      <c r="AW3395" t="s">
        <v>11447</v>
      </c>
    </row>
    <row r="3396" spans="1:49">
      <c r="A3396" s="1">
        <f>HYPERLINK("https://lsnyc.legalserver.org/matter/dynamic-profile/view/1914077","19-1914077")</f>
        <v>0</v>
      </c>
      <c r="B3396" t="s">
        <v>81</v>
      </c>
      <c r="C3396" t="s">
        <v>580</v>
      </c>
      <c r="D3396" t="s">
        <v>537</v>
      </c>
      <c r="E3396" t="s">
        <v>2765</v>
      </c>
      <c r="F3396" t="s">
        <v>1828</v>
      </c>
      <c r="G3396" t="s">
        <v>8811</v>
      </c>
      <c r="H3396">
        <v>1</v>
      </c>
      <c r="I3396" t="s">
        <v>11383</v>
      </c>
      <c r="J3396">
        <v>10466</v>
      </c>
      <c r="K3396" t="s">
        <v>11446</v>
      </c>
      <c r="L3396" t="s">
        <v>13017</v>
      </c>
      <c r="M3396" t="s">
        <v>14743</v>
      </c>
      <c r="N3396" t="s">
        <v>14778</v>
      </c>
      <c r="O3396" t="s">
        <v>14786</v>
      </c>
      <c r="P3396" t="s">
        <v>14802</v>
      </c>
      <c r="Q3396" t="s">
        <v>11448</v>
      </c>
      <c r="S3396" t="s">
        <v>14827</v>
      </c>
      <c r="T3396" t="s">
        <v>14832</v>
      </c>
      <c r="U3396" t="s">
        <v>580</v>
      </c>
      <c r="V3396">
        <v>1300</v>
      </c>
      <c r="W3396" t="s">
        <v>14858</v>
      </c>
      <c r="X3396" t="s">
        <v>14867</v>
      </c>
      <c r="Y3396" t="s">
        <v>14883</v>
      </c>
      <c r="Z3396" t="s">
        <v>17726</v>
      </c>
      <c r="AB3396" t="s">
        <v>22319</v>
      </c>
      <c r="AC3396">
        <v>2</v>
      </c>
      <c r="AD3396" t="s">
        <v>24607</v>
      </c>
      <c r="AF3396">
        <v>2</v>
      </c>
      <c r="AG3396">
        <v>1</v>
      </c>
      <c r="AH3396">
        <v>2</v>
      </c>
      <c r="AI3396">
        <v>0</v>
      </c>
      <c r="AL3396" t="s">
        <v>5011</v>
      </c>
      <c r="AM3396">
        <v>0</v>
      </c>
      <c r="AS3396">
        <v>0.5</v>
      </c>
      <c r="AT3396" t="s">
        <v>537</v>
      </c>
      <c r="AU3396" t="s">
        <v>145</v>
      </c>
      <c r="AV3396" t="s">
        <v>25335</v>
      </c>
      <c r="AW3396" t="s">
        <v>11447</v>
      </c>
    </row>
    <row r="3397" spans="1:49">
      <c r="A3397" s="1">
        <f>HYPERLINK("https://lsnyc.legalserver.org/matter/dynamic-profile/view/1914375","19-1914375")</f>
        <v>0</v>
      </c>
      <c r="B3397" t="s">
        <v>81</v>
      </c>
      <c r="C3397" t="s">
        <v>506</v>
      </c>
      <c r="D3397" t="s">
        <v>537</v>
      </c>
      <c r="E3397" t="s">
        <v>1177</v>
      </c>
      <c r="F3397" t="s">
        <v>3709</v>
      </c>
      <c r="G3397" t="s">
        <v>8812</v>
      </c>
      <c r="H3397" t="s">
        <v>10649</v>
      </c>
      <c r="I3397" t="s">
        <v>11383</v>
      </c>
      <c r="J3397">
        <v>10466</v>
      </c>
      <c r="K3397" t="s">
        <v>11446</v>
      </c>
      <c r="L3397" t="s">
        <v>13018</v>
      </c>
      <c r="M3397" t="s">
        <v>14743</v>
      </c>
      <c r="N3397" t="s">
        <v>14778</v>
      </c>
      <c r="O3397" t="s">
        <v>14786</v>
      </c>
      <c r="P3397" t="s">
        <v>14802</v>
      </c>
      <c r="Q3397" t="s">
        <v>11448</v>
      </c>
      <c r="S3397" t="s">
        <v>14827</v>
      </c>
      <c r="T3397" t="s">
        <v>14834</v>
      </c>
      <c r="V3397">
        <v>1268</v>
      </c>
      <c r="W3397" t="s">
        <v>14858</v>
      </c>
      <c r="X3397" t="s">
        <v>14863</v>
      </c>
      <c r="Y3397" t="s">
        <v>14883</v>
      </c>
      <c r="Z3397" t="s">
        <v>17727</v>
      </c>
      <c r="AA3397" t="s">
        <v>19714</v>
      </c>
      <c r="AB3397" t="s">
        <v>22799</v>
      </c>
      <c r="AC3397">
        <v>2</v>
      </c>
      <c r="AD3397" t="s">
        <v>24600</v>
      </c>
      <c r="AE3397" t="s">
        <v>24616</v>
      </c>
      <c r="AF3397">
        <v>2</v>
      </c>
      <c r="AG3397">
        <v>2</v>
      </c>
      <c r="AH3397">
        <v>0</v>
      </c>
      <c r="AI3397">
        <v>41.16</v>
      </c>
      <c r="AL3397" t="s">
        <v>5011</v>
      </c>
      <c r="AM3397">
        <v>6960</v>
      </c>
      <c r="AS3397">
        <v>1</v>
      </c>
      <c r="AT3397" t="s">
        <v>537</v>
      </c>
      <c r="AU3397" t="s">
        <v>145</v>
      </c>
      <c r="AV3397" t="s">
        <v>25335</v>
      </c>
      <c r="AW3397" t="s">
        <v>11447</v>
      </c>
    </row>
    <row r="3398" spans="1:49">
      <c r="A3398" s="1">
        <f>HYPERLINK("https://lsnyc.legalserver.org/matter/dynamic-profile/view/1914541","19-1914541")</f>
        <v>0</v>
      </c>
      <c r="B3398" t="s">
        <v>81</v>
      </c>
      <c r="C3398" t="s">
        <v>478</v>
      </c>
      <c r="D3398" t="s">
        <v>537</v>
      </c>
      <c r="E3398" t="s">
        <v>1025</v>
      </c>
      <c r="F3398" t="s">
        <v>3761</v>
      </c>
      <c r="G3398" t="s">
        <v>8813</v>
      </c>
      <c r="H3398" t="s">
        <v>10738</v>
      </c>
      <c r="I3398" t="s">
        <v>11383</v>
      </c>
      <c r="J3398">
        <v>10460</v>
      </c>
      <c r="K3398" t="s">
        <v>11446</v>
      </c>
      <c r="L3398" t="s">
        <v>13019</v>
      </c>
      <c r="M3398" t="s">
        <v>14744</v>
      </c>
      <c r="N3398" t="s">
        <v>14778</v>
      </c>
      <c r="O3398" t="s">
        <v>14786</v>
      </c>
      <c r="P3398" t="s">
        <v>14802</v>
      </c>
      <c r="Q3398" t="s">
        <v>11448</v>
      </c>
      <c r="S3398" t="s">
        <v>14827</v>
      </c>
      <c r="T3398" t="s">
        <v>14832</v>
      </c>
      <c r="V3398">
        <v>1362.27</v>
      </c>
      <c r="W3398" t="s">
        <v>14858</v>
      </c>
      <c r="X3398" t="s">
        <v>14863</v>
      </c>
      <c r="Y3398" t="s">
        <v>14883</v>
      </c>
      <c r="Z3398" t="s">
        <v>17728</v>
      </c>
      <c r="AB3398" t="s">
        <v>22800</v>
      </c>
      <c r="AC3398">
        <v>21</v>
      </c>
      <c r="AD3398" t="s">
        <v>24606</v>
      </c>
      <c r="AE3398" t="s">
        <v>24610</v>
      </c>
      <c r="AF3398">
        <v>23</v>
      </c>
      <c r="AG3398">
        <v>1</v>
      </c>
      <c r="AH3398">
        <v>0</v>
      </c>
      <c r="AI3398">
        <v>92.43000000000001</v>
      </c>
      <c r="AL3398" t="s">
        <v>5011</v>
      </c>
      <c r="AM3398">
        <v>11544</v>
      </c>
      <c r="AS3398">
        <v>1.3</v>
      </c>
      <c r="AT3398" t="s">
        <v>537</v>
      </c>
      <c r="AU3398" t="s">
        <v>145</v>
      </c>
      <c r="AV3398" t="s">
        <v>25335</v>
      </c>
      <c r="AW3398" t="s">
        <v>11447</v>
      </c>
    </row>
    <row r="3399" spans="1:49">
      <c r="A3399" s="1">
        <f>HYPERLINK("https://lsnyc.legalserver.org/matter/dynamic-profile/view/1914488","19-1914488")</f>
        <v>0</v>
      </c>
      <c r="B3399" t="s">
        <v>81</v>
      </c>
      <c r="C3399" t="s">
        <v>478</v>
      </c>
      <c r="D3399" t="s">
        <v>521</v>
      </c>
      <c r="E3399" t="s">
        <v>1356</v>
      </c>
      <c r="F3399" t="s">
        <v>3758</v>
      </c>
      <c r="G3399" t="s">
        <v>8814</v>
      </c>
      <c r="H3399" t="s">
        <v>10662</v>
      </c>
      <c r="I3399" t="s">
        <v>11383</v>
      </c>
      <c r="J3399">
        <v>10458</v>
      </c>
      <c r="K3399" t="s">
        <v>11446</v>
      </c>
      <c r="L3399" t="s">
        <v>13020</v>
      </c>
      <c r="M3399" t="s">
        <v>14744</v>
      </c>
      <c r="N3399" t="s">
        <v>14778</v>
      </c>
      <c r="O3399" t="s">
        <v>14786</v>
      </c>
      <c r="P3399" t="s">
        <v>14802</v>
      </c>
      <c r="Q3399" t="s">
        <v>11448</v>
      </c>
      <c r="S3399" t="s">
        <v>14827</v>
      </c>
      <c r="T3399" t="s">
        <v>14834</v>
      </c>
      <c r="U3399" t="s">
        <v>478</v>
      </c>
      <c r="V3399">
        <v>0</v>
      </c>
      <c r="W3399" t="s">
        <v>14858</v>
      </c>
      <c r="X3399" t="s">
        <v>14863</v>
      </c>
      <c r="Y3399" t="s">
        <v>14883</v>
      </c>
      <c r="Z3399" t="s">
        <v>17729</v>
      </c>
      <c r="AB3399" t="s">
        <v>22801</v>
      </c>
      <c r="AC3399">
        <v>312</v>
      </c>
      <c r="AD3399" t="s">
        <v>24596</v>
      </c>
      <c r="AF3399">
        <v>0</v>
      </c>
      <c r="AG3399">
        <v>1</v>
      </c>
      <c r="AH3399">
        <v>0</v>
      </c>
      <c r="AI3399">
        <v>57.65</v>
      </c>
      <c r="AL3399" t="s">
        <v>5011</v>
      </c>
      <c r="AM3399">
        <v>7200</v>
      </c>
      <c r="AS3399">
        <v>0.5</v>
      </c>
      <c r="AT3399" t="s">
        <v>521</v>
      </c>
      <c r="AU3399" t="s">
        <v>145</v>
      </c>
      <c r="AV3399" t="s">
        <v>25335</v>
      </c>
      <c r="AW3399" t="s">
        <v>11447</v>
      </c>
    </row>
    <row r="3400" spans="1:49">
      <c r="A3400" s="1">
        <f>HYPERLINK("https://lsnyc.legalserver.org/matter/dynamic-profile/view/1909676","19-1909676")</f>
        <v>0</v>
      </c>
      <c r="B3400" t="s">
        <v>300</v>
      </c>
      <c r="C3400" t="s">
        <v>463</v>
      </c>
      <c r="D3400" t="s">
        <v>521</v>
      </c>
      <c r="E3400" t="s">
        <v>1176</v>
      </c>
      <c r="F3400" t="s">
        <v>3547</v>
      </c>
      <c r="G3400" t="s">
        <v>8815</v>
      </c>
      <c r="I3400" t="s">
        <v>11383</v>
      </c>
      <c r="J3400">
        <v>10467</v>
      </c>
      <c r="K3400" t="s">
        <v>11447</v>
      </c>
      <c r="M3400" t="s">
        <v>11601</v>
      </c>
      <c r="N3400" t="s">
        <v>14778</v>
      </c>
      <c r="O3400" t="s">
        <v>14786</v>
      </c>
      <c r="P3400" t="s">
        <v>14802</v>
      </c>
      <c r="S3400" t="s">
        <v>14827</v>
      </c>
      <c r="V3400">
        <v>1325</v>
      </c>
      <c r="W3400" t="s">
        <v>14858</v>
      </c>
      <c r="X3400" t="s">
        <v>14866</v>
      </c>
      <c r="Y3400" t="s">
        <v>14883</v>
      </c>
      <c r="Z3400" t="s">
        <v>17589</v>
      </c>
      <c r="AB3400" t="s">
        <v>22802</v>
      </c>
      <c r="AC3400">
        <v>63</v>
      </c>
      <c r="AD3400" t="s">
        <v>24595</v>
      </c>
      <c r="AF3400">
        <v>1</v>
      </c>
      <c r="AG3400">
        <v>1</v>
      </c>
      <c r="AH3400">
        <v>0</v>
      </c>
      <c r="AI3400">
        <v>26.33</v>
      </c>
      <c r="AL3400" t="s">
        <v>5011</v>
      </c>
      <c r="AM3400">
        <v>3288</v>
      </c>
      <c r="AS3400">
        <v>1.6</v>
      </c>
      <c r="AT3400" t="s">
        <v>473</v>
      </c>
      <c r="AU3400" t="s">
        <v>25229</v>
      </c>
      <c r="AW3400" t="s">
        <v>11447</v>
      </c>
    </row>
    <row r="3401" spans="1:49">
      <c r="A3401" s="1">
        <f>HYPERLINK("https://lsnyc.legalserver.org/matter/dynamic-profile/view/1908827","19-1908827")</f>
        <v>0</v>
      </c>
      <c r="B3401" t="s">
        <v>60</v>
      </c>
      <c r="C3401" t="s">
        <v>585</v>
      </c>
      <c r="D3401" t="s">
        <v>521</v>
      </c>
      <c r="E3401" t="s">
        <v>1258</v>
      </c>
      <c r="F3401" t="s">
        <v>2330</v>
      </c>
      <c r="G3401" t="s">
        <v>8816</v>
      </c>
      <c r="H3401" t="s">
        <v>10475</v>
      </c>
      <c r="I3401" t="s">
        <v>11383</v>
      </c>
      <c r="J3401">
        <v>10459</v>
      </c>
      <c r="K3401" t="s">
        <v>11446</v>
      </c>
      <c r="L3401" t="s">
        <v>13021</v>
      </c>
      <c r="M3401" t="s">
        <v>14744</v>
      </c>
      <c r="N3401" t="s">
        <v>14778</v>
      </c>
      <c r="O3401" t="s">
        <v>14786</v>
      </c>
      <c r="P3401" t="s">
        <v>14802</v>
      </c>
      <c r="Q3401" t="s">
        <v>11448</v>
      </c>
      <c r="S3401" t="s">
        <v>14827</v>
      </c>
      <c r="V3401">
        <v>1802</v>
      </c>
      <c r="W3401" t="s">
        <v>14858</v>
      </c>
      <c r="X3401" t="s">
        <v>14873</v>
      </c>
      <c r="Y3401" t="s">
        <v>14883</v>
      </c>
      <c r="Z3401" t="s">
        <v>17730</v>
      </c>
      <c r="AA3401" t="s">
        <v>19715</v>
      </c>
      <c r="AB3401" t="s">
        <v>22803</v>
      </c>
      <c r="AC3401">
        <v>5</v>
      </c>
      <c r="AE3401" t="s">
        <v>24615</v>
      </c>
      <c r="AF3401">
        <v>1</v>
      </c>
      <c r="AG3401">
        <v>1</v>
      </c>
      <c r="AH3401">
        <v>2</v>
      </c>
      <c r="AI3401">
        <v>46.88</v>
      </c>
      <c r="AL3401" t="s">
        <v>5011</v>
      </c>
      <c r="AM3401">
        <v>10000</v>
      </c>
      <c r="AS3401">
        <v>1.75</v>
      </c>
      <c r="AT3401" t="s">
        <v>495</v>
      </c>
      <c r="AU3401" t="s">
        <v>145</v>
      </c>
      <c r="AV3401" t="s">
        <v>25335</v>
      </c>
      <c r="AW3401" t="s">
        <v>11447</v>
      </c>
    </row>
    <row r="3402" spans="1:49">
      <c r="A3402" s="1">
        <f>HYPERLINK("https://lsnyc.legalserver.org/matter/dynamic-profile/view/1914492","19-1914492")</f>
        <v>0</v>
      </c>
      <c r="B3402" t="s">
        <v>81</v>
      </c>
      <c r="C3402" t="s">
        <v>478</v>
      </c>
      <c r="D3402" t="s">
        <v>521</v>
      </c>
      <c r="E3402" t="s">
        <v>2766</v>
      </c>
      <c r="F3402" t="s">
        <v>5386</v>
      </c>
      <c r="G3402" t="s">
        <v>7818</v>
      </c>
      <c r="H3402" t="s">
        <v>10980</v>
      </c>
      <c r="I3402" t="s">
        <v>11383</v>
      </c>
      <c r="J3402">
        <v>10453</v>
      </c>
      <c r="K3402" t="s">
        <v>11446</v>
      </c>
      <c r="L3402" t="s">
        <v>13022</v>
      </c>
      <c r="M3402" t="s">
        <v>14744</v>
      </c>
      <c r="N3402" t="s">
        <v>14778</v>
      </c>
      <c r="O3402" t="s">
        <v>14786</v>
      </c>
      <c r="P3402" t="s">
        <v>14802</v>
      </c>
      <c r="Q3402" t="s">
        <v>11448</v>
      </c>
      <c r="S3402" t="s">
        <v>14827</v>
      </c>
      <c r="T3402" t="s">
        <v>14832</v>
      </c>
      <c r="V3402">
        <v>0</v>
      </c>
      <c r="W3402" t="s">
        <v>14858</v>
      </c>
      <c r="X3402" t="s">
        <v>14863</v>
      </c>
      <c r="Y3402" t="s">
        <v>14883</v>
      </c>
      <c r="Z3402" t="s">
        <v>17731</v>
      </c>
      <c r="AC3402">
        <v>0</v>
      </c>
      <c r="AD3402" t="s">
        <v>24596</v>
      </c>
      <c r="AF3402">
        <v>0</v>
      </c>
      <c r="AG3402">
        <v>2</v>
      </c>
      <c r="AH3402">
        <v>1</v>
      </c>
      <c r="AI3402">
        <v>80.20999999999999</v>
      </c>
      <c r="AL3402" t="s">
        <v>5011</v>
      </c>
      <c r="AM3402">
        <v>17108</v>
      </c>
      <c r="AS3402">
        <v>0.5</v>
      </c>
      <c r="AT3402" t="s">
        <v>521</v>
      </c>
      <c r="AU3402" t="s">
        <v>145</v>
      </c>
      <c r="AV3402" t="s">
        <v>25335</v>
      </c>
      <c r="AW3402" t="s">
        <v>11447</v>
      </c>
    </row>
    <row r="3403" spans="1:49">
      <c r="A3403" s="1">
        <f>HYPERLINK("https://lsnyc.legalserver.org/matter/dynamic-profile/view/1905805","19-1905805")</f>
        <v>0</v>
      </c>
      <c r="B3403" t="s">
        <v>298</v>
      </c>
      <c r="C3403" t="s">
        <v>500</v>
      </c>
      <c r="D3403" t="s">
        <v>516</v>
      </c>
      <c r="E3403" t="s">
        <v>1652</v>
      </c>
      <c r="F3403" t="s">
        <v>3722</v>
      </c>
      <c r="G3403" t="s">
        <v>8817</v>
      </c>
      <c r="H3403">
        <v>8</v>
      </c>
      <c r="I3403" t="s">
        <v>11383</v>
      </c>
      <c r="J3403">
        <v>10458</v>
      </c>
      <c r="K3403" t="s">
        <v>11446</v>
      </c>
      <c r="L3403" t="s">
        <v>13023</v>
      </c>
      <c r="M3403" t="s">
        <v>14744</v>
      </c>
      <c r="N3403" t="s">
        <v>14778</v>
      </c>
      <c r="O3403" t="s">
        <v>14786</v>
      </c>
      <c r="P3403" t="s">
        <v>14802</v>
      </c>
      <c r="Q3403" t="s">
        <v>11448</v>
      </c>
      <c r="S3403" t="s">
        <v>14827</v>
      </c>
      <c r="U3403" t="s">
        <v>485</v>
      </c>
      <c r="V3403">
        <v>1890</v>
      </c>
      <c r="W3403" t="s">
        <v>14858</v>
      </c>
      <c r="Y3403" t="s">
        <v>14883</v>
      </c>
      <c r="Z3403" t="s">
        <v>17732</v>
      </c>
      <c r="AA3403" t="s">
        <v>19716</v>
      </c>
      <c r="AB3403" t="s">
        <v>22804</v>
      </c>
      <c r="AC3403">
        <v>9</v>
      </c>
      <c r="AD3403" t="s">
        <v>24595</v>
      </c>
      <c r="AF3403">
        <v>33</v>
      </c>
      <c r="AG3403">
        <v>4</v>
      </c>
      <c r="AH3403">
        <v>0</v>
      </c>
      <c r="AI3403">
        <v>17.57</v>
      </c>
      <c r="AM3403">
        <v>4524</v>
      </c>
      <c r="AS3403">
        <v>10</v>
      </c>
      <c r="AT3403" t="s">
        <v>485</v>
      </c>
      <c r="AU3403" t="s">
        <v>145</v>
      </c>
      <c r="AV3403" t="s">
        <v>25335</v>
      </c>
      <c r="AW3403" t="s">
        <v>11447</v>
      </c>
    </row>
    <row r="3404" spans="1:49">
      <c r="A3404" s="1">
        <f>HYPERLINK("https://lsnyc.legalserver.org/matter/dynamic-profile/view/1903722","19-1903722")</f>
        <v>0</v>
      </c>
      <c r="B3404" t="s">
        <v>82</v>
      </c>
      <c r="C3404" t="s">
        <v>545</v>
      </c>
      <c r="D3404" t="s">
        <v>516</v>
      </c>
      <c r="E3404" t="s">
        <v>2767</v>
      </c>
      <c r="F3404" t="s">
        <v>5387</v>
      </c>
      <c r="G3404" t="s">
        <v>8818</v>
      </c>
      <c r="H3404" t="s">
        <v>10450</v>
      </c>
      <c r="I3404" t="s">
        <v>11383</v>
      </c>
      <c r="J3404">
        <v>10463</v>
      </c>
      <c r="K3404" t="s">
        <v>11446</v>
      </c>
      <c r="L3404" t="s">
        <v>13024</v>
      </c>
      <c r="M3404" t="s">
        <v>14744</v>
      </c>
      <c r="N3404" t="s">
        <v>14781</v>
      </c>
      <c r="O3404" t="s">
        <v>14788</v>
      </c>
      <c r="P3404" t="s">
        <v>14802</v>
      </c>
      <c r="Q3404" t="s">
        <v>11448</v>
      </c>
      <c r="S3404" t="s">
        <v>14827</v>
      </c>
      <c r="U3404" t="s">
        <v>14839</v>
      </c>
      <c r="V3404">
        <v>1685.42</v>
      </c>
      <c r="W3404" t="s">
        <v>14858</v>
      </c>
      <c r="Y3404" t="s">
        <v>14887</v>
      </c>
      <c r="Z3404" t="s">
        <v>17733</v>
      </c>
      <c r="AB3404" t="s">
        <v>22805</v>
      </c>
      <c r="AC3404">
        <v>0</v>
      </c>
      <c r="AD3404" t="s">
        <v>11479</v>
      </c>
      <c r="AE3404" t="s">
        <v>11459</v>
      </c>
      <c r="AF3404">
        <v>25</v>
      </c>
      <c r="AG3404">
        <v>3</v>
      </c>
      <c r="AH3404">
        <v>0</v>
      </c>
      <c r="AI3404">
        <v>121.89</v>
      </c>
      <c r="AL3404" t="s">
        <v>24632</v>
      </c>
      <c r="AM3404">
        <v>26000</v>
      </c>
      <c r="AS3404">
        <v>22.05</v>
      </c>
      <c r="AT3404" t="s">
        <v>574</v>
      </c>
      <c r="AU3404" t="s">
        <v>245</v>
      </c>
      <c r="AV3404" t="s">
        <v>25335</v>
      </c>
      <c r="AW3404" t="s">
        <v>11447</v>
      </c>
    </row>
    <row r="3405" spans="1:49">
      <c r="A3405" s="1">
        <f>HYPERLINK("https://lsnyc.legalserver.org/matter/dynamic-profile/view/1894865","19-1894865")</f>
        <v>0</v>
      </c>
      <c r="B3405" t="s">
        <v>201</v>
      </c>
      <c r="C3405" t="s">
        <v>594</v>
      </c>
      <c r="E3405" t="s">
        <v>2768</v>
      </c>
      <c r="F3405" t="s">
        <v>5388</v>
      </c>
      <c r="G3405" t="s">
        <v>8819</v>
      </c>
      <c r="H3405" t="s">
        <v>11132</v>
      </c>
      <c r="I3405" t="s">
        <v>11383</v>
      </c>
      <c r="J3405">
        <v>10463</v>
      </c>
      <c r="K3405" t="s">
        <v>11446</v>
      </c>
      <c r="L3405" t="s">
        <v>13025</v>
      </c>
      <c r="M3405" t="s">
        <v>14744</v>
      </c>
      <c r="N3405" t="s">
        <v>14781</v>
      </c>
      <c r="P3405" t="s">
        <v>14802</v>
      </c>
      <c r="Q3405" t="s">
        <v>11448</v>
      </c>
      <c r="S3405" t="s">
        <v>14827</v>
      </c>
      <c r="T3405" t="s">
        <v>14836</v>
      </c>
      <c r="U3405" t="s">
        <v>545</v>
      </c>
      <c r="V3405">
        <v>1074.58</v>
      </c>
      <c r="W3405" t="s">
        <v>14858</v>
      </c>
      <c r="X3405" t="s">
        <v>14863</v>
      </c>
      <c r="Z3405" t="s">
        <v>17734</v>
      </c>
      <c r="AA3405" t="s">
        <v>19717</v>
      </c>
      <c r="AB3405" t="s">
        <v>22806</v>
      </c>
      <c r="AC3405">
        <v>207</v>
      </c>
      <c r="AD3405" t="s">
        <v>11479</v>
      </c>
      <c r="AE3405" t="s">
        <v>24615</v>
      </c>
      <c r="AF3405">
        <v>10</v>
      </c>
      <c r="AG3405">
        <v>1</v>
      </c>
      <c r="AH3405">
        <v>2</v>
      </c>
      <c r="AI3405">
        <v>0</v>
      </c>
      <c r="AL3405" t="s">
        <v>24636</v>
      </c>
      <c r="AM3405">
        <v>0</v>
      </c>
      <c r="AS3405">
        <v>69.90000000000001</v>
      </c>
      <c r="AT3405" t="s">
        <v>490</v>
      </c>
      <c r="AU3405" t="s">
        <v>94</v>
      </c>
      <c r="AV3405" t="s">
        <v>25334</v>
      </c>
      <c r="AW3405" t="s">
        <v>11446</v>
      </c>
    </row>
    <row r="3406" spans="1:49">
      <c r="A3406" s="1">
        <f>HYPERLINK("https://lsnyc.legalserver.org/matter/dynamic-profile/view/1899542","19-1899542")</f>
        <v>0</v>
      </c>
      <c r="B3406" t="s">
        <v>298</v>
      </c>
      <c r="C3406" t="s">
        <v>369</v>
      </c>
      <c r="E3406" t="s">
        <v>2769</v>
      </c>
      <c r="F3406" t="s">
        <v>5389</v>
      </c>
      <c r="G3406" t="s">
        <v>6874</v>
      </c>
      <c r="H3406" t="s">
        <v>11133</v>
      </c>
      <c r="I3406" t="s">
        <v>11383</v>
      </c>
      <c r="J3406">
        <v>10451</v>
      </c>
      <c r="K3406" t="s">
        <v>11446</v>
      </c>
      <c r="L3406" t="s">
        <v>13026</v>
      </c>
      <c r="M3406" t="s">
        <v>14744</v>
      </c>
      <c r="N3406" t="s">
        <v>14781</v>
      </c>
      <c r="P3406" t="s">
        <v>14802</v>
      </c>
      <c r="Q3406" t="s">
        <v>11448</v>
      </c>
      <c r="S3406" t="s">
        <v>14827</v>
      </c>
      <c r="T3406" t="s">
        <v>14832</v>
      </c>
      <c r="U3406" t="s">
        <v>545</v>
      </c>
      <c r="V3406">
        <v>1550</v>
      </c>
      <c r="W3406" t="s">
        <v>14858</v>
      </c>
      <c r="Z3406" t="s">
        <v>17735</v>
      </c>
      <c r="AA3406" t="s">
        <v>19718</v>
      </c>
      <c r="AB3406" t="s">
        <v>22807</v>
      </c>
      <c r="AC3406">
        <v>60</v>
      </c>
      <c r="AD3406" t="s">
        <v>24595</v>
      </c>
      <c r="AE3406" t="s">
        <v>24615</v>
      </c>
      <c r="AF3406">
        <v>0</v>
      </c>
      <c r="AG3406">
        <v>1</v>
      </c>
      <c r="AH3406">
        <v>0</v>
      </c>
      <c r="AI3406">
        <v>0</v>
      </c>
      <c r="AL3406" t="s">
        <v>5011</v>
      </c>
      <c r="AM3406">
        <v>0</v>
      </c>
      <c r="AS3406">
        <v>28.74</v>
      </c>
      <c r="AT3406" t="s">
        <v>509</v>
      </c>
      <c r="AU3406" t="s">
        <v>25252</v>
      </c>
      <c r="AV3406" t="s">
        <v>25334</v>
      </c>
      <c r="AW3406" t="s">
        <v>11447</v>
      </c>
    </row>
    <row r="3407" spans="1:49">
      <c r="A3407" s="1">
        <f>HYPERLINK("https://lsnyc.legalserver.org/matter/dynamic-profile/view/1903766","19-1903766")</f>
        <v>0</v>
      </c>
      <c r="B3407" t="s">
        <v>257</v>
      </c>
      <c r="C3407" t="s">
        <v>545</v>
      </c>
      <c r="E3407" t="s">
        <v>1032</v>
      </c>
      <c r="F3407" t="s">
        <v>1035</v>
      </c>
      <c r="G3407" t="s">
        <v>8770</v>
      </c>
      <c r="H3407" t="s">
        <v>10581</v>
      </c>
      <c r="I3407" t="s">
        <v>11383</v>
      </c>
      <c r="J3407">
        <v>10453</v>
      </c>
      <c r="K3407" t="s">
        <v>11446</v>
      </c>
      <c r="L3407" t="s">
        <v>13027</v>
      </c>
      <c r="M3407" t="s">
        <v>14743</v>
      </c>
      <c r="N3407" t="s">
        <v>14781</v>
      </c>
      <c r="P3407" t="s">
        <v>14802</v>
      </c>
      <c r="Q3407" t="s">
        <v>11448</v>
      </c>
      <c r="S3407" t="s">
        <v>14827</v>
      </c>
      <c r="T3407" t="s">
        <v>14834</v>
      </c>
      <c r="U3407" t="s">
        <v>545</v>
      </c>
      <c r="V3407">
        <v>1213</v>
      </c>
      <c r="W3407" t="s">
        <v>14858</v>
      </c>
      <c r="X3407" t="s">
        <v>14863</v>
      </c>
      <c r="Z3407" t="s">
        <v>17736</v>
      </c>
      <c r="AB3407" t="s">
        <v>22808</v>
      </c>
      <c r="AC3407">
        <v>30</v>
      </c>
      <c r="AD3407" t="s">
        <v>24595</v>
      </c>
      <c r="AE3407" t="s">
        <v>24612</v>
      </c>
      <c r="AF3407">
        <v>3</v>
      </c>
      <c r="AG3407">
        <v>1</v>
      </c>
      <c r="AH3407">
        <v>0</v>
      </c>
      <c r="AI3407">
        <v>82.43000000000001</v>
      </c>
      <c r="AL3407" t="s">
        <v>5011</v>
      </c>
      <c r="AM3407">
        <v>10296</v>
      </c>
      <c r="AS3407">
        <v>20.3</v>
      </c>
      <c r="AT3407" t="s">
        <v>491</v>
      </c>
      <c r="AU3407" t="s">
        <v>25239</v>
      </c>
      <c r="AV3407" t="s">
        <v>25335</v>
      </c>
      <c r="AW3407" t="s">
        <v>11447</v>
      </c>
    </row>
    <row r="3408" spans="1:49">
      <c r="A3408" s="1">
        <f>HYPERLINK("https://lsnyc.legalserver.org/matter/dynamic-profile/view/1902393","19-1902393")</f>
        <v>0</v>
      </c>
      <c r="B3408" t="s">
        <v>79</v>
      </c>
      <c r="C3408" t="s">
        <v>362</v>
      </c>
      <c r="E3408" t="s">
        <v>2770</v>
      </c>
      <c r="F3408" t="s">
        <v>4399</v>
      </c>
      <c r="G3408" t="s">
        <v>8820</v>
      </c>
      <c r="H3408" t="s">
        <v>10481</v>
      </c>
      <c r="I3408" t="s">
        <v>11383</v>
      </c>
      <c r="J3408">
        <v>10456</v>
      </c>
      <c r="K3408" t="s">
        <v>11446</v>
      </c>
      <c r="L3408" t="s">
        <v>13028</v>
      </c>
      <c r="M3408" t="s">
        <v>14744</v>
      </c>
      <c r="N3408" t="s">
        <v>14781</v>
      </c>
      <c r="P3408" t="s">
        <v>14802</v>
      </c>
      <c r="Q3408" t="s">
        <v>11448</v>
      </c>
      <c r="S3408" t="s">
        <v>14827</v>
      </c>
      <c r="T3408" t="s">
        <v>14834</v>
      </c>
      <c r="U3408" t="s">
        <v>545</v>
      </c>
      <c r="V3408">
        <v>1847.89</v>
      </c>
      <c r="W3408" t="s">
        <v>14858</v>
      </c>
      <c r="X3408" t="s">
        <v>14868</v>
      </c>
      <c r="Z3408" t="s">
        <v>17737</v>
      </c>
      <c r="AA3408" t="s">
        <v>19719</v>
      </c>
      <c r="AB3408" t="s">
        <v>22809</v>
      </c>
      <c r="AC3408">
        <v>20</v>
      </c>
      <c r="AD3408" t="s">
        <v>24595</v>
      </c>
      <c r="AE3408" t="s">
        <v>24611</v>
      </c>
      <c r="AF3408">
        <v>4</v>
      </c>
      <c r="AG3408">
        <v>1</v>
      </c>
      <c r="AH3408">
        <v>0</v>
      </c>
      <c r="AI3408">
        <v>124.9</v>
      </c>
      <c r="AM3408">
        <v>15600</v>
      </c>
      <c r="AO3408" t="s">
        <v>24931</v>
      </c>
      <c r="AP3408" t="s">
        <v>24942</v>
      </c>
      <c r="AQ3408" t="s">
        <v>24986</v>
      </c>
      <c r="AR3408" t="s">
        <v>25079</v>
      </c>
      <c r="AS3408">
        <v>8.199999999999999</v>
      </c>
      <c r="AT3408" t="s">
        <v>375</v>
      </c>
      <c r="AU3408" t="s">
        <v>25251</v>
      </c>
      <c r="AW3408" t="s">
        <v>11447</v>
      </c>
    </row>
    <row r="3409" spans="1:49">
      <c r="A3409" s="1">
        <f>HYPERLINK("https://lsnyc.legalserver.org/matter/dynamic-profile/view/1903780","19-1903780")</f>
        <v>0</v>
      </c>
      <c r="B3409" t="s">
        <v>298</v>
      </c>
      <c r="C3409" t="s">
        <v>545</v>
      </c>
      <c r="E3409" t="s">
        <v>1786</v>
      </c>
      <c r="F3409" t="s">
        <v>5390</v>
      </c>
      <c r="G3409" t="s">
        <v>8821</v>
      </c>
      <c r="H3409">
        <v>2</v>
      </c>
      <c r="I3409" t="s">
        <v>11383</v>
      </c>
      <c r="J3409">
        <v>10470</v>
      </c>
      <c r="K3409" t="s">
        <v>11446</v>
      </c>
      <c r="L3409" t="s">
        <v>13029</v>
      </c>
      <c r="M3409" t="s">
        <v>14743</v>
      </c>
      <c r="N3409" t="s">
        <v>14778</v>
      </c>
      <c r="P3409" t="s">
        <v>14802</v>
      </c>
      <c r="Q3409" t="s">
        <v>11448</v>
      </c>
      <c r="S3409" t="s">
        <v>14827</v>
      </c>
      <c r="T3409" t="s">
        <v>14834</v>
      </c>
      <c r="U3409" t="s">
        <v>545</v>
      </c>
      <c r="V3409">
        <v>1515</v>
      </c>
      <c r="W3409" t="s">
        <v>14858</v>
      </c>
      <c r="X3409" t="s">
        <v>14863</v>
      </c>
      <c r="Z3409" t="s">
        <v>17738</v>
      </c>
      <c r="AB3409" t="s">
        <v>22810</v>
      </c>
      <c r="AC3409">
        <v>2</v>
      </c>
      <c r="AD3409" t="s">
        <v>24600</v>
      </c>
      <c r="AE3409" t="s">
        <v>24617</v>
      </c>
      <c r="AF3409">
        <v>3</v>
      </c>
      <c r="AG3409">
        <v>4</v>
      </c>
      <c r="AH3409">
        <v>0</v>
      </c>
      <c r="AI3409">
        <v>140.48</v>
      </c>
      <c r="AL3409" t="s">
        <v>5011</v>
      </c>
      <c r="AM3409">
        <v>36174</v>
      </c>
      <c r="AS3409">
        <v>28.01</v>
      </c>
      <c r="AT3409" t="s">
        <v>509</v>
      </c>
      <c r="AU3409" t="s">
        <v>25239</v>
      </c>
      <c r="AV3409" t="s">
        <v>25335</v>
      </c>
      <c r="AW3409" t="s">
        <v>11447</v>
      </c>
    </row>
    <row r="3410" spans="1:49">
      <c r="A3410" s="1">
        <f>HYPERLINK("https://lsnyc.legalserver.org/matter/dynamic-profile/view/1892526","19-1892526")</f>
        <v>0</v>
      </c>
      <c r="B3410" t="s">
        <v>201</v>
      </c>
      <c r="C3410" t="s">
        <v>833</v>
      </c>
      <c r="E3410" t="s">
        <v>1101</v>
      </c>
      <c r="F3410" t="s">
        <v>4855</v>
      </c>
      <c r="G3410" t="s">
        <v>8822</v>
      </c>
      <c r="H3410" t="s">
        <v>10719</v>
      </c>
      <c r="I3410" t="s">
        <v>11383</v>
      </c>
      <c r="J3410">
        <v>10453</v>
      </c>
      <c r="K3410" t="s">
        <v>11446</v>
      </c>
      <c r="L3410" t="s">
        <v>13030</v>
      </c>
      <c r="M3410" t="s">
        <v>14746</v>
      </c>
      <c r="N3410" t="s">
        <v>14781</v>
      </c>
      <c r="P3410" t="s">
        <v>14802</v>
      </c>
      <c r="Q3410" t="s">
        <v>11448</v>
      </c>
      <c r="S3410" t="s">
        <v>14827</v>
      </c>
      <c r="T3410" t="s">
        <v>14832</v>
      </c>
      <c r="U3410" t="s">
        <v>545</v>
      </c>
      <c r="V3410">
        <v>900</v>
      </c>
      <c r="W3410" t="s">
        <v>14858</v>
      </c>
      <c r="X3410" t="s">
        <v>14867</v>
      </c>
      <c r="Z3410" t="s">
        <v>17739</v>
      </c>
      <c r="AB3410" t="s">
        <v>22811</v>
      </c>
      <c r="AC3410">
        <v>40</v>
      </c>
      <c r="AD3410" t="s">
        <v>24595</v>
      </c>
      <c r="AE3410" t="s">
        <v>11459</v>
      </c>
      <c r="AF3410">
        <v>26</v>
      </c>
      <c r="AG3410">
        <v>1</v>
      </c>
      <c r="AH3410">
        <v>2</v>
      </c>
      <c r="AI3410">
        <v>146.27</v>
      </c>
      <c r="AL3410" t="s">
        <v>5011</v>
      </c>
      <c r="AM3410">
        <v>31200</v>
      </c>
      <c r="AN3410" t="s">
        <v>13030</v>
      </c>
      <c r="AS3410">
        <v>26.7</v>
      </c>
      <c r="AT3410" t="s">
        <v>471</v>
      </c>
      <c r="AU3410" t="s">
        <v>237</v>
      </c>
      <c r="AV3410" t="s">
        <v>25335</v>
      </c>
      <c r="AW3410" t="s">
        <v>11446</v>
      </c>
    </row>
    <row r="3411" spans="1:49">
      <c r="A3411" s="1">
        <f>HYPERLINK("https://lsnyc.legalserver.org/matter/dynamic-profile/view/1902948","19-1902948")</f>
        <v>0</v>
      </c>
      <c r="B3411" t="s">
        <v>49</v>
      </c>
      <c r="C3411" t="s">
        <v>343</v>
      </c>
      <c r="E3411" t="s">
        <v>1840</v>
      </c>
      <c r="F3411" t="s">
        <v>3758</v>
      </c>
      <c r="G3411" t="s">
        <v>8823</v>
      </c>
      <c r="H3411">
        <v>1</v>
      </c>
      <c r="I3411" t="s">
        <v>11383</v>
      </c>
      <c r="J3411">
        <v>10460</v>
      </c>
      <c r="K3411" t="s">
        <v>11446</v>
      </c>
      <c r="L3411" t="s">
        <v>13031</v>
      </c>
      <c r="M3411" t="s">
        <v>14743</v>
      </c>
      <c r="N3411" t="s">
        <v>14781</v>
      </c>
      <c r="P3411" t="s">
        <v>14802</v>
      </c>
      <c r="Q3411" t="s">
        <v>11448</v>
      </c>
      <c r="S3411" t="s">
        <v>14827</v>
      </c>
      <c r="T3411" t="s">
        <v>14832</v>
      </c>
      <c r="U3411" t="s">
        <v>378</v>
      </c>
      <c r="V3411">
        <v>1200</v>
      </c>
      <c r="W3411" t="s">
        <v>14858</v>
      </c>
      <c r="X3411" t="s">
        <v>14863</v>
      </c>
      <c r="Z3411" t="s">
        <v>17740</v>
      </c>
      <c r="AB3411" t="s">
        <v>22812</v>
      </c>
      <c r="AC3411">
        <v>3</v>
      </c>
      <c r="AD3411" t="s">
        <v>11479</v>
      </c>
      <c r="AE3411" t="s">
        <v>24617</v>
      </c>
      <c r="AF3411">
        <v>3</v>
      </c>
      <c r="AG3411">
        <v>1</v>
      </c>
      <c r="AH3411">
        <v>0</v>
      </c>
      <c r="AI3411">
        <v>74.08</v>
      </c>
      <c r="AL3411" t="s">
        <v>5011</v>
      </c>
      <c r="AM3411">
        <v>9252</v>
      </c>
      <c r="AN3411" t="s">
        <v>24686</v>
      </c>
      <c r="AS3411">
        <v>10.05</v>
      </c>
      <c r="AT3411" t="s">
        <v>601</v>
      </c>
      <c r="AU3411" t="s">
        <v>25252</v>
      </c>
      <c r="AV3411" t="s">
        <v>25335</v>
      </c>
      <c r="AW3411" t="s">
        <v>11447</v>
      </c>
    </row>
    <row r="3412" spans="1:49">
      <c r="A3412" s="1">
        <f>HYPERLINK("https://lsnyc.legalserver.org/matter/dynamic-profile/view/1901910","19-1901910")</f>
        <v>0</v>
      </c>
      <c r="B3412" t="s">
        <v>112</v>
      </c>
      <c r="C3412" t="s">
        <v>347</v>
      </c>
      <c r="E3412" t="s">
        <v>1025</v>
      </c>
      <c r="F3412" t="s">
        <v>3685</v>
      </c>
      <c r="G3412" t="s">
        <v>8824</v>
      </c>
      <c r="H3412" t="s">
        <v>10450</v>
      </c>
      <c r="I3412" t="s">
        <v>11383</v>
      </c>
      <c r="J3412">
        <v>10460</v>
      </c>
      <c r="K3412" t="s">
        <v>11446</v>
      </c>
      <c r="L3412" t="s">
        <v>13032</v>
      </c>
      <c r="M3412" t="s">
        <v>14744</v>
      </c>
      <c r="N3412" t="s">
        <v>14778</v>
      </c>
      <c r="P3412" t="s">
        <v>14802</v>
      </c>
      <c r="Q3412" t="s">
        <v>11448</v>
      </c>
      <c r="S3412" t="s">
        <v>14827</v>
      </c>
      <c r="T3412" t="s">
        <v>14832</v>
      </c>
      <c r="U3412" t="s">
        <v>378</v>
      </c>
      <c r="V3412">
        <v>589</v>
      </c>
      <c r="W3412" t="s">
        <v>14858</v>
      </c>
      <c r="X3412" t="s">
        <v>14867</v>
      </c>
      <c r="Z3412" t="s">
        <v>17741</v>
      </c>
      <c r="AB3412" t="s">
        <v>22813</v>
      </c>
      <c r="AC3412">
        <v>298</v>
      </c>
      <c r="AF3412">
        <v>23</v>
      </c>
      <c r="AG3412">
        <v>1</v>
      </c>
      <c r="AH3412">
        <v>0</v>
      </c>
      <c r="AI3412">
        <v>74.27</v>
      </c>
      <c r="AL3412" t="s">
        <v>5011</v>
      </c>
      <c r="AM3412">
        <v>9276</v>
      </c>
      <c r="AN3412" t="s">
        <v>24671</v>
      </c>
      <c r="AS3412">
        <v>1.25</v>
      </c>
      <c r="AT3412" t="s">
        <v>343</v>
      </c>
      <c r="AU3412" t="s">
        <v>145</v>
      </c>
      <c r="AV3412" t="s">
        <v>25335</v>
      </c>
      <c r="AW3412" t="s">
        <v>11447</v>
      </c>
    </row>
    <row r="3413" spans="1:49">
      <c r="A3413" s="1">
        <f>HYPERLINK("https://lsnyc.legalserver.org/matter/dynamic-profile/view/1904119","19-1904119")</f>
        <v>0</v>
      </c>
      <c r="B3413" t="s">
        <v>134</v>
      </c>
      <c r="C3413" t="s">
        <v>621</v>
      </c>
      <c r="E3413" t="s">
        <v>2771</v>
      </c>
      <c r="F3413" t="s">
        <v>5391</v>
      </c>
      <c r="G3413" t="s">
        <v>8825</v>
      </c>
      <c r="H3413" t="s">
        <v>10594</v>
      </c>
      <c r="I3413" t="s">
        <v>11383</v>
      </c>
      <c r="J3413">
        <v>10456</v>
      </c>
      <c r="K3413" t="s">
        <v>11446</v>
      </c>
      <c r="L3413" t="s">
        <v>13033</v>
      </c>
      <c r="M3413" t="s">
        <v>14744</v>
      </c>
      <c r="N3413" t="s">
        <v>14781</v>
      </c>
      <c r="P3413" t="s">
        <v>14802</v>
      </c>
      <c r="Q3413" t="s">
        <v>11448</v>
      </c>
      <c r="S3413" t="s">
        <v>14827</v>
      </c>
      <c r="T3413" t="s">
        <v>14832</v>
      </c>
      <c r="U3413" t="s">
        <v>621</v>
      </c>
      <c r="V3413">
        <v>0</v>
      </c>
      <c r="W3413" t="s">
        <v>14858</v>
      </c>
      <c r="Z3413" t="s">
        <v>17742</v>
      </c>
      <c r="AA3413" t="s">
        <v>19720</v>
      </c>
      <c r="AB3413" t="s">
        <v>22814</v>
      </c>
      <c r="AC3413">
        <v>20</v>
      </c>
      <c r="AD3413" t="s">
        <v>24595</v>
      </c>
      <c r="AF3413">
        <v>15</v>
      </c>
      <c r="AG3413">
        <v>2</v>
      </c>
      <c r="AH3413">
        <v>1</v>
      </c>
      <c r="AI3413">
        <v>100.44</v>
      </c>
      <c r="AL3413" t="s">
        <v>5011</v>
      </c>
      <c r="AM3413">
        <v>21424</v>
      </c>
      <c r="AS3413">
        <v>6.5</v>
      </c>
      <c r="AT3413" t="s">
        <v>603</v>
      </c>
      <c r="AU3413" t="s">
        <v>145</v>
      </c>
      <c r="AV3413" t="s">
        <v>25334</v>
      </c>
      <c r="AW3413" t="s">
        <v>11447</v>
      </c>
    </row>
    <row r="3414" spans="1:49">
      <c r="A3414" s="1">
        <f>HYPERLINK("https://lsnyc.legalserver.org/matter/dynamic-profile/view/1904135","19-1904135")</f>
        <v>0</v>
      </c>
      <c r="B3414" t="s">
        <v>257</v>
      </c>
      <c r="C3414" t="s">
        <v>338</v>
      </c>
      <c r="E3414" t="s">
        <v>2772</v>
      </c>
      <c r="F3414" t="s">
        <v>3683</v>
      </c>
      <c r="G3414" t="s">
        <v>8826</v>
      </c>
      <c r="H3414">
        <v>2</v>
      </c>
      <c r="I3414" t="s">
        <v>11383</v>
      </c>
      <c r="J3414">
        <v>10460</v>
      </c>
      <c r="K3414" t="s">
        <v>11446</v>
      </c>
      <c r="L3414" t="s">
        <v>13034</v>
      </c>
      <c r="M3414" t="s">
        <v>14744</v>
      </c>
      <c r="N3414" t="s">
        <v>14781</v>
      </c>
      <c r="P3414" t="s">
        <v>14802</v>
      </c>
      <c r="Q3414" t="s">
        <v>11448</v>
      </c>
      <c r="S3414" t="s">
        <v>14827</v>
      </c>
      <c r="T3414" t="s">
        <v>14834</v>
      </c>
      <c r="U3414" t="s">
        <v>338</v>
      </c>
      <c r="V3414">
        <v>1106.46</v>
      </c>
      <c r="W3414" t="s">
        <v>14858</v>
      </c>
      <c r="X3414" t="s">
        <v>14868</v>
      </c>
      <c r="Z3414" t="s">
        <v>17743</v>
      </c>
      <c r="AB3414" t="s">
        <v>22815</v>
      </c>
      <c r="AC3414">
        <v>25</v>
      </c>
      <c r="AD3414" t="s">
        <v>24595</v>
      </c>
      <c r="AE3414" t="s">
        <v>11459</v>
      </c>
      <c r="AF3414">
        <v>12</v>
      </c>
      <c r="AG3414">
        <v>2</v>
      </c>
      <c r="AH3414">
        <v>0</v>
      </c>
      <c r="AI3414">
        <v>150.05</v>
      </c>
      <c r="AL3414" t="s">
        <v>5011</v>
      </c>
      <c r="AM3414">
        <v>25374</v>
      </c>
      <c r="AS3414">
        <v>20.5</v>
      </c>
      <c r="AT3414" t="s">
        <v>509</v>
      </c>
      <c r="AU3414" t="s">
        <v>25252</v>
      </c>
      <c r="AV3414" t="s">
        <v>25335</v>
      </c>
      <c r="AW3414" t="s">
        <v>11447</v>
      </c>
    </row>
    <row r="3415" spans="1:49">
      <c r="A3415" s="1">
        <f>HYPERLINK("https://lsnyc.legalserver.org/matter/dynamic-profile/view/1904305","19-1904305")</f>
        <v>0</v>
      </c>
      <c r="B3415" t="s">
        <v>125</v>
      </c>
      <c r="C3415" t="s">
        <v>332</v>
      </c>
      <c r="E3415" t="s">
        <v>1749</v>
      </c>
      <c r="F3415" t="s">
        <v>5392</v>
      </c>
      <c r="G3415" t="s">
        <v>8827</v>
      </c>
      <c r="H3415" t="s">
        <v>11134</v>
      </c>
      <c r="I3415" t="s">
        <v>11383</v>
      </c>
      <c r="J3415">
        <v>10456</v>
      </c>
      <c r="K3415" t="s">
        <v>11446</v>
      </c>
      <c r="L3415" t="s">
        <v>13035</v>
      </c>
      <c r="M3415" t="s">
        <v>14743</v>
      </c>
      <c r="N3415" t="s">
        <v>14781</v>
      </c>
      <c r="P3415" t="s">
        <v>14802</v>
      </c>
      <c r="Q3415" t="s">
        <v>11448</v>
      </c>
      <c r="S3415" t="s">
        <v>14827</v>
      </c>
      <c r="T3415" t="s">
        <v>14832</v>
      </c>
      <c r="U3415" t="s">
        <v>332</v>
      </c>
      <c r="V3415">
        <v>1263.13</v>
      </c>
      <c r="W3415" t="s">
        <v>14858</v>
      </c>
      <c r="X3415" t="s">
        <v>14868</v>
      </c>
      <c r="Z3415" t="s">
        <v>16296</v>
      </c>
      <c r="AB3415" t="s">
        <v>22816</v>
      </c>
      <c r="AC3415">
        <v>71</v>
      </c>
      <c r="AD3415" t="s">
        <v>24595</v>
      </c>
      <c r="AF3415">
        <v>27</v>
      </c>
      <c r="AG3415">
        <v>1</v>
      </c>
      <c r="AH3415">
        <v>4</v>
      </c>
      <c r="AI3415">
        <v>135.9</v>
      </c>
      <c r="AL3415" t="s">
        <v>5011</v>
      </c>
      <c r="AM3415">
        <v>41000</v>
      </c>
      <c r="AS3415">
        <v>7.8</v>
      </c>
      <c r="AT3415" t="s">
        <v>603</v>
      </c>
      <c r="AU3415" t="s">
        <v>25252</v>
      </c>
      <c r="AV3415" t="s">
        <v>25335</v>
      </c>
      <c r="AW3415" t="s">
        <v>11447</v>
      </c>
    </row>
    <row r="3416" spans="1:49">
      <c r="A3416" s="1">
        <f>HYPERLINK("https://lsnyc.legalserver.org/matter/dynamic-profile/view/1902145","19-1902145")</f>
        <v>0</v>
      </c>
      <c r="B3416" t="s">
        <v>300</v>
      </c>
      <c r="C3416" t="s">
        <v>538</v>
      </c>
      <c r="E3416" t="s">
        <v>2773</v>
      </c>
      <c r="F3416" t="s">
        <v>5393</v>
      </c>
      <c r="G3416" t="s">
        <v>7957</v>
      </c>
      <c r="H3416" t="s">
        <v>10476</v>
      </c>
      <c r="I3416" t="s">
        <v>11383</v>
      </c>
      <c r="J3416">
        <v>10453</v>
      </c>
      <c r="K3416" t="s">
        <v>11446</v>
      </c>
      <c r="L3416" t="s">
        <v>13036</v>
      </c>
      <c r="M3416" t="s">
        <v>14744</v>
      </c>
      <c r="N3416" t="s">
        <v>14781</v>
      </c>
      <c r="P3416" t="s">
        <v>14802</v>
      </c>
      <c r="Q3416" t="s">
        <v>11448</v>
      </c>
      <c r="S3416" t="s">
        <v>14827</v>
      </c>
      <c r="T3416" t="s">
        <v>14832</v>
      </c>
      <c r="U3416" t="s">
        <v>345</v>
      </c>
      <c r="V3416">
        <v>1665</v>
      </c>
      <c r="W3416" t="s">
        <v>14858</v>
      </c>
      <c r="X3416" t="s">
        <v>14867</v>
      </c>
      <c r="Z3416" t="s">
        <v>16121</v>
      </c>
      <c r="AB3416" t="s">
        <v>22817</v>
      </c>
      <c r="AC3416">
        <v>75</v>
      </c>
      <c r="AD3416" t="s">
        <v>24595</v>
      </c>
      <c r="AE3416" t="s">
        <v>24614</v>
      </c>
      <c r="AF3416">
        <v>1</v>
      </c>
      <c r="AG3416">
        <v>1</v>
      </c>
      <c r="AH3416">
        <v>0</v>
      </c>
      <c r="AI3416">
        <v>68.20999999999999</v>
      </c>
      <c r="AL3416" t="s">
        <v>5011</v>
      </c>
      <c r="AM3416">
        <v>8520</v>
      </c>
      <c r="AS3416">
        <v>10.27</v>
      </c>
      <c r="AT3416" t="s">
        <v>458</v>
      </c>
      <c r="AU3416" t="s">
        <v>25227</v>
      </c>
      <c r="AV3416" t="s">
        <v>25335</v>
      </c>
      <c r="AW3416" t="s">
        <v>11447</v>
      </c>
    </row>
    <row r="3417" spans="1:49">
      <c r="A3417" s="1">
        <f>HYPERLINK("https://lsnyc.legalserver.org/matter/dynamic-profile/view/1904776","19-1904776")</f>
        <v>0</v>
      </c>
      <c r="B3417" t="s">
        <v>60</v>
      </c>
      <c r="C3417" t="s">
        <v>345</v>
      </c>
      <c r="E3417" t="s">
        <v>1716</v>
      </c>
      <c r="F3417" t="s">
        <v>1395</v>
      </c>
      <c r="G3417" t="s">
        <v>8828</v>
      </c>
      <c r="H3417" t="s">
        <v>10460</v>
      </c>
      <c r="I3417" t="s">
        <v>11383</v>
      </c>
      <c r="J3417">
        <v>10460</v>
      </c>
      <c r="K3417" t="s">
        <v>11446</v>
      </c>
      <c r="L3417" t="s">
        <v>13037</v>
      </c>
      <c r="M3417" t="s">
        <v>14744</v>
      </c>
      <c r="N3417" t="s">
        <v>14781</v>
      </c>
      <c r="P3417" t="s">
        <v>14802</v>
      </c>
      <c r="Q3417" t="s">
        <v>11448</v>
      </c>
      <c r="S3417" t="s">
        <v>14827</v>
      </c>
      <c r="T3417" t="s">
        <v>14834</v>
      </c>
      <c r="U3417" t="s">
        <v>345</v>
      </c>
      <c r="V3417">
        <v>908</v>
      </c>
      <c r="W3417" t="s">
        <v>14858</v>
      </c>
      <c r="X3417" t="s">
        <v>14868</v>
      </c>
      <c r="Z3417" t="s">
        <v>17744</v>
      </c>
      <c r="AB3417" t="s">
        <v>22818</v>
      </c>
      <c r="AC3417">
        <v>84</v>
      </c>
      <c r="AD3417" t="s">
        <v>24595</v>
      </c>
      <c r="AE3417" t="s">
        <v>24610</v>
      </c>
      <c r="AF3417">
        <v>5</v>
      </c>
      <c r="AG3417">
        <v>1</v>
      </c>
      <c r="AH3417">
        <v>0</v>
      </c>
      <c r="AI3417">
        <v>186.1</v>
      </c>
      <c r="AL3417" t="s">
        <v>5011</v>
      </c>
      <c r="AM3417">
        <v>23244</v>
      </c>
      <c r="AS3417">
        <v>17.05</v>
      </c>
      <c r="AT3417" t="s">
        <v>654</v>
      </c>
      <c r="AU3417" t="s">
        <v>25239</v>
      </c>
      <c r="AV3417" t="s">
        <v>25335</v>
      </c>
      <c r="AW3417" t="s">
        <v>11447</v>
      </c>
    </row>
    <row r="3418" spans="1:49">
      <c r="A3418" s="1">
        <f>HYPERLINK("https://lsnyc.legalserver.org/matter/dynamic-profile/view/1904972","19-1904972")</f>
        <v>0</v>
      </c>
      <c r="B3418" t="s">
        <v>52</v>
      </c>
      <c r="C3418" t="s">
        <v>593</v>
      </c>
      <c r="E3418" t="s">
        <v>2774</v>
      </c>
      <c r="F3418" t="s">
        <v>5394</v>
      </c>
      <c r="I3418" t="s">
        <v>11383</v>
      </c>
      <c r="J3418">
        <v>10466</v>
      </c>
      <c r="K3418" t="s">
        <v>11446</v>
      </c>
      <c r="L3418" t="s">
        <v>13038</v>
      </c>
      <c r="M3418" t="s">
        <v>14744</v>
      </c>
      <c r="N3418" t="s">
        <v>14781</v>
      </c>
      <c r="P3418" t="s">
        <v>14802</v>
      </c>
      <c r="Q3418" t="s">
        <v>11448</v>
      </c>
      <c r="S3418" t="s">
        <v>14827</v>
      </c>
      <c r="T3418" t="s">
        <v>14837</v>
      </c>
      <c r="U3418" t="s">
        <v>593</v>
      </c>
      <c r="V3418">
        <v>0</v>
      </c>
      <c r="W3418" t="s">
        <v>14858</v>
      </c>
      <c r="X3418" t="s">
        <v>14865</v>
      </c>
      <c r="Z3418" t="s">
        <v>17745</v>
      </c>
      <c r="AA3418" t="s">
        <v>19721</v>
      </c>
      <c r="AB3418" t="s">
        <v>22819</v>
      </c>
      <c r="AC3418">
        <v>60</v>
      </c>
      <c r="AD3418" t="s">
        <v>24595</v>
      </c>
      <c r="AE3418" t="s">
        <v>24610</v>
      </c>
      <c r="AF3418">
        <v>0</v>
      </c>
      <c r="AG3418">
        <v>3</v>
      </c>
      <c r="AH3418">
        <v>0</v>
      </c>
      <c r="AI3418">
        <v>48.1</v>
      </c>
      <c r="AL3418" t="s">
        <v>5011</v>
      </c>
      <c r="AM3418">
        <v>10260</v>
      </c>
      <c r="AS3418">
        <v>40.85</v>
      </c>
      <c r="AT3418" t="s">
        <v>521</v>
      </c>
      <c r="AU3418" t="s">
        <v>145</v>
      </c>
      <c r="AV3418" t="s">
        <v>25334</v>
      </c>
      <c r="AW3418" t="s">
        <v>11447</v>
      </c>
    </row>
    <row r="3419" spans="1:49">
      <c r="A3419" s="1">
        <f>HYPERLINK("https://lsnyc.legalserver.org/matter/dynamic-profile/view/1904982","19-1904982")</f>
        <v>0</v>
      </c>
      <c r="B3419" t="s">
        <v>201</v>
      </c>
      <c r="C3419" t="s">
        <v>593</v>
      </c>
      <c r="E3419" t="s">
        <v>1080</v>
      </c>
      <c r="F3419" t="s">
        <v>5395</v>
      </c>
      <c r="G3419" t="s">
        <v>8829</v>
      </c>
      <c r="H3419">
        <v>2</v>
      </c>
      <c r="I3419" t="s">
        <v>11383</v>
      </c>
      <c r="J3419">
        <v>10467</v>
      </c>
      <c r="K3419" t="s">
        <v>11446</v>
      </c>
      <c r="L3419" t="s">
        <v>13039</v>
      </c>
      <c r="M3419" t="s">
        <v>14766</v>
      </c>
      <c r="N3419" t="s">
        <v>14781</v>
      </c>
      <c r="P3419" t="s">
        <v>14802</v>
      </c>
      <c r="Q3419" t="s">
        <v>11448</v>
      </c>
      <c r="S3419" t="s">
        <v>14829</v>
      </c>
      <c r="T3419" t="s">
        <v>14832</v>
      </c>
      <c r="U3419" t="s">
        <v>593</v>
      </c>
      <c r="V3419">
        <v>1545</v>
      </c>
      <c r="W3419" t="s">
        <v>14858</v>
      </c>
      <c r="X3419" t="s">
        <v>14868</v>
      </c>
      <c r="Z3419" t="s">
        <v>17746</v>
      </c>
      <c r="AB3419" t="s">
        <v>22820</v>
      </c>
      <c r="AC3419">
        <v>3</v>
      </c>
      <c r="AD3419" t="s">
        <v>24607</v>
      </c>
      <c r="AE3419" t="s">
        <v>24610</v>
      </c>
      <c r="AF3419">
        <v>6</v>
      </c>
      <c r="AG3419">
        <v>3</v>
      </c>
      <c r="AH3419">
        <v>0</v>
      </c>
      <c r="AI3419">
        <v>187.53</v>
      </c>
      <c r="AL3419" t="s">
        <v>5011</v>
      </c>
      <c r="AM3419">
        <v>40000</v>
      </c>
      <c r="AS3419">
        <v>31.5</v>
      </c>
      <c r="AT3419" t="s">
        <v>467</v>
      </c>
      <c r="AU3419" t="s">
        <v>237</v>
      </c>
      <c r="AV3419" t="s">
        <v>25335</v>
      </c>
      <c r="AW3419" t="s">
        <v>11447</v>
      </c>
    </row>
    <row r="3420" spans="1:49">
      <c r="A3420" s="1">
        <f>HYPERLINK("https://lsnyc.legalserver.org/matter/dynamic-profile/view/1905169","19-1905169")</f>
        <v>0</v>
      </c>
      <c r="B3420" t="s">
        <v>80</v>
      </c>
      <c r="C3420" t="s">
        <v>480</v>
      </c>
      <c r="E3420" t="s">
        <v>2775</v>
      </c>
      <c r="F3420" t="s">
        <v>4652</v>
      </c>
      <c r="G3420" t="s">
        <v>8830</v>
      </c>
      <c r="H3420">
        <v>529</v>
      </c>
      <c r="I3420" t="s">
        <v>11383</v>
      </c>
      <c r="J3420">
        <v>10458</v>
      </c>
      <c r="K3420" t="s">
        <v>11446</v>
      </c>
      <c r="L3420" t="s">
        <v>13040</v>
      </c>
      <c r="M3420" t="s">
        <v>14744</v>
      </c>
      <c r="N3420" t="s">
        <v>14781</v>
      </c>
      <c r="P3420" t="s">
        <v>14802</v>
      </c>
      <c r="Q3420" t="s">
        <v>11448</v>
      </c>
      <c r="S3420" t="s">
        <v>14827</v>
      </c>
      <c r="U3420" t="s">
        <v>480</v>
      </c>
      <c r="V3420">
        <v>2057</v>
      </c>
      <c r="W3420" t="s">
        <v>14858</v>
      </c>
      <c r="Z3420" t="s">
        <v>17747</v>
      </c>
      <c r="AB3420" t="s">
        <v>22821</v>
      </c>
      <c r="AC3420">
        <v>214</v>
      </c>
      <c r="AD3420" t="s">
        <v>24605</v>
      </c>
      <c r="AE3420" t="s">
        <v>14755</v>
      </c>
      <c r="AF3420">
        <v>22</v>
      </c>
      <c r="AG3420">
        <v>2</v>
      </c>
      <c r="AH3420">
        <v>6</v>
      </c>
      <c r="AI3420">
        <v>35.92</v>
      </c>
      <c r="AL3420" t="s">
        <v>5011</v>
      </c>
      <c r="AM3420">
        <v>15600</v>
      </c>
      <c r="AS3420">
        <v>5.1</v>
      </c>
      <c r="AT3420" t="s">
        <v>462</v>
      </c>
      <c r="AU3420" t="s">
        <v>145</v>
      </c>
      <c r="AV3420" t="s">
        <v>25335</v>
      </c>
      <c r="AW3420" t="s">
        <v>11447</v>
      </c>
    </row>
    <row r="3421" spans="1:49">
      <c r="A3421" s="1">
        <f>HYPERLINK("https://lsnyc.legalserver.org/matter/dynamic-profile/view/1905608","19-1905608")</f>
        <v>0</v>
      </c>
      <c r="B3421" t="s">
        <v>125</v>
      </c>
      <c r="C3421" t="s">
        <v>555</v>
      </c>
      <c r="E3421" t="s">
        <v>1854</v>
      </c>
      <c r="F3421" t="s">
        <v>4728</v>
      </c>
      <c r="G3421" t="s">
        <v>8831</v>
      </c>
      <c r="H3421" t="s">
        <v>10589</v>
      </c>
      <c r="I3421" t="s">
        <v>11383</v>
      </c>
      <c r="J3421">
        <v>10460</v>
      </c>
      <c r="K3421" t="s">
        <v>11446</v>
      </c>
      <c r="L3421" t="s">
        <v>13041</v>
      </c>
      <c r="M3421" t="s">
        <v>14744</v>
      </c>
      <c r="N3421" t="s">
        <v>14781</v>
      </c>
      <c r="P3421" t="s">
        <v>14802</v>
      </c>
      <c r="Q3421" t="s">
        <v>11448</v>
      </c>
      <c r="S3421" t="s">
        <v>14827</v>
      </c>
      <c r="T3421" t="s">
        <v>14836</v>
      </c>
      <c r="U3421" t="s">
        <v>555</v>
      </c>
      <c r="V3421">
        <v>1534</v>
      </c>
      <c r="W3421" t="s">
        <v>14858</v>
      </c>
      <c r="X3421" t="s">
        <v>14867</v>
      </c>
      <c r="Z3421" t="s">
        <v>17748</v>
      </c>
      <c r="AB3421" t="s">
        <v>22822</v>
      </c>
      <c r="AC3421">
        <v>27</v>
      </c>
      <c r="AD3421" t="s">
        <v>24595</v>
      </c>
      <c r="AE3421" t="s">
        <v>24615</v>
      </c>
      <c r="AF3421">
        <v>1</v>
      </c>
      <c r="AG3421">
        <v>4</v>
      </c>
      <c r="AH3421">
        <v>0</v>
      </c>
      <c r="AI3421">
        <v>87.3</v>
      </c>
      <c r="AL3421" t="s">
        <v>5011</v>
      </c>
      <c r="AM3421">
        <v>22480</v>
      </c>
      <c r="AO3421" t="s">
        <v>24931</v>
      </c>
      <c r="AP3421" t="s">
        <v>24968</v>
      </c>
      <c r="AQ3421" t="s">
        <v>24986</v>
      </c>
      <c r="AR3421" t="s">
        <v>25002</v>
      </c>
      <c r="AS3421">
        <v>4.9</v>
      </c>
      <c r="AT3421" t="s">
        <v>564</v>
      </c>
      <c r="AU3421" t="s">
        <v>25232</v>
      </c>
      <c r="AV3421" t="s">
        <v>25335</v>
      </c>
      <c r="AW3421" t="s">
        <v>11447</v>
      </c>
    </row>
    <row r="3422" spans="1:49">
      <c r="A3422" s="1">
        <f>HYPERLINK("https://lsnyc.legalserver.org/matter/dynamic-profile/view/1905796","19-1905796")</f>
        <v>0</v>
      </c>
      <c r="B3422" t="s">
        <v>80</v>
      </c>
      <c r="C3422" t="s">
        <v>500</v>
      </c>
      <c r="E3422" t="s">
        <v>2776</v>
      </c>
      <c r="F3422" t="s">
        <v>5396</v>
      </c>
      <c r="G3422" t="s">
        <v>8832</v>
      </c>
      <c r="H3422">
        <v>6</v>
      </c>
      <c r="I3422" t="s">
        <v>11383</v>
      </c>
      <c r="J3422">
        <v>10463</v>
      </c>
      <c r="K3422" t="s">
        <v>11446</v>
      </c>
      <c r="L3422" t="s">
        <v>13042</v>
      </c>
      <c r="M3422" t="s">
        <v>14744</v>
      </c>
      <c r="N3422" t="s">
        <v>14781</v>
      </c>
      <c r="P3422" t="s">
        <v>14802</v>
      </c>
      <c r="Q3422" t="s">
        <v>11448</v>
      </c>
      <c r="S3422" t="s">
        <v>14827</v>
      </c>
      <c r="U3422" t="s">
        <v>500</v>
      </c>
      <c r="V3422">
        <v>1581</v>
      </c>
      <c r="W3422" t="s">
        <v>14858</v>
      </c>
      <c r="Z3422" t="s">
        <v>17749</v>
      </c>
      <c r="AA3422" t="s">
        <v>19722</v>
      </c>
      <c r="AB3422" t="s">
        <v>22823</v>
      </c>
      <c r="AC3422">
        <v>31</v>
      </c>
      <c r="AD3422" t="s">
        <v>24595</v>
      </c>
      <c r="AF3422">
        <v>4</v>
      </c>
      <c r="AG3422">
        <v>1</v>
      </c>
      <c r="AH3422">
        <v>0</v>
      </c>
      <c r="AI3422">
        <v>166.53</v>
      </c>
      <c r="AM3422">
        <v>20800</v>
      </c>
      <c r="AS3422">
        <v>8.1</v>
      </c>
      <c r="AT3422" t="s">
        <v>410</v>
      </c>
      <c r="AU3422" t="s">
        <v>145</v>
      </c>
      <c r="AV3422" t="s">
        <v>25335</v>
      </c>
      <c r="AW3422" t="s">
        <v>11447</v>
      </c>
    </row>
    <row r="3423" spans="1:49">
      <c r="A3423" s="1">
        <f>HYPERLINK("https://lsnyc.legalserver.org/matter/dynamic-profile/view/1906401","19-1906401")</f>
        <v>0</v>
      </c>
      <c r="B3423" t="s">
        <v>115</v>
      </c>
      <c r="C3423" t="s">
        <v>485</v>
      </c>
      <c r="E3423" t="s">
        <v>2261</v>
      </c>
      <c r="F3423" t="s">
        <v>5397</v>
      </c>
      <c r="G3423" t="s">
        <v>8833</v>
      </c>
      <c r="H3423" t="s">
        <v>11135</v>
      </c>
      <c r="I3423" t="s">
        <v>11383</v>
      </c>
      <c r="J3423">
        <v>10459</v>
      </c>
      <c r="K3423" t="s">
        <v>11446</v>
      </c>
      <c r="L3423" t="s">
        <v>13043</v>
      </c>
      <c r="M3423" t="s">
        <v>14743</v>
      </c>
      <c r="N3423" t="s">
        <v>14781</v>
      </c>
      <c r="P3423" t="s">
        <v>14802</v>
      </c>
      <c r="Q3423" t="s">
        <v>11448</v>
      </c>
      <c r="S3423" t="s">
        <v>14827</v>
      </c>
      <c r="T3423" t="s">
        <v>14832</v>
      </c>
      <c r="U3423" t="s">
        <v>485</v>
      </c>
      <c r="V3423">
        <v>797.63</v>
      </c>
      <c r="W3423" t="s">
        <v>14858</v>
      </c>
      <c r="X3423" t="s">
        <v>14863</v>
      </c>
      <c r="Z3423" t="s">
        <v>17750</v>
      </c>
      <c r="AB3423" t="s">
        <v>22824</v>
      </c>
      <c r="AC3423">
        <v>123</v>
      </c>
      <c r="AD3423" t="s">
        <v>24595</v>
      </c>
      <c r="AF3423">
        <v>6</v>
      </c>
      <c r="AG3423">
        <v>1</v>
      </c>
      <c r="AH3423">
        <v>0</v>
      </c>
      <c r="AI3423">
        <v>0</v>
      </c>
      <c r="AL3423" t="s">
        <v>5011</v>
      </c>
      <c r="AM3423">
        <v>0</v>
      </c>
      <c r="AS3423">
        <v>8.1</v>
      </c>
      <c r="AT3423" t="s">
        <v>571</v>
      </c>
      <c r="AU3423" t="s">
        <v>145</v>
      </c>
      <c r="AV3423" t="s">
        <v>25335</v>
      </c>
      <c r="AW3423" t="s">
        <v>11447</v>
      </c>
    </row>
    <row r="3424" spans="1:49">
      <c r="A3424" s="1">
        <f>HYPERLINK("https://lsnyc.legalserver.org/matter/dynamic-profile/view/1906284","19-1906284")</f>
        <v>0</v>
      </c>
      <c r="B3424" t="s">
        <v>125</v>
      </c>
      <c r="C3424" t="s">
        <v>355</v>
      </c>
      <c r="E3424" t="s">
        <v>2777</v>
      </c>
      <c r="F3424" t="s">
        <v>4663</v>
      </c>
      <c r="G3424" t="s">
        <v>8834</v>
      </c>
      <c r="H3424" t="s">
        <v>11136</v>
      </c>
      <c r="I3424" t="s">
        <v>11383</v>
      </c>
      <c r="J3424">
        <v>10453</v>
      </c>
      <c r="K3424" t="s">
        <v>11446</v>
      </c>
      <c r="L3424" t="s">
        <v>13044</v>
      </c>
      <c r="M3424" t="s">
        <v>14744</v>
      </c>
      <c r="N3424" t="s">
        <v>14781</v>
      </c>
      <c r="P3424" t="s">
        <v>14802</v>
      </c>
      <c r="Q3424" t="s">
        <v>11448</v>
      </c>
      <c r="S3424" t="s">
        <v>14827</v>
      </c>
      <c r="U3424" t="s">
        <v>485</v>
      </c>
      <c r="V3424">
        <v>570</v>
      </c>
      <c r="W3424" t="s">
        <v>14858</v>
      </c>
      <c r="X3424" t="s">
        <v>14755</v>
      </c>
      <c r="Z3424" t="s">
        <v>17751</v>
      </c>
      <c r="AA3424" t="s">
        <v>19723</v>
      </c>
      <c r="AB3424" t="s">
        <v>22825</v>
      </c>
      <c r="AC3424">
        <v>48</v>
      </c>
      <c r="AF3424">
        <v>31</v>
      </c>
      <c r="AG3424">
        <v>1</v>
      </c>
      <c r="AH3424">
        <v>0</v>
      </c>
      <c r="AI3424">
        <v>69.56</v>
      </c>
      <c r="AL3424" t="s">
        <v>5011</v>
      </c>
      <c r="AM3424">
        <v>8688</v>
      </c>
      <c r="AS3424">
        <v>3.8</v>
      </c>
      <c r="AT3424" t="s">
        <v>641</v>
      </c>
      <c r="AU3424" t="s">
        <v>145</v>
      </c>
      <c r="AV3424" t="s">
        <v>25334</v>
      </c>
      <c r="AW3424" t="s">
        <v>11447</v>
      </c>
    </row>
    <row r="3425" spans="1:49">
      <c r="A3425" s="1">
        <f>HYPERLINK("https://lsnyc.legalserver.org/matter/dynamic-profile/view/1902307","19-1902307")</f>
        <v>0</v>
      </c>
      <c r="B3425" t="s">
        <v>299</v>
      </c>
      <c r="C3425" t="s">
        <v>362</v>
      </c>
      <c r="E3425" t="s">
        <v>1170</v>
      </c>
      <c r="F3425" t="s">
        <v>4398</v>
      </c>
      <c r="G3425" t="s">
        <v>8835</v>
      </c>
      <c r="H3425" t="s">
        <v>10450</v>
      </c>
      <c r="I3425" t="s">
        <v>11383</v>
      </c>
      <c r="J3425">
        <v>10469</v>
      </c>
      <c r="K3425" t="s">
        <v>11446</v>
      </c>
      <c r="L3425" t="s">
        <v>13045</v>
      </c>
      <c r="M3425" t="s">
        <v>14744</v>
      </c>
      <c r="N3425" t="s">
        <v>14781</v>
      </c>
      <c r="P3425" t="s">
        <v>14802</v>
      </c>
      <c r="Q3425" t="s">
        <v>11448</v>
      </c>
      <c r="S3425" t="s">
        <v>14827</v>
      </c>
      <c r="T3425" t="s">
        <v>14832</v>
      </c>
      <c r="U3425" t="s">
        <v>485</v>
      </c>
      <c r="V3425">
        <v>1048</v>
      </c>
      <c r="W3425" t="s">
        <v>14858</v>
      </c>
      <c r="X3425" t="s">
        <v>14868</v>
      </c>
      <c r="Z3425" t="s">
        <v>17752</v>
      </c>
      <c r="AB3425" t="s">
        <v>22826</v>
      </c>
      <c r="AC3425">
        <v>360</v>
      </c>
      <c r="AD3425" t="s">
        <v>11479</v>
      </c>
      <c r="AE3425" t="s">
        <v>24615</v>
      </c>
      <c r="AF3425">
        <v>6</v>
      </c>
      <c r="AG3425">
        <v>1</v>
      </c>
      <c r="AH3425">
        <v>1</v>
      </c>
      <c r="AI3425">
        <v>71.52</v>
      </c>
      <c r="AL3425" t="s">
        <v>5011</v>
      </c>
      <c r="AM3425">
        <v>12094</v>
      </c>
      <c r="AS3425">
        <v>24</v>
      </c>
      <c r="AT3425" t="s">
        <v>645</v>
      </c>
      <c r="AU3425" t="s">
        <v>245</v>
      </c>
      <c r="AV3425" t="s">
        <v>25335</v>
      </c>
      <c r="AW3425" t="s">
        <v>11447</v>
      </c>
    </row>
    <row r="3426" spans="1:49">
      <c r="A3426" s="1">
        <f>HYPERLINK("https://lsnyc.legalserver.org/matter/dynamic-profile/view/1895865","19-1895865")</f>
        <v>0</v>
      </c>
      <c r="B3426" t="s">
        <v>49</v>
      </c>
      <c r="C3426" t="s">
        <v>729</v>
      </c>
      <c r="E3426" t="s">
        <v>2778</v>
      </c>
      <c r="F3426" t="s">
        <v>4184</v>
      </c>
      <c r="G3426" t="s">
        <v>6452</v>
      </c>
      <c r="H3426" t="s">
        <v>10582</v>
      </c>
      <c r="I3426" t="s">
        <v>11383</v>
      </c>
      <c r="J3426">
        <v>10453</v>
      </c>
      <c r="K3426" t="s">
        <v>11446</v>
      </c>
      <c r="L3426" t="s">
        <v>13046</v>
      </c>
      <c r="M3426" t="s">
        <v>14744</v>
      </c>
      <c r="N3426" t="s">
        <v>14781</v>
      </c>
      <c r="P3426" t="s">
        <v>14802</v>
      </c>
      <c r="Q3426" t="s">
        <v>11448</v>
      </c>
      <c r="S3426" t="s">
        <v>14827</v>
      </c>
      <c r="T3426" t="s">
        <v>14832</v>
      </c>
      <c r="U3426" t="s">
        <v>485</v>
      </c>
      <c r="V3426">
        <v>1540</v>
      </c>
      <c r="W3426" t="s">
        <v>14858</v>
      </c>
      <c r="X3426" t="s">
        <v>14865</v>
      </c>
      <c r="Z3426" t="s">
        <v>17753</v>
      </c>
      <c r="AB3426" t="s">
        <v>22827</v>
      </c>
      <c r="AC3426">
        <v>1654</v>
      </c>
      <c r="AD3426" t="s">
        <v>24595</v>
      </c>
      <c r="AE3426" t="s">
        <v>24615</v>
      </c>
      <c r="AF3426">
        <v>5</v>
      </c>
      <c r="AG3426">
        <v>1</v>
      </c>
      <c r="AH3426">
        <v>2</v>
      </c>
      <c r="AI3426">
        <v>78.73999999999999</v>
      </c>
      <c r="AL3426" t="s">
        <v>24632</v>
      </c>
      <c r="AM3426">
        <v>16796</v>
      </c>
      <c r="AS3426">
        <v>5.1</v>
      </c>
      <c r="AT3426" t="s">
        <v>473</v>
      </c>
      <c r="AU3426" t="s">
        <v>25239</v>
      </c>
      <c r="AV3426" t="s">
        <v>25335</v>
      </c>
      <c r="AW3426" t="s">
        <v>11448</v>
      </c>
    </row>
    <row r="3427" spans="1:49">
      <c r="A3427" s="1">
        <f>HYPERLINK("https://lsnyc.legalserver.org/matter/dynamic-profile/view/1905569","19-1905569")</f>
        <v>0</v>
      </c>
      <c r="B3427" t="s">
        <v>82</v>
      </c>
      <c r="C3427" t="s">
        <v>555</v>
      </c>
      <c r="E3427" t="s">
        <v>1740</v>
      </c>
      <c r="F3427" t="s">
        <v>3667</v>
      </c>
      <c r="G3427" t="s">
        <v>8836</v>
      </c>
      <c r="H3427" t="s">
        <v>10811</v>
      </c>
      <c r="I3427" t="s">
        <v>11383</v>
      </c>
      <c r="J3427">
        <v>10453</v>
      </c>
      <c r="K3427" t="s">
        <v>11446</v>
      </c>
      <c r="L3427" t="s">
        <v>13047</v>
      </c>
      <c r="M3427" t="s">
        <v>14744</v>
      </c>
      <c r="N3427" t="s">
        <v>14781</v>
      </c>
      <c r="P3427" t="s">
        <v>14802</v>
      </c>
      <c r="Q3427" t="s">
        <v>11448</v>
      </c>
      <c r="S3427" t="s">
        <v>14827</v>
      </c>
      <c r="T3427" t="s">
        <v>14837</v>
      </c>
      <c r="U3427" t="s">
        <v>485</v>
      </c>
      <c r="V3427">
        <v>1066</v>
      </c>
      <c r="W3427" t="s">
        <v>14858</v>
      </c>
      <c r="X3427" t="s">
        <v>14863</v>
      </c>
      <c r="Z3427" t="s">
        <v>16556</v>
      </c>
      <c r="AA3427" t="s">
        <v>19724</v>
      </c>
      <c r="AB3427" t="s">
        <v>22828</v>
      </c>
      <c r="AC3427">
        <v>0</v>
      </c>
      <c r="AD3427" t="s">
        <v>24605</v>
      </c>
      <c r="AE3427" t="s">
        <v>11459</v>
      </c>
      <c r="AF3427">
        <v>35</v>
      </c>
      <c r="AG3427">
        <v>3</v>
      </c>
      <c r="AH3427">
        <v>3</v>
      </c>
      <c r="AI3427">
        <v>80.17</v>
      </c>
      <c r="AL3427" t="s">
        <v>5011</v>
      </c>
      <c r="AM3427">
        <v>27732</v>
      </c>
      <c r="AS3427">
        <v>8.300000000000001</v>
      </c>
      <c r="AT3427" t="s">
        <v>516</v>
      </c>
      <c r="AU3427" t="s">
        <v>245</v>
      </c>
      <c r="AV3427" t="s">
        <v>25334</v>
      </c>
      <c r="AW3427" t="s">
        <v>11447</v>
      </c>
    </row>
    <row r="3428" spans="1:49">
      <c r="A3428" s="1">
        <f>HYPERLINK("https://lsnyc.legalserver.org/matter/dynamic-profile/view/1905884","19-1905884")</f>
        <v>0</v>
      </c>
      <c r="B3428" t="s">
        <v>256</v>
      </c>
      <c r="C3428" t="s">
        <v>500</v>
      </c>
      <c r="E3428" t="s">
        <v>1181</v>
      </c>
      <c r="F3428" t="s">
        <v>4113</v>
      </c>
      <c r="G3428" t="s">
        <v>8837</v>
      </c>
      <c r="H3428" t="s">
        <v>10542</v>
      </c>
      <c r="I3428" t="s">
        <v>11383</v>
      </c>
      <c r="J3428">
        <v>10463</v>
      </c>
      <c r="K3428" t="s">
        <v>11446</v>
      </c>
      <c r="L3428" t="s">
        <v>13048</v>
      </c>
      <c r="M3428" t="s">
        <v>14744</v>
      </c>
      <c r="N3428" t="s">
        <v>14781</v>
      </c>
      <c r="P3428" t="s">
        <v>14802</v>
      </c>
      <c r="Q3428" t="s">
        <v>11448</v>
      </c>
      <c r="S3428" t="s">
        <v>14827</v>
      </c>
      <c r="T3428" t="s">
        <v>14832</v>
      </c>
      <c r="U3428" t="s">
        <v>485</v>
      </c>
      <c r="V3428">
        <v>2000</v>
      </c>
      <c r="W3428" t="s">
        <v>14858</v>
      </c>
      <c r="X3428" t="s">
        <v>14865</v>
      </c>
      <c r="Z3428" t="s">
        <v>17754</v>
      </c>
      <c r="AC3428">
        <v>26</v>
      </c>
      <c r="AD3428" t="s">
        <v>11479</v>
      </c>
      <c r="AE3428" t="s">
        <v>11459</v>
      </c>
      <c r="AF3428">
        <v>1</v>
      </c>
      <c r="AG3428">
        <v>2</v>
      </c>
      <c r="AH3428">
        <v>3</v>
      </c>
      <c r="AI3428">
        <v>92</v>
      </c>
      <c r="AL3428" t="s">
        <v>5011</v>
      </c>
      <c r="AM3428">
        <v>27756</v>
      </c>
      <c r="AS3428">
        <v>18</v>
      </c>
      <c r="AT3428" t="s">
        <v>495</v>
      </c>
      <c r="AU3428" t="s">
        <v>25242</v>
      </c>
      <c r="AV3428" t="s">
        <v>25335</v>
      </c>
      <c r="AW3428" t="s">
        <v>11447</v>
      </c>
    </row>
    <row r="3429" spans="1:49">
      <c r="A3429" s="1">
        <f>HYPERLINK("https://lsnyc.legalserver.org/matter/dynamic-profile/view/1900258","19-1900258")</f>
        <v>0</v>
      </c>
      <c r="B3429" t="s">
        <v>80</v>
      </c>
      <c r="C3429" t="s">
        <v>337</v>
      </c>
      <c r="E3429" t="s">
        <v>2779</v>
      </c>
      <c r="F3429" t="s">
        <v>1227</v>
      </c>
      <c r="G3429" t="s">
        <v>8838</v>
      </c>
      <c r="H3429" t="s">
        <v>10476</v>
      </c>
      <c r="I3429" t="s">
        <v>11383</v>
      </c>
      <c r="J3429">
        <v>10453</v>
      </c>
      <c r="K3429" t="s">
        <v>11446</v>
      </c>
      <c r="L3429" t="s">
        <v>13049</v>
      </c>
      <c r="M3429" t="s">
        <v>14744</v>
      </c>
      <c r="N3429" t="s">
        <v>14781</v>
      </c>
      <c r="P3429" t="s">
        <v>14802</v>
      </c>
      <c r="Q3429" t="s">
        <v>11448</v>
      </c>
      <c r="S3429" t="s">
        <v>14827</v>
      </c>
      <c r="T3429" t="s">
        <v>14832</v>
      </c>
      <c r="U3429" t="s">
        <v>485</v>
      </c>
      <c r="V3429">
        <v>800</v>
      </c>
      <c r="W3429" t="s">
        <v>14858</v>
      </c>
      <c r="X3429" t="s">
        <v>14868</v>
      </c>
      <c r="Z3429" t="s">
        <v>16709</v>
      </c>
      <c r="AB3429" t="s">
        <v>22829</v>
      </c>
      <c r="AC3429">
        <v>44</v>
      </c>
      <c r="AD3429" t="s">
        <v>24595</v>
      </c>
      <c r="AF3429">
        <v>12</v>
      </c>
      <c r="AG3429">
        <v>2</v>
      </c>
      <c r="AH3429">
        <v>4</v>
      </c>
      <c r="AI3429">
        <v>95.20999999999999</v>
      </c>
      <c r="AL3429" t="s">
        <v>5011</v>
      </c>
      <c r="AM3429">
        <v>32933</v>
      </c>
      <c r="AS3429">
        <v>12</v>
      </c>
      <c r="AT3429" t="s">
        <v>375</v>
      </c>
      <c r="AU3429" t="s">
        <v>145</v>
      </c>
      <c r="AV3429" t="s">
        <v>25335</v>
      </c>
      <c r="AW3429" t="s">
        <v>11447</v>
      </c>
    </row>
    <row r="3430" spans="1:49">
      <c r="A3430" s="1">
        <f>HYPERLINK("https://lsnyc.legalserver.org/matter/dynamic-profile/view/1906317","19-1906317")</f>
        <v>0</v>
      </c>
      <c r="B3430" t="s">
        <v>134</v>
      </c>
      <c r="C3430" t="s">
        <v>355</v>
      </c>
      <c r="E3430" t="s">
        <v>1176</v>
      </c>
      <c r="F3430" t="s">
        <v>3577</v>
      </c>
      <c r="G3430" t="s">
        <v>7966</v>
      </c>
      <c r="H3430" t="s">
        <v>10522</v>
      </c>
      <c r="I3430" t="s">
        <v>11383</v>
      </c>
      <c r="J3430">
        <v>10457</v>
      </c>
      <c r="K3430" t="s">
        <v>11446</v>
      </c>
      <c r="L3430" t="s">
        <v>12240</v>
      </c>
      <c r="M3430" t="s">
        <v>14759</v>
      </c>
      <c r="N3430" t="s">
        <v>14781</v>
      </c>
      <c r="P3430" t="s">
        <v>14802</v>
      </c>
      <c r="Q3430" t="s">
        <v>11448</v>
      </c>
      <c r="S3430" t="s">
        <v>14827</v>
      </c>
      <c r="U3430" t="s">
        <v>380</v>
      </c>
      <c r="V3430">
        <v>1000</v>
      </c>
      <c r="W3430" t="s">
        <v>14858</v>
      </c>
      <c r="Z3430" t="s">
        <v>17755</v>
      </c>
      <c r="AB3430" t="s">
        <v>22830</v>
      </c>
      <c r="AC3430">
        <v>3</v>
      </c>
      <c r="AD3430" t="s">
        <v>24600</v>
      </c>
      <c r="AF3430">
        <v>8</v>
      </c>
      <c r="AG3430">
        <v>1</v>
      </c>
      <c r="AH3430">
        <v>4</v>
      </c>
      <c r="AI3430">
        <v>42.66</v>
      </c>
      <c r="AL3430" t="s">
        <v>5011</v>
      </c>
      <c r="AM3430">
        <v>12870</v>
      </c>
      <c r="AS3430">
        <v>7</v>
      </c>
      <c r="AT3430" t="s">
        <v>528</v>
      </c>
      <c r="AU3430" t="s">
        <v>145</v>
      </c>
      <c r="AV3430" t="s">
        <v>25335</v>
      </c>
      <c r="AW3430" t="s">
        <v>11447</v>
      </c>
    </row>
    <row r="3431" spans="1:49">
      <c r="A3431" s="1">
        <f>HYPERLINK("https://lsnyc.legalserver.org/matter/dynamic-profile/view/1906476","19-1906476")</f>
        <v>0</v>
      </c>
      <c r="B3431" t="s">
        <v>49</v>
      </c>
      <c r="C3431" t="s">
        <v>380</v>
      </c>
      <c r="E3431" t="s">
        <v>1171</v>
      </c>
      <c r="F3431" t="s">
        <v>4037</v>
      </c>
      <c r="G3431" t="s">
        <v>8839</v>
      </c>
      <c r="H3431" t="s">
        <v>10489</v>
      </c>
      <c r="I3431" t="s">
        <v>11383</v>
      </c>
      <c r="J3431">
        <v>10460</v>
      </c>
      <c r="K3431" t="s">
        <v>11446</v>
      </c>
      <c r="L3431" t="s">
        <v>13050</v>
      </c>
      <c r="M3431" t="s">
        <v>14743</v>
      </c>
      <c r="N3431" t="s">
        <v>14781</v>
      </c>
      <c r="P3431" t="s">
        <v>14802</v>
      </c>
      <c r="Q3431" t="s">
        <v>11448</v>
      </c>
      <c r="S3431" t="s">
        <v>14827</v>
      </c>
      <c r="T3431" t="s">
        <v>14832</v>
      </c>
      <c r="U3431" t="s">
        <v>380</v>
      </c>
      <c r="V3431">
        <v>162</v>
      </c>
      <c r="W3431" t="s">
        <v>14858</v>
      </c>
      <c r="X3431" t="s">
        <v>14868</v>
      </c>
      <c r="Z3431" t="s">
        <v>17756</v>
      </c>
      <c r="AB3431" t="s">
        <v>22831</v>
      </c>
      <c r="AC3431">
        <v>0</v>
      </c>
      <c r="AD3431" t="s">
        <v>24596</v>
      </c>
      <c r="AF3431">
        <v>32</v>
      </c>
      <c r="AG3431">
        <v>1</v>
      </c>
      <c r="AH3431">
        <v>0</v>
      </c>
      <c r="AI3431">
        <v>54.19</v>
      </c>
      <c r="AL3431" t="s">
        <v>5011</v>
      </c>
      <c r="AM3431">
        <v>6768</v>
      </c>
      <c r="AS3431">
        <v>3</v>
      </c>
      <c r="AT3431" t="s">
        <v>640</v>
      </c>
      <c r="AU3431" t="s">
        <v>114</v>
      </c>
      <c r="AV3431" t="s">
        <v>25335</v>
      </c>
      <c r="AW3431" t="s">
        <v>11447</v>
      </c>
    </row>
    <row r="3432" spans="1:49">
      <c r="A3432" s="1">
        <f>HYPERLINK("https://lsnyc.legalserver.org/matter/dynamic-profile/view/1906531","19-1906531")</f>
        <v>0</v>
      </c>
      <c r="B3432" t="s">
        <v>111</v>
      </c>
      <c r="C3432" t="s">
        <v>380</v>
      </c>
      <c r="E3432" t="s">
        <v>2780</v>
      </c>
      <c r="F3432" t="s">
        <v>5398</v>
      </c>
      <c r="G3432" t="s">
        <v>8840</v>
      </c>
      <c r="H3432" t="s">
        <v>10467</v>
      </c>
      <c r="I3432" t="s">
        <v>11383</v>
      </c>
      <c r="J3432">
        <v>10474</v>
      </c>
      <c r="K3432" t="s">
        <v>11446</v>
      </c>
      <c r="L3432" t="s">
        <v>13051</v>
      </c>
      <c r="M3432" t="s">
        <v>14743</v>
      </c>
      <c r="N3432" t="s">
        <v>14781</v>
      </c>
      <c r="P3432" t="s">
        <v>14802</v>
      </c>
      <c r="Q3432" t="s">
        <v>11448</v>
      </c>
      <c r="S3432" t="s">
        <v>14827</v>
      </c>
      <c r="T3432" t="s">
        <v>14832</v>
      </c>
      <c r="U3432" t="s">
        <v>380</v>
      </c>
      <c r="V3432">
        <v>1451.05</v>
      </c>
      <c r="W3432" t="s">
        <v>14858</v>
      </c>
      <c r="Z3432" t="s">
        <v>17757</v>
      </c>
      <c r="AC3432">
        <v>28</v>
      </c>
      <c r="AD3432" t="s">
        <v>24595</v>
      </c>
      <c r="AF3432">
        <v>8</v>
      </c>
      <c r="AG3432">
        <v>2</v>
      </c>
      <c r="AH3432">
        <v>2</v>
      </c>
      <c r="AI3432">
        <v>141.36</v>
      </c>
      <c r="AL3432" t="s">
        <v>5011</v>
      </c>
      <c r="AM3432">
        <v>36400</v>
      </c>
      <c r="AS3432">
        <v>49.8</v>
      </c>
      <c r="AT3432" t="s">
        <v>516</v>
      </c>
      <c r="AU3432" t="s">
        <v>145</v>
      </c>
      <c r="AV3432" t="s">
        <v>25335</v>
      </c>
      <c r="AW3432" t="s">
        <v>11447</v>
      </c>
    </row>
    <row r="3433" spans="1:49">
      <c r="A3433" s="1">
        <f>HYPERLINK("https://lsnyc.legalserver.org/matter/dynamic-profile/view/1901315","19-1901315")</f>
        <v>0</v>
      </c>
      <c r="B3433" t="s">
        <v>157</v>
      </c>
      <c r="C3433" t="s">
        <v>649</v>
      </c>
      <c r="E3433" t="s">
        <v>2781</v>
      </c>
      <c r="F3433" t="s">
        <v>3547</v>
      </c>
      <c r="G3433" t="s">
        <v>8841</v>
      </c>
      <c r="H3433" t="s">
        <v>10649</v>
      </c>
      <c r="I3433" t="s">
        <v>11383</v>
      </c>
      <c r="J3433">
        <v>10458</v>
      </c>
      <c r="K3433" t="s">
        <v>11446</v>
      </c>
      <c r="L3433" t="s">
        <v>13052</v>
      </c>
      <c r="M3433" t="s">
        <v>14744</v>
      </c>
      <c r="N3433" t="s">
        <v>14778</v>
      </c>
      <c r="P3433" t="s">
        <v>14802</v>
      </c>
      <c r="Q3433" t="s">
        <v>11448</v>
      </c>
      <c r="S3433" t="s">
        <v>14827</v>
      </c>
      <c r="T3433" t="s">
        <v>14832</v>
      </c>
      <c r="U3433" t="s">
        <v>380</v>
      </c>
      <c r="V3433">
        <v>1130</v>
      </c>
      <c r="W3433" t="s">
        <v>14858</v>
      </c>
      <c r="X3433" t="s">
        <v>14863</v>
      </c>
      <c r="Z3433" t="s">
        <v>17758</v>
      </c>
      <c r="AC3433">
        <v>22</v>
      </c>
      <c r="AD3433" t="s">
        <v>24595</v>
      </c>
      <c r="AE3433" t="s">
        <v>11459</v>
      </c>
      <c r="AF3433">
        <v>4</v>
      </c>
      <c r="AG3433">
        <v>1</v>
      </c>
      <c r="AH3433">
        <v>3</v>
      </c>
      <c r="AI3433">
        <v>144.27</v>
      </c>
      <c r="AL3433" t="s">
        <v>5011</v>
      </c>
      <c r="AM3433">
        <v>37148.8</v>
      </c>
      <c r="AN3433" t="s">
        <v>24855</v>
      </c>
      <c r="AS3433">
        <v>0.4</v>
      </c>
      <c r="AT3433" t="s">
        <v>380</v>
      </c>
      <c r="AU3433" t="s">
        <v>114</v>
      </c>
      <c r="AV3433" t="s">
        <v>25335</v>
      </c>
      <c r="AW3433" t="s">
        <v>11447</v>
      </c>
    </row>
    <row r="3434" spans="1:49">
      <c r="A3434" s="1">
        <f>HYPERLINK("https://lsnyc.legalserver.org/matter/dynamic-profile/view/1905624","19-1905624")</f>
        <v>0</v>
      </c>
      <c r="B3434" t="s">
        <v>273</v>
      </c>
      <c r="C3434" t="s">
        <v>555</v>
      </c>
      <c r="E3434" t="s">
        <v>1084</v>
      </c>
      <c r="F3434" t="s">
        <v>3770</v>
      </c>
      <c r="G3434" t="s">
        <v>8842</v>
      </c>
      <c r="H3434" t="s">
        <v>10594</v>
      </c>
      <c r="I3434" t="s">
        <v>11383</v>
      </c>
      <c r="J3434">
        <v>10455</v>
      </c>
      <c r="K3434" t="s">
        <v>11446</v>
      </c>
      <c r="L3434" t="s">
        <v>13053</v>
      </c>
      <c r="M3434" t="s">
        <v>14744</v>
      </c>
      <c r="N3434" t="s">
        <v>14778</v>
      </c>
      <c r="P3434" t="s">
        <v>14802</v>
      </c>
      <c r="Q3434" t="s">
        <v>11448</v>
      </c>
      <c r="S3434" t="s">
        <v>14827</v>
      </c>
      <c r="U3434" t="s">
        <v>380</v>
      </c>
      <c r="V3434">
        <v>1468</v>
      </c>
      <c r="W3434" t="s">
        <v>14858</v>
      </c>
      <c r="Z3434" t="s">
        <v>17759</v>
      </c>
      <c r="AB3434" t="s">
        <v>22832</v>
      </c>
      <c r="AC3434">
        <v>58</v>
      </c>
      <c r="AF3434">
        <v>13</v>
      </c>
      <c r="AG3434">
        <v>2</v>
      </c>
      <c r="AH3434">
        <v>1</v>
      </c>
      <c r="AI3434">
        <v>187.53</v>
      </c>
      <c r="AL3434" t="s">
        <v>24632</v>
      </c>
      <c r="AM3434">
        <v>40000</v>
      </c>
      <c r="AS3434">
        <v>1</v>
      </c>
      <c r="AT3434" t="s">
        <v>380</v>
      </c>
      <c r="AU3434" t="s">
        <v>145</v>
      </c>
      <c r="AV3434" t="s">
        <v>25335</v>
      </c>
      <c r="AW3434" t="s">
        <v>11447</v>
      </c>
    </row>
    <row r="3435" spans="1:49">
      <c r="A3435" s="1">
        <f>HYPERLINK("https://lsnyc.legalserver.org/matter/dynamic-profile/view/1900571","19-1900571")</f>
        <v>0</v>
      </c>
      <c r="B3435" t="s">
        <v>297</v>
      </c>
      <c r="C3435" t="s">
        <v>370</v>
      </c>
      <c r="E3435" t="s">
        <v>2782</v>
      </c>
      <c r="F3435" t="s">
        <v>5399</v>
      </c>
      <c r="G3435" t="s">
        <v>8843</v>
      </c>
      <c r="H3435" t="s">
        <v>10542</v>
      </c>
      <c r="I3435" t="s">
        <v>11383</v>
      </c>
      <c r="J3435">
        <v>10460</v>
      </c>
      <c r="K3435" t="s">
        <v>11446</v>
      </c>
      <c r="L3435" t="s">
        <v>13054</v>
      </c>
      <c r="M3435" t="s">
        <v>14744</v>
      </c>
      <c r="N3435" t="s">
        <v>14781</v>
      </c>
      <c r="P3435" t="s">
        <v>14802</v>
      </c>
      <c r="Q3435" t="s">
        <v>11448</v>
      </c>
      <c r="S3435" t="s">
        <v>14827</v>
      </c>
      <c r="T3435" t="s">
        <v>14832</v>
      </c>
      <c r="U3435" t="s">
        <v>373</v>
      </c>
      <c r="V3435">
        <v>530</v>
      </c>
      <c r="W3435" t="s">
        <v>14858</v>
      </c>
      <c r="X3435" t="s">
        <v>14863</v>
      </c>
      <c r="Z3435" t="s">
        <v>17760</v>
      </c>
      <c r="AB3435" t="s">
        <v>22833</v>
      </c>
      <c r="AC3435">
        <v>19</v>
      </c>
      <c r="AD3435" t="s">
        <v>24595</v>
      </c>
      <c r="AE3435" t="s">
        <v>11459</v>
      </c>
      <c r="AF3435">
        <v>25</v>
      </c>
      <c r="AG3435">
        <v>1</v>
      </c>
      <c r="AH3435">
        <v>0</v>
      </c>
      <c r="AI3435">
        <v>104.15</v>
      </c>
      <c r="AL3435" t="s">
        <v>5011</v>
      </c>
      <c r="AM3435">
        <v>13008</v>
      </c>
      <c r="AO3435" t="s">
        <v>24930</v>
      </c>
      <c r="AP3435" t="s">
        <v>24969</v>
      </c>
      <c r="AQ3435" t="s">
        <v>24986</v>
      </c>
      <c r="AR3435" t="s">
        <v>24999</v>
      </c>
      <c r="AS3435">
        <v>22.85</v>
      </c>
      <c r="AT3435" t="s">
        <v>495</v>
      </c>
      <c r="AU3435" t="s">
        <v>237</v>
      </c>
      <c r="AV3435" t="s">
        <v>25335</v>
      </c>
      <c r="AW3435" t="s">
        <v>11447</v>
      </c>
    </row>
    <row r="3436" spans="1:49">
      <c r="A3436" s="1">
        <f>HYPERLINK("https://lsnyc.legalserver.org/matter/dynamic-profile/view/1899075","19-1899075")</f>
        <v>0</v>
      </c>
      <c r="B3436" t="s">
        <v>80</v>
      </c>
      <c r="C3436" t="s">
        <v>363</v>
      </c>
      <c r="E3436" t="s">
        <v>1292</v>
      </c>
      <c r="F3436" t="s">
        <v>3702</v>
      </c>
      <c r="G3436" t="s">
        <v>8844</v>
      </c>
      <c r="H3436" t="s">
        <v>10568</v>
      </c>
      <c r="I3436" t="s">
        <v>11383</v>
      </c>
      <c r="J3436">
        <v>10453</v>
      </c>
      <c r="K3436" t="s">
        <v>11446</v>
      </c>
      <c r="L3436" t="s">
        <v>13055</v>
      </c>
      <c r="M3436" t="s">
        <v>14744</v>
      </c>
      <c r="N3436" t="s">
        <v>14781</v>
      </c>
      <c r="P3436" t="s">
        <v>14802</v>
      </c>
      <c r="Q3436" t="s">
        <v>11448</v>
      </c>
      <c r="S3436" t="s">
        <v>14827</v>
      </c>
      <c r="T3436" t="s">
        <v>14833</v>
      </c>
      <c r="U3436" t="s">
        <v>620</v>
      </c>
      <c r="V3436">
        <v>1002</v>
      </c>
      <c r="W3436" t="s">
        <v>14858</v>
      </c>
      <c r="X3436" t="s">
        <v>14868</v>
      </c>
      <c r="Z3436" t="s">
        <v>17761</v>
      </c>
      <c r="AA3436" t="s">
        <v>19725</v>
      </c>
      <c r="AC3436">
        <v>6</v>
      </c>
      <c r="AD3436" t="s">
        <v>24595</v>
      </c>
      <c r="AE3436" t="s">
        <v>24616</v>
      </c>
      <c r="AF3436">
        <v>3</v>
      </c>
      <c r="AG3436">
        <v>1</v>
      </c>
      <c r="AH3436">
        <v>2</v>
      </c>
      <c r="AI3436">
        <v>50.78</v>
      </c>
      <c r="AL3436" t="s">
        <v>24632</v>
      </c>
      <c r="AM3436">
        <v>10832</v>
      </c>
      <c r="AS3436">
        <v>20</v>
      </c>
      <c r="AT3436" t="s">
        <v>491</v>
      </c>
      <c r="AU3436" t="s">
        <v>25251</v>
      </c>
      <c r="AV3436" t="s">
        <v>25334</v>
      </c>
      <c r="AW3436" t="s">
        <v>11447</v>
      </c>
    </row>
    <row r="3437" spans="1:49">
      <c r="A3437" s="1">
        <f>HYPERLINK("https://lsnyc.legalserver.org/matter/dynamic-profile/view/1893053","19-1893053")</f>
        <v>0</v>
      </c>
      <c r="B3437" t="s">
        <v>52</v>
      </c>
      <c r="C3437" t="s">
        <v>751</v>
      </c>
      <c r="E3437" t="s">
        <v>1683</v>
      </c>
      <c r="F3437" t="s">
        <v>4551</v>
      </c>
      <c r="G3437" t="s">
        <v>8845</v>
      </c>
      <c r="H3437" t="s">
        <v>10491</v>
      </c>
      <c r="I3437" t="s">
        <v>11383</v>
      </c>
      <c r="J3437">
        <v>10473</v>
      </c>
      <c r="K3437" t="s">
        <v>11446</v>
      </c>
      <c r="L3437" t="s">
        <v>13056</v>
      </c>
      <c r="M3437" t="s">
        <v>14743</v>
      </c>
      <c r="N3437" t="s">
        <v>14781</v>
      </c>
      <c r="P3437" t="s">
        <v>14802</v>
      </c>
      <c r="Q3437" t="s">
        <v>11448</v>
      </c>
      <c r="S3437" t="s">
        <v>14828</v>
      </c>
      <c r="T3437" t="s">
        <v>14833</v>
      </c>
      <c r="U3437" t="s">
        <v>564</v>
      </c>
      <c r="V3437">
        <v>219</v>
      </c>
      <c r="W3437" t="s">
        <v>14858</v>
      </c>
      <c r="X3437" t="s">
        <v>14863</v>
      </c>
      <c r="Y3437" t="s">
        <v>14883</v>
      </c>
      <c r="Z3437" t="s">
        <v>17762</v>
      </c>
      <c r="AA3437" t="s">
        <v>19726</v>
      </c>
      <c r="AB3437" t="s">
        <v>22834</v>
      </c>
      <c r="AC3437">
        <v>827</v>
      </c>
      <c r="AD3437" t="s">
        <v>24597</v>
      </c>
      <c r="AF3437">
        <v>5</v>
      </c>
      <c r="AG3437">
        <v>1</v>
      </c>
      <c r="AH3437">
        <v>0</v>
      </c>
      <c r="AI3437">
        <v>17.49</v>
      </c>
      <c r="AL3437" t="s">
        <v>5011</v>
      </c>
      <c r="AM3437">
        <v>2184</v>
      </c>
      <c r="AN3437" t="s">
        <v>24856</v>
      </c>
      <c r="AS3437">
        <v>9.1</v>
      </c>
      <c r="AT3437" t="s">
        <v>476</v>
      </c>
      <c r="AU3437" t="s">
        <v>94</v>
      </c>
      <c r="AV3437" t="s">
        <v>25334</v>
      </c>
      <c r="AW3437" t="s">
        <v>11446</v>
      </c>
    </row>
    <row r="3438" spans="1:49">
      <c r="A3438" s="1">
        <f>HYPERLINK("https://lsnyc.legalserver.org/matter/dynamic-profile/view/1904022","19-1904022")</f>
        <v>0</v>
      </c>
      <c r="B3438" t="s">
        <v>143</v>
      </c>
      <c r="C3438" t="s">
        <v>474</v>
      </c>
      <c r="E3438" t="s">
        <v>1399</v>
      </c>
      <c r="F3438" t="s">
        <v>4303</v>
      </c>
      <c r="G3438" t="s">
        <v>8846</v>
      </c>
      <c r="H3438" t="s">
        <v>10620</v>
      </c>
      <c r="I3438" t="s">
        <v>11383</v>
      </c>
      <c r="J3438">
        <v>10466</v>
      </c>
      <c r="K3438" t="s">
        <v>11446</v>
      </c>
      <c r="L3438" t="s">
        <v>13057</v>
      </c>
      <c r="M3438" t="s">
        <v>14744</v>
      </c>
      <c r="N3438" t="s">
        <v>14781</v>
      </c>
      <c r="P3438" t="s">
        <v>14802</v>
      </c>
      <c r="Q3438" t="s">
        <v>11448</v>
      </c>
      <c r="S3438" t="s">
        <v>14827</v>
      </c>
      <c r="U3438" t="s">
        <v>564</v>
      </c>
      <c r="V3438">
        <v>942</v>
      </c>
      <c r="W3438" t="s">
        <v>14858</v>
      </c>
      <c r="Z3438" t="s">
        <v>17763</v>
      </c>
      <c r="AC3438">
        <v>120</v>
      </c>
      <c r="AF3438">
        <v>19</v>
      </c>
      <c r="AG3438">
        <v>4</v>
      </c>
      <c r="AH3438">
        <v>2</v>
      </c>
      <c r="AI3438">
        <v>53.01</v>
      </c>
      <c r="AL3438" t="s">
        <v>5011</v>
      </c>
      <c r="AM3438">
        <v>18336</v>
      </c>
      <c r="AS3438">
        <v>4.6</v>
      </c>
      <c r="AT3438" t="s">
        <v>663</v>
      </c>
      <c r="AU3438" t="s">
        <v>145</v>
      </c>
      <c r="AV3438" t="s">
        <v>25335</v>
      </c>
      <c r="AW3438" t="s">
        <v>11447</v>
      </c>
    </row>
    <row r="3439" spans="1:49">
      <c r="A3439" s="1">
        <f>HYPERLINK("https://lsnyc.legalserver.org/matter/dynamic-profile/view/1906923","19-1906923")</f>
        <v>0</v>
      </c>
      <c r="B3439" t="s">
        <v>80</v>
      </c>
      <c r="C3439" t="s">
        <v>354</v>
      </c>
      <c r="E3439" t="s">
        <v>1640</v>
      </c>
      <c r="F3439" t="s">
        <v>5400</v>
      </c>
      <c r="G3439" t="s">
        <v>8847</v>
      </c>
      <c r="H3439" t="s">
        <v>11137</v>
      </c>
      <c r="I3439" t="s">
        <v>11383</v>
      </c>
      <c r="J3439">
        <v>10458</v>
      </c>
      <c r="K3439" t="s">
        <v>11446</v>
      </c>
      <c r="L3439" t="s">
        <v>13058</v>
      </c>
      <c r="M3439" t="s">
        <v>14744</v>
      </c>
      <c r="N3439" t="s">
        <v>14781</v>
      </c>
      <c r="P3439" t="s">
        <v>14802</v>
      </c>
      <c r="Q3439" t="s">
        <v>11448</v>
      </c>
      <c r="S3439" t="s">
        <v>14827</v>
      </c>
      <c r="U3439" t="s">
        <v>354</v>
      </c>
      <c r="V3439">
        <v>980</v>
      </c>
      <c r="W3439" t="s">
        <v>14858</v>
      </c>
      <c r="X3439" t="s">
        <v>14873</v>
      </c>
      <c r="Z3439" t="s">
        <v>17764</v>
      </c>
      <c r="AA3439" t="s">
        <v>19727</v>
      </c>
      <c r="AB3439" t="s">
        <v>22835</v>
      </c>
      <c r="AC3439">
        <v>47</v>
      </c>
      <c r="AD3439" t="s">
        <v>24595</v>
      </c>
      <c r="AE3439" t="s">
        <v>14755</v>
      </c>
      <c r="AF3439">
        <v>5</v>
      </c>
      <c r="AG3439">
        <v>1</v>
      </c>
      <c r="AH3439">
        <v>0</v>
      </c>
      <c r="AI3439">
        <v>14.16</v>
      </c>
      <c r="AL3439" t="s">
        <v>24632</v>
      </c>
      <c r="AM3439">
        <v>1768</v>
      </c>
      <c r="AS3439">
        <v>8.6</v>
      </c>
      <c r="AT3439" t="s">
        <v>528</v>
      </c>
      <c r="AU3439" t="s">
        <v>145</v>
      </c>
      <c r="AV3439" t="s">
        <v>25334</v>
      </c>
      <c r="AW3439" t="s">
        <v>11447</v>
      </c>
    </row>
    <row r="3440" spans="1:49">
      <c r="A3440" s="1">
        <f>HYPERLINK("https://lsnyc.legalserver.org/matter/dynamic-profile/view/1905544","19-1905544")</f>
        <v>0</v>
      </c>
      <c r="B3440" t="s">
        <v>112</v>
      </c>
      <c r="C3440" t="s">
        <v>555</v>
      </c>
      <c r="E3440" t="s">
        <v>2621</v>
      </c>
      <c r="F3440" t="s">
        <v>3561</v>
      </c>
      <c r="G3440" t="s">
        <v>8848</v>
      </c>
      <c r="H3440" t="s">
        <v>10497</v>
      </c>
      <c r="I3440" t="s">
        <v>11383</v>
      </c>
      <c r="J3440">
        <v>10466</v>
      </c>
      <c r="K3440" t="s">
        <v>11446</v>
      </c>
      <c r="L3440" t="s">
        <v>13059</v>
      </c>
      <c r="M3440" t="s">
        <v>14744</v>
      </c>
      <c r="N3440" t="s">
        <v>14781</v>
      </c>
      <c r="P3440" t="s">
        <v>14802</v>
      </c>
      <c r="Q3440" t="s">
        <v>11448</v>
      </c>
      <c r="S3440" t="s">
        <v>14827</v>
      </c>
      <c r="U3440" t="s">
        <v>379</v>
      </c>
      <c r="V3440">
        <v>1557</v>
      </c>
      <c r="W3440" t="s">
        <v>14858</v>
      </c>
      <c r="Z3440" t="s">
        <v>17765</v>
      </c>
      <c r="AB3440" t="s">
        <v>22836</v>
      </c>
      <c r="AC3440">
        <v>0</v>
      </c>
      <c r="AE3440" t="s">
        <v>24616</v>
      </c>
      <c r="AF3440">
        <v>4</v>
      </c>
      <c r="AG3440">
        <v>1</v>
      </c>
      <c r="AH3440">
        <v>2</v>
      </c>
      <c r="AI3440">
        <v>154.81</v>
      </c>
      <c r="AL3440" t="s">
        <v>5011</v>
      </c>
      <c r="AM3440">
        <v>33020</v>
      </c>
      <c r="AS3440">
        <v>14.25</v>
      </c>
      <c r="AT3440" t="s">
        <v>467</v>
      </c>
      <c r="AU3440" t="s">
        <v>114</v>
      </c>
      <c r="AV3440" t="s">
        <v>25335</v>
      </c>
      <c r="AW3440" t="s">
        <v>11447</v>
      </c>
    </row>
    <row r="3441" spans="1:49">
      <c r="A3441" s="1">
        <f>HYPERLINK("https://lsnyc.legalserver.org/matter/dynamic-profile/view/1904961","19-1904961")</f>
        <v>0</v>
      </c>
      <c r="B3441" t="s">
        <v>112</v>
      </c>
      <c r="C3441" t="s">
        <v>593</v>
      </c>
      <c r="E3441" t="s">
        <v>1274</v>
      </c>
      <c r="F3441" t="s">
        <v>5401</v>
      </c>
      <c r="G3441" t="s">
        <v>8849</v>
      </c>
      <c r="H3441" t="s">
        <v>10522</v>
      </c>
      <c r="I3441" t="s">
        <v>11383</v>
      </c>
      <c r="J3441">
        <v>10472</v>
      </c>
      <c r="K3441" t="s">
        <v>11446</v>
      </c>
      <c r="L3441" t="s">
        <v>13060</v>
      </c>
      <c r="M3441" t="s">
        <v>14744</v>
      </c>
      <c r="N3441" t="s">
        <v>14781</v>
      </c>
      <c r="P3441" t="s">
        <v>14802</v>
      </c>
      <c r="Q3441" t="s">
        <v>11448</v>
      </c>
      <c r="S3441" t="s">
        <v>14827</v>
      </c>
      <c r="T3441" t="s">
        <v>14832</v>
      </c>
      <c r="U3441" t="s">
        <v>366</v>
      </c>
      <c r="V3441">
        <v>1100</v>
      </c>
      <c r="W3441" t="s">
        <v>14858</v>
      </c>
      <c r="X3441" t="s">
        <v>14865</v>
      </c>
      <c r="Z3441" t="s">
        <v>17766</v>
      </c>
      <c r="AA3441" t="s">
        <v>19728</v>
      </c>
      <c r="AB3441" t="s">
        <v>22837</v>
      </c>
      <c r="AC3441">
        <v>67</v>
      </c>
      <c r="AD3441" t="s">
        <v>24595</v>
      </c>
      <c r="AE3441" t="s">
        <v>24610</v>
      </c>
      <c r="AF3441">
        <v>21</v>
      </c>
      <c r="AG3441">
        <v>1</v>
      </c>
      <c r="AH3441">
        <v>0</v>
      </c>
      <c r="AI3441">
        <v>74.45999999999999</v>
      </c>
      <c r="AL3441" t="s">
        <v>5011</v>
      </c>
      <c r="AM3441">
        <v>9300</v>
      </c>
      <c r="AS3441">
        <v>10.5</v>
      </c>
      <c r="AT3441" t="s">
        <v>663</v>
      </c>
      <c r="AU3441" t="s">
        <v>145</v>
      </c>
      <c r="AV3441" t="s">
        <v>25334</v>
      </c>
      <c r="AW3441" t="s">
        <v>11447</v>
      </c>
    </row>
    <row r="3442" spans="1:49">
      <c r="A3442" s="1">
        <f>HYPERLINK("https://lsnyc.legalserver.org/matter/dynamic-profile/view/1877472","18-1877472")</f>
        <v>0</v>
      </c>
      <c r="B3442" t="s">
        <v>125</v>
      </c>
      <c r="C3442" t="s">
        <v>442</v>
      </c>
      <c r="E3442" t="s">
        <v>1286</v>
      </c>
      <c r="F3442" t="s">
        <v>3788</v>
      </c>
      <c r="G3442" t="s">
        <v>6578</v>
      </c>
      <c r="H3442" t="s">
        <v>10582</v>
      </c>
      <c r="I3442" t="s">
        <v>11383</v>
      </c>
      <c r="J3442">
        <v>10456</v>
      </c>
      <c r="K3442" t="s">
        <v>11446</v>
      </c>
      <c r="L3442" t="s">
        <v>13061</v>
      </c>
      <c r="M3442" t="s">
        <v>14743</v>
      </c>
      <c r="N3442" t="s">
        <v>14781</v>
      </c>
      <c r="P3442" t="s">
        <v>14802</v>
      </c>
      <c r="Q3442" t="s">
        <v>11448</v>
      </c>
      <c r="S3442" t="s">
        <v>14827</v>
      </c>
      <c r="T3442" t="s">
        <v>14832</v>
      </c>
      <c r="U3442" t="s">
        <v>366</v>
      </c>
      <c r="V3442">
        <v>252</v>
      </c>
      <c r="W3442" t="s">
        <v>14858</v>
      </c>
      <c r="X3442" t="s">
        <v>14868</v>
      </c>
      <c r="Z3442" t="s">
        <v>15203</v>
      </c>
      <c r="AB3442" t="s">
        <v>20362</v>
      </c>
      <c r="AC3442">
        <v>43</v>
      </c>
      <c r="AD3442" t="s">
        <v>24603</v>
      </c>
      <c r="AE3442" t="s">
        <v>14755</v>
      </c>
      <c r="AF3442">
        <v>7</v>
      </c>
      <c r="AG3442">
        <v>1</v>
      </c>
      <c r="AH3442">
        <v>0</v>
      </c>
      <c r="AI3442">
        <v>75.22</v>
      </c>
      <c r="AL3442" t="s">
        <v>5011</v>
      </c>
      <c r="AM3442">
        <v>9132</v>
      </c>
      <c r="AS3442">
        <v>24.1</v>
      </c>
      <c r="AT3442" t="s">
        <v>515</v>
      </c>
      <c r="AU3442" t="s">
        <v>237</v>
      </c>
      <c r="AV3442" t="s">
        <v>25335</v>
      </c>
      <c r="AW3442" t="s">
        <v>11448</v>
      </c>
    </row>
    <row r="3443" spans="1:49">
      <c r="A3443" s="1">
        <f>HYPERLINK("https://lsnyc.legalserver.org/matter/dynamic-profile/view/1905521","19-1905521")</f>
        <v>0</v>
      </c>
      <c r="B3443" t="s">
        <v>112</v>
      </c>
      <c r="C3443" t="s">
        <v>555</v>
      </c>
      <c r="E3443" t="s">
        <v>2783</v>
      </c>
      <c r="F3443" t="s">
        <v>5402</v>
      </c>
      <c r="G3443" t="s">
        <v>8801</v>
      </c>
      <c r="H3443" t="s">
        <v>10495</v>
      </c>
      <c r="I3443" t="s">
        <v>11383</v>
      </c>
      <c r="J3443">
        <v>10451</v>
      </c>
      <c r="K3443" t="s">
        <v>11446</v>
      </c>
      <c r="L3443" t="s">
        <v>13062</v>
      </c>
      <c r="M3443" t="s">
        <v>14743</v>
      </c>
      <c r="N3443" t="s">
        <v>14781</v>
      </c>
      <c r="P3443" t="s">
        <v>14802</v>
      </c>
      <c r="Q3443" t="s">
        <v>11448</v>
      </c>
      <c r="S3443" t="s">
        <v>14827</v>
      </c>
      <c r="T3443" t="s">
        <v>14832</v>
      </c>
      <c r="U3443" t="s">
        <v>465</v>
      </c>
      <c r="V3443">
        <v>1200</v>
      </c>
      <c r="W3443" t="s">
        <v>14858</v>
      </c>
      <c r="X3443" t="s">
        <v>14863</v>
      </c>
      <c r="Z3443" t="s">
        <v>17767</v>
      </c>
      <c r="AC3443">
        <v>76</v>
      </c>
      <c r="AD3443" t="s">
        <v>24595</v>
      </c>
      <c r="AF3443">
        <v>1</v>
      </c>
      <c r="AG3443">
        <v>1</v>
      </c>
      <c r="AH3443">
        <v>1</v>
      </c>
      <c r="AI3443">
        <v>0</v>
      </c>
      <c r="AL3443" t="s">
        <v>5011</v>
      </c>
      <c r="AM3443">
        <v>0</v>
      </c>
      <c r="AS3443">
        <v>12.15</v>
      </c>
      <c r="AT3443" t="s">
        <v>533</v>
      </c>
      <c r="AU3443" t="s">
        <v>114</v>
      </c>
      <c r="AV3443" t="s">
        <v>25335</v>
      </c>
      <c r="AW3443" t="s">
        <v>11447</v>
      </c>
    </row>
    <row r="3444" spans="1:49">
      <c r="A3444" s="1">
        <f>HYPERLINK("https://lsnyc.legalserver.org/matter/dynamic-profile/view/1906013","19-1906013")</f>
        <v>0</v>
      </c>
      <c r="B3444" t="s">
        <v>257</v>
      </c>
      <c r="C3444" t="s">
        <v>461</v>
      </c>
      <c r="E3444" t="s">
        <v>2451</v>
      </c>
      <c r="F3444" t="s">
        <v>5403</v>
      </c>
      <c r="G3444" t="s">
        <v>8850</v>
      </c>
      <c r="H3444" t="s">
        <v>10798</v>
      </c>
      <c r="I3444" t="s">
        <v>11383</v>
      </c>
      <c r="J3444">
        <v>10470</v>
      </c>
      <c r="K3444" t="s">
        <v>11446</v>
      </c>
      <c r="L3444" t="s">
        <v>13063</v>
      </c>
      <c r="M3444" t="s">
        <v>14743</v>
      </c>
      <c r="N3444" t="s">
        <v>14781</v>
      </c>
      <c r="P3444" t="s">
        <v>14802</v>
      </c>
      <c r="Q3444" t="s">
        <v>11448</v>
      </c>
      <c r="S3444" t="s">
        <v>14827</v>
      </c>
      <c r="T3444" t="s">
        <v>14832</v>
      </c>
      <c r="U3444" t="s">
        <v>377</v>
      </c>
      <c r="V3444">
        <v>1350</v>
      </c>
      <c r="W3444" t="s">
        <v>14858</v>
      </c>
      <c r="X3444" t="s">
        <v>14863</v>
      </c>
      <c r="Z3444" t="s">
        <v>17768</v>
      </c>
      <c r="AA3444" t="s">
        <v>19729</v>
      </c>
      <c r="AB3444" t="s">
        <v>22838</v>
      </c>
      <c r="AC3444">
        <v>3</v>
      </c>
      <c r="AD3444" t="s">
        <v>24600</v>
      </c>
      <c r="AE3444" t="s">
        <v>11459</v>
      </c>
      <c r="AF3444">
        <v>3</v>
      </c>
      <c r="AG3444">
        <v>1</v>
      </c>
      <c r="AH3444">
        <v>0</v>
      </c>
      <c r="AI3444">
        <v>39.55</v>
      </c>
      <c r="AL3444" t="s">
        <v>5011</v>
      </c>
      <c r="AM3444">
        <v>4940</v>
      </c>
      <c r="AS3444">
        <v>5.5</v>
      </c>
      <c r="AT3444" t="s">
        <v>528</v>
      </c>
      <c r="AU3444" t="s">
        <v>145</v>
      </c>
      <c r="AV3444" t="s">
        <v>25335</v>
      </c>
      <c r="AW3444" t="s">
        <v>11447</v>
      </c>
    </row>
    <row r="3445" spans="1:49">
      <c r="A3445" s="1">
        <f>HYPERLINK("https://lsnyc.legalserver.org/matter/dynamic-profile/view/1907915","19-1907915")</f>
        <v>0</v>
      </c>
      <c r="B3445" t="s">
        <v>112</v>
      </c>
      <c r="C3445" t="s">
        <v>458</v>
      </c>
      <c r="E3445" t="s">
        <v>1039</v>
      </c>
      <c r="F3445" t="s">
        <v>3848</v>
      </c>
      <c r="G3445" t="s">
        <v>8851</v>
      </c>
      <c r="H3445" t="s">
        <v>10506</v>
      </c>
      <c r="I3445" t="s">
        <v>11383</v>
      </c>
      <c r="J3445">
        <v>10452</v>
      </c>
      <c r="K3445" t="s">
        <v>11446</v>
      </c>
      <c r="L3445" t="s">
        <v>13064</v>
      </c>
      <c r="M3445" t="s">
        <v>14743</v>
      </c>
      <c r="N3445" t="s">
        <v>14778</v>
      </c>
      <c r="P3445" t="s">
        <v>14802</v>
      </c>
      <c r="Q3445" t="s">
        <v>11446</v>
      </c>
      <c r="S3445" t="s">
        <v>14827</v>
      </c>
      <c r="U3445" t="s">
        <v>458</v>
      </c>
      <c r="V3445">
        <v>1200</v>
      </c>
      <c r="W3445" t="s">
        <v>14858</v>
      </c>
      <c r="X3445" t="s">
        <v>14873</v>
      </c>
      <c r="Z3445" t="s">
        <v>17769</v>
      </c>
      <c r="AB3445" t="s">
        <v>22839</v>
      </c>
      <c r="AC3445">
        <v>0</v>
      </c>
      <c r="AD3445" t="s">
        <v>24595</v>
      </c>
      <c r="AF3445">
        <v>2</v>
      </c>
      <c r="AG3445">
        <v>1</v>
      </c>
      <c r="AH3445">
        <v>0</v>
      </c>
      <c r="AI3445">
        <v>76.86</v>
      </c>
      <c r="AL3445" t="s">
        <v>5011</v>
      </c>
      <c r="AM3445">
        <v>9600</v>
      </c>
      <c r="AS3445">
        <v>3</v>
      </c>
      <c r="AT3445" t="s">
        <v>458</v>
      </c>
      <c r="AU3445" t="s">
        <v>25311</v>
      </c>
      <c r="AV3445" t="s">
        <v>25335</v>
      </c>
      <c r="AW3445" t="s">
        <v>11447</v>
      </c>
    </row>
    <row r="3446" spans="1:49">
      <c r="A3446" s="1">
        <f>HYPERLINK("https://lsnyc.legalserver.org/matter/dynamic-profile/view/1908066","19-1908066")</f>
        <v>0</v>
      </c>
      <c r="B3446" t="s">
        <v>115</v>
      </c>
      <c r="C3446" t="s">
        <v>455</v>
      </c>
      <c r="E3446" t="s">
        <v>2542</v>
      </c>
      <c r="F3446" t="s">
        <v>4412</v>
      </c>
      <c r="G3446" t="s">
        <v>8852</v>
      </c>
      <c r="H3446" t="s">
        <v>11138</v>
      </c>
      <c r="I3446" t="s">
        <v>11383</v>
      </c>
      <c r="J3446">
        <v>10451</v>
      </c>
      <c r="K3446" t="s">
        <v>11446</v>
      </c>
      <c r="L3446" t="s">
        <v>13065</v>
      </c>
      <c r="M3446" t="s">
        <v>14744</v>
      </c>
      <c r="N3446" t="s">
        <v>14781</v>
      </c>
      <c r="P3446" t="s">
        <v>14802</v>
      </c>
      <c r="Q3446" t="s">
        <v>11448</v>
      </c>
      <c r="S3446" t="s">
        <v>14827</v>
      </c>
      <c r="T3446" t="s">
        <v>14836</v>
      </c>
      <c r="U3446" t="s">
        <v>372</v>
      </c>
      <c r="V3446">
        <v>1154</v>
      </c>
      <c r="W3446" t="s">
        <v>14858</v>
      </c>
      <c r="X3446" t="s">
        <v>14868</v>
      </c>
      <c r="Z3446" t="s">
        <v>15373</v>
      </c>
      <c r="AA3446" t="s">
        <v>19730</v>
      </c>
      <c r="AB3446" t="s">
        <v>22840</v>
      </c>
      <c r="AC3446">
        <v>937</v>
      </c>
      <c r="AD3446" t="s">
        <v>24601</v>
      </c>
      <c r="AE3446" t="s">
        <v>24613</v>
      </c>
      <c r="AF3446">
        <v>5</v>
      </c>
      <c r="AG3446">
        <v>1</v>
      </c>
      <c r="AH3446">
        <v>0</v>
      </c>
      <c r="AI3446">
        <v>82.15000000000001</v>
      </c>
      <c r="AL3446" t="s">
        <v>5011</v>
      </c>
      <c r="AM3446">
        <v>10260</v>
      </c>
      <c r="AS3446">
        <v>12.7</v>
      </c>
      <c r="AT3446" t="s">
        <v>533</v>
      </c>
      <c r="AU3446" t="s">
        <v>25239</v>
      </c>
      <c r="AV3446" t="s">
        <v>25334</v>
      </c>
      <c r="AW3446" t="s">
        <v>11447</v>
      </c>
    </row>
    <row r="3447" spans="1:49">
      <c r="A3447" s="1">
        <f>HYPERLINK("https://lsnyc.legalserver.org/matter/dynamic-profile/view/1900453","19-1900453")</f>
        <v>0</v>
      </c>
      <c r="B3447" t="s">
        <v>79</v>
      </c>
      <c r="C3447" t="s">
        <v>348</v>
      </c>
      <c r="E3447" t="s">
        <v>2784</v>
      </c>
      <c r="F3447" t="s">
        <v>3864</v>
      </c>
      <c r="G3447" t="s">
        <v>8853</v>
      </c>
      <c r="H3447" t="s">
        <v>10541</v>
      </c>
      <c r="I3447" t="s">
        <v>11383</v>
      </c>
      <c r="J3447">
        <v>10460</v>
      </c>
      <c r="K3447" t="s">
        <v>11446</v>
      </c>
      <c r="L3447" t="s">
        <v>13066</v>
      </c>
      <c r="M3447" t="s">
        <v>14744</v>
      </c>
      <c r="N3447" t="s">
        <v>14781</v>
      </c>
      <c r="P3447" t="s">
        <v>14802</v>
      </c>
      <c r="Q3447" t="s">
        <v>11448</v>
      </c>
      <c r="S3447" t="s">
        <v>14827</v>
      </c>
      <c r="T3447" t="s">
        <v>14832</v>
      </c>
      <c r="U3447" t="s">
        <v>372</v>
      </c>
      <c r="V3447">
        <v>258.43</v>
      </c>
      <c r="W3447" t="s">
        <v>14858</v>
      </c>
      <c r="X3447" t="s">
        <v>14868</v>
      </c>
      <c r="Z3447" t="s">
        <v>17770</v>
      </c>
      <c r="AB3447" t="s">
        <v>22841</v>
      </c>
      <c r="AC3447">
        <v>20</v>
      </c>
      <c r="AD3447" t="s">
        <v>24595</v>
      </c>
      <c r="AE3447" t="s">
        <v>24610</v>
      </c>
      <c r="AF3447">
        <v>39</v>
      </c>
      <c r="AG3447">
        <v>1</v>
      </c>
      <c r="AH3447">
        <v>0</v>
      </c>
      <c r="AI3447">
        <v>115.29</v>
      </c>
      <c r="AL3447" t="s">
        <v>5011</v>
      </c>
      <c r="AM3447">
        <v>14400</v>
      </c>
      <c r="AS3447">
        <v>9.1</v>
      </c>
      <c r="AT3447" t="s">
        <v>477</v>
      </c>
      <c r="AU3447" t="s">
        <v>25251</v>
      </c>
      <c r="AV3447" t="s">
        <v>25335</v>
      </c>
      <c r="AW3447" t="s">
        <v>11447</v>
      </c>
    </row>
    <row r="3448" spans="1:49">
      <c r="A3448" s="1">
        <f>HYPERLINK("https://lsnyc.legalserver.org/matter/dynamic-profile/view/1905301","19-1905301")</f>
        <v>0</v>
      </c>
      <c r="B3448" t="s">
        <v>69</v>
      </c>
      <c r="C3448" t="s">
        <v>480</v>
      </c>
      <c r="E3448" t="s">
        <v>1144</v>
      </c>
      <c r="F3448" t="s">
        <v>5404</v>
      </c>
      <c r="G3448" t="s">
        <v>8854</v>
      </c>
      <c r="H3448" t="s">
        <v>10465</v>
      </c>
      <c r="I3448" t="s">
        <v>11383</v>
      </c>
      <c r="J3448">
        <v>10472</v>
      </c>
      <c r="K3448" t="s">
        <v>11446</v>
      </c>
      <c r="L3448" t="s">
        <v>13067</v>
      </c>
      <c r="M3448" t="s">
        <v>14744</v>
      </c>
      <c r="N3448" t="s">
        <v>14781</v>
      </c>
      <c r="P3448" t="s">
        <v>14802</v>
      </c>
      <c r="Q3448" t="s">
        <v>11448</v>
      </c>
      <c r="S3448" t="s">
        <v>14827</v>
      </c>
      <c r="T3448" t="s">
        <v>14832</v>
      </c>
      <c r="U3448" t="s">
        <v>375</v>
      </c>
      <c r="V3448">
        <v>1350</v>
      </c>
      <c r="W3448" t="s">
        <v>14858</v>
      </c>
      <c r="X3448" t="s">
        <v>14868</v>
      </c>
      <c r="Z3448" t="s">
        <v>17771</v>
      </c>
      <c r="AA3448" t="s">
        <v>19731</v>
      </c>
      <c r="AB3448" t="s">
        <v>22842</v>
      </c>
      <c r="AC3448">
        <v>4</v>
      </c>
      <c r="AD3448" t="s">
        <v>24600</v>
      </c>
      <c r="AE3448" t="s">
        <v>11459</v>
      </c>
      <c r="AF3448">
        <v>1</v>
      </c>
      <c r="AG3448">
        <v>1</v>
      </c>
      <c r="AH3448">
        <v>1</v>
      </c>
      <c r="AI3448">
        <v>176.27</v>
      </c>
      <c r="AL3448" t="s">
        <v>5011</v>
      </c>
      <c r="AM3448">
        <v>29808</v>
      </c>
      <c r="AS3448">
        <v>6</v>
      </c>
      <c r="AT3448" t="s">
        <v>537</v>
      </c>
      <c r="AU3448" t="s">
        <v>25239</v>
      </c>
      <c r="AV3448" t="s">
        <v>25334</v>
      </c>
      <c r="AW3448" t="s">
        <v>11447</v>
      </c>
    </row>
    <row r="3449" spans="1:49">
      <c r="A3449" s="1">
        <f>HYPERLINK("https://lsnyc.legalserver.org/matter/dynamic-profile/view/1905893","19-1905893")</f>
        <v>0</v>
      </c>
      <c r="B3449" t="s">
        <v>297</v>
      </c>
      <c r="C3449" t="s">
        <v>500</v>
      </c>
      <c r="E3449" t="s">
        <v>1081</v>
      </c>
      <c r="F3449" t="s">
        <v>5405</v>
      </c>
      <c r="G3449" t="s">
        <v>8855</v>
      </c>
      <c r="H3449" t="s">
        <v>10762</v>
      </c>
      <c r="I3449" t="s">
        <v>11383</v>
      </c>
      <c r="J3449">
        <v>10459</v>
      </c>
      <c r="K3449" t="s">
        <v>11446</v>
      </c>
      <c r="L3449" t="s">
        <v>13068</v>
      </c>
      <c r="M3449" t="s">
        <v>14744</v>
      </c>
      <c r="N3449" t="s">
        <v>14781</v>
      </c>
      <c r="P3449" t="s">
        <v>14802</v>
      </c>
      <c r="Q3449" t="s">
        <v>11448</v>
      </c>
      <c r="S3449" t="s">
        <v>14827</v>
      </c>
      <c r="T3449" t="s">
        <v>14832</v>
      </c>
      <c r="U3449" t="s">
        <v>464</v>
      </c>
      <c r="V3449">
        <v>1532</v>
      </c>
      <c r="W3449" t="s">
        <v>14858</v>
      </c>
      <c r="X3449" t="s">
        <v>14865</v>
      </c>
      <c r="Z3449" t="s">
        <v>17772</v>
      </c>
      <c r="AB3449" t="s">
        <v>22843</v>
      </c>
      <c r="AC3449">
        <v>86</v>
      </c>
      <c r="AD3449" t="s">
        <v>24595</v>
      </c>
      <c r="AE3449" t="s">
        <v>24610</v>
      </c>
      <c r="AF3449">
        <v>9</v>
      </c>
      <c r="AG3449">
        <v>1</v>
      </c>
      <c r="AH3449">
        <v>1</v>
      </c>
      <c r="AI3449">
        <v>165.58</v>
      </c>
      <c r="AL3449" t="s">
        <v>5011</v>
      </c>
      <c r="AM3449">
        <v>28000</v>
      </c>
      <c r="AS3449">
        <v>11.3</v>
      </c>
      <c r="AT3449" t="s">
        <v>509</v>
      </c>
      <c r="AU3449" t="s">
        <v>245</v>
      </c>
      <c r="AV3449" t="s">
        <v>25335</v>
      </c>
      <c r="AW3449" t="s">
        <v>11447</v>
      </c>
    </row>
    <row r="3450" spans="1:49">
      <c r="A3450" s="1">
        <f>HYPERLINK("https://lsnyc.legalserver.org/matter/dynamic-profile/view/1908484","19-1908484")</f>
        <v>0</v>
      </c>
      <c r="B3450" t="s">
        <v>301</v>
      </c>
      <c r="C3450" t="s">
        <v>466</v>
      </c>
      <c r="E3450" t="s">
        <v>1653</v>
      </c>
      <c r="F3450" t="s">
        <v>3627</v>
      </c>
      <c r="G3450" t="s">
        <v>8856</v>
      </c>
      <c r="H3450" t="s">
        <v>10489</v>
      </c>
      <c r="I3450" t="s">
        <v>11383</v>
      </c>
      <c r="J3450">
        <v>10452</v>
      </c>
      <c r="K3450" t="s">
        <v>11446</v>
      </c>
      <c r="L3450" t="s">
        <v>13069</v>
      </c>
      <c r="M3450" t="s">
        <v>14744</v>
      </c>
      <c r="N3450" t="s">
        <v>14781</v>
      </c>
      <c r="P3450" t="s">
        <v>14802</v>
      </c>
      <c r="Q3450" t="s">
        <v>11448</v>
      </c>
      <c r="S3450" t="s">
        <v>14827</v>
      </c>
      <c r="U3450" t="s">
        <v>466</v>
      </c>
      <c r="V3450">
        <v>1090.6</v>
      </c>
      <c r="W3450" t="s">
        <v>14858</v>
      </c>
      <c r="X3450" t="s">
        <v>14871</v>
      </c>
      <c r="Z3450" t="s">
        <v>17773</v>
      </c>
      <c r="AA3450" t="s">
        <v>19732</v>
      </c>
      <c r="AB3450" t="s">
        <v>22844</v>
      </c>
      <c r="AC3450">
        <v>93</v>
      </c>
      <c r="AD3450" t="s">
        <v>24595</v>
      </c>
      <c r="AF3450">
        <v>5</v>
      </c>
      <c r="AG3450">
        <v>1</v>
      </c>
      <c r="AH3450">
        <v>1</v>
      </c>
      <c r="AI3450">
        <v>85.91</v>
      </c>
      <c r="AL3450" t="s">
        <v>5011</v>
      </c>
      <c r="AM3450">
        <v>14528</v>
      </c>
      <c r="AS3450">
        <v>13.7</v>
      </c>
      <c r="AT3450" t="s">
        <v>495</v>
      </c>
      <c r="AU3450" t="s">
        <v>114</v>
      </c>
      <c r="AV3450" t="s">
        <v>25334</v>
      </c>
      <c r="AW3450" t="s">
        <v>11447</v>
      </c>
    </row>
    <row r="3451" spans="1:49">
      <c r="A3451" s="1">
        <f>HYPERLINK("https://lsnyc.legalserver.org/matter/dynamic-profile/view/1902599","19-1902599")</f>
        <v>0</v>
      </c>
      <c r="B3451" t="s">
        <v>79</v>
      </c>
      <c r="C3451" t="s">
        <v>517</v>
      </c>
      <c r="E3451" t="s">
        <v>2241</v>
      </c>
      <c r="F3451" t="s">
        <v>3986</v>
      </c>
      <c r="G3451" t="s">
        <v>8857</v>
      </c>
      <c r="H3451" t="s">
        <v>10451</v>
      </c>
      <c r="I3451" t="s">
        <v>11383</v>
      </c>
      <c r="J3451">
        <v>10455</v>
      </c>
      <c r="K3451" t="s">
        <v>11446</v>
      </c>
      <c r="L3451" t="s">
        <v>13070</v>
      </c>
      <c r="M3451" t="s">
        <v>14743</v>
      </c>
      <c r="N3451" t="s">
        <v>14781</v>
      </c>
      <c r="P3451" t="s">
        <v>14802</v>
      </c>
      <c r="Q3451" t="s">
        <v>11448</v>
      </c>
      <c r="S3451" t="s">
        <v>14827</v>
      </c>
      <c r="T3451" t="s">
        <v>14832</v>
      </c>
      <c r="U3451" t="s">
        <v>466</v>
      </c>
      <c r="V3451">
        <v>568</v>
      </c>
      <c r="W3451" t="s">
        <v>14858</v>
      </c>
      <c r="X3451" t="s">
        <v>14872</v>
      </c>
      <c r="Z3451" t="s">
        <v>17774</v>
      </c>
      <c r="AC3451">
        <v>54</v>
      </c>
      <c r="AD3451" t="s">
        <v>24595</v>
      </c>
      <c r="AE3451" t="s">
        <v>11459</v>
      </c>
      <c r="AF3451">
        <v>3</v>
      </c>
      <c r="AG3451">
        <v>3</v>
      </c>
      <c r="AH3451">
        <v>0</v>
      </c>
      <c r="AI3451">
        <v>181.51</v>
      </c>
      <c r="AL3451" t="s">
        <v>5011</v>
      </c>
      <c r="AM3451">
        <v>38717</v>
      </c>
      <c r="AS3451">
        <v>2.2</v>
      </c>
      <c r="AT3451" t="s">
        <v>466</v>
      </c>
      <c r="AU3451" t="s">
        <v>25239</v>
      </c>
      <c r="AV3451" t="s">
        <v>25335</v>
      </c>
      <c r="AW3451" t="s">
        <v>11447</v>
      </c>
    </row>
    <row r="3452" spans="1:49">
      <c r="A3452" s="1">
        <f>HYPERLINK("https://lsnyc.legalserver.org/matter/dynamic-profile/view/1908504","19-1908504")</f>
        <v>0</v>
      </c>
      <c r="B3452" t="s">
        <v>157</v>
      </c>
      <c r="C3452" t="s">
        <v>466</v>
      </c>
      <c r="E3452" t="s">
        <v>1228</v>
      </c>
      <c r="F3452" t="s">
        <v>2515</v>
      </c>
      <c r="G3452" t="s">
        <v>8858</v>
      </c>
      <c r="H3452" t="s">
        <v>10799</v>
      </c>
      <c r="I3452" t="s">
        <v>11383</v>
      </c>
      <c r="J3452">
        <v>10454</v>
      </c>
      <c r="K3452" t="s">
        <v>11446</v>
      </c>
      <c r="L3452" t="s">
        <v>13071</v>
      </c>
      <c r="M3452" t="s">
        <v>14744</v>
      </c>
      <c r="N3452" t="s">
        <v>14781</v>
      </c>
      <c r="P3452" t="s">
        <v>14802</v>
      </c>
      <c r="Q3452" t="s">
        <v>11448</v>
      </c>
      <c r="S3452" t="s">
        <v>14827</v>
      </c>
      <c r="U3452" t="s">
        <v>497</v>
      </c>
      <c r="V3452">
        <v>128</v>
      </c>
      <c r="W3452" t="s">
        <v>14858</v>
      </c>
      <c r="X3452" t="s">
        <v>14880</v>
      </c>
      <c r="Z3452" t="s">
        <v>15631</v>
      </c>
      <c r="AB3452" t="s">
        <v>22845</v>
      </c>
      <c r="AC3452">
        <v>191</v>
      </c>
      <c r="AD3452" t="s">
        <v>11479</v>
      </c>
      <c r="AF3452">
        <v>32</v>
      </c>
      <c r="AG3452">
        <v>1</v>
      </c>
      <c r="AH3452">
        <v>3</v>
      </c>
      <c r="AI3452">
        <v>39.19</v>
      </c>
      <c r="AL3452" t="s">
        <v>5011</v>
      </c>
      <c r="AM3452">
        <v>10092</v>
      </c>
      <c r="AS3452">
        <v>6.75</v>
      </c>
      <c r="AT3452" t="s">
        <v>497</v>
      </c>
      <c r="AU3452" t="s">
        <v>25252</v>
      </c>
      <c r="AV3452" t="s">
        <v>25335</v>
      </c>
      <c r="AW3452" t="s">
        <v>11447</v>
      </c>
    </row>
    <row r="3453" spans="1:49">
      <c r="A3453" s="1">
        <f>HYPERLINK("https://lsnyc.legalserver.org/matter/dynamic-profile/view/1905885","19-1905885")</f>
        <v>0</v>
      </c>
      <c r="B3453" t="s">
        <v>273</v>
      </c>
      <c r="C3453" t="s">
        <v>500</v>
      </c>
      <c r="E3453" t="s">
        <v>1228</v>
      </c>
      <c r="F3453" t="s">
        <v>3716</v>
      </c>
      <c r="G3453" t="s">
        <v>8859</v>
      </c>
      <c r="I3453" t="s">
        <v>11383</v>
      </c>
      <c r="J3453">
        <v>10472</v>
      </c>
      <c r="K3453" t="s">
        <v>11446</v>
      </c>
      <c r="L3453" t="s">
        <v>13072</v>
      </c>
      <c r="M3453" t="s">
        <v>14743</v>
      </c>
      <c r="N3453" t="s">
        <v>14781</v>
      </c>
      <c r="P3453" t="s">
        <v>14802</v>
      </c>
      <c r="Q3453" t="s">
        <v>11448</v>
      </c>
      <c r="S3453" t="s">
        <v>14827</v>
      </c>
      <c r="T3453" t="s">
        <v>14832</v>
      </c>
      <c r="U3453" t="s">
        <v>14839</v>
      </c>
      <c r="V3453">
        <v>1600</v>
      </c>
      <c r="W3453" t="s">
        <v>14858</v>
      </c>
      <c r="X3453" t="s">
        <v>14755</v>
      </c>
      <c r="Z3453" t="s">
        <v>17775</v>
      </c>
      <c r="AA3453" t="s">
        <v>19733</v>
      </c>
      <c r="AB3453" t="s">
        <v>22846</v>
      </c>
      <c r="AC3453">
        <v>3</v>
      </c>
      <c r="AD3453" t="s">
        <v>24600</v>
      </c>
      <c r="AE3453" t="s">
        <v>24611</v>
      </c>
      <c r="AF3453">
        <v>5</v>
      </c>
      <c r="AG3453">
        <v>1</v>
      </c>
      <c r="AH3453">
        <v>3</v>
      </c>
      <c r="AI3453">
        <v>0</v>
      </c>
      <c r="AL3453" t="s">
        <v>5011</v>
      </c>
      <c r="AM3453">
        <v>0</v>
      </c>
      <c r="AS3453">
        <v>19.9</v>
      </c>
      <c r="AT3453" t="s">
        <v>463</v>
      </c>
      <c r="AU3453" t="s">
        <v>245</v>
      </c>
      <c r="AV3453" t="s">
        <v>25334</v>
      </c>
      <c r="AW3453" t="s">
        <v>11447</v>
      </c>
    </row>
    <row r="3454" spans="1:49">
      <c r="A3454" s="1">
        <f>HYPERLINK("https://lsnyc.legalserver.org/matter/dynamic-profile/view/1899520","19-1899520")</f>
        <v>0</v>
      </c>
      <c r="B3454" t="s">
        <v>97</v>
      </c>
      <c r="C3454" t="s">
        <v>680</v>
      </c>
      <c r="E3454" t="s">
        <v>1329</v>
      </c>
      <c r="F3454" t="s">
        <v>4042</v>
      </c>
      <c r="G3454" t="s">
        <v>8860</v>
      </c>
      <c r="H3454">
        <v>2</v>
      </c>
      <c r="I3454" t="s">
        <v>11383</v>
      </c>
      <c r="J3454">
        <v>10473</v>
      </c>
      <c r="K3454" t="s">
        <v>11446</v>
      </c>
      <c r="L3454" t="s">
        <v>13073</v>
      </c>
      <c r="M3454" t="s">
        <v>14744</v>
      </c>
      <c r="N3454" t="s">
        <v>14781</v>
      </c>
      <c r="P3454" t="s">
        <v>14802</v>
      </c>
      <c r="Q3454" t="s">
        <v>11448</v>
      </c>
      <c r="S3454" t="s">
        <v>14827</v>
      </c>
      <c r="U3454" t="s">
        <v>14839</v>
      </c>
      <c r="V3454">
        <v>2239</v>
      </c>
      <c r="W3454" t="s">
        <v>14858</v>
      </c>
      <c r="X3454" t="s">
        <v>14863</v>
      </c>
      <c r="Z3454" t="s">
        <v>17776</v>
      </c>
      <c r="AA3454" t="s">
        <v>19734</v>
      </c>
      <c r="AB3454" t="s">
        <v>22847</v>
      </c>
      <c r="AC3454">
        <v>2</v>
      </c>
      <c r="AD3454" t="s">
        <v>24596</v>
      </c>
      <c r="AE3454" t="s">
        <v>24610</v>
      </c>
      <c r="AF3454">
        <v>7</v>
      </c>
      <c r="AG3454">
        <v>2</v>
      </c>
      <c r="AH3454">
        <v>2</v>
      </c>
      <c r="AI3454">
        <v>50</v>
      </c>
      <c r="AL3454" t="s">
        <v>24632</v>
      </c>
      <c r="AM3454">
        <v>12875</v>
      </c>
      <c r="AN3454" t="s">
        <v>24857</v>
      </c>
      <c r="AS3454">
        <v>38.5</v>
      </c>
      <c r="AT3454" t="s">
        <v>515</v>
      </c>
      <c r="AU3454" t="s">
        <v>25268</v>
      </c>
      <c r="AV3454" t="s">
        <v>25334</v>
      </c>
      <c r="AW3454" t="s">
        <v>11447</v>
      </c>
    </row>
    <row r="3455" spans="1:49">
      <c r="A3455" s="1">
        <f>HYPERLINK("https://lsnyc.legalserver.org/matter/dynamic-profile/view/1905427","19-1905427")</f>
        <v>0</v>
      </c>
      <c r="B3455" t="s">
        <v>257</v>
      </c>
      <c r="C3455" t="s">
        <v>520</v>
      </c>
      <c r="E3455" t="s">
        <v>1218</v>
      </c>
      <c r="F3455" t="s">
        <v>5406</v>
      </c>
      <c r="G3455" t="s">
        <v>8861</v>
      </c>
      <c r="H3455">
        <v>43</v>
      </c>
      <c r="I3455" t="s">
        <v>11383</v>
      </c>
      <c r="J3455">
        <v>10458</v>
      </c>
      <c r="K3455" t="s">
        <v>11446</v>
      </c>
      <c r="L3455" t="s">
        <v>13074</v>
      </c>
      <c r="M3455" t="s">
        <v>14744</v>
      </c>
      <c r="N3455" t="s">
        <v>14781</v>
      </c>
      <c r="P3455" t="s">
        <v>14802</v>
      </c>
      <c r="Q3455" t="s">
        <v>11448</v>
      </c>
      <c r="S3455" t="s">
        <v>14827</v>
      </c>
      <c r="T3455" t="s">
        <v>14837</v>
      </c>
      <c r="U3455" t="s">
        <v>14839</v>
      </c>
      <c r="V3455">
        <v>1139.04</v>
      </c>
      <c r="W3455" t="s">
        <v>14858</v>
      </c>
      <c r="X3455" t="s">
        <v>14863</v>
      </c>
      <c r="Z3455" t="s">
        <v>17777</v>
      </c>
      <c r="AA3455" t="s">
        <v>19735</v>
      </c>
      <c r="AB3455" t="s">
        <v>22848</v>
      </c>
      <c r="AC3455">
        <v>34</v>
      </c>
      <c r="AD3455" t="s">
        <v>24595</v>
      </c>
      <c r="AE3455" t="s">
        <v>24615</v>
      </c>
      <c r="AF3455">
        <v>6</v>
      </c>
      <c r="AG3455">
        <v>1</v>
      </c>
      <c r="AH3455">
        <v>2</v>
      </c>
      <c r="AI3455">
        <v>95.64</v>
      </c>
      <c r="AL3455" t="s">
        <v>24632</v>
      </c>
      <c r="AM3455">
        <v>20400</v>
      </c>
      <c r="AS3455">
        <v>9.5</v>
      </c>
      <c r="AT3455" t="s">
        <v>495</v>
      </c>
      <c r="AU3455" t="s">
        <v>114</v>
      </c>
      <c r="AV3455" t="s">
        <v>25334</v>
      </c>
      <c r="AW3455" t="s">
        <v>11447</v>
      </c>
    </row>
    <row r="3456" spans="1:49">
      <c r="A3456" s="1">
        <f>HYPERLINK("https://lsnyc.legalserver.org/matter/dynamic-profile/view/1908885","19-1908885")</f>
        <v>0</v>
      </c>
      <c r="B3456" t="s">
        <v>96</v>
      </c>
      <c r="C3456" t="s">
        <v>640</v>
      </c>
      <c r="E3456" t="s">
        <v>2785</v>
      </c>
      <c r="F3456" t="s">
        <v>4104</v>
      </c>
      <c r="G3456" t="s">
        <v>8862</v>
      </c>
      <c r="I3456" t="s">
        <v>11383</v>
      </c>
      <c r="J3456">
        <v>10453</v>
      </c>
      <c r="K3456" t="s">
        <v>11446</v>
      </c>
      <c r="L3456" t="s">
        <v>13075</v>
      </c>
      <c r="M3456" t="s">
        <v>14743</v>
      </c>
      <c r="N3456" t="s">
        <v>14781</v>
      </c>
      <c r="P3456" t="s">
        <v>14802</v>
      </c>
      <c r="Q3456" t="s">
        <v>11448</v>
      </c>
      <c r="S3456" t="s">
        <v>14827</v>
      </c>
      <c r="U3456" t="s">
        <v>640</v>
      </c>
      <c r="V3456">
        <v>600</v>
      </c>
      <c r="W3456" t="s">
        <v>14858</v>
      </c>
      <c r="Z3456" t="s">
        <v>17778</v>
      </c>
      <c r="AB3456" t="s">
        <v>22849</v>
      </c>
      <c r="AC3456">
        <v>0</v>
      </c>
      <c r="AD3456" t="s">
        <v>24600</v>
      </c>
      <c r="AE3456" t="s">
        <v>11459</v>
      </c>
      <c r="AF3456">
        <v>11</v>
      </c>
      <c r="AG3456">
        <v>1</v>
      </c>
      <c r="AH3456">
        <v>0</v>
      </c>
      <c r="AI3456">
        <v>145.72</v>
      </c>
      <c r="AL3456" t="s">
        <v>5011</v>
      </c>
      <c r="AM3456">
        <v>18200</v>
      </c>
      <c r="AS3456">
        <v>9.5</v>
      </c>
      <c r="AT3456" t="s">
        <v>580</v>
      </c>
      <c r="AU3456" t="s">
        <v>25232</v>
      </c>
      <c r="AV3456" t="s">
        <v>25335</v>
      </c>
      <c r="AW3456" t="s">
        <v>11447</v>
      </c>
    </row>
    <row r="3457" spans="1:49">
      <c r="A3457" s="1">
        <f>HYPERLINK("https://lsnyc.legalserver.org/matter/dynamic-profile/view/1909120","19-1909120")</f>
        <v>0</v>
      </c>
      <c r="B3457" t="s">
        <v>132</v>
      </c>
      <c r="C3457" t="s">
        <v>462</v>
      </c>
      <c r="E3457" t="s">
        <v>2786</v>
      </c>
      <c r="F3457" t="s">
        <v>5407</v>
      </c>
      <c r="G3457" t="s">
        <v>8863</v>
      </c>
      <c r="H3457" t="s">
        <v>10727</v>
      </c>
      <c r="I3457" t="s">
        <v>11383</v>
      </c>
      <c r="J3457">
        <v>10460</v>
      </c>
      <c r="K3457" t="s">
        <v>11446</v>
      </c>
      <c r="L3457" t="s">
        <v>13076</v>
      </c>
      <c r="M3457" t="s">
        <v>14743</v>
      </c>
      <c r="N3457" t="s">
        <v>14781</v>
      </c>
      <c r="P3457" t="s">
        <v>14802</v>
      </c>
      <c r="Q3457" t="s">
        <v>11448</v>
      </c>
      <c r="S3457" t="s">
        <v>14827</v>
      </c>
      <c r="T3457" t="s">
        <v>14836</v>
      </c>
      <c r="U3457" t="s">
        <v>462</v>
      </c>
      <c r="V3457">
        <v>673</v>
      </c>
      <c r="W3457" t="s">
        <v>14858</v>
      </c>
      <c r="X3457" t="s">
        <v>14873</v>
      </c>
      <c r="Z3457" t="s">
        <v>17779</v>
      </c>
      <c r="AB3457" t="s">
        <v>22850</v>
      </c>
      <c r="AC3457">
        <v>240</v>
      </c>
      <c r="AD3457" t="s">
        <v>24604</v>
      </c>
      <c r="AE3457" t="s">
        <v>24610</v>
      </c>
      <c r="AF3457">
        <v>10</v>
      </c>
      <c r="AG3457">
        <v>2</v>
      </c>
      <c r="AH3457">
        <v>3</v>
      </c>
      <c r="AI3457">
        <v>68.94</v>
      </c>
      <c r="AL3457" t="s">
        <v>5011</v>
      </c>
      <c r="AM3457">
        <v>20800</v>
      </c>
      <c r="AS3457">
        <v>10.1</v>
      </c>
      <c r="AT3457" t="s">
        <v>490</v>
      </c>
      <c r="AU3457" t="s">
        <v>145</v>
      </c>
      <c r="AV3457" t="s">
        <v>25335</v>
      </c>
      <c r="AW3457" t="s">
        <v>11447</v>
      </c>
    </row>
    <row r="3458" spans="1:49">
      <c r="A3458" s="1">
        <f>HYPERLINK("https://lsnyc.legalserver.org/matter/dynamic-profile/view/1909339","19-1909339")</f>
        <v>0</v>
      </c>
      <c r="B3458" t="s">
        <v>79</v>
      </c>
      <c r="C3458" t="s">
        <v>589</v>
      </c>
      <c r="E3458" t="s">
        <v>2787</v>
      </c>
      <c r="F3458" t="s">
        <v>3709</v>
      </c>
      <c r="G3458" t="s">
        <v>8864</v>
      </c>
      <c r="H3458" t="s">
        <v>10575</v>
      </c>
      <c r="I3458" t="s">
        <v>11383</v>
      </c>
      <c r="J3458">
        <v>10458</v>
      </c>
      <c r="K3458" t="s">
        <v>11446</v>
      </c>
      <c r="L3458" t="s">
        <v>13077</v>
      </c>
      <c r="M3458" t="s">
        <v>14744</v>
      </c>
      <c r="N3458" t="s">
        <v>14781</v>
      </c>
      <c r="P3458" t="s">
        <v>14802</v>
      </c>
      <c r="Q3458" t="s">
        <v>11448</v>
      </c>
      <c r="S3458" t="s">
        <v>14827</v>
      </c>
      <c r="U3458" t="s">
        <v>589</v>
      </c>
      <c r="V3458">
        <v>1515</v>
      </c>
      <c r="W3458" t="s">
        <v>14858</v>
      </c>
      <c r="X3458" t="s">
        <v>14868</v>
      </c>
      <c r="Z3458" t="s">
        <v>17780</v>
      </c>
      <c r="AA3458" t="s">
        <v>19736</v>
      </c>
      <c r="AB3458" t="s">
        <v>22851</v>
      </c>
      <c r="AC3458">
        <v>8</v>
      </c>
      <c r="AD3458" t="s">
        <v>24595</v>
      </c>
      <c r="AF3458">
        <v>5</v>
      </c>
      <c r="AG3458">
        <v>1</v>
      </c>
      <c r="AH3458">
        <v>2</v>
      </c>
      <c r="AI3458">
        <v>85.23</v>
      </c>
      <c r="AL3458" t="s">
        <v>5011</v>
      </c>
      <c r="AM3458">
        <v>18180</v>
      </c>
      <c r="AS3458">
        <v>10.4</v>
      </c>
      <c r="AT3458" t="s">
        <v>516</v>
      </c>
      <c r="AU3458" t="s">
        <v>25232</v>
      </c>
      <c r="AV3458" t="s">
        <v>25334</v>
      </c>
      <c r="AW3458" t="s">
        <v>11447</v>
      </c>
    </row>
    <row r="3459" spans="1:49">
      <c r="A3459" s="1">
        <f>HYPERLINK("https://lsnyc.legalserver.org/matter/dynamic-profile/view/1909110","19-1909110")</f>
        <v>0</v>
      </c>
      <c r="B3459" t="s">
        <v>300</v>
      </c>
      <c r="C3459" t="s">
        <v>462</v>
      </c>
      <c r="E3459" t="s">
        <v>1601</v>
      </c>
      <c r="F3459" t="s">
        <v>3552</v>
      </c>
      <c r="G3459" t="s">
        <v>8865</v>
      </c>
      <c r="H3459" t="s">
        <v>10568</v>
      </c>
      <c r="I3459" t="s">
        <v>11383</v>
      </c>
      <c r="J3459">
        <v>10463</v>
      </c>
      <c r="K3459" t="s">
        <v>11446</v>
      </c>
      <c r="L3459" t="s">
        <v>13078</v>
      </c>
      <c r="M3459" t="s">
        <v>14744</v>
      </c>
      <c r="N3459" t="s">
        <v>14781</v>
      </c>
      <c r="P3459" t="s">
        <v>14802</v>
      </c>
      <c r="Q3459" t="s">
        <v>11448</v>
      </c>
      <c r="S3459" t="s">
        <v>14827</v>
      </c>
      <c r="U3459" t="s">
        <v>412</v>
      </c>
      <c r="V3459">
        <v>1600</v>
      </c>
      <c r="W3459" t="s">
        <v>14858</v>
      </c>
      <c r="X3459" t="s">
        <v>14863</v>
      </c>
      <c r="Z3459" t="s">
        <v>17781</v>
      </c>
      <c r="AA3459" t="s">
        <v>19737</v>
      </c>
      <c r="AB3459" t="s">
        <v>22852</v>
      </c>
      <c r="AC3459">
        <v>30</v>
      </c>
      <c r="AD3459" t="s">
        <v>24600</v>
      </c>
      <c r="AE3459" t="s">
        <v>11459</v>
      </c>
      <c r="AF3459">
        <v>1</v>
      </c>
      <c r="AG3459">
        <v>1</v>
      </c>
      <c r="AH3459">
        <v>2</v>
      </c>
      <c r="AI3459">
        <v>0</v>
      </c>
      <c r="AL3459" t="s">
        <v>24632</v>
      </c>
      <c r="AM3459">
        <v>0</v>
      </c>
      <c r="AS3459">
        <v>8.4</v>
      </c>
      <c r="AT3459" t="s">
        <v>580</v>
      </c>
      <c r="AU3459" t="s">
        <v>25239</v>
      </c>
      <c r="AV3459" t="s">
        <v>25334</v>
      </c>
      <c r="AW3459" t="s">
        <v>11447</v>
      </c>
    </row>
    <row r="3460" spans="1:49">
      <c r="A3460" s="1">
        <f>HYPERLINK("https://lsnyc.legalserver.org/matter/dynamic-profile/view/1909374","19-1909374")</f>
        <v>0</v>
      </c>
      <c r="B3460" t="s">
        <v>79</v>
      </c>
      <c r="C3460" t="s">
        <v>412</v>
      </c>
      <c r="E3460" t="s">
        <v>1305</v>
      </c>
      <c r="F3460" t="s">
        <v>3748</v>
      </c>
      <c r="G3460" t="s">
        <v>6602</v>
      </c>
      <c r="H3460" t="s">
        <v>10575</v>
      </c>
      <c r="I3460" t="s">
        <v>11383</v>
      </c>
      <c r="J3460">
        <v>10452</v>
      </c>
      <c r="K3460" t="s">
        <v>11446</v>
      </c>
      <c r="L3460" t="s">
        <v>13079</v>
      </c>
      <c r="M3460" t="s">
        <v>14746</v>
      </c>
      <c r="N3460" t="s">
        <v>14781</v>
      </c>
      <c r="P3460" t="s">
        <v>14802</v>
      </c>
      <c r="Q3460" t="s">
        <v>11448</v>
      </c>
      <c r="S3460" t="s">
        <v>14827</v>
      </c>
      <c r="U3460" t="s">
        <v>412</v>
      </c>
      <c r="V3460">
        <v>1207.54</v>
      </c>
      <c r="W3460" t="s">
        <v>14858</v>
      </c>
      <c r="X3460" t="s">
        <v>14868</v>
      </c>
      <c r="Z3460" t="s">
        <v>15227</v>
      </c>
      <c r="AA3460" t="s">
        <v>19738</v>
      </c>
      <c r="AB3460" t="s">
        <v>20385</v>
      </c>
      <c r="AC3460">
        <v>24</v>
      </c>
      <c r="AD3460" t="s">
        <v>24595</v>
      </c>
      <c r="AE3460" t="s">
        <v>24616</v>
      </c>
      <c r="AF3460">
        <v>5</v>
      </c>
      <c r="AG3460">
        <v>1</v>
      </c>
      <c r="AH3460">
        <v>2</v>
      </c>
      <c r="AI3460">
        <v>49.23</v>
      </c>
      <c r="AL3460" t="s">
        <v>5011</v>
      </c>
      <c r="AM3460">
        <v>10500</v>
      </c>
      <c r="AS3460">
        <v>14.2</v>
      </c>
      <c r="AT3460" t="s">
        <v>490</v>
      </c>
      <c r="AU3460" t="s">
        <v>25232</v>
      </c>
      <c r="AV3460" t="s">
        <v>25334</v>
      </c>
      <c r="AW3460" t="s">
        <v>11447</v>
      </c>
    </row>
    <row r="3461" spans="1:49">
      <c r="A3461" s="1">
        <f>HYPERLINK("https://lsnyc.legalserver.org/matter/dynamic-profile/view/1908451","19-1908451")</f>
        <v>0</v>
      </c>
      <c r="B3461" t="s">
        <v>157</v>
      </c>
      <c r="C3461" t="s">
        <v>466</v>
      </c>
      <c r="E3461" t="s">
        <v>1557</v>
      </c>
      <c r="F3461" t="s">
        <v>2515</v>
      </c>
      <c r="G3461" t="s">
        <v>8866</v>
      </c>
      <c r="H3461" t="s">
        <v>11101</v>
      </c>
      <c r="I3461" t="s">
        <v>11383</v>
      </c>
      <c r="J3461">
        <v>10452</v>
      </c>
      <c r="K3461" t="s">
        <v>11446</v>
      </c>
      <c r="L3461" t="s">
        <v>13080</v>
      </c>
      <c r="M3461" t="s">
        <v>14744</v>
      </c>
      <c r="N3461" t="s">
        <v>14781</v>
      </c>
      <c r="P3461" t="s">
        <v>14802</v>
      </c>
      <c r="Q3461" t="s">
        <v>11446</v>
      </c>
      <c r="S3461" t="s">
        <v>14827</v>
      </c>
      <c r="T3461" t="s">
        <v>14834</v>
      </c>
      <c r="U3461" t="s">
        <v>412</v>
      </c>
      <c r="V3461">
        <v>922</v>
      </c>
      <c r="W3461" t="s">
        <v>14858</v>
      </c>
      <c r="X3461" t="s">
        <v>14873</v>
      </c>
      <c r="Z3461" t="s">
        <v>17782</v>
      </c>
      <c r="AB3461" t="s">
        <v>22853</v>
      </c>
      <c r="AC3461">
        <v>0</v>
      </c>
      <c r="AD3461" t="s">
        <v>24595</v>
      </c>
      <c r="AF3461">
        <v>19</v>
      </c>
      <c r="AG3461">
        <v>1</v>
      </c>
      <c r="AH3461">
        <v>1</v>
      </c>
      <c r="AI3461">
        <v>112.41</v>
      </c>
      <c r="AL3461" t="s">
        <v>24632</v>
      </c>
      <c r="AM3461">
        <v>19008</v>
      </c>
      <c r="AS3461">
        <v>9.5</v>
      </c>
      <c r="AT3461" t="s">
        <v>473</v>
      </c>
      <c r="AU3461" t="s">
        <v>25311</v>
      </c>
      <c r="AV3461" t="s">
        <v>25335</v>
      </c>
      <c r="AW3461" t="s">
        <v>11447</v>
      </c>
    </row>
    <row r="3462" spans="1:49">
      <c r="A3462" s="1">
        <f>HYPERLINK("https://lsnyc.legalserver.org/matter/dynamic-profile/view/1909482","19-1909482")</f>
        <v>0</v>
      </c>
      <c r="B3462" t="s">
        <v>300</v>
      </c>
      <c r="C3462" t="s">
        <v>488</v>
      </c>
      <c r="E3462" t="s">
        <v>2788</v>
      </c>
      <c r="F3462" t="s">
        <v>5408</v>
      </c>
      <c r="G3462" t="s">
        <v>8867</v>
      </c>
      <c r="H3462" t="s">
        <v>11139</v>
      </c>
      <c r="I3462" t="s">
        <v>11383</v>
      </c>
      <c r="J3462">
        <v>10451</v>
      </c>
      <c r="K3462" t="s">
        <v>11446</v>
      </c>
      <c r="L3462" t="s">
        <v>13081</v>
      </c>
      <c r="M3462" t="s">
        <v>14744</v>
      </c>
      <c r="N3462" t="s">
        <v>14781</v>
      </c>
      <c r="P3462" t="s">
        <v>14802</v>
      </c>
      <c r="Q3462" t="s">
        <v>11448</v>
      </c>
      <c r="S3462" t="s">
        <v>14827</v>
      </c>
      <c r="T3462" t="s">
        <v>14837</v>
      </c>
      <c r="U3462" t="s">
        <v>488</v>
      </c>
      <c r="V3462">
        <v>966.21</v>
      </c>
      <c r="W3462" t="s">
        <v>14858</v>
      </c>
      <c r="X3462" t="s">
        <v>14868</v>
      </c>
      <c r="Z3462" t="s">
        <v>17783</v>
      </c>
      <c r="AA3462" t="s">
        <v>19739</v>
      </c>
      <c r="AB3462" t="s">
        <v>22854</v>
      </c>
      <c r="AC3462">
        <v>21</v>
      </c>
      <c r="AF3462">
        <v>6</v>
      </c>
      <c r="AG3462">
        <v>1</v>
      </c>
      <c r="AH3462">
        <v>1</v>
      </c>
      <c r="AI3462">
        <v>54.71</v>
      </c>
      <c r="AL3462" t="s">
        <v>5011</v>
      </c>
      <c r="AM3462">
        <v>9252</v>
      </c>
      <c r="AS3462">
        <v>26.5</v>
      </c>
      <c r="AT3462" t="s">
        <v>495</v>
      </c>
      <c r="AU3462" t="s">
        <v>145</v>
      </c>
      <c r="AV3462" t="s">
        <v>25334</v>
      </c>
      <c r="AW3462" t="s">
        <v>11447</v>
      </c>
    </row>
    <row r="3463" spans="1:49">
      <c r="A3463" s="1">
        <f>HYPERLINK("https://lsnyc.legalserver.org/matter/dynamic-profile/view/1907997","19-1907997")</f>
        <v>0</v>
      </c>
      <c r="B3463" t="s">
        <v>256</v>
      </c>
      <c r="C3463" t="s">
        <v>458</v>
      </c>
      <c r="E3463" t="s">
        <v>1064</v>
      </c>
      <c r="F3463" t="s">
        <v>3552</v>
      </c>
      <c r="G3463" t="s">
        <v>8868</v>
      </c>
      <c r="H3463" t="s">
        <v>10450</v>
      </c>
      <c r="I3463" t="s">
        <v>11383</v>
      </c>
      <c r="J3463">
        <v>10453</v>
      </c>
      <c r="K3463" t="s">
        <v>11446</v>
      </c>
      <c r="L3463" t="s">
        <v>13082</v>
      </c>
      <c r="M3463" t="s">
        <v>14744</v>
      </c>
      <c r="N3463" t="s">
        <v>14781</v>
      </c>
      <c r="P3463" t="s">
        <v>14802</v>
      </c>
      <c r="Q3463" t="s">
        <v>11448</v>
      </c>
      <c r="S3463" t="s">
        <v>14827</v>
      </c>
      <c r="T3463" t="s">
        <v>14834</v>
      </c>
      <c r="U3463" t="s">
        <v>488</v>
      </c>
      <c r="V3463">
        <v>905.17</v>
      </c>
      <c r="W3463" t="s">
        <v>14858</v>
      </c>
      <c r="X3463" t="s">
        <v>14863</v>
      </c>
      <c r="Z3463" t="s">
        <v>17784</v>
      </c>
      <c r="AB3463" t="s">
        <v>22855</v>
      </c>
      <c r="AC3463">
        <v>39</v>
      </c>
      <c r="AD3463" t="s">
        <v>24595</v>
      </c>
      <c r="AF3463">
        <v>2</v>
      </c>
      <c r="AG3463">
        <v>3</v>
      </c>
      <c r="AH3463">
        <v>0</v>
      </c>
      <c r="AI3463">
        <v>96.05</v>
      </c>
      <c r="AL3463" t="s">
        <v>24632</v>
      </c>
      <c r="AM3463">
        <v>20488</v>
      </c>
      <c r="AS3463">
        <v>8.25</v>
      </c>
      <c r="AT3463" t="s">
        <v>539</v>
      </c>
      <c r="AU3463" t="s">
        <v>145</v>
      </c>
      <c r="AV3463" t="s">
        <v>25335</v>
      </c>
      <c r="AW3463" t="s">
        <v>11447</v>
      </c>
    </row>
    <row r="3464" spans="1:49">
      <c r="A3464" s="1">
        <f>HYPERLINK("https://lsnyc.legalserver.org/matter/dynamic-profile/view/1906560","19-1906560")</f>
        <v>0</v>
      </c>
      <c r="B3464" t="s">
        <v>302</v>
      </c>
      <c r="C3464" t="s">
        <v>380</v>
      </c>
      <c r="E3464" t="s">
        <v>1245</v>
      </c>
      <c r="F3464" t="s">
        <v>5409</v>
      </c>
      <c r="G3464" t="s">
        <v>8869</v>
      </c>
      <c r="H3464" t="s">
        <v>10598</v>
      </c>
      <c r="I3464" t="s">
        <v>11383</v>
      </c>
      <c r="J3464">
        <v>10466</v>
      </c>
      <c r="K3464" t="s">
        <v>11446</v>
      </c>
      <c r="L3464" t="s">
        <v>13083</v>
      </c>
      <c r="M3464" t="s">
        <v>14744</v>
      </c>
      <c r="N3464" t="s">
        <v>14781</v>
      </c>
      <c r="P3464" t="s">
        <v>14802</v>
      </c>
      <c r="Q3464" t="s">
        <v>11448</v>
      </c>
      <c r="S3464" t="s">
        <v>14827</v>
      </c>
      <c r="T3464" t="s">
        <v>14834</v>
      </c>
      <c r="U3464" t="s">
        <v>488</v>
      </c>
      <c r="V3464">
        <v>836.61</v>
      </c>
      <c r="W3464" t="s">
        <v>14858</v>
      </c>
      <c r="X3464" t="s">
        <v>14863</v>
      </c>
      <c r="Z3464" t="s">
        <v>17785</v>
      </c>
      <c r="AB3464" t="s">
        <v>22856</v>
      </c>
      <c r="AC3464">
        <v>52</v>
      </c>
      <c r="AD3464" t="s">
        <v>24595</v>
      </c>
      <c r="AE3464" t="s">
        <v>24613</v>
      </c>
      <c r="AF3464">
        <v>43</v>
      </c>
      <c r="AG3464">
        <v>1</v>
      </c>
      <c r="AH3464">
        <v>0</v>
      </c>
      <c r="AI3464">
        <v>126.82</v>
      </c>
      <c r="AL3464" t="s">
        <v>5011</v>
      </c>
      <c r="AM3464">
        <v>15840</v>
      </c>
      <c r="AS3464">
        <v>16.65</v>
      </c>
      <c r="AT3464" t="s">
        <v>521</v>
      </c>
      <c r="AU3464" t="s">
        <v>25232</v>
      </c>
      <c r="AV3464" t="s">
        <v>25335</v>
      </c>
      <c r="AW3464" t="s">
        <v>11447</v>
      </c>
    </row>
    <row r="3465" spans="1:49">
      <c r="A3465" s="1">
        <f>HYPERLINK("https://lsnyc.legalserver.org/matter/dynamic-profile/view/1905886","19-1905886")</f>
        <v>0</v>
      </c>
      <c r="B3465" t="s">
        <v>300</v>
      </c>
      <c r="C3465" t="s">
        <v>500</v>
      </c>
      <c r="E3465" t="s">
        <v>2789</v>
      </c>
      <c r="F3465" t="s">
        <v>5410</v>
      </c>
      <c r="G3465" t="s">
        <v>8870</v>
      </c>
      <c r="H3465" t="s">
        <v>10594</v>
      </c>
      <c r="I3465" t="s">
        <v>11383</v>
      </c>
      <c r="J3465">
        <v>10474</v>
      </c>
      <c r="K3465" t="s">
        <v>11446</v>
      </c>
      <c r="L3465" t="s">
        <v>13084</v>
      </c>
      <c r="M3465" t="s">
        <v>14744</v>
      </c>
      <c r="N3465" t="s">
        <v>14781</v>
      </c>
      <c r="P3465" t="s">
        <v>14802</v>
      </c>
      <c r="Q3465" t="s">
        <v>11448</v>
      </c>
      <c r="S3465" t="s">
        <v>14827</v>
      </c>
      <c r="T3465" t="s">
        <v>14833</v>
      </c>
      <c r="U3465" t="s">
        <v>1015</v>
      </c>
      <c r="V3465">
        <v>1151</v>
      </c>
      <c r="W3465" t="s">
        <v>14858</v>
      </c>
      <c r="X3465" t="s">
        <v>14865</v>
      </c>
      <c r="Z3465" t="s">
        <v>17786</v>
      </c>
      <c r="AA3465" t="s">
        <v>19740</v>
      </c>
      <c r="AB3465" t="s">
        <v>22857</v>
      </c>
      <c r="AC3465">
        <v>40</v>
      </c>
      <c r="AD3465" t="s">
        <v>11479</v>
      </c>
      <c r="AE3465" t="s">
        <v>11459</v>
      </c>
      <c r="AF3465">
        <v>5</v>
      </c>
      <c r="AG3465">
        <v>1</v>
      </c>
      <c r="AH3465">
        <v>0</v>
      </c>
      <c r="AI3465">
        <v>19.22</v>
      </c>
      <c r="AL3465" t="s">
        <v>5011</v>
      </c>
      <c r="AM3465">
        <v>2400</v>
      </c>
      <c r="AS3465">
        <v>16.4</v>
      </c>
      <c r="AT3465" t="s">
        <v>483</v>
      </c>
      <c r="AU3465" t="s">
        <v>25242</v>
      </c>
      <c r="AV3465" t="s">
        <v>25334</v>
      </c>
      <c r="AW3465" t="s">
        <v>11447</v>
      </c>
    </row>
    <row r="3466" spans="1:49">
      <c r="A3466" s="1">
        <f>HYPERLINK("https://lsnyc.legalserver.org/matter/dynamic-profile/view/1909306","19-1909306")</f>
        <v>0</v>
      </c>
      <c r="B3466" t="s">
        <v>79</v>
      </c>
      <c r="C3466" t="s">
        <v>589</v>
      </c>
      <c r="E3466" t="s">
        <v>2787</v>
      </c>
      <c r="F3466" t="s">
        <v>3709</v>
      </c>
      <c r="G3466" t="s">
        <v>8864</v>
      </c>
      <c r="H3466" t="s">
        <v>10575</v>
      </c>
      <c r="I3466" t="s">
        <v>11383</v>
      </c>
      <c r="J3466">
        <v>10458</v>
      </c>
      <c r="K3466" t="s">
        <v>11446</v>
      </c>
      <c r="L3466" t="s">
        <v>13085</v>
      </c>
      <c r="M3466" t="s">
        <v>14743</v>
      </c>
      <c r="N3466" t="s">
        <v>14781</v>
      </c>
      <c r="P3466" t="s">
        <v>14802</v>
      </c>
      <c r="Q3466" t="s">
        <v>11448</v>
      </c>
      <c r="S3466" t="s">
        <v>14827</v>
      </c>
      <c r="U3466" t="s">
        <v>1015</v>
      </c>
      <c r="V3466">
        <v>1515</v>
      </c>
      <c r="W3466" t="s">
        <v>14858</v>
      </c>
      <c r="X3466" t="s">
        <v>14868</v>
      </c>
      <c r="Z3466" t="s">
        <v>17780</v>
      </c>
      <c r="AA3466" t="s">
        <v>19736</v>
      </c>
      <c r="AB3466" t="s">
        <v>22851</v>
      </c>
      <c r="AC3466">
        <v>8</v>
      </c>
      <c r="AD3466" t="s">
        <v>24595</v>
      </c>
      <c r="AF3466">
        <v>5</v>
      </c>
      <c r="AG3466">
        <v>1</v>
      </c>
      <c r="AH3466">
        <v>2</v>
      </c>
      <c r="AI3466">
        <v>85.23</v>
      </c>
      <c r="AL3466" t="s">
        <v>5011</v>
      </c>
      <c r="AM3466">
        <v>18180</v>
      </c>
      <c r="AS3466">
        <v>2.5</v>
      </c>
      <c r="AT3466" t="s">
        <v>589</v>
      </c>
      <c r="AU3466" t="s">
        <v>25232</v>
      </c>
      <c r="AV3466" t="s">
        <v>25334</v>
      </c>
      <c r="AW3466" t="s">
        <v>11447</v>
      </c>
    </row>
    <row r="3467" spans="1:49">
      <c r="A3467" s="1">
        <f>HYPERLINK("https://lsnyc.legalserver.org/matter/dynamic-profile/view/1907316","19-1907316")</f>
        <v>0</v>
      </c>
      <c r="B3467" t="s">
        <v>257</v>
      </c>
      <c r="C3467" t="s">
        <v>366</v>
      </c>
      <c r="E3467" t="s">
        <v>2790</v>
      </c>
      <c r="F3467" t="s">
        <v>3571</v>
      </c>
      <c r="G3467" t="s">
        <v>8871</v>
      </c>
      <c r="H3467" t="s">
        <v>10780</v>
      </c>
      <c r="I3467" t="s">
        <v>11383</v>
      </c>
      <c r="J3467">
        <v>10456</v>
      </c>
      <c r="K3467" t="s">
        <v>11446</v>
      </c>
      <c r="L3467" t="s">
        <v>13086</v>
      </c>
      <c r="M3467" t="s">
        <v>14743</v>
      </c>
      <c r="N3467" t="s">
        <v>14781</v>
      </c>
      <c r="P3467" t="s">
        <v>14802</v>
      </c>
      <c r="Q3467" t="s">
        <v>11448</v>
      </c>
      <c r="S3467" t="s">
        <v>14828</v>
      </c>
      <c r="T3467" t="s">
        <v>14833</v>
      </c>
      <c r="U3467" t="s">
        <v>468</v>
      </c>
      <c r="V3467">
        <v>408</v>
      </c>
      <c r="W3467" t="s">
        <v>14858</v>
      </c>
      <c r="X3467" t="s">
        <v>14863</v>
      </c>
      <c r="Z3467" t="s">
        <v>17131</v>
      </c>
      <c r="AB3467" t="s">
        <v>22858</v>
      </c>
      <c r="AC3467">
        <v>607</v>
      </c>
      <c r="AD3467" t="s">
        <v>24597</v>
      </c>
      <c r="AE3467" t="s">
        <v>14755</v>
      </c>
      <c r="AF3467">
        <v>20</v>
      </c>
      <c r="AG3467">
        <v>1</v>
      </c>
      <c r="AH3467">
        <v>0</v>
      </c>
      <c r="AI3467">
        <v>119.04</v>
      </c>
      <c r="AL3467" t="s">
        <v>5011</v>
      </c>
      <c r="AM3467">
        <v>14868</v>
      </c>
      <c r="AS3467">
        <v>4.1</v>
      </c>
      <c r="AT3467" t="s">
        <v>471</v>
      </c>
      <c r="AU3467" t="s">
        <v>25252</v>
      </c>
      <c r="AV3467" t="s">
        <v>25335</v>
      </c>
      <c r="AW3467" t="s">
        <v>11447</v>
      </c>
    </row>
    <row r="3468" spans="1:49">
      <c r="A3468" s="1">
        <f>HYPERLINK("https://lsnyc.legalserver.org/matter/dynamic-profile/view/1910362","19-1910362")</f>
        <v>0</v>
      </c>
      <c r="B3468" t="s">
        <v>80</v>
      </c>
      <c r="C3468" t="s">
        <v>540</v>
      </c>
      <c r="E3468" t="s">
        <v>1320</v>
      </c>
      <c r="F3468" t="s">
        <v>5411</v>
      </c>
      <c r="G3468" t="s">
        <v>8872</v>
      </c>
      <c r="H3468" t="s">
        <v>10529</v>
      </c>
      <c r="I3468" t="s">
        <v>11383</v>
      </c>
      <c r="J3468">
        <v>10453</v>
      </c>
      <c r="K3468" t="s">
        <v>11446</v>
      </c>
      <c r="L3468" t="s">
        <v>13087</v>
      </c>
      <c r="M3468" t="s">
        <v>14744</v>
      </c>
      <c r="N3468" t="s">
        <v>14781</v>
      </c>
      <c r="P3468" t="s">
        <v>14802</v>
      </c>
      <c r="Q3468" t="s">
        <v>11448</v>
      </c>
      <c r="S3468" t="s">
        <v>14827</v>
      </c>
      <c r="U3468" t="s">
        <v>540</v>
      </c>
      <c r="V3468">
        <v>875.8</v>
      </c>
      <c r="W3468" t="s">
        <v>14858</v>
      </c>
      <c r="X3468" t="s">
        <v>14868</v>
      </c>
      <c r="Z3468" t="s">
        <v>17787</v>
      </c>
      <c r="AA3468" t="s">
        <v>19741</v>
      </c>
      <c r="AB3468" t="s">
        <v>22859</v>
      </c>
      <c r="AC3468">
        <v>15</v>
      </c>
      <c r="AD3468" t="s">
        <v>24595</v>
      </c>
      <c r="AE3468" t="s">
        <v>11459</v>
      </c>
      <c r="AF3468">
        <v>43</v>
      </c>
      <c r="AG3468">
        <v>2</v>
      </c>
      <c r="AH3468">
        <v>0</v>
      </c>
      <c r="AI3468">
        <v>52.02</v>
      </c>
      <c r="AL3468" t="s">
        <v>24632</v>
      </c>
      <c r="AM3468">
        <v>8796</v>
      </c>
      <c r="AS3468">
        <v>5</v>
      </c>
      <c r="AT3468" t="s">
        <v>571</v>
      </c>
      <c r="AU3468" t="s">
        <v>25232</v>
      </c>
      <c r="AV3468" t="s">
        <v>25334</v>
      </c>
      <c r="AW3468" t="s">
        <v>11447</v>
      </c>
    </row>
    <row r="3469" spans="1:49">
      <c r="A3469" s="1">
        <f>HYPERLINK("https://lsnyc.legalserver.org/matter/dynamic-profile/view/1910301","19-1910301")</f>
        <v>0</v>
      </c>
      <c r="B3469" t="s">
        <v>112</v>
      </c>
      <c r="C3469" t="s">
        <v>540</v>
      </c>
      <c r="E3469" t="s">
        <v>1990</v>
      </c>
      <c r="F3469" t="s">
        <v>2330</v>
      </c>
      <c r="G3469" t="s">
        <v>8873</v>
      </c>
      <c r="H3469" t="s">
        <v>10911</v>
      </c>
      <c r="I3469" t="s">
        <v>11383</v>
      </c>
      <c r="J3469">
        <v>10460</v>
      </c>
      <c r="K3469" t="s">
        <v>11446</v>
      </c>
      <c r="L3469" t="s">
        <v>13088</v>
      </c>
      <c r="M3469" t="s">
        <v>14743</v>
      </c>
      <c r="N3469" t="s">
        <v>14781</v>
      </c>
      <c r="P3469" t="s">
        <v>14802</v>
      </c>
      <c r="Q3469" t="s">
        <v>11448</v>
      </c>
      <c r="S3469" t="s">
        <v>14827</v>
      </c>
      <c r="U3469" t="s">
        <v>540</v>
      </c>
      <c r="V3469">
        <v>960.0700000000001</v>
      </c>
      <c r="W3469" t="s">
        <v>14858</v>
      </c>
      <c r="X3469" t="s">
        <v>14873</v>
      </c>
      <c r="Z3469" t="s">
        <v>17788</v>
      </c>
      <c r="AB3469" t="s">
        <v>22860</v>
      </c>
      <c r="AC3469">
        <v>35</v>
      </c>
      <c r="AD3469" t="s">
        <v>24595</v>
      </c>
      <c r="AE3469" t="s">
        <v>11459</v>
      </c>
      <c r="AF3469">
        <v>6</v>
      </c>
      <c r="AG3469">
        <v>2</v>
      </c>
      <c r="AH3469">
        <v>1</v>
      </c>
      <c r="AI3469">
        <v>170.65</v>
      </c>
      <c r="AL3469" t="s">
        <v>5011</v>
      </c>
      <c r="AM3469">
        <v>36400</v>
      </c>
      <c r="AS3469">
        <v>9.550000000000001</v>
      </c>
      <c r="AT3469" t="s">
        <v>644</v>
      </c>
      <c r="AU3469" t="s">
        <v>25252</v>
      </c>
      <c r="AV3469" t="s">
        <v>25335</v>
      </c>
      <c r="AW3469" t="s">
        <v>11447</v>
      </c>
    </row>
    <row r="3470" spans="1:49">
      <c r="A3470" s="1">
        <f>HYPERLINK("https://lsnyc.legalserver.org/matter/dynamic-profile/view/1907737","19-1907737")</f>
        <v>0</v>
      </c>
      <c r="B3470" t="s">
        <v>257</v>
      </c>
      <c r="C3470" t="s">
        <v>377</v>
      </c>
      <c r="E3470" t="s">
        <v>2241</v>
      </c>
      <c r="F3470" t="s">
        <v>3975</v>
      </c>
      <c r="G3470" t="s">
        <v>8874</v>
      </c>
      <c r="H3470" t="s">
        <v>10502</v>
      </c>
      <c r="I3470" t="s">
        <v>11383</v>
      </c>
      <c r="J3470">
        <v>10469</v>
      </c>
      <c r="K3470" t="s">
        <v>11446</v>
      </c>
      <c r="L3470" t="s">
        <v>13089</v>
      </c>
      <c r="M3470" t="s">
        <v>14743</v>
      </c>
      <c r="N3470" t="s">
        <v>14781</v>
      </c>
      <c r="P3470" t="s">
        <v>14802</v>
      </c>
      <c r="Q3470" t="s">
        <v>11448</v>
      </c>
      <c r="S3470" t="s">
        <v>14827</v>
      </c>
      <c r="T3470" t="s">
        <v>14834</v>
      </c>
      <c r="U3470" t="s">
        <v>508</v>
      </c>
      <c r="V3470">
        <v>1100</v>
      </c>
      <c r="W3470" t="s">
        <v>14858</v>
      </c>
      <c r="X3470" t="s">
        <v>14864</v>
      </c>
      <c r="Z3470" t="s">
        <v>17789</v>
      </c>
      <c r="AB3470" t="s">
        <v>22861</v>
      </c>
      <c r="AC3470">
        <v>2</v>
      </c>
      <c r="AD3470" t="s">
        <v>24607</v>
      </c>
      <c r="AE3470" t="s">
        <v>11459</v>
      </c>
      <c r="AF3470">
        <v>11</v>
      </c>
      <c r="AG3470">
        <v>2</v>
      </c>
      <c r="AH3470">
        <v>0</v>
      </c>
      <c r="AI3470">
        <v>180.6</v>
      </c>
      <c r="AL3470" t="s">
        <v>5011</v>
      </c>
      <c r="AM3470">
        <v>30540</v>
      </c>
      <c r="AS3470">
        <v>5.75</v>
      </c>
      <c r="AT3470" t="s">
        <v>509</v>
      </c>
      <c r="AU3470" t="s">
        <v>145</v>
      </c>
      <c r="AV3470" t="s">
        <v>25335</v>
      </c>
      <c r="AW3470" t="s">
        <v>11447</v>
      </c>
    </row>
    <row r="3471" spans="1:49">
      <c r="A3471" s="1">
        <f>HYPERLINK("https://lsnyc.legalserver.org/matter/dynamic-profile/view/1904775","19-1904775")</f>
        <v>0</v>
      </c>
      <c r="B3471" t="s">
        <v>52</v>
      </c>
      <c r="C3471" t="s">
        <v>345</v>
      </c>
      <c r="E3471" t="s">
        <v>1118</v>
      </c>
      <c r="F3471" t="s">
        <v>3623</v>
      </c>
      <c r="G3471" t="s">
        <v>8875</v>
      </c>
      <c r="H3471" t="s">
        <v>10870</v>
      </c>
      <c r="I3471" t="s">
        <v>11383</v>
      </c>
      <c r="J3471">
        <v>10460</v>
      </c>
      <c r="K3471" t="s">
        <v>11446</v>
      </c>
      <c r="L3471" t="s">
        <v>13090</v>
      </c>
      <c r="M3471" t="s">
        <v>14743</v>
      </c>
      <c r="N3471" t="s">
        <v>14781</v>
      </c>
      <c r="P3471" t="s">
        <v>14802</v>
      </c>
      <c r="Q3471" t="s">
        <v>11448</v>
      </c>
      <c r="S3471" t="s">
        <v>14827</v>
      </c>
      <c r="T3471" t="s">
        <v>14832</v>
      </c>
      <c r="U3471" t="s">
        <v>663</v>
      </c>
      <c r="V3471">
        <v>378</v>
      </c>
      <c r="W3471" t="s">
        <v>14858</v>
      </c>
      <c r="X3471" t="s">
        <v>14865</v>
      </c>
      <c r="Z3471" t="s">
        <v>17790</v>
      </c>
      <c r="AA3471" t="s">
        <v>19742</v>
      </c>
      <c r="AB3471" t="s">
        <v>22862</v>
      </c>
      <c r="AC3471">
        <v>200</v>
      </c>
      <c r="AD3471" t="s">
        <v>24597</v>
      </c>
      <c r="AF3471">
        <v>0</v>
      </c>
      <c r="AG3471">
        <v>1</v>
      </c>
      <c r="AH3471">
        <v>2</v>
      </c>
      <c r="AI3471">
        <v>84.84</v>
      </c>
      <c r="AL3471" t="s">
        <v>5011</v>
      </c>
      <c r="AM3471">
        <v>18096</v>
      </c>
      <c r="AS3471">
        <v>10.7</v>
      </c>
      <c r="AT3471" t="s">
        <v>475</v>
      </c>
      <c r="AU3471" t="s">
        <v>114</v>
      </c>
      <c r="AV3471" t="s">
        <v>25334</v>
      </c>
      <c r="AW3471" t="s">
        <v>11447</v>
      </c>
    </row>
    <row r="3472" spans="1:49">
      <c r="A3472" s="1">
        <f>HYPERLINK("https://lsnyc.legalserver.org/matter/dynamic-profile/view/1907888","19-1907888")</f>
        <v>0</v>
      </c>
      <c r="B3472" t="s">
        <v>143</v>
      </c>
      <c r="C3472" t="s">
        <v>524</v>
      </c>
      <c r="E3472" t="s">
        <v>1034</v>
      </c>
      <c r="F3472" t="s">
        <v>5412</v>
      </c>
      <c r="G3472" t="s">
        <v>8876</v>
      </c>
      <c r="H3472" t="s">
        <v>10541</v>
      </c>
      <c r="I3472" t="s">
        <v>11383</v>
      </c>
      <c r="J3472">
        <v>10469</v>
      </c>
      <c r="K3472" t="s">
        <v>11446</v>
      </c>
      <c r="L3472" t="s">
        <v>13091</v>
      </c>
      <c r="M3472" t="s">
        <v>14743</v>
      </c>
      <c r="N3472" t="s">
        <v>14781</v>
      </c>
      <c r="P3472" t="s">
        <v>14802</v>
      </c>
      <c r="Q3472" t="s">
        <v>11448</v>
      </c>
      <c r="S3472" t="s">
        <v>14827</v>
      </c>
      <c r="U3472" t="s">
        <v>601</v>
      </c>
      <c r="V3472">
        <v>434</v>
      </c>
      <c r="W3472" t="s">
        <v>14858</v>
      </c>
      <c r="X3472" t="s">
        <v>14863</v>
      </c>
      <c r="Z3472" t="s">
        <v>16181</v>
      </c>
      <c r="AB3472" t="s">
        <v>22863</v>
      </c>
      <c r="AC3472">
        <v>0</v>
      </c>
      <c r="AD3472" t="s">
        <v>24597</v>
      </c>
      <c r="AE3472" t="s">
        <v>11459</v>
      </c>
      <c r="AF3472">
        <v>13</v>
      </c>
      <c r="AG3472">
        <v>3</v>
      </c>
      <c r="AH3472">
        <v>0</v>
      </c>
      <c r="AI3472">
        <v>34.88</v>
      </c>
      <c r="AL3472" t="s">
        <v>5011</v>
      </c>
      <c r="AM3472">
        <v>7440</v>
      </c>
      <c r="AS3472">
        <v>10.5</v>
      </c>
      <c r="AT3472" t="s">
        <v>477</v>
      </c>
      <c r="AU3472" t="s">
        <v>25311</v>
      </c>
      <c r="AV3472" t="s">
        <v>25335</v>
      </c>
      <c r="AW3472" t="s">
        <v>11447</v>
      </c>
    </row>
    <row r="3473" spans="1:49">
      <c r="A3473" s="1">
        <f>HYPERLINK("https://lsnyc.legalserver.org/matter/dynamic-profile/view/1910701","19-1910701")</f>
        <v>0</v>
      </c>
      <c r="B3473" t="s">
        <v>80</v>
      </c>
      <c r="C3473" t="s">
        <v>663</v>
      </c>
      <c r="E3473" t="s">
        <v>1409</v>
      </c>
      <c r="F3473" t="s">
        <v>4159</v>
      </c>
      <c r="G3473" t="s">
        <v>8877</v>
      </c>
      <c r="H3473" t="s">
        <v>10585</v>
      </c>
      <c r="I3473" t="s">
        <v>11383</v>
      </c>
      <c r="J3473">
        <v>10466</v>
      </c>
      <c r="K3473" t="s">
        <v>11446</v>
      </c>
      <c r="L3473" t="s">
        <v>13092</v>
      </c>
      <c r="M3473" t="s">
        <v>14744</v>
      </c>
      <c r="N3473" t="s">
        <v>14781</v>
      </c>
      <c r="P3473" t="s">
        <v>14802</v>
      </c>
      <c r="S3473" t="s">
        <v>14827</v>
      </c>
      <c r="U3473" t="s">
        <v>604</v>
      </c>
      <c r="V3473">
        <v>1153</v>
      </c>
      <c r="W3473" t="s">
        <v>14858</v>
      </c>
      <c r="X3473" t="s">
        <v>14873</v>
      </c>
      <c r="Z3473" t="s">
        <v>17791</v>
      </c>
      <c r="AA3473" t="s">
        <v>19743</v>
      </c>
      <c r="AB3473" t="s">
        <v>22864</v>
      </c>
      <c r="AC3473">
        <v>27</v>
      </c>
      <c r="AF3473">
        <v>20</v>
      </c>
      <c r="AG3473">
        <v>2</v>
      </c>
      <c r="AH3473">
        <v>1</v>
      </c>
      <c r="AI3473">
        <v>45.01</v>
      </c>
      <c r="AL3473" t="s">
        <v>5011</v>
      </c>
      <c r="AM3473">
        <v>9600</v>
      </c>
      <c r="AS3473">
        <v>0</v>
      </c>
      <c r="AU3473" t="s">
        <v>25311</v>
      </c>
      <c r="AV3473" t="s">
        <v>25335</v>
      </c>
      <c r="AW3473" t="s">
        <v>11447</v>
      </c>
    </row>
    <row r="3474" spans="1:49">
      <c r="A3474" s="1">
        <f>HYPERLINK("https://lsnyc.legalserver.org/matter/dynamic-profile/view/1898158","19-1898158")</f>
        <v>0</v>
      </c>
      <c r="B3474" t="s">
        <v>49</v>
      </c>
      <c r="C3474" t="s">
        <v>610</v>
      </c>
      <c r="E3474" t="s">
        <v>1494</v>
      </c>
      <c r="F3474" t="s">
        <v>5413</v>
      </c>
      <c r="G3474" t="s">
        <v>8878</v>
      </c>
      <c r="H3474">
        <v>1</v>
      </c>
      <c r="I3474" t="s">
        <v>11383</v>
      </c>
      <c r="J3474">
        <v>10461</v>
      </c>
      <c r="K3474" t="s">
        <v>11446</v>
      </c>
      <c r="L3474" t="s">
        <v>13093</v>
      </c>
      <c r="M3474" t="s">
        <v>14744</v>
      </c>
      <c r="N3474" t="s">
        <v>14781</v>
      </c>
      <c r="P3474" t="s">
        <v>14802</v>
      </c>
      <c r="Q3474" t="s">
        <v>11448</v>
      </c>
      <c r="S3474" t="s">
        <v>14827</v>
      </c>
      <c r="T3474" t="s">
        <v>14832</v>
      </c>
      <c r="U3474" t="s">
        <v>604</v>
      </c>
      <c r="V3474">
        <v>1050</v>
      </c>
      <c r="W3474" t="s">
        <v>14858</v>
      </c>
      <c r="X3474" t="s">
        <v>14868</v>
      </c>
      <c r="Z3474" t="s">
        <v>17792</v>
      </c>
      <c r="AB3474" t="s">
        <v>22865</v>
      </c>
      <c r="AC3474">
        <v>2</v>
      </c>
      <c r="AD3474" t="s">
        <v>11479</v>
      </c>
      <c r="AE3474" t="s">
        <v>11459</v>
      </c>
      <c r="AF3474">
        <v>0</v>
      </c>
      <c r="AG3474">
        <v>2</v>
      </c>
      <c r="AH3474">
        <v>0</v>
      </c>
      <c r="AI3474">
        <v>59.4</v>
      </c>
      <c r="AM3474">
        <v>10044</v>
      </c>
      <c r="AN3474" t="s">
        <v>24858</v>
      </c>
      <c r="AS3474">
        <v>10.3</v>
      </c>
      <c r="AT3474" t="s">
        <v>589</v>
      </c>
      <c r="AU3474" t="s">
        <v>94</v>
      </c>
      <c r="AV3474" t="s">
        <v>25335</v>
      </c>
      <c r="AW3474" t="s">
        <v>11446</v>
      </c>
    </row>
    <row r="3475" spans="1:49">
      <c r="A3475" s="1">
        <f>HYPERLINK("https://lsnyc.legalserver.org/matter/dynamic-profile/view/1910798","19-1910798")</f>
        <v>0</v>
      </c>
      <c r="B3475" t="s">
        <v>303</v>
      </c>
      <c r="C3475" t="s">
        <v>601</v>
      </c>
      <c r="E3475" t="s">
        <v>1264</v>
      </c>
      <c r="F3475" t="s">
        <v>5414</v>
      </c>
      <c r="G3475" t="s">
        <v>8879</v>
      </c>
      <c r="I3475" t="s">
        <v>11383</v>
      </c>
      <c r="J3475">
        <v>10456</v>
      </c>
      <c r="K3475" t="s">
        <v>11446</v>
      </c>
      <c r="L3475" t="s">
        <v>13094</v>
      </c>
      <c r="M3475" t="s">
        <v>14743</v>
      </c>
      <c r="N3475" t="s">
        <v>14781</v>
      </c>
      <c r="P3475" t="s">
        <v>14802</v>
      </c>
      <c r="Q3475" t="s">
        <v>11448</v>
      </c>
      <c r="S3475" t="s">
        <v>14827</v>
      </c>
      <c r="U3475" t="s">
        <v>604</v>
      </c>
      <c r="V3475">
        <v>1294</v>
      </c>
      <c r="W3475" t="s">
        <v>14858</v>
      </c>
      <c r="X3475" t="s">
        <v>14870</v>
      </c>
      <c r="Z3475" t="s">
        <v>16534</v>
      </c>
      <c r="AB3475" t="s">
        <v>22866</v>
      </c>
      <c r="AC3475">
        <v>5</v>
      </c>
      <c r="AD3475" t="s">
        <v>24596</v>
      </c>
      <c r="AE3475" t="s">
        <v>24610</v>
      </c>
      <c r="AF3475">
        <v>5</v>
      </c>
      <c r="AG3475">
        <v>2</v>
      </c>
      <c r="AH3475">
        <v>2</v>
      </c>
      <c r="AI3475">
        <v>62.89</v>
      </c>
      <c r="AL3475" t="s">
        <v>5011</v>
      </c>
      <c r="AM3475">
        <v>16193</v>
      </c>
      <c r="AS3475">
        <v>39.24</v>
      </c>
      <c r="AT3475" t="s">
        <v>580</v>
      </c>
      <c r="AU3475" t="s">
        <v>25247</v>
      </c>
      <c r="AV3475" t="s">
        <v>25335</v>
      </c>
      <c r="AW3475" t="s">
        <v>11447</v>
      </c>
    </row>
    <row r="3476" spans="1:49">
      <c r="A3476" s="1">
        <f>HYPERLINK("https://lsnyc.legalserver.org/matter/dynamic-profile/view/1908424","19-1908424")</f>
        <v>0</v>
      </c>
      <c r="B3476" t="s">
        <v>111</v>
      </c>
      <c r="C3476" t="s">
        <v>464</v>
      </c>
      <c r="E3476" t="s">
        <v>2791</v>
      </c>
      <c r="F3476" t="s">
        <v>3742</v>
      </c>
      <c r="G3476" t="s">
        <v>8880</v>
      </c>
      <c r="H3476" t="s">
        <v>10481</v>
      </c>
      <c r="I3476" t="s">
        <v>11383</v>
      </c>
      <c r="J3476">
        <v>10454</v>
      </c>
      <c r="K3476" t="s">
        <v>11446</v>
      </c>
      <c r="L3476" t="s">
        <v>13095</v>
      </c>
      <c r="M3476" t="s">
        <v>14743</v>
      </c>
      <c r="N3476" t="s">
        <v>14781</v>
      </c>
      <c r="P3476" t="s">
        <v>14802</v>
      </c>
      <c r="Q3476" t="s">
        <v>11448</v>
      </c>
      <c r="S3476" t="s">
        <v>14827</v>
      </c>
      <c r="T3476" t="s">
        <v>14832</v>
      </c>
      <c r="U3476" t="s">
        <v>604</v>
      </c>
      <c r="V3476">
        <v>1484</v>
      </c>
      <c r="W3476" t="s">
        <v>14858</v>
      </c>
      <c r="X3476" t="s">
        <v>14863</v>
      </c>
      <c r="Z3476" t="s">
        <v>17793</v>
      </c>
      <c r="AB3476" t="s">
        <v>22867</v>
      </c>
      <c r="AC3476">
        <v>0</v>
      </c>
      <c r="AD3476" t="s">
        <v>24597</v>
      </c>
      <c r="AE3476" t="s">
        <v>24610</v>
      </c>
      <c r="AF3476">
        <v>11</v>
      </c>
      <c r="AG3476">
        <v>1</v>
      </c>
      <c r="AH3476">
        <v>4</v>
      </c>
      <c r="AI3476">
        <v>68.94</v>
      </c>
      <c r="AL3476" t="s">
        <v>5011</v>
      </c>
      <c r="AM3476">
        <v>20800</v>
      </c>
      <c r="AS3476">
        <v>19.95</v>
      </c>
      <c r="AT3476" t="s">
        <v>506</v>
      </c>
      <c r="AU3476" t="s">
        <v>25239</v>
      </c>
      <c r="AV3476" t="s">
        <v>25335</v>
      </c>
      <c r="AW3476" t="s">
        <v>11447</v>
      </c>
    </row>
    <row r="3477" spans="1:49">
      <c r="A3477" s="1">
        <f>HYPERLINK("https://lsnyc.legalserver.org/matter/dynamic-profile/view/1907487","19-1907487")</f>
        <v>0</v>
      </c>
      <c r="B3477" t="s">
        <v>111</v>
      </c>
      <c r="C3477" t="s">
        <v>465</v>
      </c>
      <c r="E3477" t="s">
        <v>2792</v>
      </c>
      <c r="F3477" t="s">
        <v>5415</v>
      </c>
      <c r="G3477" t="s">
        <v>8881</v>
      </c>
      <c r="H3477" t="s">
        <v>10579</v>
      </c>
      <c r="I3477" t="s">
        <v>11383</v>
      </c>
      <c r="J3477">
        <v>10460</v>
      </c>
      <c r="K3477" t="s">
        <v>11446</v>
      </c>
      <c r="L3477" t="s">
        <v>13096</v>
      </c>
      <c r="M3477" t="s">
        <v>14743</v>
      </c>
      <c r="N3477" t="s">
        <v>14779</v>
      </c>
      <c r="P3477" t="s">
        <v>14802</v>
      </c>
      <c r="Q3477" t="s">
        <v>11448</v>
      </c>
      <c r="S3477" t="s">
        <v>14830</v>
      </c>
      <c r="U3477" t="s">
        <v>604</v>
      </c>
      <c r="V3477">
        <v>168</v>
      </c>
      <c r="W3477" t="s">
        <v>14858</v>
      </c>
      <c r="X3477" t="s">
        <v>14868</v>
      </c>
      <c r="Z3477" t="s">
        <v>17794</v>
      </c>
      <c r="AA3477">
        <v>396724180</v>
      </c>
      <c r="AB3477" t="s">
        <v>22868</v>
      </c>
      <c r="AC3477">
        <v>21</v>
      </c>
      <c r="AD3477" t="s">
        <v>24595</v>
      </c>
      <c r="AE3477" t="s">
        <v>24610</v>
      </c>
      <c r="AF3477">
        <v>14</v>
      </c>
      <c r="AG3477">
        <v>1</v>
      </c>
      <c r="AH3477">
        <v>0</v>
      </c>
      <c r="AI3477">
        <v>74.08</v>
      </c>
      <c r="AL3477" t="s">
        <v>5011</v>
      </c>
      <c r="AM3477">
        <v>9252</v>
      </c>
      <c r="AS3477">
        <v>1</v>
      </c>
      <c r="AT3477" t="s">
        <v>497</v>
      </c>
      <c r="AU3477" t="s">
        <v>25242</v>
      </c>
      <c r="AV3477" t="s">
        <v>25335</v>
      </c>
      <c r="AW3477" t="s">
        <v>11447</v>
      </c>
    </row>
    <row r="3478" spans="1:49">
      <c r="A3478" s="1">
        <f>HYPERLINK("https://lsnyc.legalserver.org/matter/dynamic-profile/view/1910634","19-1910634")</f>
        <v>0</v>
      </c>
      <c r="B3478" t="s">
        <v>154</v>
      </c>
      <c r="C3478" t="s">
        <v>644</v>
      </c>
      <c r="E3478" t="s">
        <v>2793</v>
      </c>
      <c r="F3478" t="s">
        <v>1057</v>
      </c>
      <c r="G3478" t="s">
        <v>8882</v>
      </c>
      <c r="H3478">
        <v>6</v>
      </c>
      <c r="I3478" t="s">
        <v>11383</v>
      </c>
      <c r="J3478">
        <v>10455</v>
      </c>
      <c r="K3478" t="s">
        <v>11446</v>
      </c>
      <c r="L3478" t="s">
        <v>13097</v>
      </c>
      <c r="M3478" t="s">
        <v>14744</v>
      </c>
      <c r="N3478" t="s">
        <v>14778</v>
      </c>
      <c r="P3478" t="s">
        <v>14802</v>
      </c>
      <c r="Q3478" t="s">
        <v>11448</v>
      </c>
      <c r="S3478" t="s">
        <v>14827</v>
      </c>
      <c r="U3478" t="s">
        <v>604</v>
      </c>
      <c r="V3478">
        <v>897.15</v>
      </c>
      <c r="W3478" t="s">
        <v>14858</v>
      </c>
      <c r="X3478" t="s">
        <v>14873</v>
      </c>
      <c r="Z3478" t="s">
        <v>17795</v>
      </c>
      <c r="AB3478" t="s">
        <v>22869</v>
      </c>
      <c r="AC3478">
        <v>10</v>
      </c>
      <c r="AD3478" t="s">
        <v>24595</v>
      </c>
      <c r="AF3478">
        <v>9</v>
      </c>
      <c r="AG3478">
        <v>2</v>
      </c>
      <c r="AH3478">
        <v>0</v>
      </c>
      <c r="AI3478">
        <v>146.37</v>
      </c>
      <c r="AL3478" t="s">
        <v>5011</v>
      </c>
      <c r="AM3478">
        <v>24752</v>
      </c>
      <c r="AS3478">
        <v>0.5</v>
      </c>
      <c r="AT3478" t="s">
        <v>644</v>
      </c>
      <c r="AU3478" t="s">
        <v>145</v>
      </c>
      <c r="AV3478" t="s">
        <v>25335</v>
      </c>
      <c r="AW3478" t="s">
        <v>11447</v>
      </c>
    </row>
    <row r="3479" spans="1:49">
      <c r="A3479" s="1">
        <f>HYPERLINK("https://lsnyc.legalserver.org/matter/dynamic-profile/view/1911051","19-1911051")</f>
        <v>0</v>
      </c>
      <c r="B3479" t="s">
        <v>157</v>
      </c>
      <c r="C3479" t="s">
        <v>460</v>
      </c>
      <c r="E3479" t="s">
        <v>1106</v>
      </c>
      <c r="F3479" t="s">
        <v>3547</v>
      </c>
      <c r="G3479" t="s">
        <v>8883</v>
      </c>
      <c r="H3479" t="s">
        <v>11091</v>
      </c>
      <c r="I3479" t="s">
        <v>11383</v>
      </c>
      <c r="J3479">
        <v>10473</v>
      </c>
      <c r="K3479" t="s">
        <v>11446</v>
      </c>
      <c r="L3479" t="s">
        <v>13098</v>
      </c>
      <c r="M3479" t="s">
        <v>14743</v>
      </c>
      <c r="N3479" t="s">
        <v>14781</v>
      </c>
      <c r="P3479" t="s">
        <v>14802</v>
      </c>
      <c r="Q3479" t="s">
        <v>11448</v>
      </c>
      <c r="S3479" t="s">
        <v>14827</v>
      </c>
      <c r="U3479" t="s">
        <v>460</v>
      </c>
      <c r="V3479">
        <v>1250</v>
      </c>
      <c r="W3479" t="s">
        <v>14858</v>
      </c>
      <c r="X3479" t="s">
        <v>14863</v>
      </c>
      <c r="Z3479" t="s">
        <v>15188</v>
      </c>
      <c r="AA3479" t="s">
        <v>19744</v>
      </c>
      <c r="AB3479" t="s">
        <v>22870</v>
      </c>
      <c r="AC3479">
        <v>1</v>
      </c>
      <c r="AD3479" t="s">
        <v>11479</v>
      </c>
      <c r="AE3479" t="s">
        <v>24611</v>
      </c>
      <c r="AF3479">
        <v>15</v>
      </c>
      <c r="AG3479">
        <v>2</v>
      </c>
      <c r="AH3479">
        <v>0</v>
      </c>
      <c r="AI3479">
        <v>53.22</v>
      </c>
      <c r="AL3479" t="s">
        <v>5011</v>
      </c>
      <c r="AM3479">
        <v>9000</v>
      </c>
      <c r="AS3479">
        <v>4.5</v>
      </c>
      <c r="AT3479" t="s">
        <v>491</v>
      </c>
      <c r="AU3479" t="s">
        <v>25239</v>
      </c>
      <c r="AV3479" t="s">
        <v>25334</v>
      </c>
      <c r="AW3479" t="s">
        <v>11447</v>
      </c>
    </row>
    <row r="3480" spans="1:49">
      <c r="A3480" s="1">
        <f>HYPERLINK("https://lsnyc.legalserver.org/matter/dynamic-profile/view/1910582","19-1910582")</f>
        <v>0</v>
      </c>
      <c r="B3480" t="s">
        <v>273</v>
      </c>
      <c r="C3480" t="s">
        <v>644</v>
      </c>
      <c r="E3480" t="s">
        <v>1598</v>
      </c>
      <c r="F3480" t="s">
        <v>3623</v>
      </c>
      <c r="G3480" t="s">
        <v>8884</v>
      </c>
      <c r="H3480" t="s">
        <v>10476</v>
      </c>
      <c r="I3480" t="s">
        <v>11383</v>
      </c>
      <c r="J3480">
        <v>10454</v>
      </c>
      <c r="K3480" t="s">
        <v>11446</v>
      </c>
      <c r="L3480" t="s">
        <v>13099</v>
      </c>
      <c r="M3480" t="s">
        <v>14744</v>
      </c>
      <c r="N3480" t="s">
        <v>14781</v>
      </c>
      <c r="P3480" t="s">
        <v>14802</v>
      </c>
      <c r="S3480" t="s">
        <v>14827</v>
      </c>
      <c r="U3480" t="s">
        <v>511</v>
      </c>
      <c r="V3480">
        <v>0</v>
      </c>
      <c r="W3480" t="s">
        <v>14858</v>
      </c>
      <c r="X3480" t="s">
        <v>14864</v>
      </c>
      <c r="AC3480">
        <v>22</v>
      </c>
      <c r="AD3480" t="s">
        <v>24595</v>
      </c>
      <c r="AF3480">
        <v>0</v>
      </c>
      <c r="AG3480">
        <v>1</v>
      </c>
      <c r="AH3480">
        <v>2</v>
      </c>
      <c r="AI3480">
        <v>139.24</v>
      </c>
      <c r="AL3480" t="s">
        <v>5011</v>
      </c>
      <c r="AM3480">
        <v>29700.18</v>
      </c>
      <c r="AS3480">
        <v>7.6</v>
      </c>
      <c r="AT3480" t="s">
        <v>654</v>
      </c>
      <c r="AU3480" t="s">
        <v>145</v>
      </c>
      <c r="AV3480" t="s">
        <v>25335</v>
      </c>
      <c r="AW3480" t="s">
        <v>11447</v>
      </c>
    </row>
    <row r="3481" spans="1:49">
      <c r="A3481" s="1">
        <f>HYPERLINK("https://lsnyc.legalserver.org/matter/dynamic-profile/view/1911653","19-1911653")</f>
        <v>0</v>
      </c>
      <c r="B3481" t="s">
        <v>80</v>
      </c>
      <c r="C3481" t="s">
        <v>526</v>
      </c>
      <c r="E3481" t="s">
        <v>2794</v>
      </c>
      <c r="F3481" t="s">
        <v>4037</v>
      </c>
      <c r="G3481" t="s">
        <v>8885</v>
      </c>
      <c r="H3481">
        <v>349</v>
      </c>
      <c r="I3481" t="s">
        <v>11383</v>
      </c>
      <c r="J3481">
        <v>10451</v>
      </c>
      <c r="K3481" t="s">
        <v>11446</v>
      </c>
      <c r="L3481" t="s">
        <v>13100</v>
      </c>
      <c r="M3481" t="s">
        <v>14744</v>
      </c>
      <c r="N3481" t="s">
        <v>14781</v>
      </c>
      <c r="P3481" t="s">
        <v>14802</v>
      </c>
      <c r="Q3481" t="s">
        <v>11446</v>
      </c>
      <c r="S3481" t="s">
        <v>14827</v>
      </c>
      <c r="U3481" t="s">
        <v>526</v>
      </c>
      <c r="V3481">
        <v>971</v>
      </c>
      <c r="W3481" t="s">
        <v>14858</v>
      </c>
      <c r="X3481" t="s">
        <v>14873</v>
      </c>
      <c r="Z3481" t="s">
        <v>17796</v>
      </c>
      <c r="AA3481" t="s">
        <v>19745</v>
      </c>
      <c r="AB3481" t="s">
        <v>22871</v>
      </c>
      <c r="AC3481">
        <v>216</v>
      </c>
      <c r="AF3481">
        <v>9</v>
      </c>
      <c r="AG3481">
        <v>1</v>
      </c>
      <c r="AH3481">
        <v>0</v>
      </c>
      <c r="AI3481">
        <v>129.9</v>
      </c>
      <c r="AL3481" t="s">
        <v>5011</v>
      </c>
      <c r="AM3481">
        <v>16224</v>
      </c>
      <c r="AS3481">
        <v>4.5</v>
      </c>
      <c r="AT3481" t="s">
        <v>603</v>
      </c>
      <c r="AU3481" t="s">
        <v>25311</v>
      </c>
      <c r="AV3481" t="s">
        <v>25334</v>
      </c>
      <c r="AW3481" t="s">
        <v>11447</v>
      </c>
    </row>
    <row r="3482" spans="1:49">
      <c r="A3482" s="1">
        <f>HYPERLINK("https://lsnyc.legalserver.org/matter/dynamic-profile/view/1911706","19-1911706")</f>
        <v>0</v>
      </c>
      <c r="B3482" t="s">
        <v>268</v>
      </c>
      <c r="C3482" t="s">
        <v>505</v>
      </c>
      <c r="E3482" t="s">
        <v>1686</v>
      </c>
      <c r="F3482" t="s">
        <v>4857</v>
      </c>
      <c r="G3482" t="s">
        <v>7951</v>
      </c>
      <c r="I3482" t="s">
        <v>11383</v>
      </c>
      <c r="J3482">
        <v>10455</v>
      </c>
      <c r="K3482" t="s">
        <v>11446</v>
      </c>
      <c r="L3482" t="s">
        <v>13101</v>
      </c>
      <c r="M3482" t="s">
        <v>14743</v>
      </c>
      <c r="N3482" t="s">
        <v>14781</v>
      </c>
      <c r="P3482" t="s">
        <v>14802</v>
      </c>
      <c r="Q3482" t="s">
        <v>11448</v>
      </c>
      <c r="R3482" t="s">
        <v>14802</v>
      </c>
      <c r="S3482" t="s">
        <v>14827</v>
      </c>
      <c r="U3482" t="s">
        <v>505</v>
      </c>
      <c r="V3482">
        <v>439.43</v>
      </c>
      <c r="W3482" t="s">
        <v>14858</v>
      </c>
      <c r="X3482" t="s">
        <v>14863</v>
      </c>
      <c r="Z3482" t="s">
        <v>16917</v>
      </c>
      <c r="AB3482" t="s">
        <v>21939</v>
      </c>
      <c r="AC3482">
        <v>9</v>
      </c>
      <c r="AD3482" t="s">
        <v>24595</v>
      </c>
      <c r="AE3482" t="s">
        <v>11459</v>
      </c>
      <c r="AF3482">
        <v>39</v>
      </c>
      <c r="AG3482">
        <v>2</v>
      </c>
      <c r="AH3482">
        <v>0</v>
      </c>
      <c r="AI3482">
        <v>107.77</v>
      </c>
      <c r="AL3482" t="s">
        <v>24632</v>
      </c>
      <c r="AM3482">
        <v>18223.2</v>
      </c>
      <c r="AS3482">
        <v>25.3</v>
      </c>
      <c r="AT3482" t="s">
        <v>483</v>
      </c>
      <c r="AU3482" t="s">
        <v>25252</v>
      </c>
      <c r="AV3482" t="s">
        <v>25335</v>
      </c>
      <c r="AW3482" t="s">
        <v>11447</v>
      </c>
    </row>
    <row r="3483" spans="1:49">
      <c r="A3483" s="1">
        <f>HYPERLINK("https://lsnyc.legalserver.org/matter/dynamic-profile/view/1910180","19-1910180")</f>
        <v>0</v>
      </c>
      <c r="B3483" t="s">
        <v>96</v>
      </c>
      <c r="C3483" t="s">
        <v>528</v>
      </c>
      <c r="E3483" t="s">
        <v>1601</v>
      </c>
      <c r="F3483" t="s">
        <v>5416</v>
      </c>
      <c r="G3483" t="s">
        <v>8886</v>
      </c>
      <c r="H3483">
        <v>12</v>
      </c>
      <c r="I3483" t="s">
        <v>11383</v>
      </c>
      <c r="J3483">
        <v>10459</v>
      </c>
      <c r="K3483" t="s">
        <v>11446</v>
      </c>
      <c r="L3483" t="s">
        <v>13102</v>
      </c>
      <c r="M3483" t="s">
        <v>14744</v>
      </c>
      <c r="N3483" t="s">
        <v>14781</v>
      </c>
      <c r="P3483" t="s">
        <v>14802</v>
      </c>
      <c r="Q3483" t="s">
        <v>11448</v>
      </c>
      <c r="S3483" t="s">
        <v>14827</v>
      </c>
      <c r="T3483" t="s">
        <v>14832</v>
      </c>
      <c r="U3483" t="s">
        <v>505</v>
      </c>
      <c r="V3483">
        <v>773</v>
      </c>
      <c r="W3483" t="s">
        <v>14858</v>
      </c>
      <c r="X3483" t="s">
        <v>14863</v>
      </c>
      <c r="Z3483" t="s">
        <v>17797</v>
      </c>
      <c r="AA3483" t="s">
        <v>19746</v>
      </c>
      <c r="AB3483" t="s">
        <v>22872</v>
      </c>
      <c r="AC3483">
        <v>18</v>
      </c>
      <c r="AD3483" t="s">
        <v>24599</v>
      </c>
      <c r="AE3483" t="s">
        <v>24613</v>
      </c>
      <c r="AF3483">
        <v>53</v>
      </c>
      <c r="AG3483">
        <v>1</v>
      </c>
      <c r="AH3483">
        <v>0</v>
      </c>
      <c r="AI3483">
        <v>128.11</v>
      </c>
      <c r="AL3483" t="s">
        <v>5011</v>
      </c>
      <c r="AM3483">
        <v>16001.52</v>
      </c>
      <c r="AS3483">
        <v>4.1</v>
      </c>
      <c r="AT3483" t="s">
        <v>509</v>
      </c>
      <c r="AU3483" t="s">
        <v>145</v>
      </c>
      <c r="AV3483" t="s">
        <v>25334</v>
      </c>
      <c r="AW3483" t="s">
        <v>11447</v>
      </c>
    </row>
    <row r="3484" spans="1:49">
      <c r="A3484" s="1">
        <f>HYPERLINK("https://lsnyc.legalserver.org/matter/dynamic-profile/view/1910225","19-1910225")</f>
        <v>0</v>
      </c>
      <c r="B3484" t="s">
        <v>304</v>
      </c>
      <c r="C3484" t="s">
        <v>528</v>
      </c>
      <c r="E3484" t="s">
        <v>1169</v>
      </c>
      <c r="F3484" t="s">
        <v>3919</v>
      </c>
      <c r="G3484" t="s">
        <v>8887</v>
      </c>
      <c r="H3484">
        <v>224</v>
      </c>
      <c r="I3484" t="s">
        <v>11383</v>
      </c>
      <c r="J3484">
        <v>10458</v>
      </c>
      <c r="K3484" t="s">
        <v>11446</v>
      </c>
      <c r="L3484" t="s">
        <v>13103</v>
      </c>
      <c r="M3484" t="s">
        <v>14744</v>
      </c>
      <c r="N3484" t="s">
        <v>14781</v>
      </c>
      <c r="P3484" t="s">
        <v>14802</v>
      </c>
      <c r="Q3484" t="s">
        <v>11448</v>
      </c>
      <c r="S3484" t="s">
        <v>14827</v>
      </c>
      <c r="U3484" t="s">
        <v>505</v>
      </c>
      <c r="V3484">
        <v>922.91</v>
      </c>
      <c r="W3484" t="s">
        <v>14858</v>
      </c>
      <c r="X3484" t="s">
        <v>14868</v>
      </c>
      <c r="Z3484" t="s">
        <v>17798</v>
      </c>
      <c r="AA3484" t="s">
        <v>19747</v>
      </c>
      <c r="AB3484" t="s">
        <v>22873</v>
      </c>
      <c r="AC3484">
        <v>166</v>
      </c>
      <c r="AD3484" t="s">
        <v>24595</v>
      </c>
      <c r="AE3484" t="s">
        <v>11459</v>
      </c>
      <c r="AF3484">
        <v>24</v>
      </c>
      <c r="AG3484">
        <v>2</v>
      </c>
      <c r="AH3484">
        <v>0</v>
      </c>
      <c r="AI3484">
        <v>148.81</v>
      </c>
      <c r="AL3484" t="s">
        <v>5011</v>
      </c>
      <c r="AM3484">
        <v>25163.96</v>
      </c>
      <c r="AS3484">
        <v>7.1</v>
      </c>
      <c r="AT3484" t="s">
        <v>491</v>
      </c>
      <c r="AU3484" t="s">
        <v>145</v>
      </c>
      <c r="AV3484" t="s">
        <v>25335</v>
      </c>
      <c r="AW3484" t="s">
        <v>11447</v>
      </c>
    </row>
    <row r="3485" spans="1:49">
      <c r="A3485" s="1">
        <f>HYPERLINK("https://lsnyc.legalserver.org/matter/dynamic-profile/view/1911876","19-1911876")</f>
        <v>0</v>
      </c>
      <c r="B3485" t="s">
        <v>69</v>
      </c>
      <c r="C3485" t="s">
        <v>645</v>
      </c>
      <c r="E3485" t="s">
        <v>1692</v>
      </c>
      <c r="F3485" t="s">
        <v>3510</v>
      </c>
      <c r="G3485" t="s">
        <v>8888</v>
      </c>
      <c r="H3485" t="s">
        <v>10522</v>
      </c>
      <c r="I3485" t="s">
        <v>11383</v>
      </c>
      <c r="J3485">
        <v>10474</v>
      </c>
      <c r="K3485" t="s">
        <v>11446</v>
      </c>
      <c r="L3485" t="s">
        <v>13104</v>
      </c>
      <c r="M3485" t="s">
        <v>14744</v>
      </c>
      <c r="N3485" t="s">
        <v>14781</v>
      </c>
      <c r="P3485" t="s">
        <v>14802</v>
      </c>
      <c r="Q3485" t="s">
        <v>11448</v>
      </c>
      <c r="S3485" t="s">
        <v>14827</v>
      </c>
      <c r="T3485" t="s">
        <v>14832</v>
      </c>
      <c r="U3485" t="s">
        <v>645</v>
      </c>
      <c r="V3485">
        <v>1541</v>
      </c>
      <c r="W3485" t="s">
        <v>14858</v>
      </c>
      <c r="X3485" t="s">
        <v>14868</v>
      </c>
      <c r="Z3485" t="s">
        <v>17799</v>
      </c>
      <c r="AA3485" t="s">
        <v>19748</v>
      </c>
      <c r="AB3485" t="s">
        <v>22874</v>
      </c>
      <c r="AC3485">
        <v>59</v>
      </c>
      <c r="AD3485" t="s">
        <v>24595</v>
      </c>
      <c r="AF3485">
        <v>4</v>
      </c>
      <c r="AG3485">
        <v>2</v>
      </c>
      <c r="AH3485">
        <v>1</v>
      </c>
      <c r="AI3485">
        <v>170.37</v>
      </c>
      <c r="AL3485" t="s">
        <v>5011</v>
      </c>
      <c r="AM3485">
        <v>36340</v>
      </c>
      <c r="AS3485">
        <v>12.25</v>
      </c>
      <c r="AT3485" t="s">
        <v>592</v>
      </c>
      <c r="AU3485" t="s">
        <v>25239</v>
      </c>
      <c r="AV3485" t="s">
        <v>25334</v>
      </c>
      <c r="AW3485" t="s">
        <v>11447</v>
      </c>
    </row>
    <row r="3486" spans="1:49">
      <c r="A3486" s="1">
        <f>HYPERLINK("https://lsnyc.legalserver.org/matter/dynamic-profile/view/1899467","19-1899467")</f>
        <v>0</v>
      </c>
      <c r="B3486" t="s">
        <v>111</v>
      </c>
      <c r="C3486" t="s">
        <v>329</v>
      </c>
      <c r="E3486" t="s">
        <v>1690</v>
      </c>
      <c r="F3486" t="s">
        <v>4211</v>
      </c>
      <c r="G3486" t="s">
        <v>8889</v>
      </c>
      <c r="H3486" t="s">
        <v>10474</v>
      </c>
      <c r="I3486" t="s">
        <v>11383</v>
      </c>
      <c r="J3486">
        <v>10460</v>
      </c>
      <c r="K3486" t="s">
        <v>11446</v>
      </c>
      <c r="L3486" t="s">
        <v>13105</v>
      </c>
      <c r="M3486" t="s">
        <v>14743</v>
      </c>
      <c r="N3486" t="s">
        <v>14781</v>
      </c>
      <c r="P3486" t="s">
        <v>14802</v>
      </c>
      <c r="Q3486" t="s">
        <v>11448</v>
      </c>
      <c r="S3486" t="s">
        <v>14827</v>
      </c>
      <c r="T3486" t="s">
        <v>14832</v>
      </c>
      <c r="U3486" t="s">
        <v>586</v>
      </c>
      <c r="V3486">
        <v>0</v>
      </c>
      <c r="W3486" t="s">
        <v>14858</v>
      </c>
      <c r="Z3486" t="s">
        <v>17800</v>
      </c>
      <c r="AB3486" t="s">
        <v>22875</v>
      </c>
      <c r="AC3486">
        <v>65</v>
      </c>
      <c r="AD3486" t="s">
        <v>24597</v>
      </c>
      <c r="AE3486" t="s">
        <v>11459</v>
      </c>
      <c r="AF3486">
        <v>5</v>
      </c>
      <c r="AG3486">
        <v>2</v>
      </c>
      <c r="AH3486">
        <v>1</v>
      </c>
      <c r="AI3486">
        <v>158.46</v>
      </c>
      <c r="AL3486" t="s">
        <v>5011</v>
      </c>
      <c r="AM3486">
        <v>33800</v>
      </c>
      <c r="AS3486">
        <v>68.45</v>
      </c>
      <c r="AT3486" t="s">
        <v>460</v>
      </c>
      <c r="AU3486" t="s">
        <v>145</v>
      </c>
      <c r="AV3486" t="s">
        <v>25335</v>
      </c>
      <c r="AW3486" t="s">
        <v>11447</v>
      </c>
    </row>
    <row r="3487" spans="1:49">
      <c r="A3487" s="1">
        <f>HYPERLINK("https://lsnyc.legalserver.org/matter/dynamic-profile/view/1910189","19-1910189")</f>
        <v>0</v>
      </c>
      <c r="B3487" t="s">
        <v>302</v>
      </c>
      <c r="C3487" t="s">
        <v>528</v>
      </c>
      <c r="E3487" t="s">
        <v>2795</v>
      </c>
      <c r="F3487" t="s">
        <v>5417</v>
      </c>
      <c r="G3487" t="s">
        <v>6443</v>
      </c>
      <c r="H3487" t="s">
        <v>10481</v>
      </c>
      <c r="I3487" t="s">
        <v>11383</v>
      </c>
      <c r="J3487">
        <v>10460</v>
      </c>
      <c r="K3487" t="s">
        <v>11446</v>
      </c>
      <c r="L3487" t="s">
        <v>13106</v>
      </c>
      <c r="M3487" t="s">
        <v>14743</v>
      </c>
      <c r="N3487" t="s">
        <v>14781</v>
      </c>
      <c r="P3487" t="s">
        <v>14802</v>
      </c>
      <c r="Q3487" t="s">
        <v>11448</v>
      </c>
      <c r="S3487" t="s">
        <v>14827</v>
      </c>
      <c r="T3487" t="s">
        <v>14832</v>
      </c>
      <c r="U3487" t="s">
        <v>586</v>
      </c>
      <c r="V3487">
        <v>1365</v>
      </c>
      <c r="W3487" t="s">
        <v>14858</v>
      </c>
      <c r="X3487" t="s">
        <v>14863</v>
      </c>
      <c r="Z3487" t="s">
        <v>17801</v>
      </c>
      <c r="AB3487" t="s">
        <v>22876</v>
      </c>
      <c r="AC3487">
        <v>238</v>
      </c>
      <c r="AD3487" t="s">
        <v>24604</v>
      </c>
      <c r="AE3487" t="s">
        <v>24610</v>
      </c>
      <c r="AF3487">
        <v>4</v>
      </c>
      <c r="AG3487">
        <v>1</v>
      </c>
      <c r="AH3487">
        <v>0</v>
      </c>
      <c r="AI3487">
        <v>196.67</v>
      </c>
      <c r="AL3487" t="s">
        <v>5011</v>
      </c>
      <c r="AM3487">
        <v>24564</v>
      </c>
      <c r="AS3487">
        <v>17.6</v>
      </c>
      <c r="AT3487" t="s">
        <v>592</v>
      </c>
      <c r="AU3487" t="s">
        <v>145</v>
      </c>
      <c r="AV3487" t="s">
        <v>25335</v>
      </c>
      <c r="AW3487" t="s">
        <v>11447</v>
      </c>
    </row>
    <row r="3488" spans="1:49">
      <c r="A3488" s="1">
        <f>HYPERLINK("https://lsnyc.legalserver.org/matter/dynamic-profile/view/1909650","19-1909650")</f>
        <v>0</v>
      </c>
      <c r="B3488" t="s">
        <v>302</v>
      </c>
      <c r="C3488" t="s">
        <v>463</v>
      </c>
      <c r="E3488" t="s">
        <v>1930</v>
      </c>
      <c r="F3488" t="s">
        <v>5418</v>
      </c>
      <c r="G3488" t="s">
        <v>6527</v>
      </c>
      <c r="H3488" t="s">
        <v>11140</v>
      </c>
      <c r="I3488" t="s">
        <v>11383</v>
      </c>
      <c r="J3488">
        <v>10453</v>
      </c>
      <c r="K3488" t="s">
        <v>11446</v>
      </c>
      <c r="L3488" t="s">
        <v>13107</v>
      </c>
      <c r="M3488" t="s">
        <v>14744</v>
      </c>
      <c r="N3488" t="s">
        <v>14781</v>
      </c>
      <c r="P3488" t="s">
        <v>14802</v>
      </c>
      <c r="Q3488" t="s">
        <v>11448</v>
      </c>
      <c r="S3488" t="s">
        <v>14827</v>
      </c>
      <c r="T3488" t="s">
        <v>14832</v>
      </c>
      <c r="U3488" t="s">
        <v>473</v>
      </c>
      <c r="V3488">
        <v>1665</v>
      </c>
      <c r="W3488" t="s">
        <v>14858</v>
      </c>
      <c r="X3488" t="s">
        <v>14863</v>
      </c>
      <c r="Z3488" t="s">
        <v>17802</v>
      </c>
      <c r="AA3488" t="s">
        <v>19749</v>
      </c>
      <c r="AC3488">
        <v>439</v>
      </c>
      <c r="AD3488" t="s">
        <v>24601</v>
      </c>
      <c r="AE3488" t="s">
        <v>14755</v>
      </c>
      <c r="AF3488">
        <v>3</v>
      </c>
      <c r="AG3488">
        <v>1</v>
      </c>
      <c r="AH3488">
        <v>3</v>
      </c>
      <c r="AI3488">
        <v>53.87</v>
      </c>
      <c r="AL3488" t="s">
        <v>5011</v>
      </c>
      <c r="AM3488">
        <v>13872</v>
      </c>
      <c r="AS3488">
        <v>41.4</v>
      </c>
      <c r="AT3488" t="s">
        <v>537</v>
      </c>
      <c r="AU3488" t="s">
        <v>145</v>
      </c>
      <c r="AV3488" t="s">
        <v>25334</v>
      </c>
      <c r="AW3488" t="s">
        <v>11447</v>
      </c>
    </row>
    <row r="3489" spans="1:49">
      <c r="A3489" s="1">
        <f>HYPERLINK("https://lsnyc.legalserver.org/matter/dynamic-profile/view/1904667","19-1904667")</f>
        <v>0</v>
      </c>
      <c r="B3489" t="s">
        <v>82</v>
      </c>
      <c r="C3489" t="s">
        <v>365</v>
      </c>
      <c r="E3489" t="s">
        <v>1441</v>
      </c>
      <c r="F3489" t="s">
        <v>3839</v>
      </c>
      <c r="G3489" t="s">
        <v>8890</v>
      </c>
      <c r="H3489" t="s">
        <v>10559</v>
      </c>
      <c r="I3489" t="s">
        <v>11383</v>
      </c>
      <c r="J3489">
        <v>10460</v>
      </c>
      <c r="K3489" t="s">
        <v>11446</v>
      </c>
      <c r="L3489" t="s">
        <v>13108</v>
      </c>
      <c r="M3489" t="s">
        <v>14744</v>
      </c>
      <c r="N3489" t="s">
        <v>14781</v>
      </c>
      <c r="P3489" t="s">
        <v>14802</v>
      </c>
      <c r="Q3489" t="s">
        <v>11448</v>
      </c>
      <c r="S3489" t="s">
        <v>14827</v>
      </c>
      <c r="T3489" t="s">
        <v>14832</v>
      </c>
      <c r="U3489" t="s">
        <v>489</v>
      </c>
      <c r="V3489">
        <v>729</v>
      </c>
      <c r="W3489" t="s">
        <v>14858</v>
      </c>
      <c r="X3489" t="s">
        <v>14863</v>
      </c>
      <c r="AB3489" t="s">
        <v>22877</v>
      </c>
      <c r="AC3489">
        <v>298</v>
      </c>
      <c r="AD3489" t="s">
        <v>24596</v>
      </c>
      <c r="AF3489">
        <v>4</v>
      </c>
      <c r="AG3489">
        <v>1</v>
      </c>
      <c r="AH3489">
        <v>0</v>
      </c>
      <c r="AI3489">
        <v>249.61</v>
      </c>
      <c r="AJ3489" t="s">
        <v>489</v>
      </c>
      <c r="AK3489" t="s">
        <v>24629</v>
      </c>
      <c r="AL3489" t="s">
        <v>5011</v>
      </c>
      <c r="AM3489">
        <v>31176</v>
      </c>
      <c r="AS3489">
        <v>7.75</v>
      </c>
      <c r="AT3489" t="s">
        <v>495</v>
      </c>
      <c r="AU3489" t="s">
        <v>114</v>
      </c>
      <c r="AV3489" t="s">
        <v>25335</v>
      </c>
      <c r="AW3489" t="s">
        <v>11447</v>
      </c>
    </row>
    <row r="3490" spans="1:49">
      <c r="A3490" s="1">
        <f>HYPERLINK("https://lsnyc.legalserver.org/matter/dynamic-profile/view/1912696","19-1912696")</f>
        <v>0</v>
      </c>
      <c r="B3490" t="s">
        <v>256</v>
      </c>
      <c r="C3490" t="s">
        <v>578</v>
      </c>
      <c r="E3490" t="s">
        <v>2693</v>
      </c>
      <c r="F3490" t="s">
        <v>3815</v>
      </c>
      <c r="G3490" t="s">
        <v>8891</v>
      </c>
      <c r="H3490">
        <v>2</v>
      </c>
      <c r="I3490" t="s">
        <v>11383</v>
      </c>
      <c r="J3490">
        <v>10469</v>
      </c>
      <c r="K3490" t="s">
        <v>11446</v>
      </c>
      <c r="L3490" t="s">
        <v>13109</v>
      </c>
      <c r="M3490" t="s">
        <v>14744</v>
      </c>
      <c r="N3490" t="s">
        <v>14781</v>
      </c>
      <c r="P3490" t="s">
        <v>14802</v>
      </c>
      <c r="Q3490" t="s">
        <v>11448</v>
      </c>
      <c r="S3490" t="s">
        <v>14827</v>
      </c>
      <c r="T3490" t="s">
        <v>14832</v>
      </c>
      <c r="U3490" t="s">
        <v>578</v>
      </c>
      <c r="V3490">
        <v>379.72</v>
      </c>
      <c r="W3490" t="s">
        <v>14858</v>
      </c>
      <c r="X3490" t="s">
        <v>14868</v>
      </c>
      <c r="Z3490" t="s">
        <v>17803</v>
      </c>
      <c r="AA3490" t="s">
        <v>19750</v>
      </c>
      <c r="AB3490" t="s">
        <v>22878</v>
      </c>
      <c r="AC3490">
        <v>3</v>
      </c>
      <c r="AD3490" t="s">
        <v>24595</v>
      </c>
      <c r="AE3490" t="s">
        <v>24610</v>
      </c>
      <c r="AF3490">
        <v>18</v>
      </c>
      <c r="AG3490">
        <v>2</v>
      </c>
      <c r="AH3490">
        <v>0</v>
      </c>
      <c r="AI3490">
        <v>109.71</v>
      </c>
      <c r="AL3490" t="s">
        <v>24632</v>
      </c>
      <c r="AM3490">
        <v>18552</v>
      </c>
      <c r="AS3490">
        <v>2.8</v>
      </c>
      <c r="AT3490" t="s">
        <v>495</v>
      </c>
      <c r="AU3490" t="s">
        <v>25268</v>
      </c>
      <c r="AV3490" t="s">
        <v>25335</v>
      </c>
      <c r="AW3490" t="s">
        <v>11447</v>
      </c>
    </row>
    <row r="3491" spans="1:49">
      <c r="A3491" s="1">
        <f>HYPERLINK("https://lsnyc.legalserver.org/matter/dynamic-profile/view/1895129","19-1895129")</f>
        <v>0</v>
      </c>
      <c r="B3491" t="s">
        <v>112</v>
      </c>
      <c r="C3491" t="s">
        <v>666</v>
      </c>
      <c r="E3491" t="s">
        <v>2796</v>
      </c>
      <c r="F3491" t="s">
        <v>3746</v>
      </c>
      <c r="G3491" t="s">
        <v>8892</v>
      </c>
      <c r="H3491" t="s">
        <v>11141</v>
      </c>
      <c r="I3491" t="s">
        <v>11383</v>
      </c>
      <c r="J3491">
        <v>10474</v>
      </c>
      <c r="K3491" t="s">
        <v>11446</v>
      </c>
      <c r="L3491" t="s">
        <v>13110</v>
      </c>
      <c r="M3491" t="s">
        <v>14744</v>
      </c>
      <c r="N3491" t="s">
        <v>14781</v>
      </c>
      <c r="P3491" t="s">
        <v>14802</v>
      </c>
      <c r="Q3491" t="s">
        <v>11448</v>
      </c>
      <c r="S3491" t="s">
        <v>14827</v>
      </c>
      <c r="T3491" t="s">
        <v>14832</v>
      </c>
      <c r="U3491" t="s">
        <v>470</v>
      </c>
      <c r="V3491">
        <v>1500</v>
      </c>
      <c r="W3491" t="s">
        <v>14858</v>
      </c>
      <c r="X3491" t="s">
        <v>14863</v>
      </c>
      <c r="Z3491" t="s">
        <v>17804</v>
      </c>
      <c r="AC3491">
        <v>68</v>
      </c>
      <c r="AD3491" t="s">
        <v>24606</v>
      </c>
      <c r="AE3491" t="s">
        <v>11459</v>
      </c>
      <c r="AF3491">
        <v>4</v>
      </c>
      <c r="AG3491">
        <v>1</v>
      </c>
      <c r="AH3491">
        <v>3</v>
      </c>
      <c r="AI3491">
        <v>30.29</v>
      </c>
      <c r="AL3491" t="s">
        <v>24632</v>
      </c>
      <c r="AM3491">
        <v>7800</v>
      </c>
      <c r="AN3491" t="s">
        <v>24859</v>
      </c>
      <c r="AS3491">
        <v>16.75</v>
      </c>
      <c r="AT3491" t="s">
        <v>509</v>
      </c>
      <c r="AU3491" t="s">
        <v>25232</v>
      </c>
      <c r="AV3491" t="s">
        <v>25335</v>
      </c>
      <c r="AW3491" t="s">
        <v>11447</v>
      </c>
    </row>
    <row r="3492" spans="1:49">
      <c r="A3492" s="1">
        <f>HYPERLINK("https://lsnyc.legalserver.org/matter/dynamic-profile/view/1899081","19-1899081")</f>
        <v>0</v>
      </c>
      <c r="B3492" t="s">
        <v>157</v>
      </c>
      <c r="C3492" t="s">
        <v>363</v>
      </c>
      <c r="E3492" t="s">
        <v>2797</v>
      </c>
      <c r="F3492" t="s">
        <v>3649</v>
      </c>
      <c r="G3492" t="s">
        <v>8893</v>
      </c>
      <c r="H3492" t="s">
        <v>11107</v>
      </c>
      <c r="I3492" t="s">
        <v>11383</v>
      </c>
      <c r="J3492">
        <v>10456</v>
      </c>
      <c r="K3492" t="s">
        <v>11446</v>
      </c>
      <c r="L3492" t="s">
        <v>13111</v>
      </c>
      <c r="M3492" t="s">
        <v>14744</v>
      </c>
      <c r="N3492" t="s">
        <v>14778</v>
      </c>
      <c r="P3492" t="s">
        <v>14802</v>
      </c>
      <c r="Q3492" t="s">
        <v>11448</v>
      </c>
      <c r="S3492" t="s">
        <v>14827</v>
      </c>
      <c r="U3492" t="s">
        <v>470</v>
      </c>
      <c r="V3492">
        <v>1700</v>
      </c>
      <c r="W3492" t="s">
        <v>14858</v>
      </c>
      <c r="X3492" t="s">
        <v>14868</v>
      </c>
      <c r="Z3492" t="s">
        <v>17805</v>
      </c>
      <c r="AB3492" t="s">
        <v>22879</v>
      </c>
      <c r="AC3492">
        <v>130</v>
      </c>
      <c r="AD3492" t="s">
        <v>24595</v>
      </c>
      <c r="AE3492" t="s">
        <v>24610</v>
      </c>
      <c r="AF3492">
        <v>5</v>
      </c>
      <c r="AG3492">
        <v>3</v>
      </c>
      <c r="AH3492">
        <v>1</v>
      </c>
      <c r="AI3492">
        <v>64.31</v>
      </c>
      <c r="AL3492" t="s">
        <v>5011</v>
      </c>
      <c r="AM3492">
        <v>16560</v>
      </c>
      <c r="AN3492" t="s">
        <v>24860</v>
      </c>
      <c r="AS3492">
        <v>0.25</v>
      </c>
      <c r="AT3492" t="s">
        <v>559</v>
      </c>
      <c r="AU3492" t="s">
        <v>25251</v>
      </c>
      <c r="AV3492" t="s">
        <v>25335</v>
      </c>
      <c r="AW3492" t="s">
        <v>11447</v>
      </c>
    </row>
    <row r="3493" spans="1:49">
      <c r="A3493" s="1">
        <f>HYPERLINK("https://lsnyc.legalserver.org/matter/dynamic-profile/view/1912769","19-1912769")</f>
        <v>0</v>
      </c>
      <c r="B3493" t="s">
        <v>125</v>
      </c>
      <c r="C3493" t="s">
        <v>470</v>
      </c>
      <c r="E3493" t="s">
        <v>1089</v>
      </c>
      <c r="F3493" t="s">
        <v>5419</v>
      </c>
      <c r="G3493" t="s">
        <v>8894</v>
      </c>
      <c r="H3493">
        <v>1</v>
      </c>
      <c r="I3493" t="s">
        <v>11383</v>
      </c>
      <c r="J3493">
        <v>10465</v>
      </c>
      <c r="K3493" t="s">
        <v>11446</v>
      </c>
      <c r="L3493" t="s">
        <v>13112</v>
      </c>
      <c r="M3493" t="s">
        <v>14744</v>
      </c>
      <c r="N3493" t="s">
        <v>14778</v>
      </c>
      <c r="P3493" t="s">
        <v>14802</v>
      </c>
      <c r="Q3493" t="s">
        <v>11448</v>
      </c>
      <c r="S3493" t="s">
        <v>14827</v>
      </c>
      <c r="U3493" t="s">
        <v>470</v>
      </c>
      <c r="V3493">
        <v>0</v>
      </c>
      <c r="W3493" t="s">
        <v>14858</v>
      </c>
      <c r="X3493" t="s">
        <v>14873</v>
      </c>
      <c r="Z3493" t="s">
        <v>17806</v>
      </c>
      <c r="AB3493" t="s">
        <v>22880</v>
      </c>
      <c r="AC3493">
        <v>2</v>
      </c>
      <c r="AD3493" t="s">
        <v>24607</v>
      </c>
      <c r="AF3493">
        <v>1</v>
      </c>
      <c r="AG3493">
        <v>2</v>
      </c>
      <c r="AH3493">
        <v>0</v>
      </c>
      <c r="AI3493">
        <v>423.9</v>
      </c>
      <c r="AL3493" t="s">
        <v>5011</v>
      </c>
      <c r="AM3493">
        <v>71682</v>
      </c>
      <c r="AN3493" t="s">
        <v>24861</v>
      </c>
      <c r="AS3493">
        <v>0</v>
      </c>
      <c r="AU3493" t="s">
        <v>145</v>
      </c>
      <c r="AV3493" t="s">
        <v>25335</v>
      </c>
      <c r="AW3493" t="s">
        <v>11447</v>
      </c>
    </row>
    <row r="3494" spans="1:49">
      <c r="A3494" s="1">
        <f>HYPERLINK("https://lsnyc.legalserver.org/matter/dynamic-profile/view/1911178","19-1911178")</f>
        <v>0</v>
      </c>
      <c r="B3494" t="s">
        <v>268</v>
      </c>
      <c r="C3494" t="s">
        <v>475</v>
      </c>
      <c r="E3494" t="s">
        <v>2798</v>
      </c>
      <c r="F3494" t="s">
        <v>4816</v>
      </c>
      <c r="G3494" t="s">
        <v>8895</v>
      </c>
      <c r="H3494">
        <v>1</v>
      </c>
      <c r="I3494" t="s">
        <v>11383</v>
      </c>
      <c r="J3494">
        <v>10452</v>
      </c>
      <c r="K3494" t="s">
        <v>11446</v>
      </c>
      <c r="L3494" t="s">
        <v>13113</v>
      </c>
      <c r="M3494" t="s">
        <v>14744</v>
      </c>
      <c r="N3494" t="s">
        <v>14781</v>
      </c>
      <c r="P3494" t="s">
        <v>14802</v>
      </c>
      <c r="Q3494" t="s">
        <v>11448</v>
      </c>
      <c r="S3494" t="s">
        <v>14827</v>
      </c>
      <c r="T3494" t="s">
        <v>14832</v>
      </c>
      <c r="U3494" t="s">
        <v>574</v>
      </c>
      <c r="V3494">
        <v>1515</v>
      </c>
      <c r="W3494" t="s">
        <v>14858</v>
      </c>
      <c r="Z3494" t="s">
        <v>17807</v>
      </c>
      <c r="AA3494" t="s">
        <v>19751</v>
      </c>
      <c r="AB3494" t="s">
        <v>22881</v>
      </c>
      <c r="AC3494">
        <v>3</v>
      </c>
      <c r="AD3494" t="s">
        <v>24600</v>
      </c>
      <c r="AE3494" t="s">
        <v>24615</v>
      </c>
      <c r="AF3494">
        <v>1</v>
      </c>
      <c r="AG3494">
        <v>1</v>
      </c>
      <c r="AH3494">
        <v>2</v>
      </c>
      <c r="AI3494">
        <v>73.14</v>
      </c>
      <c r="AL3494" t="s">
        <v>24632</v>
      </c>
      <c r="AM3494">
        <v>15600</v>
      </c>
      <c r="AS3494">
        <v>25.45</v>
      </c>
      <c r="AT3494" t="s">
        <v>495</v>
      </c>
      <c r="AU3494" t="s">
        <v>145</v>
      </c>
      <c r="AV3494" t="s">
        <v>25334</v>
      </c>
      <c r="AW3494" t="s">
        <v>11447</v>
      </c>
    </row>
    <row r="3495" spans="1:49">
      <c r="A3495" s="1">
        <f>HYPERLINK("https://lsnyc.legalserver.org/matter/dynamic-profile/view/1907549","19-1907549")</f>
        <v>0</v>
      </c>
      <c r="B3495" t="s">
        <v>272</v>
      </c>
      <c r="C3495" t="s">
        <v>630</v>
      </c>
      <c r="E3495" t="s">
        <v>1146</v>
      </c>
      <c r="F3495" t="s">
        <v>5420</v>
      </c>
      <c r="G3495" t="s">
        <v>8896</v>
      </c>
      <c r="H3495">
        <v>1</v>
      </c>
      <c r="I3495" t="s">
        <v>11383</v>
      </c>
      <c r="J3495">
        <v>10461</v>
      </c>
      <c r="K3495" t="s">
        <v>11446</v>
      </c>
      <c r="L3495" t="s">
        <v>13114</v>
      </c>
      <c r="M3495" t="s">
        <v>14743</v>
      </c>
      <c r="N3495" t="s">
        <v>14781</v>
      </c>
      <c r="P3495" t="s">
        <v>14802</v>
      </c>
      <c r="Q3495" t="s">
        <v>11448</v>
      </c>
      <c r="S3495" t="s">
        <v>14827</v>
      </c>
      <c r="T3495" t="s">
        <v>14832</v>
      </c>
      <c r="U3495" t="s">
        <v>574</v>
      </c>
      <c r="V3495">
        <v>1275</v>
      </c>
      <c r="W3495" t="s">
        <v>14858</v>
      </c>
      <c r="X3495" t="s">
        <v>14868</v>
      </c>
      <c r="Z3495" t="s">
        <v>17808</v>
      </c>
      <c r="AB3495" t="s">
        <v>22882</v>
      </c>
      <c r="AC3495">
        <v>2</v>
      </c>
      <c r="AD3495" t="s">
        <v>24600</v>
      </c>
      <c r="AE3495" t="s">
        <v>11459</v>
      </c>
      <c r="AF3495">
        <v>8</v>
      </c>
      <c r="AG3495">
        <v>1</v>
      </c>
      <c r="AH3495">
        <v>0</v>
      </c>
      <c r="AI3495">
        <v>81.18000000000001</v>
      </c>
      <c r="AL3495" t="s">
        <v>5011</v>
      </c>
      <c r="AM3495">
        <v>10140</v>
      </c>
      <c r="AS3495">
        <v>16.45</v>
      </c>
      <c r="AT3495" t="s">
        <v>516</v>
      </c>
      <c r="AU3495" t="s">
        <v>25242</v>
      </c>
      <c r="AV3495" t="s">
        <v>25335</v>
      </c>
      <c r="AW3495" t="s">
        <v>11447</v>
      </c>
    </row>
    <row r="3496" spans="1:49">
      <c r="A3496" s="1">
        <f>HYPERLINK("https://lsnyc.legalserver.org/matter/dynamic-profile/view/1911338","19-1911338")</f>
        <v>0</v>
      </c>
      <c r="B3496" t="s">
        <v>111</v>
      </c>
      <c r="C3496" t="s">
        <v>467</v>
      </c>
      <c r="E3496" t="s">
        <v>1706</v>
      </c>
      <c r="F3496" t="s">
        <v>3823</v>
      </c>
      <c r="G3496" t="s">
        <v>8897</v>
      </c>
      <c r="H3496" t="s">
        <v>10476</v>
      </c>
      <c r="I3496" t="s">
        <v>11383</v>
      </c>
      <c r="J3496">
        <v>10455</v>
      </c>
      <c r="K3496" t="s">
        <v>11446</v>
      </c>
      <c r="L3496" t="s">
        <v>13115</v>
      </c>
      <c r="M3496" t="s">
        <v>14743</v>
      </c>
      <c r="N3496" t="s">
        <v>14781</v>
      </c>
      <c r="P3496" t="s">
        <v>14802</v>
      </c>
      <c r="Q3496" t="s">
        <v>11448</v>
      </c>
      <c r="S3496" t="s">
        <v>14827</v>
      </c>
      <c r="U3496" t="s">
        <v>574</v>
      </c>
      <c r="V3496">
        <v>222</v>
      </c>
      <c r="W3496" t="s">
        <v>14858</v>
      </c>
      <c r="X3496" t="s">
        <v>14863</v>
      </c>
      <c r="Z3496" t="s">
        <v>17809</v>
      </c>
      <c r="AB3496" t="s">
        <v>22883</v>
      </c>
      <c r="AC3496">
        <v>49</v>
      </c>
      <c r="AD3496" t="s">
        <v>24597</v>
      </c>
      <c r="AF3496">
        <v>12</v>
      </c>
      <c r="AG3496">
        <v>1</v>
      </c>
      <c r="AH3496">
        <v>0</v>
      </c>
      <c r="AI3496">
        <v>84.45</v>
      </c>
      <c r="AL3496" t="s">
        <v>5011</v>
      </c>
      <c r="AM3496">
        <v>10548</v>
      </c>
      <c r="AS3496">
        <v>5.15</v>
      </c>
      <c r="AT3496" t="s">
        <v>592</v>
      </c>
      <c r="AU3496" t="s">
        <v>25239</v>
      </c>
      <c r="AV3496" t="s">
        <v>25335</v>
      </c>
      <c r="AW3496" t="s">
        <v>11447</v>
      </c>
    </row>
    <row r="3497" spans="1:49">
      <c r="A3497" s="1">
        <f>HYPERLINK("https://lsnyc.legalserver.org/matter/dynamic-profile/view/1913311","19-1913311")</f>
        <v>0</v>
      </c>
      <c r="B3497" t="s">
        <v>256</v>
      </c>
      <c r="C3497" t="s">
        <v>483</v>
      </c>
      <c r="E3497" t="s">
        <v>2799</v>
      </c>
      <c r="F3497" t="s">
        <v>3589</v>
      </c>
      <c r="G3497" t="s">
        <v>8898</v>
      </c>
      <c r="H3497" t="s">
        <v>10486</v>
      </c>
      <c r="I3497" t="s">
        <v>11383</v>
      </c>
      <c r="J3497">
        <v>10466</v>
      </c>
      <c r="K3497" t="s">
        <v>11446</v>
      </c>
      <c r="L3497" t="s">
        <v>13116</v>
      </c>
      <c r="M3497" t="s">
        <v>14743</v>
      </c>
      <c r="N3497" t="s">
        <v>14781</v>
      </c>
      <c r="P3497" t="s">
        <v>14802</v>
      </c>
      <c r="Q3497" t="s">
        <v>11448</v>
      </c>
      <c r="S3497" t="s">
        <v>14827</v>
      </c>
      <c r="U3497" t="s">
        <v>483</v>
      </c>
      <c r="V3497">
        <v>2197</v>
      </c>
      <c r="W3497" t="s">
        <v>14858</v>
      </c>
      <c r="X3497" t="s">
        <v>14863</v>
      </c>
      <c r="Z3497" t="s">
        <v>17810</v>
      </c>
      <c r="AA3497" t="s">
        <v>19752</v>
      </c>
      <c r="AB3497" t="s">
        <v>22884</v>
      </c>
      <c r="AC3497">
        <v>3</v>
      </c>
      <c r="AD3497" t="s">
        <v>11479</v>
      </c>
      <c r="AE3497" t="s">
        <v>24615</v>
      </c>
      <c r="AF3497">
        <v>2</v>
      </c>
      <c r="AG3497">
        <v>2</v>
      </c>
      <c r="AH3497">
        <v>5</v>
      </c>
      <c r="AI3497">
        <v>18.46</v>
      </c>
      <c r="AL3497" t="s">
        <v>5011</v>
      </c>
      <c r="AM3497">
        <v>7200</v>
      </c>
      <c r="AS3497">
        <v>11.5</v>
      </c>
      <c r="AT3497" t="s">
        <v>478</v>
      </c>
      <c r="AU3497" t="s">
        <v>25239</v>
      </c>
      <c r="AV3497" t="s">
        <v>25334</v>
      </c>
      <c r="AW3497" t="s">
        <v>11447</v>
      </c>
    </row>
    <row r="3498" spans="1:49">
      <c r="A3498" s="1">
        <f>HYPERLINK("https://lsnyc.legalserver.org/matter/dynamic-profile/view/1913362","19-1913362")</f>
        <v>0</v>
      </c>
      <c r="B3498" t="s">
        <v>272</v>
      </c>
      <c r="C3498" t="s">
        <v>483</v>
      </c>
      <c r="E3498" t="s">
        <v>2800</v>
      </c>
      <c r="F3498" t="s">
        <v>4749</v>
      </c>
      <c r="G3498" t="s">
        <v>8899</v>
      </c>
      <c r="H3498">
        <v>10</v>
      </c>
      <c r="I3498" t="s">
        <v>11383</v>
      </c>
      <c r="J3498">
        <v>10458</v>
      </c>
      <c r="K3498" t="s">
        <v>11446</v>
      </c>
      <c r="L3498" t="s">
        <v>13117</v>
      </c>
      <c r="M3498" t="s">
        <v>14744</v>
      </c>
      <c r="N3498" t="s">
        <v>14781</v>
      </c>
      <c r="P3498" t="s">
        <v>14802</v>
      </c>
      <c r="Q3498" t="s">
        <v>11448</v>
      </c>
      <c r="S3498" t="s">
        <v>14827</v>
      </c>
      <c r="T3498" t="s">
        <v>14836</v>
      </c>
      <c r="U3498" t="s">
        <v>483</v>
      </c>
      <c r="V3498">
        <v>1027</v>
      </c>
      <c r="W3498" t="s">
        <v>14858</v>
      </c>
      <c r="X3498" t="s">
        <v>14863</v>
      </c>
      <c r="Z3498" t="s">
        <v>17811</v>
      </c>
      <c r="AB3498" t="s">
        <v>22885</v>
      </c>
      <c r="AC3498">
        <v>15</v>
      </c>
      <c r="AD3498" t="s">
        <v>24595</v>
      </c>
      <c r="AF3498">
        <v>0</v>
      </c>
      <c r="AG3498">
        <v>1</v>
      </c>
      <c r="AH3498">
        <v>0</v>
      </c>
      <c r="AI3498">
        <v>124.9</v>
      </c>
      <c r="AL3498" t="s">
        <v>24632</v>
      </c>
      <c r="AM3498">
        <v>15600</v>
      </c>
      <c r="AO3498" t="s">
        <v>24932</v>
      </c>
      <c r="AQ3498" t="s">
        <v>24986</v>
      </c>
      <c r="AR3498" t="s">
        <v>25080</v>
      </c>
      <c r="AS3498">
        <v>3.3</v>
      </c>
      <c r="AT3498" t="s">
        <v>490</v>
      </c>
      <c r="AU3498" t="s">
        <v>145</v>
      </c>
      <c r="AV3498" t="s">
        <v>25335</v>
      </c>
      <c r="AW3498" t="s">
        <v>11447</v>
      </c>
    </row>
    <row r="3499" spans="1:49">
      <c r="A3499" s="1">
        <f>HYPERLINK("https://lsnyc.legalserver.org/matter/dynamic-profile/view/1913519","19-1913519")</f>
        <v>0</v>
      </c>
      <c r="B3499" t="s">
        <v>256</v>
      </c>
      <c r="C3499" t="s">
        <v>484</v>
      </c>
      <c r="E3499" t="s">
        <v>2801</v>
      </c>
      <c r="F3499" t="s">
        <v>3877</v>
      </c>
      <c r="G3499" t="s">
        <v>8900</v>
      </c>
      <c r="H3499" t="s">
        <v>11142</v>
      </c>
      <c r="I3499" t="s">
        <v>11383</v>
      </c>
      <c r="J3499">
        <v>10451</v>
      </c>
      <c r="K3499" t="s">
        <v>11446</v>
      </c>
      <c r="L3499" t="s">
        <v>13118</v>
      </c>
      <c r="M3499" t="s">
        <v>14744</v>
      </c>
      <c r="N3499" t="s">
        <v>14781</v>
      </c>
      <c r="P3499" t="s">
        <v>14802</v>
      </c>
      <c r="S3499" t="s">
        <v>14827</v>
      </c>
      <c r="T3499" t="s">
        <v>14836</v>
      </c>
      <c r="U3499" t="s">
        <v>484</v>
      </c>
      <c r="V3499">
        <v>1152.86</v>
      </c>
      <c r="W3499" t="s">
        <v>14858</v>
      </c>
      <c r="X3499" t="s">
        <v>14863</v>
      </c>
      <c r="Z3499" t="s">
        <v>15866</v>
      </c>
      <c r="AA3499" t="s">
        <v>19753</v>
      </c>
      <c r="AB3499" t="s">
        <v>22886</v>
      </c>
      <c r="AC3499">
        <v>104</v>
      </c>
      <c r="AD3499" t="s">
        <v>24595</v>
      </c>
      <c r="AE3499" t="s">
        <v>11459</v>
      </c>
      <c r="AF3499">
        <v>5</v>
      </c>
      <c r="AG3499">
        <v>1</v>
      </c>
      <c r="AH3499">
        <v>3</v>
      </c>
      <c r="AI3499">
        <v>0</v>
      </c>
      <c r="AL3499" t="s">
        <v>5011</v>
      </c>
      <c r="AM3499">
        <v>0</v>
      </c>
      <c r="AS3499">
        <v>11.8</v>
      </c>
      <c r="AT3499" t="s">
        <v>495</v>
      </c>
      <c r="AU3499" t="s">
        <v>25268</v>
      </c>
      <c r="AV3499" t="s">
        <v>25335</v>
      </c>
      <c r="AW3499" t="s">
        <v>11447</v>
      </c>
    </row>
    <row r="3500" spans="1:49">
      <c r="A3500" s="1">
        <f>HYPERLINK("https://lsnyc.legalserver.org/matter/dynamic-profile/view/1905571","19-1905571")</f>
        <v>0</v>
      </c>
      <c r="B3500" t="s">
        <v>111</v>
      </c>
      <c r="C3500" t="s">
        <v>555</v>
      </c>
      <c r="E3500" t="s">
        <v>2792</v>
      </c>
      <c r="F3500" t="s">
        <v>5415</v>
      </c>
      <c r="G3500" t="s">
        <v>8881</v>
      </c>
      <c r="H3500" t="s">
        <v>10579</v>
      </c>
      <c r="I3500" t="s">
        <v>11383</v>
      </c>
      <c r="J3500">
        <v>10460</v>
      </c>
      <c r="K3500" t="s">
        <v>11446</v>
      </c>
      <c r="L3500" t="s">
        <v>13096</v>
      </c>
      <c r="M3500" t="s">
        <v>14743</v>
      </c>
      <c r="N3500" t="s">
        <v>14781</v>
      </c>
      <c r="P3500" t="s">
        <v>14802</v>
      </c>
      <c r="Q3500" t="s">
        <v>11448</v>
      </c>
      <c r="S3500" t="s">
        <v>14827</v>
      </c>
      <c r="T3500" t="s">
        <v>14832</v>
      </c>
      <c r="U3500" t="s">
        <v>484</v>
      </c>
      <c r="V3500">
        <v>168</v>
      </c>
      <c r="W3500" t="s">
        <v>14858</v>
      </c>
      <c r="X3500" t="s">
        <v>14863</v>
      </c>
      <c r="Z3500" t="s">
        <v>17794</v>
      </c>
      <c r="AA3500">
        <v>396724180</v>
      </c>
      <c r="AB3500" t="s">
        <v>22868</v>
      </c>
      <c r="AC3500">
        <v>20</v>
      </c>
      <c r="AD3500" t="s">
        <v>24595</v>
      </c>
      <c r="AE3500" t="s">
        <v>24610</v>
      </c>
      <c r="AF3500">
        <v>14</v>
      </c>
      <c r="AG3500">
        <v>1</v>
      </c>
      <c r="AH3500">
        <v>0</v>
      </c>
      <c r="AI3500">
        <v>74.08</v>
      </c>
      <c r="AL3500" t="s">
        <v>5011</v>
      </c>
      <c r="AM3500">
        <v>9252</v>
      </c>
      <c r="AN3500" t="s">
        <v>24862</v>
      </c>
      <c r="AS3500">
        <v>63.6</v>
      </c>
      <c r="AT3500" t="s">
        <v>539</v>
      </c>
      <c r="AU3500" t="s">
        <v>114</v>
      </c>
      <c r="AV3500" t="s">
        <v>25334</v>
      </c>
      <c r="AW3500" t="s">
        <v>11447</v>
      </c>
    </row>
    <row r="3501" spans="1:49">
      <c r="A3501" s="1">
        <f>HYPERLINK("https://lsnyc.legalserver.org/matter/dynamic-profile/view/1912789","19-1912789")</f>
        <v>0</v>
      </c>
      <c r="B3501" t="s">
        <v>111</v>
      </c>
      <c r="C3501" t="s">
        <v>470</v>
      </c>
      <c r="E3501" t="s">
        <v>2792</v>
      </c>
      <c r="F3501" t="s">
        <v>5415</v>
      </c>
      <c r="G3501" t="s">
        <v>8881</v>
      </c>
      <c r="H3501" t="s">
        <v>10579</v>
      </c>
      <c r="I3501" t="s">
        <v>11383</v>
      </c>
      <c r="J3501">
        <v>10460</v>
      </c>
      <c r="K3501" t="s">
        <v>11446</v>
      </c>
      <c r="L3501" t="s">
        <v>13096</v>
      </c>
      <c r="M3501" t="s">
        <v>14746</v>
      </c>
      <c r="N3501" t="s">
        <v>14781</v>
      </c>
      <c r="P3501" t="s">
        <v>14802</v>
      </c>
      <c r="Q3501" t="s">
        <v>11448</v>
      </c>
      <c r="S3501" t="s">
        <v>14827</v>
      </c>
      <c r="T3501" t="s">
        <v>14832</v>
      </c>
      <c r="U3501" t="s">
        <v>484</v>
      </c>
      <c r="V3501">
        <v>168</v>
      </c>
      <c r="W3501" t="s">
        <v>14858</v>
      </c>
      <c r="X3501" t="s">
        <v>14863</v>
      </c>
      <c r="Z3501" t="s">
        <v>17794</v>
      </c>
      <c r="AA3501">
        <v>396724180</v>
      </c>
      <c r="AB3501" t="s">
        <v>22868</v>
      </c>
      <c r="AC3501">
        <v>20</v>
      </c>
      <c r="AD3501" t="s">
        <v>24595</v>
      </c>
      <c r="AE3501" t="s">
        <v>24610</v>
      </c>
      <c r="AF3501">
        <v>14</v>
      </c>
      <c r="AG3501">
        <v>1</v>
      </c>
      <c r="AH3501">
        <v>0</v>
      </c>
      <c r="AI3501">
        <v>74.08</v>
      </c>
      <c r="AL3501" t="s">
        <v>5011</v>
      </c>
      <c r="AM3501">
        <v>9252</v>
      </c>
      <c r="AS3501">
        <v>0.1</v>
      </c>
      <c r="AT3501" t="s">
        <v>477</v>
      </c>
      <c r="AU3501" t="s">
        <v>25242</v>
      </c>
      <c r="AV3501" t="s">
        <v>25335</v>
      </c>
      <c r="AW3501" t="s">
        <v>11447</v>
      </c>
    </row>
    <row r="3502" spans="1:49">
      <c r="A3502" s="1">
        <f>HYPERLINK("https://lsnyc.legalserver.org/matter/dynamic-profile/view/1912148","19-1912148")</f>
        <v>0</v>
      </c>
      <c r="B3502" t="s">
        <v>201</v>
      </c>
      <c r="C3502" t="s">
        <v>559</v>
      </c>
      <c r="E3502" t="s">
        <v>1690</v>
      </c>
      <c r="F3502" t="s">
        <v>1190</v>
      </c>
      <c r="G3502" t="s">
        <v>8901</v>
      </c>
      <c r="H3502" t="s">
        <v>10541</v>
      </c>
      <c r="I3502" t="s">
        <v>11383</v>
      </c>
      <c r="J3502">
        <v>10453</v>
      </c>
      <c r="K3502" t="s">
        <v>11446</v>
      </c>
      <c r="L3502" t="s">
        <v>13119</v>
      </c>
      <c r="M3502" t="s">
        <v>14743</v>
      </c>
      <c r="N3502" t="s">
        <v>14781</v>
      </c>
      <c r="P3502" t="s">
        <v>14802</v>
      </c>
      <c r="Q3502" t="s">
        <v>11448</v>
      </c>
      <c r="S3502" t="s">
        <v>14827</v>
      </c>
      <c r="T3502" t="s">
        <v>14836</v>
      </c>
      <c r="U3502" t="s">
        <v>484</v>
      </c>
      <c r="V3502">
        <v>940.83</v>
      </c>
      <c r="W3502" t="s">
        <v>14858</v>
      </c>
      <c r="X3502" t="s">
        <v>14867</v>
      </c>
      <c r="Z3502" t="s">
        <v>17812</v>
      </c>
      <c r="AA3502" t="s">
        <v>19754</v>
      </c>
      <c r="AB3502" t="s">
        <v>22887</v>
      </c>
      <c r="AC3502">
        <v>67</v>
      </c>
      <c r="AD3502" t="s">
        <v>24595</v>
      </c>
      <c r="AF3502">
        <v>43</v>
      </c>
      <c r="AG3502">
        <v>1</v>
      </c>
      <c r="AH3502">
        <v>0</v>
      </c>
      <c r="AI3502">
        <v>81.67</v>
      </c>
      <c r="AL3502" t="s">
        <v>5011</v>
      </c>
      <c r="AM3502">
        <v>10200</v>
      </c>
      <c r="AS3502">
        <v>112.1</v>
      </c>
      <c r="AT3502" t="s">
        <v>495</v>
      </c>
      <c r="AU3502" t="s">
        <v>145</v>
      </c>
      <c r="AV3502" t="s">
        <v>25334</v>
      </c>
      <c r="AW3502" t="s">
        <v>11447</v>
      </c>
    </row>
    <row r="3503" spans="1:49">
      <c r="A3503" s="1">
        <f>HYPERLINK("https://lsnyc.legalserver.org/matter/dynamic-profile/view/1900986","19-1900986")</f>
        <v>0</v>
      </c>
      <c r="B3503" t="s">
        <v>273</v>
      </c>
      <c r="C3503" t="s">
        <v>530</v>
      </c>
      <c r="E3503" t="s">
        <v>2802</v>
      </c>
      <c r="F3503" t="s">
        <v>3814</v>
      </c>
      <c r="G3503" t="s">
        <v>8902</v>
      </c>
      <c r="H3503" t="s">
        <v>10510</v>
      </c>
      <c r="I3503" t="s">
        <v>11383</v>
      </c>
      <c r="J3503">
        <v>10472</v>
      </c>
      <c r="K3503" t="s">
        <v>11446</v>
      </c>
      <c r="L3503" t="s">
        <v>13120</v>
      </c>
      <c r="M3503" t="s">
        <v>14744</v>
      </c>
      <c r="N3503" t="s">
        <v>14781</v>
      </c>
      <c r="P3503" t="s">
        <v>14802</v>
      </c>
      <c r="Q3503" t="s">
        <v>11448</v>
      </c>
      <c r="S3503" t="s">
        <v>14827</v>
      </c>
      <c r="U3503" t="s">
        <v>484</v>
      </c>
      <c r="V3503">
        <v>896</v>
      </c>
      <c r="W3503" t="s">
        <v>14858</v>
      </c>
      <c r="X3503" t="s">
        <v>14876</v>
      </c>
      <c r="Z3503" t="s">
        <v>16253</v>
      </c>
      <c r="AB3503" t="s">
        <v>22888</v>
      </c>
      <c r="AC3503">
        <v>594</v>
      </c>
      <c r="AE3503" t="s">
        <v>24610</v>
      </c>
      <c r="AF3503">
        <v>10</v>
      </c>
      <c r="AG3503">
        <v>2</v>
      </c>
      <c r="AH3503">
        <v>0</v>
      </c>
      <c r="AI3503">
        <v>146.68</v>
      </c>
      <c r="AL3503" t="s">
        <v>5011</v>
      </c>
      <c r="AM3503">
        <v>24804</v>
      </c>
      <c r="AS3503">
        <v>19</v>
      </c>
      <c r="AT3503" t="s">
        <v>603</v>
      </c>
      <c r="AU3503" t="s">
        <v>245</v>
      </c>
      <c r="AV3503" t="s">
        <v>25335</v>
      </c>
      <c r="AW3503" t="s">
        <v>11447</v>
      </c>
    </row>
    <row r="3504" spans="1:49">
      <c r="A3504" s="1">
        <f>HYPERLINK("https://lsnyc.legalserver.org/matter/dynamic-profile/view/1909109","19-1909109")</f>
        <v>0</v>
      </c>
      <c r="B3504" t="s">
        <v>303</v>
      </c>
      <c r="C3504" t="s">
        <v>834</v>
      </c>
      <c r="E3504" t="s">
        <v>2803</v>
      </c>
      <c r="F3504" t="s">
        <v>3967</v>
      </c>
      <c r="G3504" t="s">
        <v>8903</v>
      </c>
      <c r="H3504" t="s">
        <v>10670</v>
      </c>
      <c r="I3504" t="s">
        <v>11383</v>
      </c>
      <c r="J3504">
        <v>10463</v>
      </c>
      <c r="K3504" t="s">
        <v>11446</v>
      </c>
      <c r="L3504" t="s">
        <v>13121</v>
      </c>
      <c r="M3504" t="s">
        <v>14744</v>
      </c>
      <c r="N3504" t="s">
        <v>14779</v>
      </c>
      <c r="P3504" t="s">
        <v>14802</v>
      </c>
      <c r="Q3504" t="s">
        <v>11448</v>
      </c>
      <c r="S3504" t="s">
        <v>14827</v>
      </c>
      <c r="T3504" t="s">
        <v>14833</v>
      </c>
      <c r="U3504" t="s">
        <v>484</v>
      </c>
      <c r="V3504">
        <v>1400</v>
      </c>
      <c r="W3504" t="s">
        <v>14858</v>
      </c>
      <c r="X3504" t="s">
        <v>14864</v>
      </c>
      <c r="Z3504" t="s">
        <v>17813</v>
      </c>
      <c r="AB3504" t="s">
        <v>22889</v>
      </c>
      <c r="AC3504">
        <v>52</v>
      </c>
      <c r="AD3504" t="s">
        <v>24595</v>
      </c>
      <c r="AF3504">
        <v>1</v>
      </c>
      <c r="AG3504">
        <v>1</v>
      </c>
      <c r="AH3504">
        <v>0</v>
      </c>
      <c r="AI3504">
        <v>422.74</v>
      </c>
      <c r="AL3504" t="s">
        <v>5011</v>
      </c>
      <c r="AM3504">
        <v>52800</v>
      </c>
      <c r="AS3504">
        <v>4.6</v>
      </c>
      <c r="AT3504" t="s">
        <v>539</v>
      </c>
      <c r="AU3504" t="s">
        <v>25256</v>
      </c>
      <c r="AV3504" t="s">
        <v>25335</v>
      </c>
      <c r="AW3504" t="s">
        <v>11447</v>
      </c>
    </row>
    <row r="3505" spans="1:49">
      <c r="A3505" s="1">
        <f>HYPERLINK("https://lsnyc.legalserver.org/matter/dynamic-profile/view/1913880","19-1913880")</f>
        <v>0</v>
      </c>
      <c r="B3505" t="s">
        <v>305</v>
      </c>
      <c r="C3505" t="s">
        <v>533</v>
      </c>
      <c r="E3505" t="s">
        <v>2804</v>
      </c>
      <c r="F3505" t="s">
        <v>5421</v>
      </c>
      <c r="G3505" t="s">
        <v>8904</v>
      </c>
      <c r="H3505" t="s">
        <v>10579</v>
      </c>
      <c r="I3505" t="s">
        <v>11383</v>
      </c>
      <c r="J3505">
        <v>10451</v>
      </c>
      <c r="K3505" t="s">
        <v>11446</v>
      </c>
      <c r="L3505" t="s">
        <v>13122</v>
      </c>
      <c r="M3505" t="s">
        <v>14744</v>
      </c>
      <c r="N3505" t="s">
        <v>14781</v>
      </c>
      <c r="P3505" t="s">
        <v>14802</v>
      </c>
      <c r="Q3505" t="s">
        <v>11448</v>
      </c>
      <c r="S3505" t="s">
        <v>14827</v>
      </c>
      <c r="T3505" t="s">
        <v>14832</v>
      </c>
      <c r="U3505" t="s">
        <v>533</v>
      </c>
      <c r="V3505">
        <v>462</v>
      </c>
      <c r="W3505" t="s">
        <v>14858</v>
      </c>
      <c r="X3505" t="s">
        <v>14863</v>
      </c>
      <c r="Z3505" t="s">
        <v>17814</v>
      </c>
      <c r="AA3505" t="s">
        <v>19755</v>
      </c>
      <c r="AB3505" t="s">
        <v>22890</v>
      </c>
      <c r="AC3505">
        <v>21</v>
      </c>
      <c r="AD3505" t="s">
        <v>24606</v>
      </c>
      <c r="AE3505" t="s">
        <v>14755</v>
      </c>
      <c r="AF3505">
        <v>28</v>
      </c>
      <c r="AG3505">
        <v>1</v>
      </c>
      <c r="AH3505">
        <v>1</v>
      </c>
      <c r="AI3505">
        <v>21.8</v>
      </c>
      <c r="AL3505" t="s">
        <v>5011</v>
      </c>
      <c r="AM3505">
        <v>3686.8</v>
      </c>
      <c r="AS3505">
        <v>4.85</v>
      </c>
      <c r="AT3505" t="s">
        <v>509</v>
      </c>
      <c r="AU3505" t="s">
        <v>145</v>
      </c>
      <c r="AV3505" t="s">
        <v>25335</v>
      </c>
      <c r="AW3505" t="s">
        <v>11447</v>
      </c>
    </row>
    <row r="3506" spans="1:49">
      <c r="A3506" s="1">
        <f>HYPERLINK("https://lsnyc.legalserver.org/matter/dynamic-profile/view/1912855","19-1912855")</f>
        <v>0</v>
      </c>
      <c r="B3506" t="s">
        <v>81</v>
      </c>
      <c r="C3506" t="s">
        <v>470</v>
      </c>
      <c r="E3506" t="s">
        <v>2805</v>
      </c>
      <c r="F3506" t="s">
        <v>5422</v>
      </c>
      <c r="G3506" t="s">
        <v>8905</v>
      </c>
      <c r="H3506" t="s">
        <v>10542</v>
      </c>
      <c r="I3506" t="s">
        <v>11383</v>
      </c>
      <c r="J3506">
        <v>10474</v>
      </c>
      <c r="K3506" t="s">
        <v>11446</v>
      </c>
      <c r="L3506" t="s">
        <v>13123</v>
      </c>
      <c r="M3506" t="s">
        <v>14744</v>
      </c>
      <c r="N3506" t="s">
        <v>14781</v>
      </c>
      <c r="P3506" t="s">
        <v>14802</v>
      </c>
      <c r="Q3506" t="s">
        <v>11448</v>
      </c>
      <c r="S3506" t="s">
        <v>14827</v>
      </c>
      <c r="T3506" t="s">
        <v>14832</v>
      </c>
      <c r="U3506" t="s">
        <v>539</v>
      </c>
      <c r="V3506">
        <v>1545</v>
      </c>
      <c r="W3506" t="s">
        <v>14858</v>
      </c>
      <c r="X3506" t="s">
        <v>14865</v>
      </c>
      <c r="Y3506" t="s">
        <v>14883</v>
      </c>
      <c r="Z3506" t="s">
        <v>17815</v>
      </c>
      <c r="AA3506" t="s">
        <v>19756</v>
      </c>
      <c r="AC3506">
        <v>26</v>
      </c>
      <c r="AD3506" t="s">
        <v>24595</v>
      </c>
      <c r="AE3506" t="s">
        <v>24616</v>
      </c>
      <c r="AF3506">
        <v>3</v>
      </c>
      <c r="AG3506">
        <v>1</v>
      </c>
      <c r="AH3506">
        <v>3</v>
      </c>
      <c r="AI3506">
        <v>0</v>
      </c>
      <c r="AL3506" t="s">
        <v>5011</v>
      </c>
      <c r="AM3506">
        <v>0</v>
      </c>
      <c r="AS3506">
        <v>3.6</v>
      </c>
      <c r="AT3506" t="s">
        <v>537</v>
      </c>
      <c r="AU3506" t="s">
        <v>145</v>
      </c>
      <c r="AV3506" t="s">
        <v>25334</v>
      </c>
      <c r="AW3506" t="s">
        <v>11447</v>
      </c>
    </row>
    <row r="3507" spans="1:49">
      <c r="A3507" s="1">
        <f>HYPERLINK("https://lsnyc.legalserver.org/matter/dynamic-profile/view/1905229","19-1905229")</f>
        <v>0</v>
      </c>
      <c r="B3507" t="s">
        <v>273</v>
      </c>
      <c r="C3507" t="s">
        <v>480</v>
      </c>
      <c r="E3507" t="s">
        <v>2806</v>
      </c>
      <c r="F3507" t="s">
        <v>4847</v>
      </c>
      <c r="G3507" t="s">
        <v>8906</v>
      </c>
      <c r="H3507">
        <v>13</v>
      </c>
      <c r="I3507" t="s">
        <v>11383</v>
      </c>
      <c r="J3507">
        <v>10469</v>
      </c>
      <c r="K3507" t="s">
        <v>11446</v>
      </c>
      <c r="L3507" t="s">
        <v>13124</v>
      </c>
      <c r="M3507" t="s">
        <v>14744</v>
      </c>
      <c r="N3507" t="s">
        <v>14778</v>
      </c>
      <c r="P3507" t="s">
        <v>14802</v>
      </c>
      <c r="S3507" t="s">
        <v>14827</v>
      </c>
      <c r="T3507" t="s">
        <v>14832</v>
      </c>
      <c r="U3507" t="s">
        <v>537</v>
      </c>
      <c r="V3507">
        <v>1050</v>
      </c>
      <c r="W3507" t="s">
        <v>14858</v>
      </c>
      <c r="Z3507" t="s">
        <v>17816</v>
      </c>
      <c r="AA3507" t="s">
        <v>19757</v>
      </c>
      <c r="AB3507" t="s">
        <v>22891</v>
      </c>
      <c r="AC3507">
        <v>8</v>
      </c>
      <c r="AE3507" t="s">
        <v>24615</v>
      </c>
      <c r="AF3507">
        <v>10</v>
      </c>
      <c r="AG3507">
        <v>1</v>
      </c>
      <c r="AH3507">
        <v>1</v>
      </c>
      <c r="AI3507">
        <v>70.95999999999999</v>
      </c>
      <c r="AL3507" t="s">
        <v>5011</v>
      </c>
      <c r="AM3507">
        <v>12000</v>
      </c>
      <c r="AS3507">
        <v>2.5</v>
      </c>
      <c r="AT3507" t="s">
        <v>354</v>
      </c>
      <c r="AU3507" t="s">
        <v>145</v>
      </c>
      <c r="AV3507" t="s">
        <v>25334</v>
      </c>
      <c r="AW3507" t="s">
        <v>11447</v>
      </c>
    </row>
    <row r="3508" spans="1:49">
      <c r="A3508" s="1">
        <f>HYPERLINK("https://lsnyc.legalserver.org/matter/dynamic-profile/view/1914122","19-1914122")</f>
        <v>0</v>
      </c>
      <c r="B3508" t="s">
        <v>241</v>
      </c>
      <c r="C3508" t="s">
        <v>580</v>
      </c>
      <c r="E3508" t="s">
        <v>1224</v>
      </c>
      <c r="F3508" t="s">
        <v>3966</v>
      </c>
      <c r="G3508" t="s">
        <v>7590</v>
      </c>
      <c r="H3508">
        <v>2</v>
      </c>
      <c r="I3508" t="s">
        <v>11383</v>
      </c>
      <c r="J3508">
        <v>10466</v>
      </c>
      <c r="K3508" t="s">
        <v>11446</v>
      </c>
      <c r="L3508" t="s">
        <v>13125</v>
      </c>
      <c r="M3508" t="s">
        <v>14743</v>
      </c>
      <c r="P3508" t="s">
        <v>14802</v>
      </c>
      <c r="Q3508" t="s">
        <v>11448</v>
      </c>
      <c r="S3508" t="s">
        <v>14827</v>
      </c>
      <c r="T3508" t="s">
        <v>14832</v>
      </c>
      <c r="V3508">
        <v>1515</v>
      </c>
      <c r="W3508" t="s">
        <v>14858</v>
      </c>
      <c r="X3508" t="s">
        <v>14863</v>
      </c>
      <c r="Z3508" t="s">
        <v>16446</v>
      </c>
      <c r="AB3508" t="s">
        <v>21490</v>
      </c>
      <c r="AC3508">
        <v>2</v>
      </c>
      <c r="AD3508" t="s">
        <v>24607</v>
      </c>
      <c r="AE3508" t="s">
        <v>24615</v>
      </c>
      <c r="AF3508">
        <v>3</v>
      </c>
      <c r="AG3508">
        <v>1</v>
      </c>
      <c r="AH3508">
        <v>1</v>
      </c>
      <c r="AI3508">
        <v>0</v>
      </c>
      <c r="AL3508" t="s">
        <v>5011</v>
      </c>
      <c r="AM3508">
        <v>0</v>
      </c>
      <c r="AS3508">
        <v>1.7</v>
      </c>
      <c r="AT3508" t="s">
        <v>495</v>
      </c>
      <c r="AU3508" t="s">
        <v>145</v>
      </c>
      <c r="AV3508" t="s">
        <v>25335</v>
      </c>
      <c r="AW3508" t="s">
        <v>11447</v>
      </c>
    </row>
    <row r="3509" spans="1:49">
      <c r="A3509" s="1">
        <f>HYPERLINK("https://lsnyc.legalserver.org/matter/dynamic-profile/view/1909147","19-1909147")</f>
        <v>0</v>
      </c>
      <c r="B3509" t="s">
        <v>142</v>
      </c>
      <c r="C3509" t="s">
        <v>462</v>
      </c>
      <c r="E3509" t="s">
        <v>2807</v>
      </c>
      <c r="F3509" t="s">
        <v>5423</v>
      </c>
      <c r="G3509" t="s">
        <v>8907</v>
      </c>
      <c r="H3509" t="s">
        <v>10848</v>
      </c>
      <c r="I3509" t="s">
        <v>11383</v>
      </c>
      <c r="J3509">
        <v>10465</v>
      </c>
      <c r="K3509" t="s">
        <v>11448</v>
      </c>
      <c r="L3509" t="s">
        <v>13126</v>
      </c>
      <c r="M3509" t="s">
        <v>14743</v>
      </c>
      <c r="P3509" t="s">
        <v>14802</v>
      </c>
      <c r="Q3509" t="s">
        <v>11448</v>
      </c>
      <c r="S3509" t="s">
        <v>14827</v>
      </c>
      <c r="V3509">
        <v>900</v>
      </c>
      <c r="W3509" t="s">
        <v>14858</v>
      </c>
      <c r="X3509" t="s">
        <v>14867</v>
      </c>
      <c r="Z3509" t="s">
        <v>17817</v>
      </c>
      <c r="AB3509" t="s">
        <v>22892</v>
      </c>
      <c r="AC3509">
        <v>3</v>
      </c>
      <c r="AD3509" t="s">
        <v>24607</v>
      </c>
      <c r="AF3509">
        <v>3</v>
      </c>
      <c r="AG3509">
        <v>1</v>
      </c>
      <c r="AH3509">
        <v>2</v>
      </c>
      <c r="AI3509">
        <v>0</v>
      </c>
      <c r="AL3509" t="s">
        <v>5011</v>
      </c>
      <c r="AM3509">
        <v>0</v>
      </c>
      <c r="AS3509">
        <v>4</v>
      </c>
      <c r="AT3509" t="s">
        <v>504</v>
      </c>
      <c r="AU3509" t="s">
        <v>145</v>
      </c>
      <c r="AV3509" t="s">
        <v>11459</v>
      </c>
      <c r="AW3509" t="s">
        <v>11447</v>
      </c>
    </row>
    <row r="3510" spans="1:49">
      <c r="A3510" s="1">
        <f>HYPERLINK("https://lsnyc.legalserver.org/matter/dynamic-profile/view/1915322","19-1915322")</f>
        <v>0</v>
      </c>
      <c r="B3510" t="s">
        <v>143</v>
      </c>
      <c r="C3510" t="s">
        <v>509</v>
      </c>
      <c r="E3510" t="s">
        <v>1270</v>
      </c>
      <c r="F3510" t="s">
        <v>5424</v>
      </c>
      <c r="G3510" t="s">
        <v>8908</v>
      </c>
      <c r="H3510" t="s">
        <v>10476</v>
      </c>
      <c r="I3510" t="s">
        <v>11383</v>
      </c>
      <c r="J3510">
        <v>10457</v>
      </c>
      <c r="K3510" t="s">
        <v>11447</v>
      </c>
      <c r="L3510" t="s">
        <v>13127</v>
      </c>
      <c r="M3510" t="s">
        <v>14744</v>
      </c>
      <c r="N3510" t="s">
        <v>14781</v>
      </c>
      <c r="P3510" t="s">
        <v>14802</v>
      </c>
      <c r="S3510" t="s">
        <v>14827</v>
      </c>
      <c r="V3510">
        <v>1070</v>
      </c>
      <c r="W3510" t="s">
        <v>14858</v>
      </c>
      <c r="X3510" t="s">
        <v>14863</v>
      </c>
      <c r="Z3510" t="s">
        <v>16687</v>
      </c>
      <c r="AB3510" t="s">
        <v>22893</v>
      </c>
      <c r="AC3510">
        <v>0</v>
      </c>
      <c r="AD3510" t="s">
        <v>24595</v>
      </c>
      <c r="AF3510">
        <v>5</v>
      </c>
      <c r="AG3510">
        <v>2</v>
      </c>
      <c r="AH3510">
        <v>0</v>
      </c>
      <c r="AI3510">
        <v>0</v>
      </c>
      <c r="AL3510" t="s">
        <v>5011</v>
      </c>
      <c r="AM3510">
        <v>0</v>
      </c>
      <c r="AS3510">
        <v>0</v>
      </c>
      <c r="AU3510" t="s">
        <v>25251</v>
      </c>
      <c r="AW3510" t="s">
        <v>11447</v>
      </c>
    </row>
    <row r="3511" spans="1:49">
      <c r="A3511" s="1">
        <f>HYPERLINK("https://lsnyc.legalserver.org/matter/dynamic-profile/view/1895864","19-1895864")</f>
        <v>0</v>
      </c>
      <c r="B3511" t="s">
        <v>80</v>
      </c>
      <c r="C3511" t="s">
        <v>729</v>
      </c>
      <c r="E3511" t="s">
        <v>1181</v>
      </c>
      <c r="F3511" t="s">
        <v>3547</v>
      </c>
      <c r="G3511" t="s">
        <v>8909</v>
      </c>
      <c r="H3511" t="s">
        <v>10502</v>
      </c>
      <c r="I3511" t="s">
        <v>11383</v>
      </c>
      <c r="J3511">
        <v>10456</v>
      </c>
      <c r="K3511" t="s">
        <v>11446</v>
      </c>
      <c r="N3511" t="s">
        <v>14778</v>
      </c>
      <c r="P3511" t="s">
        <v>14802</v>
      </c>
      <c r="S3511" t="s">
        <v>14827</v>
      </c>
      <c r="V3511">
        <v>160</v>
      </c>
      <c r="W3511" t="s">
        <v>14858</v>
      </c>
      <c r="Z3511" t="s">
        <v>17818</v>
      </c>
      <c r="AB3511" t="s">
        <v>22894</v>
      </c>
      <c r="AC3511">
        <v>0</v>
      </c>
      <c r="AD3511" t="s">
        <v>24607</v>
      </c>
      <c r="AE3511" t="s">
        <v>11459</v>
      </c>
      <c r="AF3511">
        <v>-1</v>
      </c>
      <c r="AG3511">
        <v>1</v>
      </c>
      <c r="AH3511">
        <v>0</v>
      </c>
      <c r="AI3511">
        <v>0</v>
      </c>
      <c r="AL3511" t="s">
        <v>5011</v>
      </c>
      <c r="AM3511">
        <v>0</v>
      </c>
      <c r="AN3511" t="s">
        <v>24863</v>
      </c>
      <c r="AS3511">
        <v>0.5</v>
      </c>
      <c r="AT3511" t="s">
        <v>729</v>
      </c>
      <c r="AU3511" t="s">
        <v>25239</v>
      </c>
      <c r="AV3511" t="s">
        <v>25335</v>
      </c>
      <c r="AW3511" t="s">
        <v>11446</v>
      </c>
    </row>
    <row r="3512" spans="1:49">
      <c r="A3512" s="1">
        <f>HYPERLINK("https://lsnyc.legalserver.org/matter/dynamic-profile/view/1902944","19-1902944")</f>
        <v>0</v>
      </c>
      <c r="B3512" t="s">
        <v>143</v>
      </c>
      <c r="C3512" t="s">
        <v>343</v>
      </c>
      <c r="E3512" t="s">
        <v>1043</v>
      </c>
      <c r="F3512" t="s">
        <v>4931</v>
      </c>
      <c r="G3512" t="s">
        <v>8910</v>
      </c>
      <c r="H3512">
        <v>4</v>
      </c>
      <c r="I3512" t="s">
        <v>11383</v>
      </c>
      <c r="J3512">
        <v>10455</v>
      </c>
      <c r="K3512" t="s">
        <v>11448</v>
      </c>
      <c r="L3512" t="s">
        <v>13128</v>
      </c>
      <c r="M3512" t="s">
        <v>14743</v>
      </c>
      <c r="N3512" t="s">
        <v>14778</v>
      </c>
      <c r="P3512" t="s">
        <v>14802</v>
      </c>
      <c r="S3512" t="s">
        <v>14827</v>
      </c>
      <c r="V3512">
        <v>0</v>
      </c>
      <c r="W3512" t="s">
        <v>14858</v>
      </c>
      <c r="X3512" t="s">
        <v>14863</v>
      </c>
      <c r="AC3512">
        <v>0</v>
      </c>
      <c r="AF3512">
        <v>0</v>
      </c>
      <c r="AG3512">
        <v>2</v>
      </c>
      <c r="AH3512">
        <v>0</v>
      </c>
      <c r="AI3512">
        <v>0</v>
      </c>
      <c r="AL3512" t="s">
        <v>5011</v>
      </c>
      <c r="AM3512">
        <v>0</v>
      </c>
      <c r="AN3512" t="s">
        <v>24686</v>
      </c>
      <c r="AS3512">
        <v>0.5</v>
      </c>
      <c r="AT3512" t="s">
        <v>343</v>
      </c>
      <c r="AU3512" t="s">
        <v>25239</v>
      </c>
      <c r="AW3512" t="s">
        <v>11447</v>
      </c>
    </row>
    <row r="3513" spans="1:49">
      <c r="A3513" s="1">
        <f>HYPERLINK("https://lsnyc.legalserver.org/matter/dynamic-profile/view/1897189","19-1897189")</f>
        <v>0</v>
      </c>
      <c r="B3513" t="s">
        <v>80</v>
      </c>
      <c r="C3513" t="s">
        <v>502</v>
      </c>
      <c r="E3513" t="s">
        <v>1245</v>
      </c>
      <c r="F3513" t="s">
        <v>5425</v>
      </c>
      <c r="G3513" t="s">
        <v>8911</v>
      </c>
      <c r="H3513" t="s">
        <v>11143</v>
      </c>
      <c r="I3513" t="s">
        <v>11383</v>
      </c>
      <c r="J3513">
        <v>10454</v>
      </c>
      <c r="K3513" t="s">
        <v>11446</v>
      </c>
      <c r="L3513" t="s">
        <v>13129</v>
      </c>
      <c r="M3513" t="s">
        <v>14743</v>
      </c>
      <c r="N3513" t="s">
        <v>14778</v>
      </c>
      <c r="P3513" t="s">
        <v>14802</v>
      </c>
      <c r="Q3513" t="s">
        <v>11448</v>
      </c>
      <c r="S3513" t="s">
        <v>14827</v>
      </c>
      <c r="V3513">
        <v>151</v>
      </c>
      <c r="W3513" t="s">
        <v>14858</v>
      </c>
      <c r="X3513" t="s">
        <v>14864</v>
      </c>
      <c r="Z3513" t="s">
        <v>15321</v>
      </c>
      <c r="AB3513" t="s">
        <v>22895</v>
      </c>
      <c r="AC3513">
        <v>117</v>
      </c>
      <c r="AD3513" t="s">
        <v>24597</v>
      </c>
      <c r="AF3513">
        <v>16</v>
      </c>
      <c r="AG3513">
        <v>1</v>
      </c>
      <c r="AH3513">
        <v>1</v>
      </c>
      <c r="AI3513">
        <v>0</v>
      </c>
      <c r="AL3513" t="s">
        <v>5011</v>
      </c>
      <c r="AM3513">
        <v>0</v>
      </c>
      <c r="AN3513" t="s">
        <v>24864</v>
      </c>
      <c r="AS3513">
        <v>0.5</v>
      </c>
      <c r="AT3513" t="s">
        <v>502</v>
      </c>
      <c r="AU3513" t="s">
        <v>25239</v>
      </c>
      <c r="AV3513" t="s">
        <v>25335</v>
      </c>
      <c r="AW3513" t="s">
        <v>11446</v>
      </c>
    </row>
    <row r="3514" spans="1:49">
      <c r="A3514" s="1">
        <f>HYPERLINK("https://lsnyc.legalserver.org/matter/dynamic-profile/view/1912050","19-1912050")</f>
        <v>0</v>
      </c>
      <c r="B3514" t="s">
        <v>157</v>
      </c>
      <c r="C3514" t="s">
        <v>551</v>
      </c>
      <c r="E3514" t="s">
        <v>2808</v>
      </c>
      <c r="F3514" t="s">
        <v>5426</v>
      </c>
      <c r="G3514" t="s">
        <v>8912</v>
      </c>
      <c r="H3514" t="s">
        <v>10594</v>
      </c>
      <c r="I3514" t="s">
        <v>11383</v>
      </c>
      <c r="J3514">
        <v>10454</v>
      </c>
      <c r="K3514" t="s">
        <v>11446</v>
      </c>
      <c r="L3514" t="s">
        <v>13130</v>
      </c>
      <c r="M3514" t="s">
        <v>14744</v>
      </c>
      <c r="P3514" t="s">
        <v>14802</v>
      </c>
      <c r="Q3514" t="s">
        <v>11448</v>
      </c>
      <c r="S3514" t="s">
        <v>14827</v>
      </c>
      <c r="V3514">
        <v>1250</v>
      </c>
      <c r="W3514" t="s">
        <v>14858</v>
      </c>
      <c r="X3514" t="s">
        <v>14863</v>
      </c>
      <c r="Z3514" t="s">
        <v>15221</v>
      </c>
      <c r="AA3514" t="s">
        <v>19758</v>
      </c>
      <c r="AB3514" t="s">
        <v>22896</v>
      </c>
      <c r="AC3514">
        <v>43</v>
      </c>
      <c r="AD3514" t="s">
        <v>24595</v>
      </c>
      <c r="AF3514">
        <v>8</v>
      </c>
      <c r="AG3514">
        <v>2</v>
      </c>
      <c r="AH3514">
        <v>0</v>
      </c>
      <c r="AI3514">
        <v>0</v>
      </c>
      <c r="AL3514" t="s">
        <v>5011</v>
      </c>
      <c r="AM3514">
        <v>0</v>
      </c>
      <c r="AS3514">
        <v>0.5</v>
      </c>
      <c r="AT3514" t="s">
        <v>551</v>
      </c>
      <c r="AU3514" t="s">
        <v>25239</v>
      </c>
      <c r="AV3514" t="s">
        <v>25334</v>
      </c>
      <c r="AW3514" t="s">
        <v>11447</v>
      </c>
    </row>
    <row r="3515" spans="1:49">
      <c r="A3515" s="1">
        <f>HYPERLINK("https://lsnyc.legalserver.org/matter/dynamic-profile/view/1909467","19-1909467")</f>
        <v>0</v>
      </c>
      <c r="B3515" t="s">
        <v>130</v>
      </c>
      <c r="C3515" t="s">
        <v>488</v>
      </c>
      <c r="E3515" t="s">
        <v>2809</v>
      </c>
      <c r="F3515" t="s">
        <v>5427</v>
      </c>
      <c r="G3515" t="s">
        <v>8913</v>
      </c>
      <c r="H3515" t="s">
        <v>10552</v>
      </c>
      <c r="I3515" t="s">
        <v>11383</v>
      </c>
      <c r="J3515">
        <v>10453</v>
      </c>
      <c r="K3515" t="s">
        <v>11446</v>
      </c>
      <c r="M3515" t="s">
        <v>14764</v>
      </c>
      <c r="N3515" t="s">
        <v>14782</v>
      </c>
      <c r="P3515" t="s">
        <v>14802</v>
      </c>
      <c r="Q3515" t="s">
        <v>11448</v>
      </c>
      <c r="S3515" t="s">
        <v>14827</v>
      </c>
      <c r="V3515">
        <v>102</v>
      </c>
      <c r="W3515" t="s">
        <v>14858</v>
      </c>
      <c r="X3515" t="s">
        <v>14873</v>
      </c>
      <c r="Z3515" t="s">
        <v>16011</v>
      </c>
      <c r="AB3515" t="s">
        <v>22897</v>
      </c>
      <c r="AC3515">
        <v>42</v>
      </c>
      <c r="AD3515" t="s">
        <v>24604</v>
      </c>
      <c r="AF3515">
        <v>31</v>
      </c>
      <c r="AG3515">
        <v>1</v>
      </c>
      <c r="AH3515">
        <v>0</v>
      </c>
      <c r="AI3515">
        <v>0</v>
      </c>
      <c r="AL3515" t="s">
        <v>5011</v>
      </c>
      <c r="AM3515">
        <v>0</v>
      </c>
      <c r="AS3515">
        <v>9.15</v>
      </c>
      <c r="AT3515" t="s">
        <v>470</v>
      </c>
      <c r="AU3515" t="s">
        <v>145</v>
      </c>
      <c r="AV3515" t="s">
        <v>25335</v>
      </c>
      <c r="AW3515" t="s">
        <v>11447</v>
      </c>
    </row>
    <row r="3516" spans="1:49">
      <c r="A3516" s="1">
        <f>HYPERLINK("https://lsnyc.legalserver.org/matter/dynamic-profile/view/1900781","19-1900781")</f>
        <v>0</v>
      </c>
      <c r="B3516" t="s">
        <v>201</v>
      </c>
      <c r="C3516" t="s">
        <v>351</v>
      </c>
      <c r="E3516" t="s">
        <v>2810</v>
      </c>
      <c r="F3516" t="s">
        <v>5428</v>
      </c>
      <c r="G3516" t="s">
        <v>8914</v>
      </c>
      <c r="H3516" t="s">
        <v>10464</v>
      </c>
      <c r="I3516" t="s">
        <v>11383</v>
      </c>
      <c r="J3516">
        <v>10453</v>
      </c>
      <c r="K3516" t="s">
        <v>11447</v>
      </c>
      <c r="P3516" t="s">
        <v>14802</v>
      </c>
      <c r="S3516" t="s">
        <v>14827</v>
      </c>
      <c r="V3516">
        <v>0</v>
      </c>
      <c r="W3516" t="s">
        <v>14858</v>
      </c>
      <c r="Z3516" t="s">
        <v>17819</v>
      </c>
      <c r="AB3516" t="s">
        <v>22898</v>
      </c>
      <c r="AC3516">
        <v>0</v>
      </c>
      <c r="AF3516">
        <v>0</v>
      </c>
      <c r="AG3516">
        <v>1</v>
      </c>
      <c r="AH3516">
        <v>2</v>
      </c>
      <c r="AI3516">
        <v>0</v>
      </c>
      <c r="AL3516" t="s">
        <v>5011</v>
      </c>
      <c r="AM3516">
        <v>0</v>
      </c>
      <c r="AS3516">
        <v>9.800000000000001</v>
      </c>
      <c r="AT3516" t="s">
        <v>474</v>
      </c>
      <c r="AU3516" t="s">
        <v>145</v>
      </c>
      <c r="AW3516" t="s">
        <v>11447</v>
      </c>
    </row>
    <row r="3517" spans="1:49">
      <c r="A3517" s="1">
        <f>HYPERLINK("https://lsnyc.legalserver.org/matter/dynamic-profile/view/1901592","19-1901592")</f>
        <v>0</v>
      </c>
      <c r="B3517" t="s">
        <v>273</v>
      </c>
      <c r="C3517" t="s">
        <v>459</v>
      </c>
      <c r="E3517" t="s">
        <v>1583</v>
      </c>
      <c r="F3517" t="s">
        <v>5429</v>
      </c>
      <c r="G3517" t="s">
        <v>8915</v>
      </c>
      <c r="H3517" t="s">
        <v>11144</v>
      </c>
      <c r="I3517" t="s">
        <v>11383</v>
      </c>
      <c r="J3517">
        <v>10451</v>
      </c>
      <c r="K3517" t="s">
        <v>11448</v>
      </c>
      <c r="N3517" t="s">
        <v>14781</v>
      </c>
      <c r="P3517" t="s">
        <v>14802</v>
      </c>
      <c r="S3517" t="s">
        <v>14827</v>
      </c>
      <c r="V3517">
        <v>0</v>
      </c>
      <c r="W3517" t="s">
        <v>14858</v>
      </c>
      <c r="Z3517" t="s">
        <v>16438</v>
      </c>
      <c r="AB3517" t="s">
        <v>22899</v>
      </c>
      <c r="AC3517">
        <v>120</v>
      </c>
      <c r="AF3517">
        <v>0</v>
      </c>
      <c r="AG3517">
        <v>2</v>
      </c>
      <c r="AH3517">
        <v>1</v>
      </c>
      <c r="AI3517">
        <v>0</v>
      </c>
      <c r="AL3517" t="s">
        <v>24632</v>
      </c>
      <c r="AM3517">
        <v>0</v>
      </c>
      <c r="AN3517" t="s">
        <v>24865</v>
      </c>
      <c r="AS3517">
        <v>71.15000000000001</v>
      </c>
      <c r="AT3517" t="s">
        <v>495</v>
      </c>
      <c r="AU3517" t="s">
        <v>114</v>
      </c>
      <c r="AV3517" t="s">
        <v>11459</v>
      </c>
      <c r="AW3517" t="s">
        <v>11447</v>
      </c>
    </row>
    <row r="3518" spans="1:49">
      <c r="A3518" s="1">
        <f>HYPERLINK("https://lsnyc.legalserver.org/matter/dynamic-profile/view/1911601","19-1911601")</f>
        <v>0</v>
      </c>
      <c r="B3518" t="s">
        <v>268</v>
      </c>
      <c r="C3518" t="s">
        <v>526</v>
      </c>
      <c r="E3518" t="s">
        <v>1092</v>
      </c>
      <c r="F3518" t="s">
        <v>3896</v>
      </c>
      <c r="G3518" t="s">
        <v>8916</v>
      </c>
      <c r="I3518" t="s">
        <v>11383</v>
      </c>
      <c r="J3518">
        <v>10451</v>
      </c>
      <c r="K3518" t="s">
        <v>11447</v>
      </c>
      <c r="N3518" t="s">
        <v>14782</v>
      </c>
      <c r="P3518" t="s">
        <v>14802</v>
      </c>
      <c r="S3518" t="s">
        <v>14827</v>
      </c>
      <c r="V3518">
        <v>787</v>
      </c>
      <c r="W3518" t="s">
        <v>14858</v>
      </c>
      <c r="Z3518" t="s">
        <v>17820</v>
      </c>
      <c r="AB3518" t="s">
        <v>22900</v>
      </c>
      <c r="AC3518">
        <v>35</v>
      </c>
      <c r="AF3518">
        <v>35</v>
      </c>
      <c r="AG3518">
        <v>1</v>
      </c>
      <c r="AH3518">
        <v>0</v>
      </c>
      <c r="AI3518">
        <v>0</v>
      </c>
      <c r="AL3518" t="s">
        <v>5011</v>
      </c>
      <c r="AM3518">
        <v>0</v>
      </c>
      <c r="AS3518">
        <v>8.050000000000001</v>
      </c>
      <c r="AT3518" t="s">
        <v>509</v>
      </c>
      <c r="AU3518" t="s">
        <v>25227</v>
      </c>
      <c r="AW3518" t="s">
        <v>11447</v>
      </c>
    </row>
    <row r="3519" spans="1:49">
      <c r="A3519" s="1">
        <f>HYPERLINK("https://lsnyc.legalserver.org/matter/dynamic-profile/view/1901314","19-1901314")</f>
        <v>0</v>
      </c>
      <c r="B3519" t="s">
        <v>80</v>
      </c>
      <c r="C3519" t="s">
        <v>649</v>
      </c>
      <c r="E3519" t="s">
        <v>2811</v>
      </c>
      <c r="F3519" t="s">
        <v>4108</v>
      </c>
      <c r="G3519" t="s">
        <v>8917</v>
      </c>
      <c r="H3519" t="s">
        <v>11145</v>
      </c>
      <c r="I3519" t="s">
        <v>11383</v>
      </c>
      <c r="J3519">
        <v>10458</v>
      </c>
      <c r="K3519" t="s">
        <v>11446</v>
      </c>
      <c r="N3519" t="s">
        <v>14778</v>
      </c>
      <c r="P3519" t="s">
        <v>14802</v>
      </c>
      <c r="S3519" t="s">
        <v>14827</v>
      </c>
      <c r="V3519">
        <v>0</v>
      </c>
      <c r="W3519" t="s">
        <v>14858</v>
      </c>
      <c r="Z3519" t="s">
        <v>17821</v>
      </c>
      <c r="AB3519" t="s">
        <v>22901</v>
      </c>
      <c r="AC3519">
        <v>0</v>
      </c>
      <c r="AF3519">
        <v>0</v>
      </c>
      <c r="AG3519">
        <v>5</v>
      </c>
      <c r="AH3519">
        <v>1</v>
      </c>
      <c r="AI3519">
        <v>0.41</v>
      </c>
      <c r="AL3519" t="s">
        <v>5011</v>
      </c>
      <c r="AM3519">
        <v>141</v>
      </c>
      <c r="AN3519" t="s">
        <v>24855</v>
      </c>
      <c r="AS3519">
        <v>0.5</v>
      </c>
      <c r="AT3519" t="s">
        <v>649</v>
      </c>
      <c r="AU3519" t="s">
        <v>25239</v>
      </c>
      <c r="AV3519" t="s">
        <v>25335</v>
      </c>
      <c r="AW3519" t="s">
        <v>11447</v>
      </c>
    </row>
    <row r="3520" spans="1:49">
      <c r="A3520" s="1">
        <f>HYPERLINK("https://lsnyc.legalserver.org/matter/dynamic-profile/view/1914428","19-1914428")</f>
        <v>0</v>
      </c>
      <c r="B3520" t="s">
        <v>96</v>
      </c>
      <c r="C3520" t="s">
        <v>506</v>
      </c>
      <c r="E3520" t="s">
        <v>1032</v>
      </c>
      <c r="F3520" t="s">
        <v>3547</v>
      </c>
      <c r="G3520" t="s">
        <v>8918</v>
      </c>
      <c r="H3520" t="s">
        <v>10757</v>
      </c>
      <c r="I3520" t="s">
        <v>11383</v>
      </c>
      <c r="J3520">
        <v>10452</v>
      </c>
      <c r="K3520" t="s">
        <v>11446</v>
      </c>
      <c r="L3520" t="s">
        <v>13131</v>
      </c>
      <c r="M3520" t="s">
        <v>14744</v>
      </c>
      <c r="N3520" t="s">
        <v>14782</v>
      </c>
      <c r="P3520" t="s">
        <v>14802</v>
      </c>
      <c r="Q3520" t="s">
        <v>11448</v>
      </c>
      <c r="S3520" t="s">
        <v>14827</v>
      </c>
      <c r="V3520">
        <v>1375</v>
      </c>
      <c r="W3520" t="s">
        <v>14858</v>
      </c>
      <c r="X3520" t="s">
        <v>14863</v>
      </c>
      <c r="Z3520" t="s">
        <v>17822</v>
      </c>
      <c r="AC3520">
        <v>79</v>
      </c>
      <c r="AD3520" t="s">
        <v>24595</v>
      </c>
      <c r="AF3520">
        <v>20</v>
      </c>
      <c r="AG3520">
        <v>1</v>
      </c>
      <c r="AH3520">
        <v>0</v>
      </c>
      <c r="AI3520">
        <v>4.8</v>
      </c>
      <c r="AL3520" t="s">
        <v>5011</v>
      </c>
      <c r="AM3520">
        <v>600</v>
      </c>
      <c r="AS3520">
        <v>1.9</v>
      </c>
      <c r="AT3520" t="s">
        <v>521</v>
      </c>
      <c r="AU3520" t="s">
        <v>145</v>
      </c>
      <c r="AV3520" t="s">
        <v>25335</v>
      </c>
      <c r="AW3520" t="s">
        <v>11447</v>
      </c>
    </row>
    <row r="3521" spans="1:49">
      <c r="A3521" s="1">
        <f>HYPERLINK("https://lsnyc.legalserver.org/matter/dynamic-profile/view/1914237","19-1914237")</f>
        <v>0</v>
      </c>
      <c r="B3521" t="s">
        <v>201</v>
      </c>
      <c r="C3521" t="s">
        <v>539</v>
      </c>
      <c r="E3521" t="s">
        <v>2559</v>
      </c>
      <c r="F3521" t="s">
        <v>5430</v>
      </c>
      <c r="G3521" t="s">
        <v>8919</v>
      </c>
      <c r="H3521" t="s">
        <v>10552</v>
      </c>
      <c r="I3521" t="s">
        <v>11383</v>
      </c>
      <c r="J3521">
        <v>10456</v>
      </c>
      <c r="K3521" t="s">
        <v>11446</v>
      </c>
      <c r="L3521" t="s">
        <v>13132</v>
      </c>
      <c r="M3521" t="s">
        <v>14743</v>
      </c>
      <c r="N3521" t="s">
        <v>14782</v>
      </c>
      <c r="P3521" t="s">
        <v>14802</v>
      </c>
      <c r="Q3521" t="s">
        <v>11448</v>
      </c>
      <c r="S3521" t="s">
        <v>14827</v>
      </c>
      <c r="V3521">
        <v>1238</v>
      </c>
      <c r="W3521" t="s">
        <v>14858</v>
      </c>
      <c r="X3521" t="s">
        <v>14864</v>
      </c>
      <c r="Z3521" t="s">
        <v>17823</v>
      </c>
      <c r="AC3521">
        <v>20</v>
      </c>
      <c r="AD3521" t="s">
        <v>11479</v>
      </c>
      <c r="AE3521" t="s">
        <v>11459</v>
      </c>
      <c r="AF3521">
        <v>1</v>
      </c>
      <c r="AG3521">
        <v>1</v>
      </c>
      <c r="AH3521">
        <v>1</v>
      </c>
      <c r="AI3521">
        <v>8.369999999999999</v>
      </c>
      <c r="AL3521" t="s">
        <v>5011</v>
      </c>
      <c r="AM3521">
        <v>1416</v>
      </c>
      <c r="AS3521">
        <v>3.8</v>
      </c>
      <c r="AT3521" t="s">
        <v>537</v>
      </c>
      <c r="AU3521" t="s">
        <v>245</v>
      </c>
      <c r="AV3521" t="s">
        <v>25335</v>
      </c>
      <c r="AW3521" t="s">
        <v>11447</v>
      </c>
    </row>
    <row r="3522" spans="1:49">
      <c r="A3522" s="1">
        <f>HYPERLINK("https://lsnyc.legalserver.org/matter/dynamic-profile/view/1913892","19-1913892")</f>
        <v>0</v>
      </c>
      <c r="B3522" t="s">
        <v>89</v>
      </c>
      <c r="C3522" t="s">
        <v>533</v>
      </c>
      <c r="E3522" t="s">
        <v>1025</v>
      </c>
      <c r="F3522" t="s">
        <v>4426</v>
      </c>
      <c r="G3522" t="s">
        <v>8920</v>
      </c>
      <c r="H3522" t="s">
        <v>11146</v>
      </c>
      <c r="I3522" t="s">
        <v>11383</v>
      </c>
      <c r="J3522">
        <v>10458</v>
      </c>
      <c r="K3522" t="s">
        <v>11448</v>
      </c>
      <c r="L3522" t="s">
        <v>13133</v>
      </c>
      <c r="M3522" t="s">
        <v>14744</v>
      </c>
      <c r="N3522" t="s">
        <v>14781</v>
      </c>
      <c r="P3522" t="s">
        <v>14802</v>
      </c>
      <c r="Q3522" t="s">
        <v>11448</v>
      </c>
      <c r="S3522" t="s">
        <v>14827</v>
      </c>
      <c r="T3522" t="s">
        <v>14832</v>
      </c>
      <c r="V3522">
        <v>263</v>
      </c>
      <c r="W3522" t="s">
        <v>14858</v>
      </c>
      <c r="X3522" t="s">
        <v>14868</v>
      </c>
      <c r="Z3522" t="s">
        <v>17824</v>
      </c>
      <c r="AB3522" t="s">
        <v>22902</v>
      </c>
      <c r="AC3522">
        <v>0</v>
      </c>
      <c r="AD3522" t="s">
        <v>24595</v>
      </c>
      <c r="AE3522" t="s">
        <v>24616</v>
      </c>
      <c r="AF3522">
        <v>10</v>
      </c>
      <c r="AG3522">
        <v>2</v>
      </c>
      <c r="AH3522">
        <v>0</v>
      </c>
      <c r="AI3522">
        <v>10.92</v>
      </c>
      <c r="AL3522" t="s">
        <v>24632</v>
      </c>
      <c r="AM3522">
        <v>1846</v>
      </c>
      <c r="AS3522">
        <v>1.75</v>
      </c>
      <c r="AT3522" t="s">
        <v>478</v>
      </c>
      <c r="AU3522" t="s">
        <v>89</v>
      </c>
      <c r="AV3522" t="s">
        <v>11459</v>
      </c>
      <c r="AW3522" t="s">
        <v>11447</v>
      </c>
    </row>
    <row r="3523" spans="1:49">
      <c r="A3523" s="1">
        <f>HYPERLINK("https://lsnyc.legalserver.org/matter/dynamic-profile/view/1914333","19-1914333")</f>
        <v>0</v>
      </c>
      <c r="B3523" t="s">
        <v>134</v>
      </c>
      <c r="C3523" t="s">
        <v>506</v>
      </c>
      <c r="E3523" t="s">
        <v>1140</v>
      </c>
      <c r="F3523" t="s">
        <v>4490</v>
      </c>
      <c r="G3523" t="s">
        <v>8921</v>
      </c>
      <c r="H3523" t="s">
        <v>10510</v>
      </c>
      <c r="I3523" t="s">
        <v>11383</v>
      </c>
      <c r="J3523">
        <v>10466</v>
      </c>
      <c r="K3523" t="s">
        <v>11446</v>
      </c>
      <c r="L3523" t="s">
        <v>13134</v>
      </c>
      <c r="M3523" t="s">
        <v>14744</v>
      </c>
      <c r="P3523" t="s">
        <v>14802</v>
      </c>
      <c r="Q3523" t="s">
        <v>11448</v>
      </c>
      <c r="S3523" t="s">
        <v>14827</v>
      </c>
      <c r="T3523" t="s">
        <v>14834</v>
      </c>
      <c r="V3523">
        <v>1923</v>
      </c>
      <c r="W3523" t="s">
        <v>14858</v>
      </c>
      <c r="X3523" t="s">
        <v>14863</v>
      </c>
      <c r="Z3523" t="s">
        <v>17825</v>
      </c>
      <c r="AB3523" t="s">
        <v>22903</v>
      </c>
      <c r="AC3523">
        <v>41</v>
      </c>
      <c r="AD3523" t="s">
        <v>24596</v>
      </c>
      <c r="AE3523" t="s">
        <v>24610</v>
      </c>
      <c r="AF3523">
        <v>5</v>
      </c>
      <c r="AG3523">
        <v>2</v>
      </c>
      <c r="AH3523">
        <v>0</v>
      </c>
      <c r="AI3523">
        <v>11.07</v>
      </c>
      <c r="AL3523" t="s">
        <v>5011</v>
      </c>
      <c r="AM3523">
        <v>1872</v>
      </c>
      <c r="AS3523">
        <v>2.3</v>
      </c>
      <c r="AT3523" t="s">
        <v>537</v>
      </c>
      <c r="AU3523" t="s">
        <v>145</v>
      </c>
      <c r="AV3523" t="s">
        <v>25335</v>
      </c>
      <c r="AW3523" t="s">
        <v>11447</v>
      </c>
    </row>
    <row r="3524" spans="1:49">
      <c r="A3524" s="1">
        <f>HYPERLINK("https://lsnyc.legalserver.org/matter/dynamic-profile/view/1879392","18-1879392")</f>
        <v>0</v>
      </c>
      <c r="B3524" t="s">
        <v>79</v>
      </c>
      <c r="C3524" t="s">
        <v>420</v>
      </c>
      <c r="E3524" t="s">
        <v>1228</v>
      </c>
      <c r="F3524" t="s">
        <v>5431</v>
      </c>
      <c r="G3524" t="s">
        <v>8922</v>
      </c>
      <c r="H3524">
        <v>7</v>
      </c>
      <c r="I3524" t="s">
        <v>11383</v>
      </c>
      <c r="J3524">
        <v>10457</v>
      </c>
      <c r="K3524" t="s">
        <v>11446</v>
      </c>
      <c r="L3524" t="s">
        <v>13135</v>
      </c>
      <c r="M3524" t="s">
        <v>14762</v>
      </c>
      <c r="N3524" t="s">
        <v>14783</v>
      </c>
      <c r="P3524" t="s">
        <v>14802</v>
      </c>
      <c r="Q3524" t="s">
        <v>11448</v>
      </c>
      <c r="S3524" t="s">
        <v>14827</v>
      </c>
      <c r="V3524">
        <v>1956</v>
      </c>
      <c r="W3524" t="s">
        <v>14858</v>
      </c>
      <c r="X3524" t="s">
        <v>14868</v>
      </c>
      <c r="Z3524" t="s">
        <v>16972</v>
      </c>
      <c r="AA3524">
        <v>35190006</v>
      </c>
      <c r="AB3524" t="s">
        <v>22904</v>
      </c>
      <c r="AC3524">
        <v>8</v>
      </c>
      <c r="AD3524" t="s">
        <v>24595</v>
      </c>
      <c r="AE3524" t="s">
        <v>24610</v>
      </c>
      <c r="AF3524">
        <v>4</v>
      </c>
      <c r="AG3524">
        <v>1</v>
      </c>
      <c r="AH3524">
        <v>0</v>
      </c>
      <c r="AI3524">
        <v>12.85</v>
      </c>
      <c r="AL3524" t="s">
        <v>5011</v>
      </c>
      <c r="AM3524">
        <v>1560</v>
      </c>
      <c r="AN3524" t="s">
        <v>24866</v>
      </c>
      <c r="AS3524">
        <v>5.9</v>
      </c>
      <c r="AT3524" t="s">
        <v>559</v>
      </c>
      <c r="AU3524" t="s">
        <v>25312</v>
      </c>
      <c r="AW3524" t="s">
        <v>11448</v>
      </c>
    </row>
    <row r="3525" spans="1:49">
      <c r="A3525" s="1">
        <f>HYPERLINK("https://lsnyc.legalserver.org/matter/dynamic-profile/view/1914048","19-1914048")</f>
        <v>0</v>
      </c>
      <c r="B3525" t="s">
        <v>60</v>
      </c>
      <c r="C3525" t="s">
        <v>580</v>
      </c>
      <c r="E3525" t="s">
        <v>1390</v>
      </c>
      <c r="F3525" t="s">
        <v>5432</v>
      </c>
      <c r="G3525" t="s">
        <v>8923</v>
      </c>
      <c r="H3525" t="s">
        <v>10759</v>
      </c>
      <c r="I3525" t="s">
        <v>11383</v>
      </c>
      <c r="J3525">
        <v>10451</v>
      </c>
      <c r="K3525" t="s">
        <v>11446</v>
      </c>
      <c r="L3525" t="s">
        <v>13136</v>
      </c>
      <c r="M3525" t="s">
        <v>14744</v>
      </c>
      <c r="N3525" t="s">
        <v>14782</v>
      </c>
      <c r="P3525" t="s">
        <v>14802</v>
      </c>
      <c r="Q3525" t="s">
        <v>11448</v>
      </c>
      <c r="S3525" t="s">
        <v>14827</v>
      </c>
      <c r="T3525" t="s">
        <v>14834</v>
      </c>
      <c r="V3525">
        <v>855.88</v>
      </c>
      <c r="W3525" t="s">
        <v>14858</v>
      </c>
      <c r="X3525" t="s">
        <v>14863</v>
      </c>
      <c r="Z3525" t="s">
        <v>17069</v>
      </c>
      <c r="AC3525">
        <v>2</v>
      </c>
      <c r="AD3525" t="s">
        <v>24607</v>
      </c>
      <c r="AE3525" t="s">
        <v>24610</v>
      </c>
      <c r="AF3525">
        <v>1</v>
      </c>
      <c r="AG3525">
        <v>2</v>
      </c>
      <c r="AH3525">
        <v>0</v>
      </c>
      <c r="AI3525">
        <v>13.22</v>
      </c>
      <c r="AL3525" t="s">
        <v>5011</v>
      </c>
      <c r="AM3525">
        <v>2236</v>
      </c>
      <c r="AS3525">
        <v>5.7</v>
      </c>
      <c r="AT3525" t="s">
        <v>516</v>
      </c>
      <c r="AU3525" t="s">
        <v>145</v>
      </c>
      <c r="AV3525" t="s">
        <v>25335</v>
      </c>
      <c r="AW3525" t="s">
        <v>11447</v>
      </c>
    </row>
    <row r="3526" spans="1:49">
      <c r="A3526" s="1">
        <f>HYPERLINK("https://lsnyc.legalserver.org/matter/dynamic-profile/view/1914041","19-1914041")</f>
        <v>0</v>
      </c>
      <c r="B3526" t="s">
        <v>134</v>
      </c>
      <c r="C3526" t="s">
        <v>580</v>
      </c>
      <c r="E3526" t="s">
        <v>2696</v>
      </c>
      <c r="F3526" t="s">
        <v>3758</v>
      </c>
      <c r="G3526" t="s">
        <v>8924</v>
      </c>
      <c r="H3526">
        <v>2</v>
      </c>
      <c r="I3526" t="s">
        <v>11383</v>
      </c>
      <c r="J3526">
        <v>10472</v>
      </c>
      <c r="K3526" t="s">
        <v>11446</v>
      </c>
      <c r="L3526" t="s">
        <v>13137</v>
      </c>
      <c r="M3526" t="s">
        <v>14743</v>
      </c>
      <c r="N3526" t="s">
        <v>14782</v>
      </c>
      <c r="P3526" t="s">
        <v>14802</v>
      </c>
      <c r="Q3526" t="s">
        <v>11448</v>
      </c>
      <c r="S3526" t="s">
        <v>14827</v>
      </c>
      <c r="T3526" t="s">
        <v>14832</v>
      </c>
      <c r="V3526">
        <v>0</v>
      </c>
      <c r="W3526" t="s">
        <v>14858</v>
      </c>
      <c r="X3526" t="s">
        <v>14863</v>
      </c>
      <c r="Z3526" t="s">
        <v>17826</v>
      </c>
      <c r="AB3526" t="s">
        <v>22905</v>
      </c>
      <c r="AC3526">
        <v>5</v>
      </c>
      <c r="AD3526" t="s">
        <v>24600</v>
      </c>
      <c r="AE3526" t="s">
        <v>24616</v>
      </c>
      <c r="AF3526">
        <v>2</v>
      </c>
      <c r="AG3526">
        <v>1</v>
      </c>
      <c r="AH3526">
        <v>1</v>
      </c>
      <c r="AI3526">
        <v>14.19</v>
      </c>
      <c r="AL3526" t="s">
        <v>5011</v>
      </c>
      <c r="AM3526">
        <v>2400</v>
      </c>
      <c r="AS3526">
        <v>3</v>
      </c>
      <c r="AT3526" t="s">
        <v>592</v>
      </c>
      <c r="AU3526" t="s">
        <v>145</v>
      </c>
      <c r="AV3526" t="s">
        <v>25335</v>
      </c>
      <c r="AW3526" t="s">
        <v>11447</v>
      </c>
    </row>
    <row r="3527" spans="1:49">
      <c r="A3527" s="1">
        <f>HYPERLINK("https://lsnyc.legalserver.org/matter/dynamic-profile/view/1902873","19-1902873")</f>
        <v>0</v>
      </c>
      <c r="B3527" t="s">
        <v>80</v>
      </c>
      <c r="C3527" t="s">
        <v>343</v>
      </c>
      <c r="E3527" t="s">
        <v>1684</v>
      </c>
      <c r="F3527" t="s">
        <v>5433</v>
      </c>
      <c r="G3527" t="s">
        <v>8925</v>
      </c>
      <c r="H3527" t="s">
        <v>10552</v>
      </c>
      <c r="I3527" t="s">
        <v>11383</v>
      </c>
      <c r="J3527">
        <v>10474</v>
      </c>
      <c r="K3527" t="s">
        <v>11447</v>
      </c>
      <c r="N3527" t="s">
        <v>14781</v>
      </c>
      <c r="P3527" t="s">
        <v>14802</v>
      </c>
      <c r="S3527" t="s">
        <v>14827</v>
      </c>
      <c r="V3527">
        <v>785</v>
      </c>
      <c r="W3527" t="s">
        <v>14858</v>
      </c>
      <c r="X3527" t="s">
        <v>14868</v>
      </c>
      <c r="Z3527" t="s">
        <v>17827</v>
      </c>
      <c r="AB3527" t="s">
        <v>22906</v>
      </c>
      <c r="AC3527">
        <v>0</v>
      </c>
      <c r="AD3527" t="s">
        <v>24595</v>
      </c>
      <c r="AF3527">
        <v>4</v>
      </c>
      <c r="AG3527">
        <v>1</v>
      </c>
      <c r="AH3527">
        <v>0</v>
      </c>
      <c r="AI3527">
        <v>17.58</v>
      </c>
      <c r="AL3527" t="s">
        <v>5011</v>
      </c>
      <c r="AM3527">
        <v>2196</v>
      </c>
      <c r="AS3527">
        <v>4</v>
      </c>
      <c r="AT3527" t="s">
        <v>620</v>
      </c>
      <c r="AU3527" t="s">
        <v>25251</v>
      </c>
      <c r="AW3527" t="s">
        <v>11447</v>
      </c>
    </row>
    <row r="3528" spans="1:49">
      <c r="A3528" s="1">
        <f>HYPERLINK("https://lsnyc.legalserver.org/matter/dynamic-profile/view/1909989","19-1909989")</f>
        <v>0</v>
      </c>
      <c r="B3528" t="s">
        <v>299</v>
      </c>
      <c r="C3528" t="s">
        <v>468</v>
      </c>
      <c r="E3528" t="s">
        <v>1216</v>
      </c>
      <c r="F3528" t="s">
        <v>3730</v>
      </c>
      <c r="G3528" t="s">
        <v>8926</v>
      </c>
      <c r="I3528" t="s">
        <v>11383</v>
      </c>
      <c r="J3528">
        <v>10456</v>
      </c>
      <c r="K3528" t="s">
        <v>11447</v>
      </c>
      <c r="L3528" t="s">
        <v>13138</v>
      </c>
      <c r="M3528" t="s">
        <v>14743</v>
      </c>
      <c r="N3528" t="s">
        <v>14782</v>
      </c>
      <c r="P3528" t="s">
        <v>14802</v>
      </c>
      <c r="S3528" t="s">
        <v>14827</v>
      </c>
      <c r="V3528">
        <v>1985</v>
      </c>
      <c r="W3528" t="s">
        <v>14858</v>
      </c>
      <c r="X3528" t="s">
        <v>14873</v>
      </c>
      <c r="Z3528" t="s">
        <v>17828</v>
      </c>
      <c r="AB3528" t="s">
        <v>22907</v>
      </c>
      <c r="AC3528">
        <v>0</v>
      </c>
      <c r="AD3528" t="s">
        <v>11479</v>
      </c>
      <c r="AE3528" t="s">
        <v>11459</v>
      </c>
      <c r="AF3528">
        <v>8</v>
      </c>
      <c r="AG3528">
        <v>1</v>
      </c>
      <c r="AH3528">
        <v>2</v>
      </c>
      <c r="AI3528">
        <v>18.28</v>
      </c>
      <c r="AL3528" t="s">
        <v>5011</v>
      </c>
      <c r="AM3528">
        <v>3900</v>
      </c>
      <c r="AS3528">
        <v>6.75</v>
      </c>
      <c r="AT3528" t="s">
        <v>475</v>
      </c>
      <c r="AU3528" t="s">
        <v>25231</v>
      </c>
      <c r="AW3528" t="s">
        <v>11447</v>
      </c>
    </row>
    <row r="3529" spans="1:49">
      <c r="A3529" s="1">
        <f>HYPERLINK("https://lsnyc.legalserver.org/matter/dynamic-profile/view/1915205","19-1915205")</f>
        <v>0</v>
      </c>
      <c r="B3529" t="s">
        <v>60</v>
      </c>
      <c r="C3529" t="s">
        <v>509</v>
      </c>
      <c r="E3529" t="s">
        <v>1977</v>
      </c>
      <c r="F3529" t="s">
        <v>5434</v>
      </c>
      <c r="G3529" t="s">
        <v>8927</v>
      </c>
      <c r="H3529" t="s">
        <v>10589</v>
      </c>
      <c r="I3529" t="s">
        <v>11383</v>
      </c>
      <c r="J3529">
        <v>10457</v>
      </c>
      <c r="K3529" t="s">
        <v>11447</v>
      </c>
      <c r="L3529" t="s">
        <v>13139</v>
      </c>
      <c r="M3529" t="s">
        <v>14744</v>
      </c>
      <c r="N3529" t="s">
        <v>14781</v>
      </c>
      <c r="P3529" t="s">
        <v>14802</v>
      </c>
      <c r="S3529" t="s">
        <v>14827</v>
      </c>
      <c r="V3529">
        <v>1313.16</v>
      </c>
      <c r="W3529" t="s">
        <v>14858</v>
      </c>
      <c r="X3529" t="s">
        <v>14863</v>
      </c>
      <c r="Z3529" t="s">
        <v>17829</v>
      </c>
      <c r="AB3529" t="s">
        <v>22908</v>
      </c>
      <c r="AC3529">
        <v>0</v>
      </c>
      <c r="AD3529" t="s">
        <v>11479</v>
      </c>
      <c r="AF3529">
        <v>5</v>
      </c>
      <c r="AG3529">
        <v>2</v>
      </c>
      <c r="AH3529">
        <v>3</v>
      </c>
      <c r="AI3529">
        <v>18.38</v>
      </c>
      <c r="AL3529" t="s">
        <v>5011</v>
      </c>
      <c r="AM3529">
        <v>5544</v>
      </c>
      <c r="AS3529">
        <v>0</v>
      </c>
      <c r="AU3529" t="s">
        <v>25251</v>
      </c>
      <c r="AW3529" t="s">
        <v>11447</v>
      </c>
    </row>
    <row r="3530" spans="1:49">
      <c r="A3530" s="1">
        <f>HYPERLINK("https://lsnyc.legalserver.org/matter/dynamic-profile/view/1915208","19-1915208")</f>
        <v>0</v>
      </c>
      <c r="B3530" t="s">
        <v>81</v>
      </c>
      <c r="C3530" t="s">
        <v>509</v>
      </c>
      <c r="E3530" t="s">
        <v>2812</v>
      </c>
      <c r="F3530" t="s">
        <v>3848</v>
      </c>
      <c r="G3530" t="s">
        <v>8928</v>
      </c>
      <c r="H3530">
        <v>1</v>
      </c>
      <c r="I3530" t="s">
        <v>11383</v>
      </c>
      <c r="J3530">
        <v>10459</v>
      </c>
      <c r="K3530" t="s">
        <v>11446</v>
      </c>
      <c r="L3530" t="s">
        <v>13140</v>
      </c>
      <c r="M3530" t="s">
        <v>14743</v>
      </c>
      <c r="N3530" t="s">
        <v>14778</v>
      </c>
      <c r="P3530" t="s">
        <v>14802</v>
      </c>
      <c r="Q3530" t="s">
        <v>11448</v>
      </c>
      <c r="S3530" t="s">
        <v>14827</v>
      </c>
      <c r="T3530" t="s">
        <v>14832</v>
      </c>
      <c r="V3530">
        <v>1956</v>
      </c>
      <c r="W3530" t="s">
        <v>14858</v>
      </c>
      <c r="X3530" t="s">
        <v>14863</v>
      </c>
      <c r="Z3530" t="s">
        <v>17830</v>
      </c>
      <c r="AA3530">
        <v>2264412</v>
      </c>
      <c r="AB3530" t="s">
        <v>22909</v>
      </c>
      <c r="AC3530">
        <v>2</v>
      </c>
      <c r="AD3530" t="s">
        <v>24607</v>
      </c>
      <c r="AE3530" t="s">
        <v>24616</v>
      </c>
      <c r="AF3530">
        <v>5</v>
      </c>
      <c r="AG3530">
        <v>3</v>
      </c>
      <c r="AH3530">
        <v>3</v>
      </c>
      <c r="AI3530">
        <v>18.5</v>
      </c>
      <c r="AL3530" t="s">
        <v>5011</v>
      </c>
      <c r="AM3530">
        <v>6398.6</v>
      </c>
      <c r="AS3530">
        <v>0</v>
      </c>
      <c r="AU3530" t="s">
        <v>145</v>
      </c>
      <c r="AV3530" t="s">
        <v>25335</v>
      </c>
      <c r="AW3530" t="s">
        <v>11447</v>
      </c>
    </row>
    <row r="3531" spans="1:49">
      <c r="A3531" s="1">
        <f>HYPERLINK("https://lsnyc.legalserver.org/matter/dynamic-profile/view/1910626","19-1910626")</f>
        <v>0</v>
      </c>
      <c r="B3531" t="s">
        <v>268</v>
      </c>
      <c r="C3531" t="s">
        <v>644</v>
      </c>
      <c r="E3531" t="s">
        <v>2813</v>
      </c>
      <c r="F3531" t="s">
        <v>5435</v>
      </c>
      <c r="G3531" t="s">
        <v>8929</v>
      </c>
      <c r="H3531">
        <v>608</v>
      </c>
      <c r="I3531" t="s">
        <v>11383</v>
      </c>
      <c r="J3531">
        <v>10455</v>
      </c>
      <c r="K3531" t="s">
        <v>11446</v>
      </c>
      <c r="L3531" t="s">
        <v>11465</v>
      </c>
      <c r="M3531" t="s">
        <v>14753</v>
      </c>
      <c r="N3531" t="s">
        <v>14782</v>
      </c>
      <c r="P3531" t="s">
        <v>14802</v>
      </c>
      <c r="Q3531" t="s">
        <v>11448</v>
      </c>
      <c r="S3531" t="s">
        <v>14829</v>
      </c>
      <c r="T3531" t="s">
        <v>14832</v>
      </c>
      <c r="V3531">
        <v>940</v>
      </c>
      <c r="W3531" t="s">
        <v>14858</v>
      </c>
      <c r="X3531" t="s">
        <v>14864</v>
      </c>
      <c r="Z3531" t="s">
        <v>17831</v>
      </c>
      <c r="AA3531" t="s">
        <v>19759</v>
      </c>
      <c r="AB3531" t="s">
        <v>22910</v>
      </c>
      <c r="AC3531">
        <v>0</v>
      </c>
      <c r="AD3531" t="s">
        <v>24595</v>
      </c>
      <c r="AF3531">
        <v>1</v>
      </c>
      <c r="AG3531">
        <v>1</v>
      </c>
      <c r="AH3531">
        <v>0</v>
      </c>
      <c r="AI3531">
        <v>18.94</v>
      </c>
      <c r="AL3531" t="s">
        <v>5011</v>
      </c>
      <c r="AM3531">
        <v>2366</v>
      </c>
      <c r="AS3531">
        <v>16.25</v>
      </c>
      <c r="AT3531" t="s">
        <v>495</v>
      </c>
      <c r="AU3531" t="s">
        <v>145</v>
      </c>
      <c r="AV3531" t="s">
        <v>25335</v>
      </c>
      <c r="AW3531" t="s">
        <v>11447</v>
      </c>
    </row>
    <row r="3532" spans="1:49">
      <c r="A3532" s="1">
        <f>HYPERLINK("https://lsnyc.legalserver.org/matter/dynamic-profile/view/1897373","19-1897373")</f>
        <v>0</v>
      </c>
      <c r="B3532" t="s">
        <v>111</v>
      </c>
      <c r="C3532" t="s">
        <v>611</v>
      </c>
      <c r="E3532" t="s">
        <v>1320</v>
      </c>
      <c r="F3532" t="s">
        <v>5436</v>
      </c>
      <c r="G3532" t="s">
        <v>8930</v>
      </c>
      <c r="H3532" t="s">
        <v>10699</v>
      </c>
      <c r="I3532" t="s">
        <v>11383</v>
      </c>
      <c r="J3532">
        <v>10451</v>
      </c>
      <c r="K3532" t="s">
        <v>11446</v>
      </c>
      <c r="L3532" t="s">
        <v>13141</v>
      </c>
      <c r="M3532" t="s">
        <v>14746</v>
      </c>
      <c r="N3532" t="s">
        <v>14778</v>
      </c>
      <c r="P3532" t="s">
        <v>14802</v>
      </c>
      <c r="Q3532" t="s">
        <v>11448</v>
      </c>
      <c r="S3532" t="s">
        <v>14827</v>
      </c>
      <c r="V3532">
        <v>891.87</v>
      </c>
      <c r="W3532" t="s">
        <v>14858</v>
      </c>
      <c r="X3532" t="s">
        <v>14868</v>
      </c>
      <c r="Z3532" t="s">
        <v>17832</v>
      </c>
      <c r="AB3532" t="s">
        <v>22911</v>
      </c>
      <c r="AC3532">
        <v>84</v>
      </c>
      <c r="AD3532" t="s">
        <v>24595</v>
      </c>
      <c r="AE3532" t="s">
        <v>24616</v>
      </c>
      <c r="AF3532">
        <v>25</v>
      </c>
      <c r="AG3532">
        <v>1</v>
      </c>
      <c r="AH3532">
        <v>2</v>
      </c>
      <c r="AI3532">
        <v>19.58</v>
      </c>
      <c r="AL3532" t="s">
        <v>24632</v>
      </c>
      <c r="AM3532">
        <v>4176</v>
      </c>
      <c r="AN3532" t="s">
        <v>24867</v>
      </c>
      <c r="AS3532">
        <v>0</v>
      </c>
      <c r="AU3532" t="s">
        <v>25242</v>
      </c>
      <c r="AV3532" t="s">
        <v>25335</v>
      </c>
      <c r="AW3532" t="s">
        <v>11446</v>
      </c>
    </row>
    <row r="3533" spans="1:49">
      <c r="A3533" s="1">
        <f>HYPERLINK("https://lsnyc.legalserver.org/matter/dynamic-profile/view/1915243","19-1915243")</f>
        <v>0</v>
      </c>
      <c r="B3533" t="s">
        <v>81</v>
      </c>
      <c r="C3533" t="s">
        <v>509</v>
      </c>
      <c r="E3533" t="s">
        <v>2707</v>
      </c>
      <c r="F3533" t="s">
        <v>5091</v>
      </c>
      <c r="G3533" t="s">
        <v>8931</v>
      </c>
      <c r="H3533" t="s">
        <v>11147</v>
      </c>
      <c r="I3533" t="s">
        <v>11383</v>
      </c>
      <c r="J3533">
        <v>10459</v>
      </c>
      <c r="K3533" t="s">
        <v>11446</v>
      </c>
      <c r="L3533" t="s">
        <v>13142</v>
      </c>
      <c r="M3533" t="s">
        <v>14744</v>
      </c>
      <c r="N3533" t="s">
        <v>14778</v>
      </c>
      <c r="P3533" t="s">
        <v>14802</v>
      </c>
      <c r="Q3533" t="s">
        <v>11448</v>
      </c>
      <c r="S3533" t="s">
        <v>14827</v>
      </c>
      <c r="T3533" t="s">
        <v>14832</v>
      </c>
      <c r="V3533">
        <v>48</v>
      </c>
      <c r="W3533" t="s">
        <v>14858</v>
      </c>
      <c r="X3533" t="s">
        <v>14863</v>
      </c>
      <c r="Z3533" t="s">
        <v>15042</v>
      </c>
      <c r="AB3533" t="s">
        <v>22912</v>
      </c>
      <c r="AC3533">
        <v>42</v>
      </c>
      <c r="AE3533" t="s">
        <v>24610</v>
      </c>
      <c r="AF3533">
        <v>12</v>
      </c>
      <c r="AG3533">
        <v>3</v>
      </c>
      <c r="AH3533">
        <v>0</v>
      </c>
      <c r="AI3533">
        <v>23.89</v>
      </c>
      <c r="AL3533" t="s">
        <v>5011</v>
      </c>
      <c r="AM3533">
        <v>5096</v>
      </c>
      <c r="AS3533">
        <v>0</v>
      </c>
      <c r="AU3533" t="s">
        <v>145</v>
      </c>
      <c r="AV3533" t="s">
        <v>25335</v>
      </c>
      <c r="AW3533" t="s">
        <v>11447</v>
      </c>
    </row>
    <row r="3534" spans="1:49">
      <c r="A3534" s="1">
        <f>HYPERLINK("https://lsnyc.legalserver.org/matter/dynamic-profile/view/1911365","19-1911365")</f>
        <v>0</v>
      </c>
      <c r="B3534" t="s">
        <v>112</v>
      </c>
      <c r="C3534" t="s">
        <v>467</v>
      </c>
      <c r="E3534" t="s">
        <v>1025</v>
      </c>
      <c r="F3534" t="s">
        <v>5437</v>
      </c>
      <c r="G3534" t="s">
        <v>8932</v>
      </c>
      <c r="H3534" t="s">
        <v>10581</v>
      </c>
      <c r="I3534" t="s">
        <v>11383</v>
      </c>
      <c r="J3534">
        <v>10458</v>
      </c>
      <c r="K3534" t="s">
        <v>11446</v>
      </c>
      <c r="L3534" t="s">
        <v>13143</v>
      </c>
      <c r="M3534" t="s">
        <v>14744</v>
      </c>
      <c r="N3534" t="s">
        <v>14781</v>
      </c>
      <c r="P3534" t="s">
        <v>14802</v>
      </c>
      <c r="Q3534" t="s">
        <v>11448</v>
      </c>
      <c r="S3534" t="s">
        <v>14827</v>
      </c>
      <c r="T3534" t="s">
        <v>14833</v>
      </c>
      <c r="V3534">
        <v>1383</v>
      </c>
      <c r="W3534" t="s">
        <v>14858</v>
      </c>
      <c r="X3534" t="s">
        <v>14867</v>
      </c>
      <c r="Z3534" t="s">
        <v>17833</v>
      </c>
      <c r="AC3534">
        <v>40</v>
      </c>
      <c r="AD3534" t="s">
        <v>24595</v>
      </c>
      <c r="AF3534">
        <v>13</v>
      </c>
      <c r="AG3534">
        <v>4</v>
      </c>
      <c r="AH3534">
        <v>1</v>
      </c>
      <c r="AI3534">
        <v>25.34</v>
      </c>
      <c r="AL3534" t="s">
        <v>24632</v>
      </c>
      <c r="AM3534">
        <v>7644</v>
      </c>
      <c r="AS3534">
        <v>10</v>
      </c>
      <c r="AT3534" t="s">
        <v>516</v>
      </c>
      <c r="AU3534" t="s">
        <v>145</v>
      </c>
      <c r="AV3534" t="s">
        <v>25335</v>
      </c>
      <c r="AW3534" t="s">
        <v>11447</v>
      </c>
    </row>
    <row r="3535" spans="1:49">
      <c r="A3535" s="1">
        <f>HYPERLINK("https://lsnyc.legalserver.org/matter/dynamic-profile/view/1910401","19-1910401")</f>
        <v>0</v>
      </c>
      <c r="B3535" t="s">
        <v>306</v>
      </c>
      <c r="C3535" t="s">
        <v>508</v>
      </c>
      <c r="E3535" t="s">
        <v>1337</v>
      </c>
      <c r="F3535" t="s">
        <v>5438</v>
      </c>
      <c r="G3535" t="s">
        <v>8933</v>
      </c>
      <c r="H3535" t="s">
        <v>11148</v>
      </c>
      <c r="I3535" t="s">
        <v>11383</v>
      </c>
      <c r="J3535">
        <v>10469</v>
      </c>
      <c r="K3535" t="s">
        <v>11446</v>
      </c>
      <c r="L3535" t="s">
        <v>13144</v>
      </c>
      <c r="M3535" t="s">
        <v>14743</v>
      </c>
      <c r="N3535" t="s">
        <v>14781</v>
      </c>
      <c r="P3535" t="s">
        <v>14802</v>
      </c>
      <c r="Q3535" t="s">
        <v>11448</v>
      </c>
      <c r="S3535" t="s">
        <v>14827</v>
      </c>
      <c r="V3535">
        <v>0</v>
      </c>
      <c r="W3535" t="s">
        <v>14858</v>
      </c>
      <c r="X3535" t="s">
        <v>14865</v>
      </c>
      <c r="Z3535" t="s">
        <v>17834</v>
      </c>
      <c r="AC3535">
        <v>2</v>
      </c>
      <c r="AD3535" t="s">
        <v>24607</v>
      </c>
      <c r="AF3535">
        <v>13</v>
      </c>
      <c r="AG3535">
        <v>1</v>
      </c>
      <c r="AH3535">
        <v>2</v>
      </c>
      <c r="AI3535">
        <v>28.13</v>
      </c>
      <c r="AL3535" t="s">
        <v>5011</v>
      </c>
      <c r="AM3535">
        <v>6000</v>
      </c>
      <c r="AS3535">
        <v>21</v>
      </c>
      <c r="AT3535" t="s">
        <v>521</v>
      </c>
      <c r="AU3535" t="s">
        <v>145</v>
      </c>
      <c r="AV3535" t="s">
        <v>25335</v>
      </c>
      <c r="AW3535" t="s">
        <v>11447</v>
      </c>
    </row>
    <row r="3536" spans="1:49">
      <c r="A3536" s="1">
        <f>HYPERLINK("https://lsnyc.legalserver.org/matter/dynamic-profile/view/1913620","19-1913620")</f>
        <v>0</v>
      </c>
      <c r="B3536" t="s">
        <v>305</v>
      </c>
      <c r="C3536" t="s">
        <v>477</v>
      </c>
      <c r="E3536" t="s">
        <v>2814</v>
      </c>
      <c r="F3536" t="s">
        <v>4010</v>
      </c>
      <c r="G3536" t="s">
        <v>8934</v>
      </c>
      <c r="H3536" t="s">
        <v>10541</v>
      </c>
      <c r="I3536" t="s">
        <v>11383</v>
      </c>
      <c r="J3536">
        <v>10473</v>
      </c>
      <c r="K3536" t="s">
        <v>11446</v>
      </c>
      <c r="L3536" t="s">
        <v>13145</v>
      </c>
      <c r="M3536" t="s">
        <v>14743</v>
      </c>
      <c r="P3536" t="s">
        <v>14802</v>
      </c>
      <c r="Q3536" t="s">
        <v>11448</v>
      </c>
      <c r="S3536" t="s">
        <v>14827</v>
      </c>
      <c r="V3536">
        <v>1017.01</v>
      </c>
      <c r="W3536" t="s">
        <v>14858</v>
      </c>
      <c r="X3536" t="s">
        <v>14868</v>
      </c>
      <c r="Z3536" t="s">
        <v>17835</v>
      </c>
      <c r="AA3536" t="s">
        <v>19760</v>
      </c>
      <c r="AB3536" t="s">
        <v>22913</v>
      </c>
      <c r="AC3536">
        <v>226</v>
      </c>
      <c r="AD3536" t="s">
        <v>24595</v>
      </c>
      <c r="AF3536">
        <v>13</v>
      </c>
      <c r="AG3536">
        <v>1</v>
      </c>
      <c r="AH3536">
        <v>1</v>
      </c>
      <c r="AI3536">
        <v>29.83</v>
      </c>
      <c r="AL3536" t="s">
        <v>5011</v>
      </c>
      <c r="AM3536">
        <v>5044</v>
      </c>
      <c r="AS3536">
        <v>1.5</v>
      </c>
      <c r="AT3536" t="s">
        <v>495</v>
      </c>
      <c r="AU3536" t="s">
        <v>145</v>
      </c>
      <c r="AV3536" t="s">
        <v>25335</v>
      </c>
      <c r="AW3536" t="s">
        <v>11447</v>
      </c>
    </row>
    <row r="3537" spans="1:49">
      <c r="A3537" s="1">
        <f>HYPERLINK("https://lsnyc.legalserver.org/matter/dynamic-profile/view/1895862","19-1895862")</f>
        <v>0</v>
      </c>
      <c r="B3537" t="s">
        <v>157</v>
      </c>
      <c r="C3537" t="s">
        <v>729</v>
      </c>
      <c r="E3537" t="s">
        <v>1111</v>
      </c>
      <c r="F3537" t="s">
        <v>4673</v>
      </c>
      <c r="G3537" t="s">
        <v>8935</v>
      </c>
      <c r="H3537">
        <v>14</v>
      </c>
      <c r="I3537" t="s">
        <v>11383</v>
      </c>
      <c r="J3537">
        <v>10451</v>
      </c>
      <c r="K3537" t="s">
        <v>11446</v>
      </c>
      <c r="L3537" t="s">
        <v>13146</v>
      </c>
      <c r="M3537" t="s">
        <v>14744</v>
      </c>
      <c r="N3537" t="s">
        <v>14778</v>
      </c>
      <c r="P3537" t="s">
        <v>14802</v>
      </c>
      <c r="Q3537" t="s">
        <v>11448</v>
      </c>
      <c r="S3537" t="s">
        <v>14827</v>
      </c>
      <c r="V3537">
        <v>998</v>
      </c>
      <c r="W3537" t="s">
        <v>14858</v>
      </c>
      <c r="X3537" t="s">
        <v>14863</v>
      </c>
      <c r="Z3537" t="s">
        <v>17836</v>
      </c>
      <c r="AB3537" t="s">
        <v>22914</v>
      </c>
      <c r="AC3537">
        <v>84</v>
      </c>
      <c r="AD3537" t="s">
        <v>11479</v>
      </c>
      <c r="AE3537" t="s">
        <v>11459</v>
      </c>
      <c r="AF3537">
        <v>45</v>
      </c>
      <c r="AG3537">
        <v>2</v>
      </c>
      <c r="AH3537">
        <v>0</v>
      </c>
      <c r="AI3537">
        <v>30.29</v>
      </c>
      <c r="AL3537" t="s">
        <v>5011</v>
      </c>
      <c r="AM3537">
        <v>5122</v>
      </c>
      <c r="AN3537" t="s">
        <v>24868</v>
      </c>
      <c r="AS3537">
        <v>6.5</v>
      </c>
      <c r="AT3537" t="s">
        <v>592</v>
      </c>
      <c r="AU3537" t="s">
        <v>25239</v>
      </c>
      <c r="AV3537" t="s">
        <v>25335</v>
      </c>
      <c r="AW3537" t="s">
        <v>11446</v>
      </c>
    </row>
    <row r="3538" spans="1:49">
      <c r="A3538" s="1">
        <f>HYPERLINK("https://lsnyc.legalserver.org/matter/dynamic-profile/view/1914102","19-1914102")</f>
        <v>0</v>
      </c>
      <c r="B3538" t="s">
        <v>241</v>
      </c>
      <c r="C3538" t="s">
        <v>580</v>
      </c>
      <c r="E3538" t="s">
        <v>2815</v>
      </c>
      <c r="F3538" t="s">
        <v>5439</v>
      </c>
      <c r="G3538" t="s">
        <v>8936</v>
      </c>
      <c r="H3538">
        <v>3</v>
      </c>
      <c r="I3538" t="s">
        <v>11383</v>
      </c>
      <c r="J3538">
        <v>10474</v>
      </c>
      <c r="K3538" t="s">
        <v>11446</v>
      </c>
      <c r="L3538" t="s">
        <v>13147</v>
      </c>
      <c r="M3538" t="s">
        <v>14743</v>
      </c>
      <c r="N3538" t="s">
        <v>14782</v>
      </c>
      <c r="P3538" t="s">
        <v>14802</v>
      </c>
      <c r="Q3538" t="s">
        <v>11448</v>
      </c>
      <c r="S3538" t="s">
        <v>14827</v>
      </c>
      <c r="V3538">
        <v>1723</v>
      </c>
      <c r="W3538" t="s">
        <v>14858</v>
      </c>
      <c r="X3538" t="s">
        <v>14863</v>
      </c>
      <c r="Z3538" t="s">
        <v>17018</v>
      </c>
      <c r="AB3538" t="s">
        <v>22915</v>
      </c>
      <c r="AC3538">
        <v>20</v>
      </c>
      <c r="AD3538" t="s">
        <v>24595</v>
      </c>
      <c r="AE3538" t="s">
        <v>24610</v>
      </c>
      <c r="AF3538">
        <v>13</v>
      </c>
      <c r="AG3538">
        <v>2</v>
      </c>
      <c r="AH3538">
        <v>3</v>
      </c>
      <c r="AI3538">
        <v>31.37</v>
      </c>
      <c r="AL3538" t="s">
        <v>5011</v>
      </c>
      <c r="AM3538">
        <v>9464</v>
      </c>
      <c r="AS3538">
        <v>2.7</v>
      </c>
      <c r="AT3538" t="s">
        <v>509</v>
      </c>
      <c r="AU3538" t="s">
        <v>145</v>
      </c>
      <c r="AV3538" t="s">
        <v>25335</v>
      </c>
      <c r="AW3538" t="s">
        <v>11447</v>
      </c>
    </row>
    <row r="3539" spans="1:49">
      <c r="A3539" s="1">
        <f>HYPERLINK("https://lsnyc.legalserver.org/matter/dynamic-profile/view/1891278","19-1891278")</f>
        <v>0</v>
      </c>
      <c r="B3539" t="s">
        <v>89</v>
      </c>
      <c r="C3539" t="s">
        <v>534</v>
      </c>
      <c r="E3539" t="s">
        <v>1703</v>
      </c>
      <c r="F3539" t="s">
        <v>5440</v>
      </c>
      <c r="G3539" t="s">
        <v>8937</v>
      </c>
      <c r="H3539" t="s">
        <v>10817</v>
      </c>
      <c r="I3539" t="s">
        <v>11383</v>
      </c>
      <c r="J3539">
        <v>10468</v>
      </c>
      <c r="K3539" t="s">
        <v>11446</v>
      </c>
      <c r="L3539" t="s">
        <v>11465</v>
      </c>
      <c r="M3539" t="s">
        <v>14746</v>
      </c>
      <c r="N3539" t="s">
        <v>14781</v>
      </c>
      <c r="P3539" t="s">
        <v>14802</v>
      </c>
      <c r="Q3539" t="s">
        <v>11448</v>
      </c>
      <c r="S3539" t="s">
        <v>14827</v>
      </c>
      <c r="T3539" t="s">
        <v>14832</v>
      </c>
      <c r="V3539">
        <v>1007.45</v>
      </c>
      <c r="W3539" t="s">
        <v>14858</v>
      </c>
      <c r="X3539" t="s">
        <v>14865</v>
      </c>
      <c r="Z3539" t="s">
        <v>17837</v>
      </c>
      <c r="AB3539" t="s">
        <v>22916</v>
      </c>
      <c r="AC3539">
        <v>22</v>
      </c>
      <c r="AD3539" t="s">
        <v>24595</v>
      </c>
      <c r="AE3539" t="s">
        <v>24613</v>
      </c>
      <c r="AF3539">
        <v>21</v>
      </c>
      <c r="AG3539">
        <v>3</v>
      </c>
      <c r="AH3539">
        <v>1</v>
      </c>
      <c r="AI3539">
        <v>33.69</v>
      </c>
      <c r="AL3539" t="s">
        <v>5011</v>
      </c>
      <c r="AM3539">
        <v>8676</v>
      </c>
      <c r="AN3539" t="s">
        <v>24869</v>
      </c>
      <c r="AS3539">
        <v>17.95</v>
      </c>
      <c r="AT3539" t="s">
        <v>580</v>
      </c>
      <c r="AU3539" t="s">
        <v>89</v>
      </c>
      <c r="AV3539" t="s">
        <v>25335</v>
      </c>
      <c r="AW3539" t="s">
        <v>11446</v>
      </c>
    </row>
    <row r="3540" spans="1:49">
      <c r="A3540" s="1">
        <f>HYPERLINK("https://lsnyc.legalserver.org/matter/dynamic-profile/view/1909893","19-1909893")</f>
        <v>0</v>
      </c>
      <c r="B3540" t="s">
        <v>297</v>
      </c>
      <c r="C3540" t="s">
        <v>468</v>
      </c>
      <c r="E3540" t="s">
        <v>2816</v>
      </c>
      <c r="F3540" t="s">
        <v>5441</v>
      </c>
      <c r="G3540" t="s">
        <v>8010</v>
      </c>
      <c r="H3540" t="s">
        <v>10575</v>
      </c>
      <c r="I3540" t="s">
        <v>11383</v>
      </c>
      <c r="J3540">
        <v>10474</v>
      </c>
      <c r="K3540" t="s">
        <v>11446</v>
      </c>
      <c r="L3540" t="s">
        <v>13148</v>
      </c>
      <c r="M3540" t="s">
        <v>14743</v>
      </c>
      <c r="N3540" t="s">
        <v>14781</v>
      </c>
      <c r="P3540" t="s">
        <v>14802</v>
      </c>
      <c r="Q3540" t="s">
        <v>11448</v>
      </c>
      <c r="S3540" t="s">
        <v>14827</v>
      </c>
      <c r="T3540" t="s">
        <v>14832</v>
      </c>
      <c r="V3540">
        <v>0</v>
      </c>
      <c r="W3540" t="s">
        <v>14858</v>
      </c>
      <c r="X3540" t="s">
        <v>14870</v>
      </c>
      <c r="Z3540" t="s">
        <v>17838</v>
      </c>
      <c r="AB3540" t="s">
        <v>22917</v>
      </c>
      <c r="AC3540">
        <v>0</v>
      </c>
      <c r="AD3540" t="s">
        <v>24595</v>
      </c>
      <c r="AE3540" t="s">
        <v>24611</v>
      </c>
      <c r="AF3540">
        <v>12</v>
      </c>
      <c r="AG3540">
        <v>1</v>
      </c>
      <c r="AH3540">
        <v>0</v>
      </c>
      <c r="AI3540">
        <v>36.12</v>
      </c>
      <c r="AM3540">
        <v>4512</v>
      </c>
      <c r="AS3540">
        <v>14.25</v>
      </c>
      <c r="AT3540" t="s">
        <v>483</v>
      </c>
      <c r="AU3540" t="s">
        <v>237</v>
      </c>
      <c r="AV3540" t="s">
        <v>25335</v>
      </c>
      <c r="AW3540" t="s">
        <v>11447</v>
      </c>
    </row>
    <row r="3541" spans="1:49">
      <c r="A3541" s="1">
        <f>HYPERLINK("https://lsnyc.legalserver.org/matter/dynamic-profile/view/1913373","19-1913373")</f>
        <v>0</v>
      </c>
      <c r="B3541" t="s">
        <v>257</v>
      </c>
      <c r="C3541" t="s">
        <v>483</v>
      </c>
      <c r="E3541" t="s">
        <v>1337</v>
      </c>
      <c r="F3541" t="s">
        <v>1502</v>
      </c>
      <c r="G3541" t="s">
        <v>8938</v>
      </c>
      <c r="H3541">
        <v>2</v>
      </c>
      <c r="I3541" t="s">
        <v>11383</v>
      </c>
      <c r="J3541">
        <v>10458</v>
      </c>
      <c r="K3541" t="s">
        <v>11446</v>
      </c>
      <c r="L3541" t="s">
        <v>13149</v>
      </c>
      <c r="M3541" t="s">
        <v>14743</v>
      </c>
      <c r="N3541" t="s">
        <v>14782</v>
      </c>
      <c r="P3541" t="s">
        <v>14802</v>
      </c>
      <c r="Q3541" t="s">
        <v>11448</v>
      </c>
      <c r="S3541" t="s">
        <v>14827</v>
      </c>
      <c r="T3541" t="s">
        <v>14832</v>
      </c>
      <c r="V3541">
        <v>1900</v>
      </c>
      <c r="W3541" t="s">
        <v>14858</v>
      </c>
      <c r="X3541" t="s">
        <v>14863</v>
      </c>
      <c r="Z3541" t="s">
        <v>17839</v>
      </c>
      <c r="AB3541" t="s">
        <v>22918</v>
      </c>
      <c r="AC3541">
        <v>2</v>
      </c>
      <c r="AD3541" t="s">
        <v>24600</v>
      </c>
      <c r="AE3541" t="s">
        <v>24610</v>
      </c>
      <c r="AF3541">
        <v>5</v>
      </c>
      <c r="AG3541">
        <v>3</v>
      </c>
      <c r="AH3541">
        <v>0</v>
      </c>
      <c r="AI3541">
        <v>43.38</v>
      </c>
      <c r="AL3541" t="s">
        <v>5011</v>
      </c>
      <c r="AM3541">
        <v>9252</v>
      </c>
      <c r="AS3541">
        <v>3.6</v>
      </c>
      <c r="AT3541" t="s">
        <v>654</v>
      </c>
      <c r="AU3541" t="s">
        <v>145</v>
      </c>
      <c r="AV3541" t="s">
        <v>25335</v>
      </c>
      <c r="AW3541" t="s">
        <v>11447</v>
      </c>
    </row>
    <row r="3542" spans="1:49">
      <c r="A3542" s="1">
        <f>HYPERLINK("https://lsnyc.legalserver.org/matter/dynamic-profile/view/1915202","19-1915202")</f>
        <v>0</v>
      </c>
      <c r="B3542" t="s">
        <v>81</v>
      </c>
      <c r="C3542" t="s">
        <v>509</v>
      </c>
      <c r="E3542" t="s">
        <v>2817</v>
      </c>
      <c r="F3542" t="s">
        <v>5442</v>
      </c>
      <c r="G3542" t="s">
        <v>8939</v>
      </c>
      <c r="H3542" t="s">
        <v>10865</v>
      </c>
      <c r="I3542" t="s">
        <v>11383</v>
      </c>
      <c r="J3542">
        <v>10472</v>
      </c>
      <c r="K3542" t="s">
        <v>11446</v>
      </c>
      <c r="L3542" t="s">
        <v>13150</v>
      </c>
      <c r="M3542" t="s">
        <v>14744</v>
      </c>
      <c r="N3542" t="s">
        <v>14778</v>
      </c>
      <c r="P3542" t="s">
        <v>14802</v>
      </c>
      <c r="Q3542" t="s">
        <v>11448</v>
      </c>
      <c r="S3542" t="s">
        <v>14827</v>
      </c>
      <c r="T3542" t="s">
        <v>14832</v>
      </c>
      <c r="V3542">
        <v>1435</v>
      </c>
      <c r="W3542" t="s">
        <v>14858</v>
      </c>
      <c r="X3542" t="s">
        <v>14863</v>
      </c>
      <c r="Z3542" t="s">
        <v>15979</v>
      </c>
      <c r="AA3542" t="s">
        <v>19761</v>
      </c>
      <c r="AB3542" t="s">
        <v>22919</v>
      </c>
      <c r="AC3542">
        <v>70</v>
      </c>
      <c r="AD3542" t="s">
        <v>24595</v>
      </c>
      <c r="AE3542" t="s">
        <v>24615</v>
      </c>
      <c r="AF3542">
        <v>2</v>
      </c>
      <c r="AG3542">
        <v>1</v>
      </c>
      <c r="AH3542">
        <v>1</v>
      </c>
      <c r="AI3542">
        <v>45.77</v>
      </c>
      <c r="AL3542" t="s">
        <v>5011</v>
      </c>
      <c r="AM3542">
        <v>7740</v>
      </c>
      <c r="AS3542">
        <v>0</v>
      </c>
      <c r="AU3542" t="s">
        <v>145</v>
      </c>
      <c r="AV3542" t="s">
        <v>25335</v>
      </c>
      <c r="AW3542" t="s">
        <v>11447</v>
      </c>
    </row>
    <row r="3543" spans="1:49">
      <c r="A3543" s="1">
        <f>HYPERLINK("https://lsnyc.legalserver.org/matter/dynamic-profile/view/1915349","19-1915349")</f>
        <v>0</v>
      </c>
      <c r="B3543" t="s">
        <v>80</v>
      </c>
      <c r="C3543" t="s">
        <v>495</v>
      </c>
      <c r="E3543" t="s">
        <v>1132</v>
      </c>
      <c r="F3543" t="s">
        <v>5443</v>
      </c>
      <c r="G3543" t="s">
        <v>8940</v>
      </c>
      <c r="H3543">
        <v>603</v>
      </c>
      <c r="I3543" t="s">
        <v>11383</v>
      </c>
      <c r="J3543">
        <v>10462</v>
      </c>
      <c r="K3543" t="s">
        <v>11447</v>
      </c>
      <c r="L3543" t="s">
        <v>13151</v>
      </c>
      <c r="M3543" t="s">
        <v>14743</v>
      </c>
      <c r="N3543" t="s">
        <v>14781</v>
      </c>
      <c r="P3543" t="s">
        <v>14802</v>
      </c>
      <c r="S3543" t="s">
        <v>14827</v>
      </c>
      <c r="V3543">
        <v>194</v>
      </c>
      <c r="W3543" t="s">
        <v>14858</v>
      </c>
      <c r="Z3543" t="s">
        <v>17840</v>
      </c>
      <c r="AB3543" t="s">
        <v>22920</v>
      </c>
      <c r="AC3543">
        <v>0</v>
      </c>
      <c r="AF3543">
        <v>5</v>
      </c>
      <c r="AG3543">
        <v>2</v>
      </c>
      <c r="AH3543">
        <v>0</v>
      </c>
      <c r="AI3543">
        <v>46.13</v>
      </c>
      <c r="AL3543" t="s">
        <v>5011</v>
      </c>
      <c r="AM3543">
        <v>7800</v>
      </c>
      <c r="AS3543">
        <v>0</v>
      </c>
      <c r="AU3543" t="s">
        <v>25251</v>
      </c>
      <c r="AW3543" t="s">
        <v>11447</v>
      </c>
    </row>
    <row r="3544" spans="1:49">
      <c r="A3544" s="1">
        <f>HYPERLINK("https://lsnyc.legalserver.org/matter/dynamic-profile/view/1904769","19-1904769")</f>
        <v>0</v>
      </c>
      <c r="B3544" t="s">
        <v>82</v>
      </c>
      <c r="C3544" t="s">
        <v>345</v>
      </c>
      <c r="E3544" t="s">
        <v>1828</v>
      </c>
      <c r="F3544" t="s">
        <v>5444</v>
      </c>
      <c r="G3544" t="s">
        <v>8941</v>
      </c>
      <c r="H3544" t="s">
        <v>10814</v>
      </c>
      <c r="I3544" t="s">
        <v>11383</v>
      </c>
      <c r="J3544">
        <v>10453</v>
      </c>
      <c r="K3544" t="s">
        <v>11446</v>
      </c>
      <c r="L3544" t="s">
        <v>13152</v>
      </c>
      <c r="N3544" t="s">
        <v>14778</v>
      </c>
      <c r="P3544" t="s">
        <v>14802</v>
      </c>
      <c r="S3544" t="s">
        <v>14827</v>
      </c>
      <c r="V3544">
        <v>879.3</v>
      </c>
      <c r="W3544" t="s">
        <v>14858</v>
      </c>
      <c r="Z3544" t="s">
        <v>15632</v>
      </c>
      <c r="AB3544" t="s">
        <v>22921</v>
      </c>
      <c r="AC3544">
        <v>0</v>
      </c>
      <c r="AF3544">
        <v>27</v>
      </c>
      <c r="AG3544">
        <v>1</v>
      </c>
      <c r="AH3544">
        <v>0</v>
      </c>
      <c r="AI3544">
        <v>47.94</v>
      </c>
      <c r="AL3544" t="s">
        <v>24632</v>
      </c>
      <c r="AM3544">
        <v>5988</v>
      </c>
      <c r="AS3544">
        <v>5.8</v>
      </c>
      <c r="AT3544" t="s">
        <v>491</v>
      </c>
      <c r="AU3544" t="s">
        <v>114</v>
      </c>
      <c r="AV3544" t="s">
        <v>25335</v>
      </c>
      <c r="AW3544" t="s">
        <v>11447</v>
      </c>
    </row>
    <row r="3545" spans="1:49">
      <c r="A3545" s="1">
        <f>HYPERLINK("https://lsnyc.legalserver.org/matter/dynamic-profile/view/1914359","19-1914359")</f>
        <v>0</v>
      </c>
      <c r="B3545" t="s">
        <v>115</v>
      </c>
      <c r="C3545" t="s">
        <v>506</v>
      </c>
      <c r="E3545" t="s">
        <v>2818</v>
      </c>
      <c r="F3545" t="s">
        <v>5445</v>
      </c>
      <c r="G3545" t="s">
        <v>8942</v>
      </c>
      <c r="H3545" t="s">
        <v>10569</v>
      </c>
      <c r="I3545" t="s">
        <v>11383</v>
      </c>
      <c r="J3545">
        <v>10453</v>
      </c>
      <c r="K3545" t="s">
        <v>11446</v>
      </c>
      <c r="L3545" t="s">
        <v>13153</v>
      </c>
      <c r="M3545" t="s">
        <v>14744</v>
      </c>
      <c r="N3545" t="s">
        <v>14781</v>
      </c>
      <c r="P3545" t="s">
        <v>14802</v>
      </c>
      <c r="Q3545" t="s">
        <v>11448</v>
      </c>
      <c r="S3545" t="s">
        <v>14827</v>
      </c>
      <c r="T3545" t="s">
        <v>14832</v>
      </c>
      <c r="V3545">
        <v>1950</v>
      </c>
      <c r="W3545" t="s">
        <v>14858</v>
      </c>
      <c r="X3545" t="s">
        <v>14873</v>
      </c>
      <c r="Z3545" t="s">
        <v>17841</v>
      </c>
      <c r="AB3545" t="s">
        <v>22922</v>
      </c>
      <c r="AC3545">
        <v>40</v>
      </c>
      <c r="AD3545" t="s">
        <v>24595</v>
      </c>
      <c r="AE3545" t="s">
        <v>24615</v>
      </c>
      <c r="AF3545">
        <v>1</v>
      </c>
      <c r="AG3545">
        <v>1</v>
      </c>
      <c r="AH3545">
        <v>3</v>
      </c>
      <c r="AI3545">
        <v>50.49</v>
      </c>
      <c r="AL3545" t="s">
        <v>24632</v>
      </c>
      <c r="AM3545">
        <v>13000</v>
      </c>
      <c r="AS3545">
        <v>0</v>
      </c>
      <c r="AU3545" t="s">
        <v>145</v>
      </c>
      <c r="AV3545" t="s">
        <v>25335</v>
      </c>
      <c r="AW3545" t="s">
        <v>11447</v>
      </c>
    </row>
    <row r="3546" spans="1:49">
      <c r="A3546" s="1">
        <f>HYPERLINK("https://lsnyc.legalserver.org/matter/dynamic-profile/view/1892833","19-1892833")</f>
        <v>0</v>
      </c>
      <c r="B3546" t="s">
        <v>80</v>
      </c>
      <c r="C3546" t="s">
        <v>547</v>
      </c>
      <c r="E3546" t="s">
        <v>1071</v>
      </c>
      <c r="F3546" t="s">
        <v>5446</v>
      </c>
      <c r="G3546" t="s">
        <v>8943</v>
      </c>
      <c r="H3546" t="s">
        <v>10991</v>
      </c>
      <c r="I3546" t="s">
        <v>11383</v>
      </c>
      <c r="J3546">
        <v>10458</v>
      </c>
      <c r="K3546" t="s">
        <v>11447</v>
      </c>
      <c r="P3546" t="s">
        <v>14802</v>
      </c>
      <c r="S3546" t="s">
        <v>14827</v>
      </c>
      <c r="V3546">
        <v>740</v>
      </c>
      <c r="W3546" t="s">
        <v>14858</v>
      </c>
      <c r="X3546" t="s">
        <v>14868</v>
      </c>
      <c r="Z3546" t="s">
        <v>17842</v>
      </c>
      <c r="AB3546" t="s">
        <v>22923</v>
      </c>
      <c r="AC3546">
        <v>0</v>
      </c>
      <c r="AD3546" t="s">
        <v>24595</v>
      </c>
      <c r="AF3546">
        <v>26</v>
      </c>
      <c r="AG3546">
        <v>1</v>
      </c>
      <c r="AH3546">
        <v>3</v>
      </c>
      <c r="AI3546">
        <v>51.68</v>
      </c>
      <c r="AL3546" t="s">
        <v>5011</v>
      </c>
      <c r="AM3546">
        <v>13308</v>
      </c>
      <c r="AN3546" t="s">
        <v>24870</v>
      </c>
      <c r="AS3546">
        <v>0</v>
      </c>
      <c r="AU3546" t="s">
        <v>25251</v>
      </c>
      <c r="AW3546" t="s">
        <v>11447</v>
      </c>
    </row>
    <row r="3547" spans="1:49">
      <c r="A3547" s="1">
        <f>HYPERLINK("https://lsnyc.legalserver.org/matter/dynamic-profile/view/1915113","19-1915113")</f>
        <v>0</v>
      </c>
      <c r="B3547" t="s">
        <v>81</v>
      </c>
      <c r="C3547" t="s">
        <v>516</v>
      </c>
      <c r="E3547" t="s">
        <v>1071</v>
      </c>
      <c r="F3547" t="s">
        <v>3623</v>
      </c>
      <c r="G3547" t="s">
        <v>8944</v>
      </c>
      <c r="H3547" t="s">
        <v>10574</v>
      </c>
      <c r="I3547" t="s">
        <v>11383</v>
      </c>
      <c r="J3547">
        <v>10451</v>
      </c>
      <c r="K3547" t="s">
        <v>11446</v>
      </c>
      <c r="L3547" t="s">
        <v>13154</v>
      </c>
      <c r="M3547" t="s">
        <v>14743</v>
      </c>
      <c r="N3547" t="s">
        <v>14778</v>
      </c>
      <c r="P3547" t="s">
        <v>14802</v>
      </c>
      <c r="Q3547" t="s">
        <v>11448</v>
      </c>
      <c r="S3547" t="s">
        <v>14827</v>
      </c>
      <c r="V3547">
        <v>1101</v>
      </c>
      <c r="W3547" t="s">
        <v>14858</v>
      </c>
      <c r="X3547" t="s">
        <v>14863</v>
      </c>
      <c r="Z3547" t="s">
        <v>17843</v>
      </c>
      <c r="AC3547">
        <v>98</v>
      </c>
      <c r="AD3547" t="s">
        <v>24595</v>
      </c>
      <c r="AF3547">
        <v>8</v>
      </c>
      <c r="AG3547">
        <v>1</v>
      </c>
      <c r="AH3547">
        <v>4</v>
      </c>
      <c r="AI3547">
        <v>51.71</v>
      </c>
      <c r="AL3547" t="s">
        <v>24632</v>
      </c>
      <c r="AM3547">
        <v>15600</v>
      </c>
      <c r="AS3547">
        <v>0</v>
      </c>
      <c r="AU3547" t="s">
        <v>145</v>
      </c>
      <c r="AV3547" t="s">
        <v>25335</v>
      </c>
      <c r="AW3547" t="s">
        <v>11447</v>
      </c>
    </row>
    <row r="3548" spans="1:49">
      <c r="A3548" s="1">
        <f>HYPERLINK("https://lsnyc.legalserver.org/matter/dynamic-profile/view/1899098","19-1899098")</f>
        <v>0</v>
      </c>
      <c r="B3548" t="s">
        <v>257</v>
      </c>
      <c r="C3548" t="s">
        <v>363</v>
      </c>
      <c r="E3548" t="s">
        <v>2819</v>
      </c>
      <c r="F3548" t="s">
        <v>3758</v>
      </c>
      <c r="G3548" t="s">
        <v>8945</v>
      </c>
      <c r="H3548">
        <v>2</v>
      </c>
      <c r="I3548" t="s">
        <v>11383</v>
      </c>
      <c r="J3548">
        <v>10469</v>
      </c>
      <c r="K3548" t="s">
        <v>11447</v>
      </c>
      <c r="L3548" t="s">
        <v>13155</v>
      </c>
      <c r="N3548" t="s">
        <v>14778</v>
      </c>
      <c r="P3548" t="s">
        <v>14802</v>
      </c>
      <c r="S3548" t="s">
        <v>14827</v>
      </c>
      <c r="V3548">
        <v>0</v>
      </c>
      <c r="W3548" t="s">
        <v>14858</v>
      </c>
      <c r="Z3548" t="s">
        <v>17844</v>
      </c>
      <c r="AB3548" t="s">
        <v>22924</v>
      </c>
      <c r="AC3548">
        <v>0</v>
      </c>
      <c r="AF3548">
        <v>0</v>
      </c>
      <c r="AG3548">
        <v>1</v>
      </c>
      <c r="AH3548">
        <v>3</v>
      </c>
      <c r="AI3548">
        <v>53.01</v>
      </c>
      <c r="AL3548" t="s">
        <v>5011</v>
      </c>
      <c r="AM3548">
        <v>13650</v>
      </c>
      <c r="AS3548">
        <v>0.3</v>
      </c>
      <c r="AT3548" t="s">
        <v>498</v>
      </c>
      <c r="AU3548" t="s">
        <v>25251</v>
      </c>
      <c r="AW3548" t="s">
        <v>11447</v>
      </c>
    </row>
    <row r="3549" spans="1:49">
      <c r="A3549" s="1">
        <f>HYPERLINK("https://lsnyc.legalserver.org/matter/dynamic-profile/view/1914499","19-1914499")</f>
        <v>0</v>
      </c>
      <c r="B3549" t="s">
        <v>81</v>
      </c>
      <c r="C3549" t="s">
        <v>478</v>
      </c>
      <c r="E3549" t="s">
        <v>2820</v>
      </c>
      <c r="F3549" t="s">
        <v>3965</v>
      </c>
      <c r="G3549" t="s">
        <v>8946</v>
      </c>
      <c r="H3549" t="s">
        <v>10620</v>
      </c>
      <c r="I3549" t="s">
        <v>11383</v>
      </c>
      <c r="J3549">
        <v>10459</v>
      </c>
      <c r="K3549" t="s">
        <v>11446</v>
      </c>
      <c r="L3549" t="s">
        <v>13156</v>
      </c>
      <c r="M3549" t="s">
        <v>14743</v>
      </c>
      <c r="N3549" t="s">
        <v>14778</v>
      </c>
      <c r="P3549" t="s">
        <v>14802</v>
      </c>
      <c r="Q3549" t="s">
        <v>11448</v>
      </c>
      <c r="S3549" t="s">
        <v>14827</v>
      </c>
      <c r="T3549" t="s">
        <v>14835</v>
      </c>
      <c r="V3549">
        <v>525</v>
      </c>
      <c r="W3549" t="s">
        <v>14858</v>
      </c>
      <c r="X3549" t="s">
        <v>14863</v>
      </c>
      <c r="Z3549" t="s">
        <v>16576</v>
      </c>
      <c r="AB3549" t="s">
        <v>22925</v>
      </c>
      <c r="AC3549">
        <v>35</v>
      </c>
      <c r="AF3549">
        <v>5</v>
      </c>
      <c r="AG3549">
        <v>1</v>
      </c>
      <c r="AH3549">
        <v>2</v>
      </c>
      <c r="AI3549">
        <v>55.7</v>
      </c>
      <c r="AL3549" t="s">
        <v>5011</v>
      </c>
      <c r="AM3549">
        <v>11880</v>
      </c>
      <c r="AS3549">
        <v>1</v>
      </c>
      <c r="AT3549" t="s">
        <v>509</v>
      </c>
      <c r="AU3549" t="s">
        <v>145</v>
      </c>
      <c r="AV3549" t="s">
        <v>25335</v>
      </c>
      <c r="AW3549" t="s">
        <v>11447</v>
      </c>
    </row>
    <row r="3550" spans="1:49">
      <c r="A3550" s="1">
        <f>HYPERLINK("https://lsnyc.legalserver.org/matter/dynamic-profile/view/1915145","19-1915145")</f>
        <v>0</v>
      </c>
      <c r="B3550" t="s">
        <v>81</v>
      </c>
      <c r="C3550" t="s">
        <v>516</v>
      </c>
      <c r="E3550" t="s">
        <v>2821</v>
      </c>
      <c r="F3550" t="s">
        <v>5447</v>
      </c>
      <c r="G3550" t="s">
        <v>8947</v>
      </c>
      <c r="H3550">
        <v>4</v>
      </c>
      <c r="I3550" t="s">
        <v>11383</v>
      </c>
      <c r="J3550">
        <v>10456</v>
      </c>
      <c r="K3550" t="s">
        <v>11446</v>
      </c>
      <c r="L3550" t="s">
        <v>13157</v>
      </c>
      <c r="M3550" t="s">
        <v>14744</v>
      </c>
      <c r="N3550" t="s">
        <v>14778</v>
      </c>
      <c r="P3550" t="s">
        <v>14802</v>
      </c>
      <c r="Q3550" t="s">
        <v>11448</v>
      </c>
      <c r="S3550" t="s">
        <v>14827</v>
      </c>
      <c r="T3550" t="s">
        <v>14832</v>
      </c>
      <c r="V3550">
        <v>1196</v>
      </c>
      <c r="W3550" t="s">
        <v>14858</v>
      </c>
      <c r="X3550" t="s">
        <v>14863</v>
      </c>
      <c r="Z3550" t="s">
        <v>17845</v>
      </c>
      <c r="AB3550" t="s">
        <v>22926</v>
      </c>
      <c r="AC3550">
        <v>9</v>
      </c>
      <c r="AD3550" t="s">
        <v>24595</v>
      </c>
      <c r="AF3550">
        <v>2</v>
      </c>
      <c r="AG3550">
        <v>2</v>
      </c>
      <c r="AH3550">
        <v>1</v>
      </c>
      <c r="AI3550">
        <v>56.26</v>
      </c>
      <c r="AL3550" t="s">
        <v>5011</v>
      </c>
      <c r="AM3550">
        <v>12000</v>
      </c>
      <c r="AS3550">
        <v>0</v>
      </c>
      <c r="AU3550" t="s">
        <v>145</v>
      </c>
      <c r="AV3550" t="s">
        <v>25335</v>
      </c>
      <c r="AW3550" t="s">
        <v>11447</v>
      </c>
    </row>
    <row r="3551" spans="1:49">
      <c r="A3551" s="1">
        <f>HYPERLINK("https://lsnyc.legalserver.org/matter/dynamic-profile/view/1915104","19-1915104")</f>
        <v>0</v>
      </c>
      <c r="B3551" t="s">
        <v>81</v>
      </c>
      <c r="C3551" t="s">
        <v>516</v>
      </c>
      <c r="E3551" t="s">
        <v>2822</v>
      </c>
      <c r="F3551" t="s">
        <v>3262</v>
      </c>
      <c r="G3551" t="s">
        <v>8948</v>
      </c>
      <c r="H3551" t="s">
        <v>10522</v>
      </c>
      <c r="I3551" t="s">
        <v>11383</v>
      </c>
      <c r="J3551">
        <v>10456</v>
      </c>
      <c r="K3551" t="s">
        <v>11446</v>
      </c>
      <c r="L3551" t="s">
        <v>13158</v>
      </c>
      <c r="M3551" t="s">
        <v>14744</v>
      </c>
      <c r="N3551" t="s">
        <v>14778</v>
      </c>
      <c r="P3551" t="s">
        <v>14802</v>
      </c>
      <c r="Q3551" t="s">
        <v>11448</v>
      </c>
      <c r="S3551" t="s">
        <v>14827</v>
      </c>
      <c r="T3551" t="s">
        <v>14833</v>
      </c>
      <c r="V3551">
        <v>574</v>
      </c>
      <c r="W3551" t="s">
        <v>14858</v>
      </c>
      <c r="X3551" t="s">
        <v>14863</v>
      </c>
      <c r="Z3551" t="s">
        <v>17846</v>
      </c>
      <c r="AB3551" t="s">
        <v>22927</v>
      </c>
      <c r="AC3551">
        <v>43</v>
      </c>
      <c r="AD3551" t="s">
        <v>24596</v>
      </c>
      <c r="AF3551">
        <v>24</v>
      </c>
      <c r="AG3551">
        <v>2</v>
      </c>
      <c r="AH3551">
        <v>0</v>
      </c>
      <c r="AI3551">
        <v>58.55</v>
      </c>
      <c r="AL3551" t="s">
        <v>5011</v>
      </c>
      <c r="AM3551">
        <v>9900</v>
      </c>
      <c r="AS3551">
        <v>0</v>
      </c>
      <c r="AU3551" t="s">
        <v>145</v>
      </c>
      <c r="AV3551" t="s">
        <v>25335</v>
      </c>
      <c r="AW3551" t="s">
        <v>11447</v>
      </c>
    </row>
    <row r="3552" spans="1:49">
      <c r="A3552" s="1">
        <f>HYPERLINK("https://lsnyc.legalserver.org/matter/dynamic-profile/view/1913815","19-1913815")</f>
        <v>0</v>
      </c>
      <c r="B3552" t="s">
        <v>115</v>
      </c>
      <c r="C3552" t="s">
        <v>533</v>
      </c>
      <c r="E3552" t="s">
        <v>1354</v>
      </c>
      <c r="F3552" t="s">
        <v>3552</v>
      </c>
      <c r="G3552" t="s">
        <v>8949</v>
      </c>
      <c r="H3552">
        <v>20</v>
      </c>
      <c r="I3552" t="s">
        <v>11383</v>
      </c>
      <c r="J3552">
        <v>10467</v>
      </c>
      <c r="K3552" t="s">
        <v>11447</v>
      </c>
      <c r="L3552" t="s">
        <v>13159</v>
      </c>
      <c r="M3552" t="s">
        <v>14744</v>
      </c>
      <c r="N3552" t="s">
        <v>14781</v>
      </c>
      <c r="P3552" t="s">
        <v>14802</v>
      </c>
      <c r="S3552" t="s">
        <v>14827</v>
      </c>
      <c r="V3552">
        <v>1200</v>
      </c>
      <c r="W3552" t="s">
        <v>14858</v>
      </c>
      <c r="X3552" t="s">
        <v>14863</v>
      </c>
      <c r="Z3552" t="s">
        <v>17847</v>
      </c>
      <c r="AB3552" t="s">
        <v>22928</v>
      </c>
      <c r="AC3552">
        <v>20</v>
      </c>
      <c r="AD3552" t="s">
        <v>11479</v>
      </c>
      <c r="AE3552" t="s">
        <v>24615</v>
      </c>
      <c r="AF3552">
        <v>10</v>
      </c>
      <c r="AG3552">
        <v>3</v>
      </c>
      <c r="AH3552">
        <v>2</v>
      </c>
      <c r="AI3552">
        <v>59.94</v>
      </c>
      <c r="AL3552" t="s">
        <v>24632</v>
      </c>
      <c r="AM3552">
        <v>18084</v>
      </c>
      <c r="AS3552">
        <v>0</v>
      </c>
      <c r="AU3552" t="s">
        <v>25251</v>
      </c>
      <c r="AW3552" t="s">
        <v>11447</v>
      </c>
    </row>
    <row r="3553" spans="1:49">
      <c r="A3553" s="1">
        <f>HYPERLINK("https://lsnyc.legalserver.org/matter/dynamic-profile/view/1915222","19-1915222")</f>
        <v>0</v>
      </c>
      <c r="B3553" t="s">
        <v>143</v>
      </c>
      <c r="C3553" t="s">
        <v>509</v>
      </c>
      <c r="E3553" t="s">
        <v>2823</v>
      </c>
      <c r="F3553" t="s">
        <v>5448</v>
      </c>
      <c r="G3553" t="s">
        <v>8950</v>
      </c>
      <c r="H3553" t="s">
        <v>10476</v>
      </c>
      <c r="I3553" t="s">
        <v>11383</v>
      </c>
      <c r="J3553">
        <v>10468</v>
      </c>
      <c r="K3553" t="s">
        <v>11447</v>
      </c>
      <c r="L3553" t="s">
        <v>13160</v>
      </c>
      <c r="M3553" t="s">
        <v>14744</v>
      </c>
      <c r="N3553" t="s">
        <v>14781</v>
      </c>
      <c r="P3553" t="s">
        <v>14802</v>
      </c>
      <c r="S3553" t="s">
        <v>14827</v>
      </c>
      <c r="V3553">
        <v>1050</v>
      </c>
      <c r="W3553" t="s">
        <v>14858</v>
      </c>
      <c r="X3553" t="s">
        <v>14863</v>
      </c>
      <c r="Z3553" t="s">
        <v>16886</v>
      </c>
      <c r="AB3553" t="s">
        <v>22929</v>
      </c>
      <c r="AC3553">
        <v>0</v>
      </c>
      <c r="AD3553" t="s">
        <v>24595</v>
      </c>
      <c r="AE3553" t="s">
        <v>24615</v>
      </c>
      <c r="AF3553">
        <v>7</v>
      </c>
      <c r="AG3553">
        <v>1</v>
      </c>
      <c r="AH3553">
        <v>4</v>
      </c>
      <c r="AI3553">
        <v>68.94</v>
      </c>
      <c r="AL3553" t="s">
        <v>24632</v>
      </c>
      <c r="AM3553">
        <v>20800</v>
      </c>
      <c r="AS3553">
        <v>0</v>
      </c>
      <c r="AU3553" t="s">
        <v>25251</v>
      </c>
      <c r="AW3553" t="s">
        <v>11447</v>
      </c>
    </row>
    <row r="3554" spans="1:49">
      <c r="A3554" s="1">
        <f>HYPERLINK("https://lsnyc.legalserver.org/matter/dynamic-profile/view/1914530","19-1914530")</f>
        <v>0</v>
      </c>
      <c r="B3554" t="s">
        <v>60</v>
      </c>
      <c r="C3554" t="s">
        <v>478</v>
      </c>
      <c r="E3554" t="s">
        <v>1211</v>
      </c>
      <c r="F3554" t="s">
        <v>3799</v>
      </c>
      <c r="G3554" t="s">
        <v>8951</v>
      </c>
      <c r="H3554" t="s">
        <v>10707</v>
      </c>
      <c r="I3554" t="s">
        <v>11383</v>
      </c>
      <c r="J3554">
        <v>10475</v>
      </c>
      <c r="K3554" t="s">
        <v>11446</v>
      </c>
      <c r="L3554" t="s">
        <v>13161</v>
      </c>
      <c r="M3554" t="s">
        <v>14743</v>
      </c>
      <c r="N3554" t="s">
        <v>14782</v>
      </c>
      <c r="P3554" t="s">
        <v>14802</v>
      </c>
      <c r="Q3554" t="s">
        <v>11448</v>
      </c>
      <c r="S3554" t="s">
        <v>14827</v>
      </c>
      <c r="T3554" t="s">
        <v>14832</v>
      </c>
      <c r="V3554">
        <v>1246</v>
      </c>
      <c r="W3554" t="s">
        <v>14858</v>
      </c>
      <c r="X3554" t="s">
        <v>14863</v>
      </c>
      <c r="Z3554" t="s">
        <v>17848</v>
      </c>
      <c r="AB3554" t="s">
        <v>22930</v>
      </c>
      <c r="AC3554">
        <v>175</v>
      </c>
      <c r="AD3554" t="s">
        <v>24604</v>
      </c>
      <c r="AE3554" t="s">
        <v>24616</v>
      </c>
      <c r="AF3554">
        <v>1</v>
      </c>
      <c r="AG3554">
        <v>2</v>
      </c>
      <c r="AH3554">
        <v>1</v>
      </c>
      <c r="AI3554">
        <v>70.33</v>
      </c>
      <c r="AL3554" t="s">
        <v>5011</v>
      </c>
      <c r="AM3554">
        <v>15001.44</v>
      </c>
      <c r="AS3554">
        <v>1.1</v>
      </c>
      <c r="AT3554" t="s">
        <v>509</v>
      </c>
      <c r="AU3554" t="s">
        <v>145</v>
      </c>
      <c r="AV3554" t="s">
        <v>25335</v>
      </c>
      <c r="AW3554" t="s">
        <v>11447</v>
      </c>
    </row>
    <row r="3555" spans="1:49">
      <c r="A3555" s="1">
        <f>HYPERLINK("https://lsnyc.legalserver.org/matter/dynamic-profile/view/1908054","19-1908054")</f>
        <v>0</v>
      </c>
      <c r="B3555" t="s">
        <v>81</v>
      </c>
      <c r="C3555" t="s">
        <v>455</v>
      </c>
      <c r="E3555" t="s">
        <v>2824</v>
      </c>
      <c r="F3555" t="s">
        <v>5449</v>
      </c>
      <c r="G3555" t="s">
        <v>8952</v>
      </c>
      <c r="H3555" t="s">
        <v>10568</v>
      </c>
      <c r="I3555" t="s">
        <v>11383</v>
      </c>
      <c r="J3555">
        <v>10454</v>
      </c>
      <c r="K3555" t="s">
        <v>11448</v>
      </c>
      <c r="L3555" t="s">
        <v>13162</v>
      </c>
      <c r="M3555" t="s">
        <v>14743</v>
      </c>
      <c r="N3555" t="s">
        <v>14781</v>
      </c>
      <c r="P3555" t="s">
        <v>14802</v>
      </c>
      <c r="Q3555" t="s">
        <v>11448</v>
      </c>
      <c r="S3555" t="s">
        <v>14827</v>
      </c>
      <c r="T3555" t="s">
        <v>14833</v>
      </c>
      <c r="V3555">
        <v>2097</v>
      </c>
      <c r="W3555" t="s">
        <v>14858</v>
      </c>
      <c r="X3555" t="s">
        <v>14868</v>
      </c>
      <c r="Z3555" t="s">
        <v>17849</v>
      </c>
      <c r="AA3555" t="s">
        <v>19762</v>
      </c>
      <c r="AB3555" t="s">
        <v>22931</v>
      </c>
      <c r="AC3555">
        <v>0</v>
      </c>
      <c r="AD3555" t="s">
        <v>24595</v>
      </c>
      <c r="AE3555" t="s">
        <v>24610</v>
      </c>
      <c r="AF3555">
        <v>4</v>
      </c>
      <c r="AG3555">
        <v>2</v>
      </c>
      <c r="AH3555">
        <v>2</v>
      </c>
      <c r="AI3555">
        <v>70.61</v>
      </c>
      <c r="AL3555" t="s">
        <v>5011</v>
      </c>
      <c r="AM3555">
        <v>18181</v>
      </c>
      <c r="AN3555" t="s">
        <v>24871</v>
      </c>
      <c r="AS3555">
        <v>14.5</v>
      </c>
      <c r="AT3555" t="s">
        <v>516</v>
      </c>
      <c r="AU3555" t="s">
        <v>25239</v>
      </c>
      <c r="AW3555" t="s">
        <v>11447</v>
      </c>
    </row>
    <row r="3556" spans="1:49">
      <c r="A3556" s="1">
        <f>HYPERLINK("https://lsnyc.legalserver.org/matter/dynamic-profile/view/1914330","19-1914330")</f>
        <v>0</v>
      </c>
      <c r="B3556" t="s">
        <v>302</v>
      </c>
      <c r="C3556" t="s">
        <v>506</v>
      </c>
      <c r="E3556" t="s">
        <v>2825</v>
      </c>
      <c r="F3556" t="s">
        <v>3975</v>
      </c>
      <c r="G3556" t="s">
        <v>8953</v>
      </c>
      <c r="H3556">
        <v>3</v>
      </c>
      <c r="I3556" t="s">
        <v>11383</v>
      </c>
      <c r="J3556">
        <v>10460</v>
      </c>
      <c r="K3556" t="s">
        <v>11446</v>
      </c>
      <c r="L3556" t="s">
        <v>13163</v>
      </c>
      <c r="M3556" t="s">
        <v>14744</v>
      </c>
      <c r="N3556" t="s">
        <v>14782</v>
      </c>
      <c r="P3556" t="s">
        <v>14802</v>
      </c>
      <c r="Q3556" t="s">
        <v>11448</v>
      </c>
      <c r="S3556" t="s">
        <v>14827</v>
      </c>
      <c r="T3556" t="s">
        <v>14832</v>
      </c>
      <c r="V3556">
        <v>1956</v>
      </c>
      <c r="W3556" t="s">
        <v>14858</v>
      </c>
      <c r="X3556" t="s">
        <v>14863</v>
      </c>
      <c r="Z3556" t="s">
        <v>15861</v>
      </c>
      <c r="AB3556" t="s">
        <v>22932</v>
      </c>
      <c r="AC3556">
        <v>3</v>
      </c>
      <c r="AD3556" t="s">
        <v>24600</v>
      </c>
      <c r="AE3556" t="s">
        <v>24615</v>
      </c>
      <c r="AF3556">
        <v>1</v>
      </c>
      <c r="AG3556">
        <v>1</v>
      </c>
      <c r="AH3556">
        <v>3</v>
      </c>
      <c r="AI3556">
        <v>72.33</v>
      </c>
      <c r="AL3556" t="s">
        <v>5011</v>
      </c>
      <c r="AM3556">
        <v>18624.84</v>
      </c>
      <c r="AS3556">
        <v>0.5</v>
      </c>
      <c r="AT3556" t="s">
        <v>491</v>
      </c>
      <c r="AU3556" t="s">
        <v>145</v>
      </c>
      <c r="AV3556" t="s">
        <v>25335</v>
      </c>
      <c r="AW3556" t="s">
        <v>11447</v>
      </c>
    </row>
    <row r="3557" spans="1:49">
      <c r="A3557" s="1">
        <f>HYPERLINK("https://lsnyc.legalserver.org/matter/dynamic-profile/view/1912571","19-1912571")</f>
        <v>0</v>
      </c>
      <c r="B3557" t="s">
        <v>140</v>
      </c>
      <c r="C3557" t="s">
        <v>472</v>
      </c>
      <c r="E3557" t="s">
        <v>1537</v>
      </c>
      <c r="F3557" t="s">
        <v>4035</v>
      </c>
      <c r="G3557" t="s">
        <v>6923</v>
      </c>
      <c r="H3557" t="s">
        <v>10697</v>
      </c>
      <c r="I3557" t="s">
        <v>11383</v>
      </c>
      <c r="J3557">
        <v>10458</v>
      </c>
      <c r="K3557" t="s">
        <v>11446</v>
      </c>
      <c r="L3557" t="s">
        <v>11645</v>
      </c>
      <c r="M3557" t="s">
        <v>14743</v>
      </c>
      <c r="P3557" t="s">
        <v>14802</v>
      </c>
      <c r="Q3557" t="s">
        <v>11448</v>
      </c>
      <c r="S3557" t="s">
        <v>14827</v>
      </c>
      <c r="V3557">
        <v>1150</v>
      </c>
      <c r="W3557" t="s">
        <v>14858</v>
      </c>
      <c r="X3557" t="s">
        <v>14868</v>
      </c>
      <c r="Z3557" t="s">
        <v>15555</v>
      </c>
      <c r="AB3557" t="s">
        <v>20673</v>
      </c>
      <c r="AC3557">
        <v>94</v>
      </c>
      <c r="AD3557" t="s">
        <v>24595</v>
      </c>
      <c r="AE3557" t="s">
        <v>24611</v>
      </c>
      <c r="AF3557">
        <v>8</v>
      </c>
      <c r="AG3557">
        <v>1</v>
      </c>
      <c r="AH3557">
        <v>0</v>
      </c>
      <c r="AI3557">
        <v>72.90000000000001</v>
      </c>
      <c r="AL3557" t="s">
        <v>24632</v>
      </c>
      <c r="AM3557">
        <v>9105.360000000001</v>
      </c>
      <c r="AS3557">
        <v>2</v>
      </c>
      <c r="AT3557" t="s">
        <v>490</v>
      </c>
      <c r="AU3557" t="s">
        <v>25242</v>
      </c>
      <c r="AV3557" t="s">
        <v>25335</v>
      </c>
      <c r="AW3557" t="s">
        <v>11447</v>
      </c>
    </row>
    <row r="3558" spans="1:49">
      <c r="A3558" s="1">
        <f>HYPERLINK("https://lsnyc.legalserver.org/matter/dynamic-profile/view/1915006","19-1915006")</f>
        <v>0</v>
      </c>
      <c r="B3558" t="s">
        <v>69</v>
      </c>
      <c r="C3558" t="s">
        <v>521</v>
      </c>
      <c r="E3558" t="s">
        <v>2573</v>
      </c>
      <c r="F3558" t="s">
        <v>5450</v>
      </c>
      <c r="G3558" t="s">
        <v>8954</v>
      </c>
      <c r="H3558" t="s">
        <v>10589</v>
      </c>
      <c r="I3558" t="s">
        <v>11383</v>
      </c>
      <c r="J3558">
        <v>10466</v>
      </c>
      <c r="K3558" t="s">
        <v>11446</v>
      </c>
      <c r="L3558" t="s">
        <v>13164</v>
      </c>
      <c r="M3558" t="s">
        <v>14744</v>
      </c>
      <c r="N3558" t="s">
        <v>14781</v>
      </c>
      <c r="P3558" t="s">
        <v>14802</v>
      </c>
      <c r="Q3558" t="s">
        <v>11448</v>
      </c>
      <c r="S3558" t="s">
        <v>14827</v>
      </c>
      <c r="V3558">
        <v>1121</v>
      </c>
      <c r="W3558" t="s">
        <v>14858</v>
      </c>
      <c r="X3558" t="s">
        <v>14864</v>
      </c>
      <c r="Z3558" t="s">
        <v>17823</v>
      </c>
      <c r="AB3558" t="s">
        <v>22933</v>
      </c>
      <c r="AC3558">
        <v>10</v>
      </c>
      <c r="AD3558" t="s">
        <v>24595</v>
      </c>
      <c r="AE3558" t="s">
        <v>24611</v>
      </c>
      <c r="AF3558">
        <v>6</v>
      </c>
      <c r="AG3558">
        <v>1</v>
      </c>
      <c r="AH3558">
        <v>0</v>
      </c>
      <c r="AI3558">
        <v>73.02</v>
      </c>
      <c r="AL3558" t="s">
        <v>5011</v>
      </c>
      <c r="AM3558">
        <v>9120</v>
      </c>
      <c r="AS3558">
        <v>2.5</v>
      </c>
      <c r="AT3558" t="s">
        <v>516</v>
      </c>
      <c r="AU3558" t="s">
        <v>25251</v>
      </c>
      <c r="AV3558" t="s">
        <v>25335</v>
      </c>
      <c r="AW3558" t="s">
        <v>11447</v>
      </c>
    </row>
    <row r="3559" spans="1:49">
      <c r="A3559" s="1">
        <f>HYPERLINK("https://lsnyc.legalserver.org/matter/dynamic-profile/view/1914927","19-1914927")</f>
        <v>0</v>
      </c>
      <c r="B3559" t="s">
        <v>69</v>
      </c>
      <c r="C3559" t="s">
        <v>537</v>
      </c>
      <c r="E3559" t="s">
        <v>2826</v>
      </c>
      <c r="F3559" t="s">
        <v>5451</v>
      </c>
      <c r="G3559" t="s">
        <v>8955</v>
      </c>
      <c r="H3559" t="s">
        <v>10589</v>
      </c>
      <c r="I3559" t="s">
        <v>11383</v>
      </c>
      <c r="J3559">
        <v>10466</v>
      </c>
      <c r="K3559" t="s">
        <v>11447</v>
      </c>
      <c r="L3559" t="s">
        <v>13165</v>
      </c>
      <c r="M3559" t="s">
        <v>14744</v>
      </c>
      <c r="N3559" t="s">
        <v>14781</v>
      </c>
      <c r="P3559" t="s">
        <v>14802</v>
      </c>
      <c r="Q3559" t="s">
        <v>11448</v>
      </c>
      <c r="S3559" t="s">
        <v>14827</v>
      </c>
      <c r="T3559" t="s">
        <v>14834</v>
      </c>
      <c r="V3559">
        <v>1120</v>
      </c>
      <c r="W3559" t="s">
        <v>14858</v>
      </c>
      <c r="X3559" t="s">
        <v>14864</v>
      </c>
      <c r="Z3559" t="s">
        <v>17823</v>
      </c>
      <c r="AA3559" t="s">
        <v>19763</v>
      </c>
      <c r="AB3559" t="s">
        <v>22934</v>
      </c>
      <c r="AC3559">
        <v>0</v>
      </c>
      <c r="AD3559" t="s">
        <v>24595</v>
      </c>
      <c r="AE3559" t="s">
        <v>14755</v>
      </c>
      <c r="AF3559">
        <v>6</v>
      </c>
      <c r="AG3559">
        <v>1</v>
      </c>
      <c r="AH3559">
        <v>0</v>
      </c>
      <c r="AI3559">
        <v>73.98</v>
      </c>
      <c r="AL3559" t="s">
        <v>5011</v>
      </c>
      <c r="AM3559">
        <v>9240</v>
      </c>
      <c r="AS3559">
        <v>1.25</v>
      </c>
      <c r="AT3559" t="s">
        <v>509</v>
      </c>
      <c r="AU3559" t="s">
        <v>25256</v>
      </c>
      <c r="AW3559" t="s">
        <v>11447</v>
      </c>
    </row>
    <row r="3560" spans="1:49">
      <c r="A3560" s="1">
        <f>HYPERLINK("https://lsnyc.legalserver.org/matter/dynamic-profile/view/1913152","19-1913152")</f>
        <v>0</v>
      </c>
      <c r="B3560" t="s">
        <v>306</v>
      </c>
      <c r="C3560" t="s">
        <v>571</v>
      </c>
      <c r="E3560" t="s">
        <v>1910</v>
      </c>
      <c r="F3560" t="s">
        <v>5452</v>
      </c>
      <c r="G3560" t="s">
        <v>8956</v>
      </c>
      <c r="H3560" t="s">
        <v>10581</v>
      </c>
      <c r="I3560" t="s">
        <v>11383</v>
      </c>
      <c r="J3560">
        <v>10468</v>
      </c>
      <c r="K3560" t="s">
        <v>11447</v>
      </c>
      <c r="M3560" t="s">
        <v>14758</v>
      </c>
      <c r="N3560" t="s">
        <v>14780</v>
      </c>
      <c r="P3560" t="s">
        <v>14802</v>
      </c>
      <c r="Q3560" t="s">
        <v>11448</v>
      </c>
      <c r="S3560" t="s">
        <v>14830</v>
      </c>
      <c r="V3560">
        <v>0</v>
      </c>
      <c r="W3560" t="s">
        <v>14858</v>
      </c>
      <c r="Z3560" t="s">
        <v>17850</v>
      </c>
      <c r="AB3560" t="s">
        <v>22935</v>
      </c>
      <c r="AC3560">
        <v>0</v>
      </c>
      <c r="AF3560">
        <v>0</v>
      </c>
      <c r="AG3560">
        <v>1</v>
      </c>
      <c r="AH3560">
        <v>0</v>
      </c>
      <c r="AI3560">
        <v>74.08</v>
      </c>
      <c r="AL3560" t="s">
        <v>24632</v>
      </c>
      <c r="AM3560">
        <v>9252</v>
      </c>
      <c r="AS3560">
        <v>4</v>
      </c>
      <c r="AT3560" t="s">
        <v>580</v>
      </c>
      <c r="AU3560" t="s">
        <v>295</v>
      </c>
      <c r="AW3560" t="s">
        <v>11447</v>
      </c>
    </row>
    <row r="3561" spans="1:49">
      <c r="A3561" s="1">
        <f>HYPERLINK("https://lsnyc.legalserver.org/matter/dynamic-profile/view/1914974","19-1914974")</f>
        <v>0</v>
      </c>
      <c r="B3561" t="s">
        <v>111</v>
      </c>
      <c r="C3561" t="s">
        <v>521</v>
      </c>
      <c r="E3561" t="s">
        <v>2792</v>
      </c>
      <c r="F3561" t="s">
        <v>5415</v>
      </c>
      <c r="G3561" t="s">
        <v>8881</v>
      </c>
      <c r="H3561" t="s">
        <v>10579</v>
      </c>
      <c r="I3561" t="s">
        <v>11383</v>
      </c>
      <c r="J3561">
        <v>10460</v>
      </c>
      <c r="K3561" t="s">
        <v>11446</v>
      </c>
      <c r="L3561" t="s">
        <v>13166</v>
      </c>
      <c r="M3561" t="s">
        <v>14744</v>
      </c>
      <c r="N3561" t="s">
        <v>14781</v>
      </c>
      <c r="P3561" t="s">
        <v>14802</v>
      </c>
      <c r="S3561" t="s">
        <v>14827</v>
      </c>
      <c r="T3561" t="s">
        <v>14832</v>
      </c>
      <c r="V3561">
        <v>168</v>
      </c>
      <c r="W3561" t="s">
        <v>14858</v>
      </c>
      <c r="X3561" t="s">
        <v>14868</v>
      </c>
      <c r="Z3561" t="s">
        <v>17794</v>
      </c>
      <c r="AA3561">
        <v>396724180</v>
      </c>
      <c r="AB3561" t="s">
        <v>22868</v>
      </c>
      <c r="AC3561">
        <v>20</v>
      </c>
      <c r="AD3561" t="s">
        <v>24595</v>
      </c>
      <c r="AE3561" t="s">
        <v>24610</v>
      </c>
      <c r="AF3561">
        <v>14</v>
      </c>
      <c r="AG3561">
        <v>1</v>
      </c>
      <c r="AH3561">
        <v>0</v>
      </c>
      <c r="AI3561">
        <v>74.08</v>
      </c>
      <c r="AL3561" t="s">
        <v>5011</v>
      </c>
      <c r="AM3561">
        <v>9252</v>
      </c>
      <c r="AS3561">
        <v>3.75</v>
      </c>
      <c r="AT3561" t="s">
        <v>516</v>
      </c>
      <c r="AU3561" t="s">
        <v>25242</v>
      </c>
      <c r="AV3561" t="s">
        <v>25335</v>
      </c>
      <c r="AW3561" t="s">
        <v>11447</v>
      </c>
    </row>
    <row r="3562" spans="1:49">
      <c r="A3562" s="1">
        <f>HYPERLINK("https://lsnyc.legalserver.org/matter/dynamic-profile/view/1895780","19-1895780")</f>
        <v>0</v>
      </c>
      <c r="B3562" t="s">
        <v>143</v>
      </c>
      <c r="C3562" t="s">
        <v>729</v>
      </c>
      <c r="E3562" t="s">
        <v>2827</v>
      </c>
      <c r="F3562" t="s">
        <v>2719</v>
      </c>
      <c r="G3562" t="s">
        <v>8957</v>
      </c>
      <c r="H3562" t="s">
        <v>10450</v>
      </c>
      <c r="I3562" t="s">
        <v>11383</v>
      </c>
      <c r="J3562">
        <v>10455</v>
      </c>
      <c r="K3562" t="s">
        <v>11446</v>
      </c>
      <c r="L3562" t="s">
        <v>13167</v>
      </c>
      <c r="M3562" t="s">
        <v>14750</v>
      </c>
      <c r="N3562" t="s">
        <v>14783</v>
      </c>
      <c r="P3562" t="s">
        <v>14802</v>
      </c>
      <c r="Q3562" t="s">
        <v>11448</v>
      </c>
      <c r="S3562" t="s">
        <v>14828</v>
      </c>
      <c r="V3562">
        <v>218</v>
      </c>
      <c r="W3562" t="s">
        <v>14858</v>
      </c>
      <c r="Z3562" t="s">
        <v>17851</v>
      </c>
      <c r="AB3562" t="s">
        <v>22936</v>
      </c>
      <c r="AC3562">
        <v>0</v>
      </c>
      <c r="AD3562" t="s">
        <v>24597</v>
      </c>
      <c r="AE3562" t="s">
        <v>11459</v>
      </c>
      <c r="AF3562">
        <v>0</v>
      </c>
      <c r="AG3562">
        <v>1</v>
      </c>
      <c r="AH3562">
        <v>0</v>
      </c>
      <c r="AI3562">
        <v>74.08</v>
      </c>
      <c r="AL3562" t="s">
        <v>24632</v>
      </c>
      <c r="AM3562">
        <v>9252</v>
      </c>
      <c r="AN3562" t="s">
        <v>24872</v>
      </c>
      <c r="AS3562">
        <v>8.199999999999999</v>
      </c>
      <c r="AT3562" t="s">
        <v>421</v>
      </c>
      <c r="AU3562" t="s">
        <v>143</v>
      </c>
      <c r="AW3562" t="s">
        <v>11446</v>
      </c>
    </row>
    <row r="3563" spans="1:49">
      <c r="A3563" s="1">
        <f>HYPERLINK("https://lsnyc.legalserver.org/matter/dynamic-profile/view/1885043","18-1885043")</f>
        <v>0</v>
      </c>
      <c r="B3563" t="s">
        <v>295</v>
      </c>
      <c r="C3563" t="s">
        <v>794</v>
      </c>
      <c r="E3563" t="s">
        <v>1144</v>
      </c>
      <c r="F3563" t="s">
        <v>3605</v>
      </c>
      <c r="G3563" t="s">
        <v>8958</v>
      </c>
      <c r="H3563" t="s">
        <v>11149</v>
      </c>
      <c r="I3563" t="s">
        <v>11383</v>
      </c>
      <c r="J3563">
        <v>10456</v>
      </c>
      <c r="K3563" t="s">
        <v>11446</v>
      </c>
      <c r="M3563" t="s">
        <v>14743</v>
      </c>
      <c r="N3563" t="s">
        <v>14782</v>
      </c>
      <c r="P3563" t="s">
        <v>14802</v>
      </c>
      <c r="Q3563" t="s">
        <v>11448</v>
      </c>
      <c r="S3563" t="s">
        <v>14827</v>
      </c>
      <c r="T3563" t="s">
        <v>14832</v>
      </c>
      <c r="V3563">
        <v>723</v>
      </c>
      <c r="W3563" t="s">
        <v>14858</v>
      </c>
      <c r="X3563" t="s">
        <v>14868</v>
      </c>
      <c r="Z3563" t="s">
        <v>17461</v>
      </c>
      <c r="AB3563" t="s">
        <v>22937</v>
      </c>
      <c r="AC3563">
        <v>60</v>
      </c>
      <c r="AD3563" t="s">
        <v>24595</v>
      </c>
      <c r="AE3563" t="s">
        <v>24610</v>
      </c>
      <c r="AF3563">
        <v>10</v>
      </c>
      <c r="AG3563">
        <v>1</v>
      </c>
      <c r="AH3563">
        <v>0</v>
      </c>
      <c r="AI3563">
        <v>74.14</v>
      </c>
      <c r="AL3563" t="s">
        <v>5011</v>
      </c>
      <c r="AM3563">
        <v>9000</v>
      </c>
      <c r="AN3563" t="s">
        <v>24873</v>
      </c>
      <c r="AS3563">
        <v>6.7</v>
      </c>
      <c r="AT3563" t="s">
        <v>498</v>
      </c>
      <c r="AU3563" t="s">
        <v>295</v>
      </c>
      <c r="AW3563" t="s">
        <v>11446</v>
      </c>
    </row>
    <row r="3564" spans="1:49">
      <c r="A3564" s="1">
        <f>HYPERLINK("https://lsnyc.legalserver.org/matter/dynamic-profile/view/1914264","19-1914264")</f>
        <v>0</v>
      </c>
      <c r="B3564" t="s">
        <v>299</v>
      </c>
      <c r="C3564" t="s">
        <v>539</v>
      </c>
      <c r="E3564" t="s">
        <v>1024</v>
      </c>
      <c r="F3564" t="s">
        <v>5453</v>
      </c>
      <c r="G3564" t="s">
        <v>8959</v>
      </c>
      <c r="H3564" t="s">
        <v>10739</v>
      </c>
      <c r="I3564" t="s">
        <v>11383</v>
      </c>
      <c r="J3564">
        <v>10460</v>
      </c>
      <c r="K3564" t="s">
        <v>11446</v>
      </c>
      <c r="N3564" t="s">
        <v>14782</v>
      </c>
      <c r="P3564" t="s">
        <v>14802</v>
      </c>
      <c r="S3564" t="s">
        <v>14827</v>
      </c>
      <c r="V3564">
        <v>1395</v>
      </c>
      <c r="W3564" t="s">
        <v>14858</v>
      </c>
      <c r="X3564" t="s">
        <v>14863</v>
      </c>
      <c r="Z3564" t="s">
        <v>17852</v>
      </c>
      <c r="AB3564" t="s">
        <v>22938</v>
      </c>
      <c r="AC3564">
        <v>89</v>
      </c>
      <c r="AD3564" t="s">
        <v>24595</v>
      </c>
      <c r="AE3564" t="s">
        <v>11459</v>
      </c>
      <c r="AF3564">
        <v>3</v>
      </c>
      <c r="AG3564">
        <v>1</v>
      </c>
      <c r="AH3564">
        <v>0</v>
      </c>
      <c r="AI3564">
        <v>74.45999999999999</v>
      </c>
      <c r="AL3564" t="s">
        <v>5011</v>
      </c>
      <c r="AM3564">
        <v>9300</v>
      </c>
      <c r="AS3564">
        <v>7.5</v>
      </c>
      <c r="AT3564" t="s">
        <v>516</v>
      </c>
      <c r="AU3564" t="s">
        <v>245</v>
      </c>
      <c r="AW3564" t="s">
        <v>11447</v>
      </c>
    </row>
    <row r="3565" spans="1:49">
      <c r="A3565" s="1">
        <f>HYPERLINK("https://lsnyc.legalserver.org/matter/dynamic-profile/view/1901159","19-1901159")</f>
        <v>0</v>
      </c>
      <c r="B3565" t="s">
        <v>60</v>
      </c>
      <c r="C3565" t="s">
        <v>595</v>
      </c>
      <c r="E3565" t="s">
        <v>1650</v>
      </c>
      <c r="F3565" t="s">
        <v>1254</v>
      </c>
      <c r="G3565" t="s">
        <v>7723</v>
      </c>
      <c r="H3565">
        <v>1206</v>
      </c>
      <c r="I3565" t="s">
        <v>11383</v>
      </c>
      <c r="J3565">
        <v>10456</v>
      </c>
      <c r="K3565" t="s">
        <v>11446</v>
      </c>
      <c r="L3565" t="s">
        <v>13168</v>
      </c>
      <c r="M3565" t="s">
        <v>14743</v>
      </c>
      <c r="N3565" t="s">
        <v>14778</v>
      </c>
      <c r="P3565" t="s">
        <v>14802</v>
      </c>
      <c r="Q3565" t="s">
        <v>11448</v>
      </c>
      <c r="S3565" t="s">
        <v>14827</v>
      </c>
      <c r="T3565" t="s">
        <v>14832</v>
      </c>
      <c r="V3565">
        <v>1682</v>
      </c>
      <c r="W3565" t="s">
        <v>14858</v>
      </c>
      <c r="X3565" t="s">
        <v>14863</v>
      </c>
      <c r="Z3565" t="s">
        <v>17853</v>
      </c>
      <c r="AC3565">
        <v>120</v>
      </c>
      <c r="AD3565" t="s">
        <v>24596</v>
      </c>
      <c r="AE3565" t="s">
        <v>24610</v>
      </c>
      <c r="AF3565">
        <v>1</v>
      </c>
      <c r="AG3565">
        <v>1</v>
      </c>
      <c r="AH3565">
        <v>0</v>
      </c>
      <c r="AI3565">
        <v>74.75</v>
      </c>
      <c r="AL3565" t="s">
        <v>5011</v>
      </c>
      <c r="AM3565">
        <v>9336</v>
      </c>
      <c r="AN3565" t="s">
        <v>24874</v>
      </c>
      <c r="AS3565">
        <v>1.3</v>
      </c>
      <c r="AT3565" t="s">
        <v>496</v>
      </c>
      <c r="AU3565" t="s">
        <v>25239</v>
      </c>
      <c r="AV3565" t="s">
        <v>25335</v>
      </c>
      <c r="AW3565" t="s">
        <v>11447</v>
      </c>
    </row>
    <row r="3566" spans="1:49">
      <c r="A3566" s="1">
        <f>HYPERLINK("https://lsnyc.legalserver.org/matter/dynamic-profile/view/1914542","19-1914542")</f>
        <v>0</v>
      </c>
      <c r="B3566" t="s">
        <v>303</v>
      </c>
      <c r="C3566" t="s">
        <v>478</v>
      </c>
      <c r="E3566" t="s">
        <v>1244</v>
      </c>
      <c r="F3566" t="s">
        <v>3972</v>
      </c>
      <c r="G3566" t="s">
        <v>8960</v>
      </c>
      <c r="H3566" t="s">
        <v>10476</v>
      </c>
      <c r="I3566" t="s">
        <v>11383</v>
      </c>
      <c r="J3566">
        <v>10473</v>
      </c>
      <c r="K3566" t="s">
        <v>11446</v>
      </c>
      <c r="L3566" t="s">
        <v>13169</v>
      </c>
      <c r="M3566" t="s">
        <v>14743</v>
      </c>
      <c r="N3566" t="s">
        <v>14782</v>
      </c>
      <c r="P3566" t="s">
        <v>14802</v>
      </c>
      <c r="Q3566" t="s">
        <v>11448</v>
      </c>
      <c r="S3566" t="s">
        <v>14827</v>
      </c>
      <c r="T3566" t="s">
        <v>14832</v>
      </c>
      <c r="V3566">
        <v>985.59</v>
      </c>
      <c r="W3566" t="s">
        <v>14858</v>
      </c>
      <c r="Z3566" t="s">
        <v>17854</v>
      </c>
      <c r="AB3566" t="s">
        <v>22939</v>
      </c>
      <c r="AC3566">
        <v>222</v>
      </c>
      <c r="AF3566">
        <v>25</v>
      </c>
      <c r="AG3566">
        <v>1</v>
      </c>
      <c r="AH3566">
        <v>0</v>
      </c>
      <c r="AI3566">
        <v>75.26000000000001</v>
      </c>
      <c r="AL3566" t="s">
        <v>5011</v>
      </c>
      <c r="AM3566">
        <v>9400</v>
      </c>
      <c r="AS3566">
        <v>2.8</v>
      </c>
      <c r="AT3566" t="s">
        <v>654</v>
      </c>
      <c r="AU3566" t="s">
        <v>145</v>
      </c>
      <c r="AV3566" t="s">
        <v>25335</v>
      </c>
      <c r="AW3566" t="s">
        <v>11447</v>
      </c>
    </row>
    <row r="3567" spans="1:49">
      <c r="A3567" s="1">
        <f>HYPERLINK("https://lsnyc.legalserver.org/matter/dynamic-profile/view/1915346","19-1915346")</f>
        <v>0</v>
      </c>
      <c r="B3567" t="s">
        <v>268</v>
      </c>
      <c r="C3567" t="s">
        <v>495</v>
      </c>
      <c r="E3567" t="s">
        <v>1675</v>
      </c>
      <c r="F3567" t="s">
        <v>5454</v>
      </c>
      <c r="G3567" t="s">
        <v>8961</v>
      </c>
      <c r="H3567" t="s">
        <v>10547</v>
      </c>
      <c r="I3567" t="s">
        <v>11383</v>
      </c>
      <c r="J3567">
        <v>10467</v>
      </c>
      <c r="K3567" t="s">
        <v>11447</v>
      </c>
      <c r="L3567" t="s">
        <v>13170</v>
      </c>
      <c r="M3567" t="s">
        <v>14744</v>
      </c>
      <c r="N3567" t="s">
        <v>14781</v>
      </c>
      <c r="P3567" t="s">
        <v>14802</v>
      </c>
      <c r="S3567" t="s">
        <v>14827</v>
      </c>
      <c r="V3567">
        <v>862.83</v>
      </c>
      <c r="W3567" t="s">
        <v>14858</v>
      </c>
      <c r="X3567" t="s">
        <v>14863</v>
      </c>
      <c r="Z3567" t="s">
        <v>17855</v>
      </c>
      <c r="AB3567" t="s">
        <v>22940</v>
      </c>
      <c r="AC3567">
        <v>0</v>
      </c>
      <c r="AF3567">
        <v>0</v>
      </c>
      <c r="AG3567">
        <v>1</v>
      </c>
      <c r="AH3567">
        <v>0</v>
      </c>
      <c r="AI3567">
        <v>76.56999999999999</v>
      </c>
      <c r="AL3567" t="s">
        <v>5011</v>
      </c>
      <c r="AM3567">
        <v>9564</v>
      </c>
      <c r="AS3567">
        <v>0.8</v>
      </c>
      <c r="AT3567" t="s">
        <v>495</v>
      </c>
      <c r="AU3567" t="s">
        <v>25251</v>
      </c>
      <c r="AW3567" t="s">
        <v>11447</v>
      </c>
    </row>
    <row r="3568" spans="1:49">
      <c r="A3568" s="1">
        <f>HYPERLINK("https://lsnyc.legalserver.org/matter/dynamic-profile/view/1911582","19-1911582")</f>
        <v>0</v>
      </c>
      <c r="B3568" t="s">
        <v>80</v>
      </c>
      <c r="C3568" t="s">
        <v>526</v>
      </c>
      <c r="E3568" t="s">
        <v>2828</v>
      </c>
      <c r="F3568" t="s">
        <v>3799</v>
      </c>
      <c r="G3568" t="s">
        <v>8962</v>
      </c>
      <c r="H3568" t="s">
        <v>10699</v>
      </c>
      <c r="I3568" t="s">
        <v>11383</v>
      </c>
      <c r="J3568">
        <v>10468</v>
      </c>
      <c r="K3568" t="s">
        <v>11446</v>
      </c>
      <c r="L3568" t="s">
        <v>13171</v>
      </c>
      <c r="M3568" t="s">
        <v>14744</v>
      </c>
      <c r="P3568" t="s">
        <v>14802</v>
      </c>
      <c r="S3568" t="s">
        <v>14827</v>
      </c>
      <c r="V3568">
        <v>936</v>
      </c>
      <c r="W3568" t="s">
        <v>14858</v>
      </c>
      <c r="X3568" t="s">
        <v>14868</v>
      </c>
      <c r="Z3568" t="s">
        <v>17856</v>
      </c>
      <c r="AA3568" t="s">
        <v>19764</v>
      </c>
      <c r="AC3568">
        <v>0</v>
      </c>
      <c r="AD3568" t="s">
        <v>24595</v>
      </c>
      <c r="AF3568">
        <v>8</v>
      </c>
      <c r="AG3568">
        <v>1</v>
      </c>
      <c r="AH3568">
        <v>1</v>
      </c>
      <c r="AI3568">
        <v>76.88</v>
      </c>
      <c r="AL3568" t="s">
        <v>5011</v>
      </c>
      <c r="AM3568">
        <v>13000</v>
      </c>
      <c r="AS3568">
        <v>8</v>
      </c>
      <c r="AT3568" t="s">
        <v>473</v>
      </c>
      <c r="AU3568" t="s">
        <v>25232</v>
      </c>
      <c r="AV3568" t="s">
        <v>25335</v>
      </c>
      <c r="AW3568" t="s">
        <v>11447</v>
      </c>
    </row>
    <row r="3569" spans="1:49">
      <c r="A3569" s="1">
        <f>HYPERLINK("https://lsnyc.legalserver.org/matter/dynamic-profile/view/1897674","19-1897674")</f>
        <v>0</v>
      </c>
      <c r="B3569" t="s">
        <v>97</v>
      </c>
      <c r="C3569" t="s">
        <v>617</v>
      </c>
      <c r="E3569" t="s">
        <v>1163</v>
      </c>
      <c r="F3569" t="s">
        <v>5455</v>
      </c>
      <c r="G3569" t="s">
        <v>8963</v>
      </c>
      <c r="H3569">
        <v>2</v>
      </c>
      <c r="I3569" t="s">
        <v>11383</v>
      </c>
      <c r="J3569">
        <v>10472</v>
      </c>
      <c r="K3569" t="s">
        <v>11446</v>
      </c>
      <c r="L3569" t="s">
        <v>13172</v>
      </c>
      <c r="M3569" t="s">
        <v>14743</v>
      </c>
      <c r="P3569" t="s">
        <v>14802</v>
      </c>
      <c r="Q3569" t="s">
        <v>11448</v>
      </c>
      <c r="S3569" t="s">
        <v>14827</v>
      </c>
      <c r="V3569">
        <v>0</v>
      </c>
      <c r="W3569" t="s">
        <v>14858</v>
      </c>
      <c r="X3569" t="s">
        <v>14863</v>
      </c>
      <c r="Z3569" t="s">
        <v>17857</v>
      </c>
      <c r="AB3569" t="s">
        <v>22941</v>
      </c>
      <c r="AC3569">
        <v>2</v>
      </c>
      <c r="AD3569" t="s">
        <v>11479</v>
      </c>
      <c r="AE3569" t="s">
        <v>24616</v>
      </c>
      <c r="AF3569">
        <v>2</v>
      </c>
      <c r="AG3569">
        <v>2</v>
      </c>
      <c r="AH3569">
        <v>2</v>
      </c>
      <c r="AI3569">
        <v>77.67</v>
      </c>
      <c r="AL3569" t="s">
        <v>5011</v>
      </c>
      <c r="AM3569">
        <v>20000</v>
      </c>
      <c r="AS3569">
        <v>0</v>
      </c>
      <c r="AU3569" t="s">
        <v>25268</v>
      </c>
      <c r="AW3569" t="s">
        <v>11446</v>
      </c>
    </row>
    <row r="3570" spans="1:49">
      <c r="A3570" s="1">
        <f>HYPERLINK("https://lsnyc.legalserver.org/matter/dynamic-profile/view/1899535","19-1899535")</f>
        <v>0</v>
      </c>
      <c r="B3570" t="s">
        <v>112</v>
      </c>
      <c r="C3570" t="s">
        <v>329</v>
      </c>
      <c r="E3570" t="s">
        <v>1451</v>
      </c>
      <c r="F3570" t="s">
        <v>1395</v>
      </c>
      <c r="G3570" t="s">
        <v>8964</v>
      </c>
      <c r="H3570" t="s">
        <v>11150</v>
      </c>
      <c r="I3570" t="s">
        <v>11383</v>
      </c>
      <c r="J3570">
        <v>10453</v>
      </c>
      <c r="K3570" t="s">
        <v>11448</v>
      </c>
      <c r="L3570" t="s">
        <v>13173</v>
      </c>
      <c r="M3570" t="s">
        <v>14744</v>
      </c>
      <c r="N3570" t="s">
        <v>14779</v>
      </c>
      <c r="P3570" t="s">
        <v>14802</v>
      </c>
      <c r="Q3570" t="s">
        <v>11448</v>
      </c>
      <c r="S3570" t="s">
        <v>14827</v>
      </c>
      <c r="V3570">
        <v>1078</v>
      </c>
      <c r="W3570" t="s">
        <v>14858</v>
      </c>
      <c r="Z3570" t="s">
        <v>17858</v>
      </c>
      <c r="AB3570" t="s">
        <v>22942</v>
      </c>
      <c r="AC3570">
        <v>54</v>
      </c>
      <c r="AE3570" t="s">
        <v>24610</v>
      </c>
      <c r="AF3570">
        <v>22</v>
      </c>
      <c r="AG3570">
        <v>1</v>
      </c>
      <c r="AH3570">
        <v>1</v>
      </c>
      <c r="AI3570">
        <v>78.06</v>
      </c>
      <c r="AL3570" t="s">
        <v>5011</v>
      </c>
      <c r="AM3570">
        <v>13200</v>
      </c>
      <c r="AN3570" t="s">
        <v>24802</v>
      </c>
      <c r="AS3570">
        <v>1.7</v>
      </c>
      <c r="AT3570" t="s">
        <v>595</v>
      </c>
      <c r="AU3570" t="s">
        <v>145</v>
      </c>
      <c r="AV3570" t="s">
        <v>11459</v>
      </c>
      <c r="AW3570" t="s">
        <v>11447</v>
      </c>
    </row>
    <row r="3571" spans="1:49">
      <c r="A3571" s="1">
        <f>HYPERLINK("https://lsnyc.legalserver.org/matter/dynamic-profile/view/1894692","19-1894692")</f>
        <v>0</v>
      </c>
      <c r="B3571" t="s">
        <v>295</v>
      </c>
      <c r="C3571" t="s">
        <v>339</v>
      </c>
      <c r="E3571" t="s">
        <v>1144</v>
      </c>
      <c r="F3571" t="s">
        <v>3605</v>
      </c>
      <c r="G3571" t="s">
        <v>8958</v>
      </c>
      <c r="H3571" t="s">
        <v>11149</v>
      </c>
      <c r="I3571" t="s">
        <v>11383</v>
      </c>
      <c r="J3571">
        <v>10456</v>
      </c>
      <c r="K3571" t="s">
        <v>11447</v>
      </c>
      <c r="M3571" t="s">
        <v>11601</v>
      </c>
      <c r="N3571" t="s">
        <v>14782</v>
      </c>
      <c r="P3571" t="s">
        <v>14802</v>
      </c>
      <c r="Q3571" t="s">
        <v>11448</v>
      </c>
      <c r="S3571" t="s">
        <v>14827</v>
      </c>
      <c r="T3571" t="s">
        <v>14832</v>
      </c>
      <c r="V3571">
        <v>723</v>
      </c>
      <c r="W3571" t="s">
        <v>14858</v>
      </c>
      <c r="X3571" t="s">
        <v>14868</v>
      </c>
      <c r="Z3571" t="s">
        <v>17461</v>
      </c>
      <c r="AB3571" t="s">
        <v>22937</v>
      </c>
      <c r="AC3571">
        <v>60</v>
      </c>
      <c r="AD3571" t="s">
        <v>24595</v>
      </c>
      <c r="AE3571" t="s">
        <v>24610</v>
      </c>
      <c r="AF3571">
        <v>11</v>
      </c>
      <c r="AG3571">
        <v>1</v>
      </c>
      <c r="AH3571">
        <v>0</v>
      </c>
      <c r="AI3571">
        <v>81.67</v>
      </c>
      <c r="AL3571" t="s">
        <v>5011</v>
      </c>
      <c r="AM3571">
        <v>10200</v>
      </c>
      <c r="AN3571" t="s">
        <v>24875</v>
      </c>
      <c r="AS3571">
        <v>4.8</v>
      </c>
      <c r="AT3571" t="s">
        <v>555</v>
      </c>
      <c r="AU3571" t="s">
        <v>295</v>
      </c>
      <c r="AW3571" t="s">
        <v>11447</v>
      </c>
    </row>
    <row r="3572" spans="1:49">
      <c r="A3572" s="1">
        <f>HYPERLINK("https://lsnyc.legalserver.org/matter/dynamic-profile/view/1914663","19-1914663")</f>
        <v>0</v>
      </c>
      <c r="B3572" t="s">
        <v>300</v>
      </c>
      <c r="C3572" t="s">
        <v>491</v>
      </c>
      <c r="E3572" t="s">
        <v>1139</v>
      </c>
      <c r="F3572" t="s">
        <v>1999</v>
      </c>
      <c r="G3572" t="s">
        <v>6527</v>
      </c>
      <c r="H3572" t="s">
        <v>10460</v>
      </c>
      <c r="I3572" t="s">
        <v>11383</v>
      </c>
      <c r="J3572">
        <v>10453</v>
      </c>
      <c r="K3572" t="s">
        <v>11447</v>
      </c>
      <c r="L3572" t="s">
        <v>13174</v>
      </c>
      <c r="M3572" t="s">
        <v>14744</v>
      </c>
      <c r="P3572" t="s">
        <v>14802</v>
      </c>
      <c r="Q3572" t="s">
        <v>11446</v>
      </c>
      <c r="S3572" t="s">
        <v>14827</v>
      </c>
      <c r="V3572">
        <v>1204</v>
      </c>
      <c r="W3572" t="s">
        <v>14858</v>
      </c>
      <c r="X3572" t="s">
        <v>14873</v>
      </c>
      <c r="Z3572" t="s">
        <v>17859</v>
      </c>
      <c r="AB3572" t="s">
        <v>22943</v>
      </c>
      <c r="AC3572">
        <v>0</v>
      </c>
      <c r="AF3572">
        <v>0</v>
      </c>
      <c r="AG3572">
        <v>1</v>
      </c>
      <c r="AH3572">
        <v>0</v>
      </c>
      <c r="AI3572">
        <v>81.67</v>
      </c>
      <c r="AL3572" t="s">
        <v>5011</v>
      </c>
      <c r="AM3572">
        <v>10200</v>
      </c>
      <c r="AS3572">
        <v>0.7</v>
      </c>
      <c r="AT3572" t="s">
        <v>495</v>
      </c>
      <c r="AU3572" t="s">
        <v>25311</v>
      </c>
      <c r="AV3572" t="s">
        <v>25335</v>
      </c>
      <c r="AW3572" t="s">
        <v>11447</v>
      </c>
    </row>
    <row r="3573" spans="1:49">
      <c r="A3573" s="1">
        <f>HYPERLINK("https://lsnyc.legalserver.org/matter/dynamic-profile/view/1915155","19-1915155")</f>
        <v>0</v>
      </c>
      <c r="B3573" t="s">
        <v>81</v>
      </c>
      <c r="C3573" t="s">
        <v>516</v>
      </c>
      <c r="E3573" t="s">
        <v>2829</v>
      </c>
      <c r="F3573" t="s">
        <v>1395</v>
      </c>
      <c r="G3573" t="s">
        <v>8965</v>
      </c>
      <c r="H3573">
        <v>1</v>
      </c>
      <c r="I3573" t="s">
        <v>11383</v>
      </c>
      <c r="J3573">
        <v>10462</v>
      </c>
      <c r="K3573" t="s">
        <v>11446</v>
      </c>
      <c r="L3573" t="s">
        <v>13175</v>
      </c>
      <c r="M3573" t="s">
        <v>14744</v>
      </c>
      <c r="N3573" t="s">
        <v>14778</v>
      </c>
      <c r="P3573" t="s">
        <v>14802</v>
      </c>
      <c r="Q3573" t="s">
        <v>11448</v>
      </c>
      <c r="S3573" t="s">
        <v>14827</v>
      </c>
      <c r="T3573" t="s">
        <v>14832</v>
      </c>
      <c r="V3573">
        <v>925</v>
      </c>
      <c r="W3573" t="s">
        <v>14858</v>
      </c>
      <c r="X3573" t="s">
        <v>14863</v>
      </c>
      <c r="Z3573" t="s">
        <v>17860</v>
      </c>
      <c r="AB3573" t="s">
        <v>22944</v>
      </c>
      <c r="AC3573">
        <v>16</v>
      </c>
      <c r="AD3573" t="s">
        <v>24595</v>
      </c>
      <c r="AF3573">
        <v>10</v>
      </c>
      <c r="AG3573">
        <v>1</v>
      </c>
      <c r="AH3573">
        <v>0</v>
      </c>
      <c r="AI3573">
        <v>82.15000000000001</v>
      </c>
      <c r="AL3573" t="s">
        <v>5011</v>
      </c>
      <c r="AM3573">
        <v>10260</v>
      </c>
      <c r="AS3573">
        <v>0</v>
      </c>
      <c r="AU3573" t="s">
        <v>145</v>
      </c>
      <c r="AV3573" t="s">
        <v>25335</v>
      </c>
      <c r="AW3573" t="s">
        <v>11447</v>
      </c>
    </row>
    <row r="3574" spans="1:49">
      <c r="A3574" s="1">
        <f>HYPERLINK("https://lsnyc.legalserver.org/matter/dynamic-profile/view/1898041","19-1898041")</f>
        <v>0</v>
      </c>
      <c r="B3574" t="s">
        <v>142</v>
      </c>
      <c r="C3574" t="s">
        <v>831</v>
      </c>
      <c r="E3574" t="s">
        <v>1812</v>
      </c>
      <c r="F3574" t="s">
        <v>4310</v>
      </c>
      <c r="G3574" t="s">
        <v>6486</v>
      </c>
      <c r="H3574">
        <v>524</v>
      </c>
      <c r="I3574" t="s">
        <v>11383</v>
      </c>
      <c r="J3574">
        <v>10453</v>
      </c>
      <c r="K3574" t="s">
        <v>11446</v>
      </c>
      <c r="L3574" t="s">
        <v>13176</v>
      </c>
      <c r="M3574" t="s">
        <v>14744</v>
      </c>
      <c r="P3574" t="s">
        <v>14802</v>
      </c>
      <c r="Q3574" t="s">
        <v>11448</v>
      </c>
      <c r="S3574" t="s">
        <v>14827</v>
      </c>
      <c r="V3574">
        <v>1196.5</v>
      </c>
      <c r="W3574" t="s">
        <v>14858</v>
      </c>
      <c r="X3574" t="s">
        <v>14865</v>
      </c>
      <c r="Z3574" t="s">
        <v>17861</v>
      </c>
      <c r="AA3574" t="s">
        <v>19765</v>
      </c>
      <c r="AB3574" t="s">
        <v>22945</v>
      </c>
      <c r="AC3574">
        <v>146</v>
      </c>
      <c r="AD3574" t="s">
        <v>24595</v>
      </c>
      <c r="AE3574" t="s">
        <v>11459</v>
      </c>
      <c r="AF3574">
        <v>33</v>
      </c>
      <c r="AG3574">
        <v>1</v>
      </c>
      <c r="AH3574">
        <v>0</v>
      </c>
      <c r="AI3574">
        <v>82.72</v>
      </c>
      <c r="AL3574" t="s">
        <v>5011</v>
      </c>
      <c r="AM3574">
        <v>10332</v>
      </c>
      <c r="AS3574">
        <v>20.5</v>
      </c>
      <c r="AT3574" t="s">
        <v>365</v>
      </c>
      <c r="AU3574" t="s">
        <v>237</v>
      </c>
      <c r="AV3574" t="s">
        <v>25334</v>
      </c>
      <c r="AW3574" t="s">
        <v>11446</v>
      </c>
    </row>
    <row r="3575" spans="1:49">
      <c r="A3575" s="1">
        <f>HYPERLINK("https://lsnyc.legalserver.org/matter/dynamic-profile/view/1914406","19-1914406")</f>
        <v>0</v>
      </c>
      <c r="B3575" t="s">
        <v>300</v>
      </c>
      <c r="C3575" t="s">
        <v>506</v>
      </c>
      <c r="E3575" t="s">
        <v>2830</v>
      </c>
      <c r="F3575" t="s">
        <v>3702</v>
      </c>
      <c r="G3575" t="s">
        <v>8966</v>
      </c>
      <c r="H3575" t="s">
        <v>10485</v>
      </c>
      <c r="I3575" t="s">
        <v>11383</v>
      </c>
      <c r="J3575">
        <v>10457</v>
      </c>
      <c r="K3575" t="s">
        <v>11446</v>
      </c>
      <c r="L3575" t="s">
        <v>13177</v>
      </c>
      <c r="M3575" t="s">
        <v>14744</v>
      </c>
      <c r="P3575" t="s">
        <v>14802</v>
      </c>
      <c r="Q3575" t="s">
        <v>11448</v>
      </c>
      <c r="S3575" t="s">
        <v>14827</v>
      </c>
      <c r="V3575">
        <v>1200</v>
      </c>
      <c r="W3575" t="s">
        <v>14858</v>
      </c>
      <c r="X3575" t="s">
        <v>14873</v>
      </c>
      <c r="Z3575" t="s">
        <v>17862</v>
      </c>
      <c r="AB3575" t="s">
        <v>22946</v>
      </c>
      <c r="AC3575">
        <v>78</v>
      </c>
      <c r="AD3575" t="s">
        <v>24595</v>
      </c>
      <c r="AF3575">
        <v>4</v>
      </c>
      <c r="AG3575">
        <v>1</v>
      </c>
      <c r="AH3575">
        <v>2</v>
      </c>
      <c r="AI3575">
        <v>82.77</v>
      </c>
      <c r="AL3575" t="s">
        <v>5011</v>
      </c>
      <c r="AM3575">
        <v>17654</v>
      </c>
      <c r="AS3575">
        <v>1.5</v>
      </c>
      <c r="AT3575" t="s">
        <v>506</v>
      </c>
      <c r="AU3575" t="s">
        <v>25252</v>
      </c>
      <c r="AV3575" t="s">
        <v>25335</v>
      </c>
      <c r="AW3575" t="s">
        <v>11447</v>
      </c>
    </row>
    <row r="3576" spans="1:49">
      <c r="A3576" s="1">
        <f>HYPERLINK("https://lsnyc.legalserver.org/matter/dynamic-profile/view/1914634","19-1914634")</f>
        <v>0</v>
      </c>
      <c r="B3576" t="s">
        <v>81</v>
      </c>
      <c r="C3576" t="s">
        <v>491</v>
      </c>
      <c r="E3576" t="s">
        <v>2831</v>
      </c>
      <c r="F3576" t="s">
        <v>5456</v>
      </c>
      <c r="G3576" t="s">
        <v>8967</v>
      </c>
      <c r="H3576" t="s">
        <v>10481</v>
      </c>
      <c r="I3576" t="s">
        <v>11383</v>
      </c>
      <c r="J3576">
        <v>10460</v>
      </c>
      <c r="K3576" t="s">
        <v>11446</v>
      </c>
      <c r="L3576" t="s">
        <v>13178</v>
      </c>
      <c r="M3576" t="s">
        <v>14744</v>
      </c>
      <c r="N3576" t="s">
        <v>14778</v>
      </c>
      <c r="P3576" t="s">
        <v>14802</v>
      </c>
      <c r="Q3576" t="s">
        <v>11448</v>
      </c>
      <c r="S3576" t="s">
        <v>14827</v>
      </c>
      <c r="T3576" t="s">
        <v>14832</v>
      </c>
      <c r="V3576">
        <v>1213</v>
      </c>
      <c r="W3576" t="s">
        <v>14858</v>
      </c>
      <c r="X3576" t="s">
        <v>14863</v>
      </c>
      <c r="Z3576" t="s">
        <v>17704</v>
      </c>
      <c r="AB3576" t="s">
        <v>22947</v>
      </c>
      <c r="AC3576">
        <v>17</v>
      </c>
      <c r="AE3576" t="s">
        <v>24616</v>
      </c>
      <c r="AF3576">
        <v>4</v>
      </c>
      <c r="AG3576">
        <v>1</v>
      </c>
      <c r="AH3576">
        <v>0</v>
      </c>
      <c r="AI3576">
        <v>83.27</v>
      </c>
      <c r="AL3576" t="s">
        <v>5011</v>
      </c>
      <c r="AM3576">
        <v>10400</v>
      </c>
      <c r="AS3576">
        <v>0.5</v>
      </c>
      <c r="AT3576" t="s">
        <v>516</v>
      </c>
      <c r="AU3576" t="s">
        <v>145</v>
      </c>
      <c r="AV3576" t="s">
        <v>25335</v>
      </c>
      <c r="AW3576" t="s">
        <v>11447</v>
      </c>
    </row>
    <row r="3577" spans="1:49">
      <c r="A3577" s="1">
        <f>HYPERLINK("https://lsnyc.legalserver.org/matter/dynamic-profile/view/1902906","19-1902906")</f>
        <v>0</v>
      </c>
      <c r="B3577" t="s">
        <v>142</v>
      </c>
      <c r="C3577" t="s">
        <v>343</v>
      </c>
      <c r="E3577" t="s">
        <v>2832</v>
      </c>
      <c r="F3577" t="s">
        <v>5457</v>
      </c>
      <c r="G3577" t="s">
        <v>8968</v>
      </c>
      <c r="H3577" t="s">
        <v>10552</v>
      </c>
      <c r="I3577" t="s">
        <v>11383</v>
      </c>
      <c r="J3577">
        <v>10460</v>
      </c>
      <c r="K3577" t="s">
        <v>11446</v>
      </c>
      <c r="M3577" t="s">
        <v>14744</v>
      </c>
      <c r="N3577" t="s">
        <v>14781</v>
      </c>
      <c r="P3577" t="s">
        <v>14802</v>
      </c>
      <c r="S3577" t="s">
        <v>14827</v>
      </c>
      <c r="V3577">
        <v>1400</v>
      </c>
      <c r="W3577" t="s">
        <v>14858</v>
      </c>
      <c r="X3577" t="s">
        <v>14872</v>
      </c>
      <c r="Z3577" t="s">
        <v>17863</v>
      </c>
      <c r="AA3577" t="s">
        <v>19766</v>
      </c>
      <c r="AB3577" t="s">
        <v>22948</v>
      </c>
      <c r="AC3577">
        <v>19</v>
      </c>
      <c r="AF3577">
        <v>10</v>
      </c>
      <c r="AG3577">
        <v>2</v>
      </c>
      <c r="AH3577">
        <v>4</v>
      </c>
      <c r="AI3577">
        <v>84.04000000000001</v>
      </c>
      <c r="AL3577" t="s">
        <v>5011</v>
      </c>
      <c r="AM3577">
        <v>29069.6</v>
      </c>
      <c r="AS3577">
        <v>44</v>
      </c>
      <c r="AT3577" t="s">
        <v>473</v>
      </c>
      <c r="AU3577" t="s">
        <v>25251</v>
      </c>
      <c r="AV3577" t="s">
        <v>25335</v>
      </c>
      <c r="AW3577" t="s">
        <v>11447</v>
      </c>
    </row>
    <row r="3578" spans="1:49">
      <c r="A3578" s="1">
        <f>HYPERLINK("https://lsnyc.legalserver.org/matter/dynamic-profile/view/1913919","19-1913919")</f>
        <v>0</v>
      </c>
      <c r="B3578" t="s">
        <v>298</v>
      </c>
      <c r="C3578" t="s">
        <v>495</v>
      </c>
      <c r="E3578" t="s">
        <v>1828</v>
      </c>
      <c r="F3578" t="s">
        <v>4959</v>
      </c>
      <c r="G3578" t="s">
        <v>8969</v>
      </c>
      <c r="I3578" t="s">
        <v>11383</v>
      </c>
      <c r="J3578">
        <v>10451</v>
      </c>
      <c r="K3578" t="s">
        <v>11446</v>
      </c>
      <c r="M3578" t="s">
        <v>11601</v>
      </c>
      <c r="N3578" t="s">
        <v>14778</v>
      </c>
      <c r="P3578" t="s">
        <v>14802</v>
      </c>
      <c r="S3578" t="s">
        <v>14827</v>
      </c>
      <c r="V3578">
        <v>706</v>
      </c>
      <c r="W3578" t="s">
        <v>14858</v>
      </c>
      <c r="X3578" t="s">
        <v>14876</v>
      </c>
      <c r="Z3578" t="s">
        <v>17864</v>
      </c>
      <c r="AB3578" t="s">
        <v>22949</v>
      </c>
      <c r="AC3578">
        <v>0</v>
      </c>
      <c r="AF3578">
        <v>43</v>
      </c>
      <c r="AG3578">
        <v>1</v>
      </c>
      <c r="AH3578">
        <v>0</v>
      </c>
      <c r="AI3578">
        <v>84.06999999999999</v>
      </c>
      <c r="AM3578">
        <v>10500</v>
      </c>
      <c r="AS3578">
        <v>2</v>
      </c>
      <c r="AT3578" t="s">
        <v>533</v>
      </c>
      <c r="AU3578" t="s">
        <v>186</v>
      </c>
      <c r="AV3578" t="s">
        <v>25335</v>
      </c>
      <c r="AW3578" t="s">
        <v>11447</v>
      </c>
    </row>
    <row r="3579" spans="1:49">
      <c r="A3579" s="1">
        <f>HYPERLINK("https://lsnyc.legalserver.org/matter/dynamic-profile/view/1901907","19-1901907")</f>
        <v>0</v>
      </c>
      <c r="B3579" t="s">
        <v>80</v>
      </c>
      <c r="C3579" t="s">
        <v>347</v>
      </c>
      <c r="E3579" t="s">
        <v>1260</v>
      </c>
      <c r="F3579" t="s">
        <v>3547</v>
      </c>
      <c r="G3579" t="s">
        <v>8970</v>
      </c>
      <c r="H3579" t="s">
        <v>10552</v>
      </c>
      <c r="I3579" t="s">
        <v>11383</v>
      </c>
      <c r="J3579">
        <v>10454</v>
      </c>
      <c r="K3579" t="s">
        <v>11446</v>
      </c>
      <c r="N3579" t="s">
        <v>14778</v>
      </c>
      <c r="P3579" t="s">
        <v>14802</v>
      </c>
      <c r="S3579" t="s">
        <v>14827</v>
      </c>
      <c r="V3579">
        <v>0</v>
      </c>
      <c r="W3579" t="s">
        <v>14858</v>
      </c>
      <c r="Z3579" t="s">
        <v>17865</v>
      </c>
      <c r="AB3579" t="s">
        <v>22950</v>
      </c>
      <c r="AC3579">
        <v>0</v>
      </c>
      <c r="AF3579">
        <v>0</v>
      </c>
      <c r="AG3579">
        <v>3</v>
      </c>
      <c r="AH3579">
        <v>0</v>
      </c>
      <c r="AI3579">
        <v>84.67</v>
      </c>
      <c r="AL3579" t="s">
        <v>5011</v>
      </c>
      <c r="AM3579">
        <v>18060</v>
      </c>
      <c r="AN3579" t="s">
        <v>24671</v>
      </c>
      <c r="AS3579">
        <v>0</v>
      </c>
      <c r="AU3579" t="s">
        <v>145</v>
      </c>
      <c r="AV3579" t="s">
        <v>25335</v>
      </c>
      <c r="AW3579" t="s">
        <v>11447</v>
      </c>
    </row>
    <row r="3580" spans="1:49">
      <c r="A3580" s="1">
        <f>HYPERLINK("https://lsnyc.legalserver.org/matter/dynamic-profile/view/1912853","19-1912853")</f>
        <v>0</v>
      </c>
      <c r="B3580" t="s">
        <v>298</v>
      </c>
      <c r="C3580" t="s">
        <v>470</v>
      </c>
      <c r="E3580" t="s">
        <v>1247</v>
      </c>
      <c r="F3580" t="s">
        <v>4426</v>
      </c>
      <c r="G3580" t="s">
        <v>8971</v>
      </c>
      <c r="H3580" t="s">
        <v>10514</v>
      </c>
      <c r="I3580" t="s">
        <v>11383</v>
      </c>
      <c r="J3580">
        <v>10459</v>
      </c>
      <c r="K3580" t="s">
        <v>11446</v>
      </c>
      <c r="L3580" t="s">
        <v>13179</v>
      </c>
      <c r="M3580" t="s">
        <v>14744</v>
      </c>
      <c r="N3580" t="s">
        <v>14778</v>
      </c>
      <c r="P3580" t="s">
        <v>14802</v>
      </c>
      <c r="Q3580" t="s">
        <v>11448</v>
      </c>
      <c r="S3580" t="s">
        <v>14827</v>
      </c>
      <c r="T3580" t="s">
        <v>14832</v>
      </c>
      <c r="V3580">
        <v>1681</v>
      </c>
      <c r="W3580" t="s">
        <v>14858</v>
      </c>
      <c r="X3580" t="s">
        <v>14863</v>
      </c>
      <c r="Z3580" t="s">
        <v>17866</v>
      </c>
      <c r="AC3580">
        <v>116</v>
      </c>
      <c r="AD3580" t="s">
        <v>24596</v>
      </c>
      <c r="AF3580">
        <v>45</v>
      </c>
      <c r="AG3580">
        <v>1</v>
      </c>
      <c r="AH3580">
        <v>0</v>
      </c>
      <c r="AI3580">
        <v>86.47</v>
      </c>
      <c r="AL3580" t="s">
        <v>24632</v>
      </c>
      <c r="AM3580">
        <v>10800</v>
      </c>
      <c r="AS3580">
        <v>4.25</v>
      </c>
      <c r="AT3580" t="s">
        <v>509</v>
      </c>
      <c r="AU3580" t="s">
        <v>145</v>
      </c>
      <c r="AV3580" t="s">
        <v>25335</v>
      </c>
      <c r="AW3580" t="s">
        <v>11447</v>
      </c>
    </row>
    <row r="3581" spans="1:49">
      <c r="A3581" s="1">
        <f>HYPERLINK("https://lsnyc.legalserver.org/matter/dynamic-profile/view/1912366","19-1912366")</f>
        <v>0</v>
      </c>
      <c r="B3581" t="s">
        <v>297</v>
      </c>
      <c r="C3581" t="s">
        <v>473</v>
      </c>
      <c r="E3581" t="s">
        <v>2833</v>
      </c>
      <c r="F3581" t="s">
        <v>4184</v>
      </c>
      <c r="G3581" t="s">
        <v>8972</v>
      </c>
      <c r="H3581" t="s">
        <v>10460</v>
      </c>
      <c r="I3581" t="s">
        <v>11383</v>
      </c>
      <c r="J3581">
        <v>10458</v>
      </c>
      <c r="K3581" t="s">
        <v>11446</v>
      </c>
      <c r="L3581" t="s">
        <v>13180</v>
      </c>
      <c r="M3581" t="s">
        <v>14744</v>
      </c>
      <c r="N3581" t="s">
        <v>14781</v>
      </c>
      <c r="P3581" t="s">
        <v>14802</v>
      </c>
      <c r="Q3581" t="s">
        <v>11448</v>
      </c>
      <c r="S3581" t="s">
        <v>14827</v>
      </c>
      <c r="T3581" t="s">
        <v>14832</v>
      </c>
      <c r="V3581">
        <v>1230</v>
      </c>
      <c r="W3581" t="s">
        <v>14858</v>
      </c>
      <c r="X3581" t="s">
        <v>14863</v>
      </c>
      <c r="Z3581" t="s">
        <v>17867</v>
      </c>
      <c r="AB3581" t="s">
        <v>22951</v>
      </c>
      <c r="AC3581">
        <v>51</v>
      </c>
      <c r="AD3581" t="s">
        <v>24595</v>
      </c>
      <c r="AF3581">
        <v>3</v>
      </c>
      <c r="AG3581">
        <v>1</v>
      </c>
      <c r="AH3581">
        <v>2</v>
      </c>
      <c r="AI3581">
        <v>87.77</v>
      </c>
      <c r="AL3581" t="s">
        <v>24632</v>
      </c>
      <c r="AM3581">
        <v>18722.08</v>
      </c>
      <c r="AS3581">
        <v>5.45</v>
      </c>
      <c r="AT3581" t="s">
        <v>521</v>
      </c>
      <c r="AU3581" t="s">
        <v>145</v>
      </c>
      <c r="AV3581" t="s">
        <v>25335</v>
      </c>
      <c r="AW3581" t="s">
        <v>11447</v>
      </c>
    </row>
    <row r="3582" spans="1:49">
      <c r="A3582" s="1">
        <f>HYPERLINK("https://lsnyc.legalserver.org/matter/dynamic-profile/view/1915261","19-1915261")</f>
        <v>0</v>
      </c>
      <c r="B3582" t="s">
        <v>81</v>
      </c>
      <c r="C3582" t="s">
        <v>509</v>
      </c>
      <c r="E3582" t="s">
        <v>1753</v>
      </c>
      <c r="F3582" t="s">
        <v>5458</v>
      </c>
      <c r="G3582" t="s">
        <v>8973</v>
      </c>
      <c r="H3582" t="s">
        <v>10524</v>
      </c>
      <c r="I3582" t="s">
        <v>11383</v>
      </c>
      <c r="J3582">
        <v>10466</v>
      </c>
      <c r="K3582" t="s">
        <v>11446</v>
      </c>
      <c r="L3582" t="s">
        <v>13181</v>
      </c>
      <c r="M3582" t="s">
        <v>14744</v>
      </c>
      <c r="N3582" t="s">
        <v>14778</v>
      </c>
      <c r="P3582" t="s">
        <v>14802</v>
      </c>
      <c r="Q3582" t="s">
        <v>11448</v>
      </c>
      <c r="S3582" t="s">
        <v>14827</v>
      </c>
      <c r="T3582" t="s">
        <v>14832</v>
      </c>
      <c r="V3582">
        <v>1675</v>
      </c>
      <c r="W3582" t="s">
        <v>14858</v>
      </c>
      <c r="X3582" t="s">
        <v>14863</v>
      </c>
      <c r="Z3582" t="s">
        <v>17868</v>
      </c>
      <c r="AB3582" t="s">
        <v>22952</v>
      </c>
      <c r="AC3582">
        <v>52</v>
      </c>
      <c r="AD3582" t="s">
        <v>24595</v>
      </c>
      <c r="AF3582">
        <v>5</v>
      </c>
      <c r="AG3582">
        <v>2</v>
      </c>
      <c r="AH3582">
        <v>0</v>
      </c>
      <c r="AI3582">
        <v>89.34</v>
      </c>
      <c r="AL3582" t="s">
        <v>24632</v>
      </c>
      <c r="AM3582">
        <v>15108</v>
      </c>
      <c r="AS3582">
        <v>0</v>
      </c>
      <c r="AU3582" t="s">
        <v>145</v>
      </c>
      <c r="AV3582" t="s">
        <v>25335</v>
      </c>
      <c r="AW3582" t="s">
        <v>11447</v>
      </c>
    </row>
    <row r="3583" spans="1:49">
      <c r="A3583" s="1">
        <f>HYPERLINK("https://lsnyc.legalserver.org/matter/dynamic-profile/view/1913153","19-1913153")</f>
        <v>0</v>
      </c>
      <c r="B3583" t="s">
        <v>201</v>
      </c>
      <c r="C3583" t="s">
        <v>571</v>
      </c>
      <c r="E3583" t="s">
        <v>1867</v>
      </c>
      <c r="F3583" t="s">
        <v>2906</v>
      </c>
      <c r="G3583" t="s">
        <v>8974</v>
      </c>
      <c r="H3583">
        <v>4</v>
      </c>
      <c r="I3583" t="s">
        <v>11383</v>
      </c>
      <c r="J3583">
        <v>10466</v>
      </c>
      <c r="K3583" t="s">
        <v>11446</v>
      </c>
      <c r="L3583" t="s">
        <v>13182</v>
      </c>
      <c r="M3583" t="s">
        <v>14743</v>
      </c>
      <c r="N3583" t="s">
        <v>14782</v>
      </c>
      <c r="P3583" t="s">
        <v>14802</v>
      </c>
      <c r="Q3583" t="s">
        <v>11448</v>
      </c>
      <c r="S3583" t="s">
        <v>14827</v>
      </c>
      <c r="T3583" t="s">
        <v>14834</v>
      </c>
      <c r="V3583">
        <v>1050</v>
      </c>
      <c r="W3583" t="s">
        <v>14858</v>
      </c>
      <c r="X3583" t="s">
        <v>14865</v>
      </c>
      <c r="Z3583" t="s">
        <v>17869</v>
      </c>
      <c r="AB3583" t="s">
        <v>22953</v>
      </c>
      <c r="AC3583">
        <v>0</v>
      </c>
      <c r="AD3583" t="s">
        <v>24600</v>
      </c>
      <c r="AF3583">
        <v>18</v>
      </c>
      <c r="AG3583">
        <v>1</v>
      </c>
      <c r="AH3583">
        <v>0</v>
      </c>
      <c r="AI3583">
        <v>89.83</v>
      </c>
      <c r="AL3583" t="s">
        <v>5011</v>
      </c>
      <c r="AM3583">
        <v>11220</v>
      </c>
      <c r="AS3583">
        <v>2.1</v>
      </c>
      <c r="AT3583" t="s">
        <v>478</v>
      </c>
      <c r="AU3583" t="s">
        <v>145</v>
      </c>
      <c r="AV3583" t="s">
        <v>25335</v>
      </c>
      <c r="AW3583" t="s">
        <v>11447</v>
      </c>
    </row>
    <row r="3584" spans="1:49">
      <c r="A3584" s="1">
        <f>HYPERLINK("https://lsnyc.legalserver.org/matter/dynamic-profile/view/1910464","19-1910464")</f>
        <v>0</v>
      </c>
      <c r="B3584" t="s">
        <v>306</v>
      </c>
      <c r="C3584" t="s">
        <v>508</v>
      </c>
      <c r="E3584" t="s">
        <v>2834</v>
      </c>
      <c r="F3584" t="s">
        <v>2002</v>
      </c>
      <c r="G3584" t="s">
        <v>8969</v>
      </c>
      <c r="H3584" t="s">
        <v>10575</v>
      </c>
      <c r="I3584" t="s">
        <v>11383</v>
      </c>
      <c r="J3584">
        <v>10451</v>
      </c>
      <c r="K3584" t="s">
        <v>11448</v>
      </c>
      <c r="L3584" t="s">
        <v>13183</v>
      </c>
      <c r="M3584" t="s">
        <v>14744</v>
      </c>
      <c r="N3584" t="s">
        <v>14781</v>
      </c>
      <c r="P3584" t="s">
        <v>14802</v>
      </c>
      <c r="Q3584" t="s">
        <v>11448</v>
      </c>
      <c r="S3584" t="s">
        <v>14827</v>
      </c>
      <c r="V3584">
        <v>0</v>
      </c>
      <c r="W3584" t="s">
        <v>14858</v>
      </c>
      <c r="X3584" t="s">
        <v>14877</v>
      </c>
      <c r="Z3584" t="s">
        <v>15519</v>
      </c>
      <c r="AA3584" t="s">
        <v>19767</v>
      </c>
      <c r="AB3584" t="s">
        <v>22954</v>
      </c>
      <c r="AC3584">
        <v>0</v>
      </c>
      <c r="AE3584" t="s">
        <v>24610</v>
      </c>
      <c r="AF3584">
        <v>0</v>
      </c>
      <c r="AG3584">
        <v>2</v>
      </c>
      <c r="AH3584">
        <v>0</v>
      </c>
      <c r="AI3584">
        <v>92.25</v>
      </c>
      <c r="AL3584" t="s">
        <v>24632</v>
      </c>
      <c r="AM3584">
        <v>15600</v>
      </c>
      <c r="AS3584">
        <v>27.1</v>
      </c>
      <c r="AT3584" t="s">
        <v>516</v>
      </c>
      <c r="AU3584" t="s">
        <v>145</v>
      </c>
      <c r="AV3584" t="s">
        <v>25334</v>
      </c>
      <c r="AW3584" t="s">
        <v>11447</v>
      </c>
    </row>
    <row r="3585" spans="1:49">
      <c r="A3585" s="1">
        <f>HYPERLINK("https://lsnyc.legalserver.org/matter/dynamic-profile/view/1913553","19-1913553")</f>
        <v>0</v>
      </c>
      <c r="B3585" t="s">
        <v>272</v>
      </c>
      <c r="C3585" t="s">
        <v>477</v>
      </c>
      <c r="E3585" t="s">
        <v>2720</v>
      </c>
      <c r="F3585" t="s">
        <v>3839</v>
      </c>
      <c r="G3585" t="s">
        <v>8730</v>
      </c>
      <c r="H3585" t="s">
        <v>10873</v>
      </c>
      <c r="I3585" t="s">
        <v>11383</v>
      </c>
      <c r="J3585">
        <v>10451</v>
      </c>
      <c r="K3585" t="s">
        <v>11446</v>
      </c>
      <c r="M3585" t="s">
        <v>14743</v>
      </c>
      <c r="P3585" t="s">
        <v>14802</v>
      </c>
      <c r="Q3585" t="s">
        <v>11448</v>
      </c>
      <c r="S3585" t="s">
        <v>14827</v>
      </c>
      <c r="V3585">
        <v>2100</v>
      </c>
      <c r="W3585" t="s">
        <v>14858</v>
      </c>
      <c r="X3585" t="s">
        <v>14868</v>
      </c>
      <c r="Z3585" t="s">
        <v>17652</v>
      </c>
      <c r="AB3585" t="s">
        <v>22726</v>
      </c>
      <c r="AC3585">
        <v>10</v>
      </c>
      <c r="AD3585" t="s">
        <v>24597</v>
      </c>
      <c r="AE3585" t="s">
        <v>14755</v>
      </c>
      <c r="AF3585">
        <v>9</v>
      </c>
      <c r="AG3585">
        <v>1</v>
      </c>
      <c r="AH3585">
        <v>3</v>
      </c>
      <c r="AI3585">
        <v>93.2</v>
      </c>
      <c r="AM3585">
        <v>24000</v>
      </c>
      <c r="AS3585">
        <v>1.5</v>
      </c>
      <c r="AT3585" t="s">
        <v>477</v>
      </c>
      <c r="AU3585" t="s">
        <v>25242</v>
      </c>
      <c r="AV3585" t="s">
        <v>25335</v>
      </c>
      <c r="AW3585" t="s">
        <v>11447</v>
      </c>
    </row>
    <row r="3586" spans="1:49">
      <c r="A3586" s="1">
        <f>HYPERLINK("https://lsnyc.legalserver.org/matter/dynamic-profile/view/1911256","19-1911256")</f>
        <v>0</v>
      </c>
      <c r="B3586" t="s">
        <v>157</v>
      </c>
      <c r="C3586" t="s">
        <v>511</v>
      </c>
      <c r="E3586" t="s">
        <v>1029</v>
      </c>
      <c r="F3586" t="s">
        <v>4011</v>
      </c>
      <c r="G3586" t="s">
        <v>6891</v>
      </c>
      <c r="H3586" t="s">
        <v>10510</v>
      </c>
      <c r="I3586" t="s">
        <v>11383</v>
      </c>
      <c r="J3586">
        <v>10470</v>
      </c>
      <c r="K3586" t="s">
        <v>11446</v>
      </c>
      <c r="L3586" t="s">
        <v>13184</v>
      </c>
      <c r="M3586" t="s">
        <v>14743</v>
      </c>
      <c r="P3586" t="s">
        <v>14802</v>
      </c>
      <c r="Q3586" t="s">
        <v>11448</v>
      </c>
      <c r="S3586" t="s">
        <v>14827</v>
      </c>
      <c r="T3586" t="s">
        <v>14832</v>
      </c>
      <c r="V3586">
        <v>1400</v>
      </c>
      <c r="W3586" t="s">
        <v>14858</v>
      </c>
      <c r="X3586" t="s">
        <v>14863</v>
      </c>
      <c r="Z3586" t="s">
        <v>15522</v>
      </c>
      <c r="AB3586" t="s">
        <v>20640</v>
      </c>
      <c r="AC3586">
        <v>84</v>
      </c>
      <c r="AD3586" t="s">
        <v>24595</v>
      </c>
      <c r="AE3586" t="s">
        <v>11459</v>
      </c>
      <c r="AF3586">
        <v>12</v>
      </c>
      <c r="AG3586">
        <v>3</v>
      </c>
      <c r="AH3586">
        <v>3</v>
      </c>
      <c r="AI3586">
        <v>94.36</v>
      </c>
      <c r="AL3586" t="s">
        <v>5011</v>
      </c>
      <c r="AM3586">
        <v>32640</v>
      </c>
      <c r="AS3586">
        <v>3.1</v>
      </c>
      <c r="AT3586" t="s">
        <v>539</v>
      </c>
      <c r="AU3586" t="s">
        <v>145</v>
      </c>
      <c r="AV3586" t="s">
        <v>25335</v>
      </c>
      <c r="AW3586" t="s">
        <v>11447</v>
      </c>
    </row>
    <row r="3587" spans="1:49">
      <c r="A3587" s="1">
        <f>HYPERLINK("https://lsnyc.legalserver.org/matter/dynamic-profile/view/1914610","19-1914610")</f>
        <v>0</v>
      </c>
      <c r="B3587" t="s">
        <v>49</v>
      </c>
      <c r="C3587" t="s">
        <v>491</v>
      </c>
      <c r="E3587" t="s">
        <v>2835</v>
      </c>
      <c r="F3587" t="s">
        <v>5459</v>
      </c>
      <c r="G3587" t="s">
        <v>8975</v>
      </c>
      <c r="H3587">
        <v>3</v>
      </c>
      <c r="I3587" t="s">
        <v>11383</v>
      </c>
      <c r="J3587">
        <v>10456</v>
      </c>
      <c r="K3587" t="s">
        <v>11446</v>
      </c>
      <c r="L3587" t="s">
        <v>13185</v>
      </c>
      <c r="M3587" t="s">
        <v>14744</v>
      </c>
      <c r="N3587" t="s">
        <v>14781</v>
      </c>
      <c r="P3587" t="s">
        <v>14802</v>
      </c>
      <c r="Q3587" t="s">
        <v>11448</v>
      </c>
      <c r="S3587" t="s">
        <v>14829</v>
      </c>
      <c r="T3587" t="s">
        <v>14832</v>
      </c>
      <c r="V3587">
        <v>1515</v>
      </c>
      <c r="W3587" t="s">
        <v>14858</v>
      </c>
      <c r="X3587" t="s">
        <v>14863</v>
      </c>
      <c r="Z3587" t="s">
        <v>15144</v>
      </c>
      <c r="AB3587" t="s">
        <v>22955</v>
      </c>
      <c r="AC3587">
        <v>3</v>
      </c>
      <c r="AD3587" t="s">
        <v>24600</v>
      </c>
      <c r="AE3587" t="s">
        <v>24616</v>
      </c>
      <c r="AF3587">
        <v>4</v>
      </c>
      <c r="AG3587">
        <v>1</v>
      </c>
      <c r="AH3587">
        <v>2</v>
      </c>
      <c r="AI3587">
        <v>96.15000000000001</v>
      </c>
      <c r="AL3587" t="s">
        <v>5011</v>
      </c>
      <c r="AM3587">
        <v>20508</v>
      </c>
      <c r="AS3587">
        <v>1</v>
      </c>
      <c r="AT3587" t="s">
        <v>491</v>
      </c>
      <c r="AU3587" t="s">
        <v>25251</v>
      </c>
      <c r="AV3587" t="s">
        <v>25335</v>
      </c>
      <c r="AW3587" t="s">
        <v>11447</v>
      </c>
    </row>
    <row r="3588" spans="1:49">
      <c r="A3588" s="1">
        <f>HYPERLINK("https://lsnyc.legalserver.org/matter/dynamic-profile/view/1913852","19-1913852")</f>
        <v>0</v>
      </c>
      <c r="B3588" t="s">
        <v>80</v>
      </c>
      <c r="C3588" t="s">
        <v>533</v>
      </c>
      <c r="E3588" t="s">
        <v>1417</v>
      </c>
      <c r="F3588" t="s">
        <v>5460</v>
      </c>
      <c r="G3588" t="s">
        <v>8976</v>
      </c>
      <c r="H3588" t="s">
        <v>11151</v>
      </c>
      <c r="I3588" t="s">
        <v>11383</v>
      </c>
      <c r="J3588">
        <v>10467</v>
      </c>
      <c r="K3588" t="s">
        <v>11447</v>
      </c>
      <c r="L3588" t="s">
        <v>13186</v>
      </c>
      <c r="M3588" t="s">
        <v>14744</v>
      </c>
      <c r="N3588" t="s">
        <v>14781</v>
      </c>
      <c r="P3588" t="s">
        <v>14802</v>
      </c>
      <c r="S3588" t="s">
        <v>14827</v>
      </c>
      <c r="V3588">
        <v>1294.13</v>
      </c>
      <c r="W3588" t="s">
        <v>14858</v>
      </c>
      <c r="X3588" t="s">
        <v>14863</v>
      </c>
      <c r="Z3588" t="s">
        <v>17870</v>
      </c>
      <c r="AB3588" t="s">
        <v>22956</v>
      </c>
      <c r="AC3588">
        <v>6</v>
      </c>
      <c r="AD3588" t="s">
        <v>24595</v>
      </c>
      <c r="AF3588">
        <v>5</v>
      </c>
      <c r="AG3588">
        <v>1</v>
      </c>
      <c r="AH3588">
        <v>2</v>
      </c>
      <c r="AI3588">
        <v>97.52</v>
      </c>
      <c r="AL3588" t="s">
        <v>5011</v>
      </c>
      <c r="AM3588">
        <v>20800</v>
      </c>
      <c r="AS3588">
        <v>1.5</v>
      </c>
      <c r="AT3588" t="s">
        <v>521</v>
      </c>
      <c r="AU3588" t="s">
        <v>25251</v>
      </c>
      <c r="AW3588" t="s">
        <v>11447</v>
      </c>
    </row>
    <row r="3589" spans="1:49">
      <c r="A3589" s="1">
        <f>HYPERLINK("https://lsnyc.legalserver.org/matter/dynamic-profile/view/1898548","19-1898548")</f>
        <v>0</v>
      </c>
      <c r="B3589" t="s">
        <v>102</v>
      </c>
      <c r="C3589" t="s">
        <v>411</v>
      </c>
      <c r="E3589" t="s">
        <v>1767</v>
      </c>
      <c r="F3589" t="s">
        <v>5355</v>
      </c>
      <c r="G3589" t="s">
        <v>8977</v>
      </c>
      <c r="H3589" t="s">
        <v>10689</v>
      </c>
      <c r="I3589" t="s">
        <v>11383</v>
      </c>
      <c r="J3589">
        <v>10473</v>
      </c>
      <c r="K3589" t="s">
        <v>11446</v>
      </c>
      <c r="M3589" t="s">
        <v>11601</v>
      </c>
      <c r="N3589" t="s">
        <v>14779</v>
      </c>
      <c r="P3589" t="s">
        <v>14802</v>
      </c>
      <c r="Q3589" t="s">
        <v>11448</v>
      </c>
      <c r="S3589" t="s">
        <v>14829</v>
      </c>
      <c r="V3589">
        <v>286</v>
      </c>
      <c r="W3589" t="s">
        <v>14858</v>
      </c>
      <c r="X3589" t="s">
        <v>14755</v>
      </c>
      <c r="Z3589" t="s">
        <v>15169</v>
      </c>
      <c r="AB3589" t="s">
        <v>22957</v>
      </c>
      <c r="AC3589">
        <v>0</v>
      </c>
      <c r="AD3589" t="s">
        <v>24597</v>
      </c>
      <c r="AF3589">
        <v>7</v>
      </c>
      <c r="AG3589">
        <v>1</v>
      </c>
      <c r="AH3589">
        <v>0</v>
      </c>
      <c r="AI3589">
        <v>98.95999999999999</v>
      </c>
      <c r="AL3589" t="s">
        <v>24632</v>
      </c>
      <c r="AM3589">
        <v>12360</v>
      </c>
      <c r="AN3589" t="s">
        <v>24876</v>
      </c>
      <c r="AS3589">
        <v>16.2</v>
      </c>
      <c r="AT3589" t="s">
        <v>495</v>
      </c>
      <c r="AU3589" t="s">
        <v>102</v>
      </c>
      <c r="AW3589" t="s">
        <v>11448</v>
      </c>
    </row>
    <row r="3590" spans="1:49">
      <c r="A3590" s="1">
        <f>HYPERLINK("https://lsnyc.legalserver.org/matter/dynamic-profile/view/1910160","19-1910160")</f>
        <v>0</v>
      </c>
      <c r="B3590" t="s">
        <v>96</v>
      </c>
      <c r="C3590" t="s">
        <v>528</v>
      </c>
      <c r="E3590" t="s">
        <v>1274</v>
      </c>
      <c r="F3590" t="s">
        <v>4707</v>
      </c>
      <c r="G3590" t="s">
        <v>7749</v>
      </c>
      <c r="H3590" t="s">
        <v>10448</v>
      </c>
      <c r="I3590" t="s">
        <v>11383</v>
      </c>
      <c r="J3590">
        <v>10453</v>
      </c>
      <c r="K3590" t="s">
        <v>11446</v>
      </c>
      <c r="L3590" t="s">
        <v>13187</v>
      </c>
      <c r="M3590" t="s">
        <v>14744</v>
      </c>
      <c r="N3590" t="s">
        <v>14778</v>
      </c>
      <c r="P3590" t="s">
        <v>14802</v>
      </c>
      <c r="Q3590" t="s">
        <v>11448</v>
      </c>
      <c r="S3590" t="s">
        <v>14827</v>
      </c>
      <c r="T3590" t="s">
        <v>14833</v>
      </c>
      <c r="V3590">
        <v>1293.97</v>
      </c>
      <c r="W3590" t="s">
        <v>14858</v>
      </c>
      <c r="X3590" t="s">
        <v>14873</v>
      </c>
      <c r="Z3590" t="s">
        <v>16649</v>
      </c>
      <c r="AB3590" t="s">
        <v>21684</v>
      </c>
      <c r="AC3590">
        <v>180</v>
      </c>
      <c r="AD3590" t="s">
        <v>24595</v>
      </c>
      <c r="AE3590" t="s">
        <v>11459</v>
      </c>
      <c r="AF3590">
        <v>11</v>
      </c>
      <c r="AG3590">
        <v>1</v>
      </c>
      <c r="AH3590">
        <v>0</v>
      </c>
      <c r="AI3590">
        <v>101.59</v>
      </c>
      <c r="AK3590" t="s">
        <v>24629</v>
      </c>
      <c r="AL3590" t="s">
        <v>5011</v>
      </c>
      <c r="AM3590">
        <v>12688</v>
      </c>
      <c r="AS3590">
        <v>1.7</v>
      </c>
      <c r="AT3590" t="s">
        <v>491</v>
      </c>
      <c r="AU3590" t="s">
        <v>25311</v>
      </c>
      <c r="AV3590" t="s">
        <v>25335</v>
      </c>
      <c r="AW3590" t="s">
        <v>11447</v>
      </c>
    </row>
    <row r="3591" spans="1:49">
      <c r="A3591" s="1">
        <f>HYPERLINK("https://lsnyc.legalserver.org/matter/dynamic-profile/view/1912337","19-1912337")</f>
        <v>0</v>
      </c>
      <c r="B3591" t="s">
        <v>82</v>
      </c>
      <c r="C3591" t="s">
        <v>473</v>
      </c>
      <c r="E3591" t="s">
        <v>2431</v>
      </c>
      <c r="F3591" t="s">
        <v>5418</v>
      </c>
      <c r="G3591" t="s">
        <v>8978</v>
      </c>
      <c r="H3591" t="s">
        <v>10579</v>
      </c>
      <c r="I3591" t="s">
        <v>11383</v>
      </c>
      <c r="J3591">
        <v>10473</v>
      </c>
      <c r="K3591" t="s">
        <v>11446</v>
      </c>
      <c r="L3591" t="s">
        <v>13188</v>
      </c>
      <c r="M3591" t="s">
        <v>14744</v>
      </c>
      <c r="P3591" t="s">
        <v>14802</v>
      </c>
      <c r="Q3591" t="s">
        <v>11448</v>
      </c>
      <c r="S3591" t="s">
        <v>14827</v>
      </c>
      <c r="V3591">
        <v>1200</v>
      </c>
      <c r="W3591" t="s">
        <v>14858</v>
      </c>
      <c r="X3591" t="s">
        <v>14863</v>
      </c>
      <c r="Z3591" t="s">
        <v>17871</v>
      </c>
      <c r="AA3591" t="s">
        <v>19768</v>
      </c>
      <c r="AB3591" t="s">
        <v>22958</v>
      </c>
      <c r="AC3591">
        <v>955</v>
      </c>
      <c r="AD3591" t="s">
        <v>11479</v>
      </c>
      <c r="AE3591" t="s">
        <v>11459</v>
      </c>
      <c r="AF3591">
        <v>18</v>
      </c>
      <c r="AG3591">
        <v>1</v>
      </c>
      <c r="AH3591">
        <v>0</v>
      </c>
      <c r="AI3591">
        <v>104.08</v>
      </c>
      <c r="AL3591" t="s">
        <v>5011</v>
      </c>
      <c r="AM3591">
        <v>13000</v>
      </c>
      <c r="AS3591">
        <v>0.95</v>
      </c>
      <c r="AT3591" t="s">
        <v>592</v>
      </c>
      <c r="AU3591" t="s">
        <v>245</v>
      </c>
      <c r="AV3591" t="s">
        <v>25334</v>
      </c>
      <c r="AW3591" t="s">
        <v>11447</v>
      </c>
    </row>
    <row r="3592" spans="1:49">
      <c r="A3592" s="1">
        <f>HYPERLINK("https://lsnyc.legalserver.org/matter/dynamic-profile/view/1914589","19-1914589")</f>
        <v>0</v>
      </c>
      <c r="B3592" t="s">
        <v>134</v>
      </c>
      <c r="C3592" t="s">
        <v>491</v>
      </c>
      <c r="E3592" t="s">
        <v>2836</v>
      </c>
      <c r="F3592" t="s">
        <v>5461</v>
      </c>
      <c r="G3592" t="s">
        <v>8979</v>
      </c>
      <c r="H3592" t="s">
        <v>11152</v>
      </c>
      <c r="I3592" t="s">
        <v>11383</v>
      </c>
      <c r="J3592">
        <v>10453</v>
      </c>
      <c r="K3592" t="s">
        <v>11446</v>
      </c>
      <c r="L3592" t="s">
        <v>13189</v>
      </c>
      <c r="M3592" t="s">
        <v>14743</v>
      </c>
      <c r="N3592" t="s">
        <v>14778</v>
      </c>
      <c r="P3592" t="s">
        <v>14802</v>
      </c>
      <c r="Q3592" t="s">
        <v>11448</v>
      </c>
      <c r="S3592" t="s">
        <v>14827</v>
      </c>
      <c r="T3592" t="s">
        <v>14836</v>
      </c>
      <c r="V3592">
        <v>200</v>
      </c>
      <c r="W3592" t="s">
        <v>14858</v>
      </c>
      <c r="Z3592" t="s">
        <v>17872</v>
      </c>
      <c r="AB3592" t="s">
        <v>20692</v>
      </c>
      <c r="AC3592">
        <v>225</v>
      </c>
      <c r="AD3592" t="s">
        <v>24595</v>
      </c>
      <c r="AE3592" t="s">
        <v>24610</v>
      </c>
      <c r="AF3592">
        <v>3</v>
      </c>
      <c r="AG3592">
        <v>1</v>
      </c>
      <c r="AH3592">
        <v>0</v>
      </c>
      <c r="AI3592">
        <v>112.43</v>
      </c>
      <c r="AL3592" t="s">
        <v>5011</v>
      </c>
      <c r="AM3592">
        <v>14042</v>
      </c>
      <c r="AS3592">
        <v>0</v>
      </c>
      <c r="AU3592" t="s">
        <v>145</v>
      </c>
      <c r="AV3592" t="s">
        <v>25335</v>
      </c>
      <c r="AW3592" t="s">
        <v>11447</v>
      </c>
    </row>
    <row r="3593" spans="1:49">
      <c r="A3593" s="1">
        <f>HYPERLINK("https://lsnyc.legalserver.org/matter/dynamic-profile/view/1892244","19-1892244")</f>
        <v>0</v>
      </c>
      <c r="B3593" t="s">
        <v>142</v>
      </c>
      <c r="C3593" t="s">
        <v>541</v>
      </c>
      <c r="E3593" t="s">
        <v>2837</v>
      </c>
      <c r="F3593" t="s">
        <v>5462</v>
      </c>
      <c r="G3593" t="s">
        <v>8980</v>
      </c>
      <c r="H3593" t="s">
        <v>10464</v>
      </c>
      <c r="I3593" t="s">
        <v>11383</v>
      </c>
      <c r="J3593">
        <v>10466</v>
      </c>
      <c r="K3593" t="s">
        <v>11446</v>
      </c>
      <c r="L3593" t="s">
        <v>13190</v>
      </c>
      <c r="M3593" t="s">
        <v>14743</v>
      </c>
      <c r="N3593" t="s">
        <v>14782</v>
      </c>
      <c r="P3593" t="s">
        <v>14802</v>
      </c>
      <c r="S3593" t="s">
        <v>14827</v>
      </c>
      <c r="T3593" t="s">
        <v>14834</v>
      </c>
      <c r="V3593">
        <v>1340</v>
      </c>
      <c r="W3593" t="s">
        <v>14858</v>
      </c>
      <c r="X3593" t="s">
        <v>14863</v>
      </c>
      <c r="Z3593" t="s">
        <v>17873</v>
      </c>
      <c r="AA3593" t="s">
        <v>19769</v>
      </c>
      <c r="AB3593" t="s">
        <v>22959</v>
      </c>
      <c r="AC3593">
        <v>21</v>
      </c>
      <c r="AD3593" t="s">
        <v>24598</v>
      </c>
      <c r="AE3593" t="s">
        <v>11459</v>
      </c>
      <c r="AF3593">
        <v>4</v>
      </c>
      <c r="AG3593">
        <v>1</v>
      </c>
      <c r="AH3593">
        <v>0</v>
      </c>
      <c r="AI3593">
        <v>112.85</v>
      </c>
      <c r="AL3593" t="s">
        <v>5011</v>
      </c>
      <c r="AM3593">
        <v>14095</v>
      </c>
      <c r="AN3593" t="s">
        <v>24877</v>
      </c>
      <c r="AS3593">
        <v>9</v>
      </c>
      <c r="AT3593" t="s">
        <v>658</v>
      </c>
      <c r="AU3593" t="s">
        <v>94</v>
      </c>
      <c r="AW3593" t="s">
        <v>11446</v>
      </c>
    </row>
    <row r="3594" spans="1:49">
      <c r="A3594" s="1">
        <f>HYPERLINK("https://lsnyc.legalserver.org/matter/dynamic-profile/view/1915462","19-1915462")</f>
        <v>0</v>
      </c>
      <c r="B3594" t="s">
        <v>60</v>
      </c>
      <c r="C3594" t="s">
        <v>654</v>
      </c>
      <c r="E3594" t="s">
        <v>2838</v>
      </c>
      <c r="F3594" t="s">
        <v>5463</v>
      </c>
      <c r="G3594" t="s">
        <v>8981</v>
      </c>
      <c r="H3594" t="s">
        <v>10919</v>
      </c>
      <c r="I3594" t="s">
        <v>11383</v>
      </c>
      <c r="J3594">
        <v>10456</v>
      </c>
      <c r="K3594" t="s">
        <v>11447</v>
      </c>
      <c r="L3594" t="s">
        <v>13191</v>
      </c>
      <c r="M3594" t="s">
        <v>14744</v>
      </c>
      <c r="N3594" t="s">
        <v>14781</v>
      </c>
      <c r="P3594" t="s">
        <v>14802</v>
      </c>
      <c r="S3594" t="s">
        <v>14827</v>
      </c>
      <c r="V3594">
        <v>1931.42</v>
      </c>
      <c r="W3594" t="s">
        <v>14858</v>
      </c>
      <c r="X3594" t="s">
        <v>14868</v>
      </c>
      <c r="Z3594" t="s">
        <v>17874</v>
      </c>
      <c r="AB3594" t="s">
        <v>22960</v>
      </c>
      <c r="AC3594">
        <v>0</v>
      </c>
      <c r="AD3594" t="s">
        <v>24595</v>
      </c>
      <c r="AF3594">
        <v>5</v>
      </c>
      <c r="AG3594">
        <v>5</v>
      </c>
      <c r="AH3594">
        <v>2</v>
      </c>
      <c r="AI3594">
        <v>116.89</v>
      </c>
      <c r="AL3594" t="s">
        <v>24647</v>
      </c>
      <c r="AM3594">
        <v>45600</v>
      </c>
      <c r="AS3594">
        <v>0</v>
      </c>
      <c r="AU3594" t="s">
        <v>25251</v>
      </c>
      <c r="AW3594" t="s">
        <v>11447</v>
      </c>
    </row>
    <row r="3595" spans="1:49">
      <c r="A3595" s="1">
        <f>HYPERLINK("https://lsnyc.legalserver.org/matter/dynamic-profile/view/1915220","19-1915220")</f>
        <v>0</v>
      </c>
      <c r="B3595" t="s">
        <v>81</v>
      </c>
      <c r="C3595" t="s">
        <v>509</v>
      </c>
      <c r="E3595" t="s">
        <v>1524</v>
      </c>
      <c r="F3595" t="s">
        <v>4341</v>
      </c>
      <c r="G3595" t="s">
        <v>8982</v>
      </c>
      <c r="H3595" t="s">
        <v>10593</v>
      </c>
      <c r="I3595" t="s">
        <v>11383</v>
      </c>
      <c r="J3595">
        <v>10466</v>
      </c>
      <c r="K3595" t="s">
        <v>11446</v>
      </c>
      <c r="L3595" t="s">
        <v>13192</v>
      </c>
      <c r="M3595" t="s">
        <v>14744</v>
      </c>
      <c r="N3595" t="s">
        <v>14778</v>
      </c>
      <c r="P3595" t="s">
        <v>14802</v>
      </c>
      <c r="Q3595" t="s">
        <v>11448</v>
      </c>
      <c r="S3595" t="s">
        <v>14827</v>
      </c>
      <c r="T3595" t="s">
        <v>14834</v>
      </c>
      <c r="V3595">
        <v>1450</v>
      </c>
      <c r="W3595" t="s">
        <v>14858</v>
      </c>
      <c r="X3595" t="s">
        <v>14863</v>
      </c>
      <c r="Z3595" t="s">
        <v>17875</v>
      </c>
      <c r="AB3595" t="s">
        <v>22961</v>
      </c>
      <c r="AC3595">
        <v>55</v>
      </c>
      <c r="AD3595" t="s">
        <v>24595</v>
      </c>
      <c r="AF3595">
        <v>2</v>
      </c>
      <c r="AG3595">
        <v>1</v>
      </c>
      <c r="AH3595">
        <v>2</v>
      </c>
      <c r="AI3595">
        <v>118.72</v>
      </c>
      <c r="AL3595" t="s">
        <v>5011</v>
      </c>
      <c r="AM3595">
        <v>25324</v>
      </c>
      <c r="AS3595">
        <v>0</v>
      </c>
      <c r="AU3595" t="s">
        <v>145</v>
      </c>
      <c r="AV3595" t="s">
        <v>25335</v>
      </c>
      <c r="AW3595" t="s">
        <v>11447</v>
      </c>
    </row>
    <row r="3596" spans="1:49">
      <c r="A3596" s="1">
        <f>HYPERLINK("https://lsnyc.legalserver.org/matter/dynamic-profile/view/1914627","19-1914627")</f>
        <v>0</v>
      </c>
      <c r="B3596" t="s">
        <v>134</v>
      </c>
      <c r="C3596" t="s">
        <v>491</v>
      </c>
      <c r="E3596" t="s">
        <v>1070</v>
      </c>
      <c r="F3596" t="s">
        <v>5464</v>
      </c>
      <c r="G3596" t="s">
        <v>8983</v>
      </c>
      <c r="H3596" t="s">
        <v>11153</v>
      </c>
      <c r="I3596" t="s">
        <v>11383</v>
      </c>
      <c r="J3596">
        <v>10451</v>
      </c>
      <c r="K3596" t="s">
        <v>11446</v>
      </c>
      <c r="L3596" t="s">
        <v>13193</v>
      </c>
      <c r="M3596" t="s">
        <v>14744</v>
      </c>
      <c r="P3596" t="s">
        <v>14802</v>
      </c>
      <c r="Q3596" t="s">
        <v>11446</v>
      </c>
      <c r="S3596" t="s">
        <v>14827</v>
      </c>
      <c r="V3596">
        <v>810.6</v>
      </c>
      <c r="W3596" t="s">
        <v>14858</v>
      </c>
      <c r="X3596" t="s">
        <v>14863</v>
      </c>
      <c r="Z3596" t="s">
        <v>17876</v>
      </c>
      <c r="AB3596" t="s">
        <v>22962</v>
      </c>
      <c r="AC3596">
        <v>125</v>
      </c>
      <c r="AD3596" t="s">
        <v>24597</v>
      </c>
      <c r="AF3596">
        <v>35</v>
      </c>
      <c r="AG3596">
        <v>4</v>
      </c>
      <c r="AH3596">
        <v>0</v>
      </c>
      <c r="AI3596">
        <v>118.74</v>
      </c>
      <c r="AM3596">
        <v>30576</v>
      </c>
      <c r="AS3596">
        <v>10</v>
      </c>
      <c r="AT3596" t="s">
        <v>592</v>
      </c>
      <c r="AU3596" t="s">
        <v>145</v>
      </c>
      <c r="AV3596" t="s">
        <v>25335</v>
      </c>
      <c r="AW3596" t="s">
        <v>11447</v>
      </c>
    </row>
    <row r="3597" spans="1:49">
      <c r="A3597" s="1">
        <f>HYPERLINK("https://lsnyc.legalserver.org/matter/dynamic-profile/view/1909192","19-1909192")</f>
        <v>0</v>
      </c>
      <c r="B3597" t="s">
        <v>257</v>
      </c>
      <c r="C3597" t="s">
        <v>462</v>
      </c>
      <c r="E3597" t="s">
        <v>2790</v>
      </c>
      <c r="F3597" t="s">
        <v>3571</v>
      </c>
      <c r="G3597" t="s">
        <v>8871</v>
      </c>
      <c r="H3597" t="s">
        <v>10780</v>
      </c>
      <c r="I3597" t="s">
        <v>11383</v>
      </c>
      <c r="J3597">
        <v>10456</v>
      </c>
      <c r="K3597" t="s">
        <v>11446</v>
      </c>
      <c r="M3597" t="s">
        <v>14750</v>
      </c>
      <c r="N3597" t="s">
        <v>14783</v>
      </c>
      <c r="P3597" t="s">
        <v>14802</v>
      </c>
      <c r="Q3597" t="s">
        <v>11448</v>
      </c>
      <c r="S3597" t="s">
        <v>14828</v>
      </c>
      <c r="V3597">
        <v>408</v>
      </c>
      <c r="W3597" t="s">
        <v>14858</v>
      </c>
      <c r="X3597" t="s">
        <v>14863</v>
      </c>
      <c r="Z3597" t="s">
        <v>17131</v>
      </c>
      <c r="AB3597" t="s">
        <v>22858</v>
      </c>
      <c r="AC3597">
        <v>607</v>
      </c>
      <c r="AD3597" t="s">
        <v>24597</v>
      </c>
      <c r="AF3597">
        <v>20</v>
      </c>
      <c r="AG3597">
        <v>1</v>
      </c>
      <c r="AH3597">
        <v>0</v>
      </c>
      <c r="AI3597">
        <v>119.04</v>
      </c>
      <c r="AL3597" t="s">
        <v>5011</v>
      </c>
      <c r="AM3597">
        <v>14868</v>
      </c>
      <c r="AS3597">
        <v>3.6</v>
      </c>
      <c r="AT3597" t="s">
        <v>478</v>
      </c>
      <c r="AU3597" t="s">
        <v>25252</v>
      </c>
      <c r="AV3597" t="s">
        <v>25335</v>
      </c>
      <c r="AW3597" t="s">
        <v>11447</v>
      </c>
    </row>
    <row r="3598" spans="1:49">
      <c r="A3598" s="1">
        <f>HYPERLINK("https://lsnyc.legalserver.org/matter/dynamic-profile/view/1902925","19-1902925")</f>
        <v>0</v>
      </c>
      <c r="B3598" t="s">
        <v>142</v>
      </c>
      <c r="C3598" t="s">
        <v>343</v>
      </c>
      <c r="E3598" t="s">
        <v>2839</v>
      </c>
      <c r="F3598" t="s">
        <v>1036</v>
      </c>
      <c r="G3598" t="s">
        <v>8984</v>
      </c>
      <c r="H3598" t="s">
        <v>11154</v>
      </c>
      <c r="I3598" t="s">
        <v>11383</v>
      </c>
      <c r="J3598">
        <v>10456</v>
      </c>
      <c r="K3598" t="s">
        <v>11448</v>
      </c>
      <c r="L3598" t="s">
        <v>13194</v>
      </c>
      <c r="M3598" t="s">
        <v>14744</v>
      </c>
      <c r="N3598" t="s">
        <v>14778</v>
      </c>
      <c r="P3598" t="s">
        <v>14802</v>
      </c>
      <c r="Q3598" t="s">
        <v>11448</v>
      </c>
      <c r="S3598" t="s">
        <v>14827</v>
      </c>
      <c r="T3598" t="s">
        <v>14834</v>
      </c>
      <c r="V3598">
        <v>799</v>
      </c>
      <c r="W3598" t="s">
        <v>14858</v>
      </c>
      <c r="Z3598" t="s">
        <v>17877</v>
      </c>
      <c r="AB3598" t="s">
        <v>22963</v>
      </c>
      <c r="AC3598">
        <v>69</v>
      </c>
      <c r="AF3598">
        <v>3</v>
      </c>
      <c r="AG3598">
        <v>1</v>
      </c>
      <c r="AH3598">
        <v>0</v>
      </c>
      <c r="AI3598">
        <v>123.03</v>
      </c>
      <c r="AL3598" t="s">
        <v>5011</v>
      </c>
      <c r="AM3598">
        <v>15366</v>
      </c>
      <c r="AN3598" t="s">
        <v>24878</v>
      </c>
      <c r="AS3598">
        <v>3.5</v>
      </c>
      <c r="AT3598" t="s">
        <v>469</v>
      </c>
      <c r="AU3598" t="s">
        <v>145</v>
      </c>
      <c r="AV3598" t="s">
        <v>11459</v>
      </c>
      <c r="AW3598" t="s">
        <v>11447</v>
      </c>
    </row>
    <row r="3599" spans="1:49">
      <c r="A3599" s="1">
        <f>HYPERLINK("https://lsnyc.legalserver.org/matter/dynamic-profile/view/1910833","19-1910833")</f>
        <v>0</v>
      </c>
      <c r="B3599" t="s">
        <v>299</v>
      </c>
      <c r="C3599" t="s">
        <v>602</v>
      </c>
      <c r="E3599" t="s">
        <v>2840</v>
      </c>
      <c r="F3599" t="s">
        <v>5465</v>
      </c>
      <c r="G3599" t="s">
        <v>8985</v>
      </c>
      <c r="H3599" t="s">
        <v>10719</v>
      </c>
      <c r="I3599" t="s">
        <v>11383</v>
      </c>
      <c r="J3599">
        <v>10454</v>
      </c>
      <c r="K3599" t="s">
        <v>11446</v>
      </c>
      <c r="L3599" t="s">
        <v>13195</v>
      </c>
      <c r="M3599" t="s">
        <v>14744</v>
      </c>
      <c r="P3599" t="s">
        <v>14802</v>
      </c>
      <c r="Q3599" t="s">
        <v>11448</v>
      </c>
      <c r="S3599" t="s">
        <v>14827</v>
      </c>
      <c r="V3599">
        <v>804</v>
      </c>
      <c r="W3599" t="s">
        <v>14858</v>
      </c>
      <c r="X3599" t="s">
        <v>14863</v>
      </c>
      <c r="Z3599" t="s">
        <v>17878</v>
      </c>
      <c r="AC3599">
        <v>43</v>
      </c>
      <c r="AD3599" t="s">
        <v>11479</v>
      </c>
      <c r="AE3599" t="s">
        <v>24610</v>
      </c>
      <c r="AF3599">
        <v>5</v>
      </c>
      <c r="AG3599">
        <v>2</v>
      </c>
      <c r="AH3599">
        <v>0</v>
      </c>
      <c r="AI3599">
        <v>123.67</v>
      </c>
      <c r="AL3599" t="s">
        <v>5011</v>
      </c>
      <c r="AM3599">
        <v>20912</v>
      </c>
      <c r="AS3599">
        <v>0</v>
      </c>
      <c r="AU3599" t="s">
        <v>237</v>
      </c>
      <c r="AV3599" t="s">
        <v>25335</v>
      </c>
      <c r="AW3599" t="s">
        <v>11447</v>
      </c>
    </row>
    <row r="3600" spans="1:49">
      <c r="A3600" s="1">
        <f>HYPERLINK("https://lsnyc.legalserver.org/matter/dynamic-profile/view/1911687","19-1911687")</f>
        <v>0</v>
      </c>
      <c r="B3600" t="s">
        <v>299</v>
      </c>
      <c r="C3600" t="s">
        <v>602</v>
      </c>
      <c r="E3600" t="s">
        <v>2840</v>
      </c>
      <c r="F3600" t="s">
        <v>5465</v>
      </c>
      <c r="G3600" t="s">
        <v>8985</v>
      </c>
      <c r="H3600" t="s">
        <v>10719</v>
      </c>
      <c r="I3600" t="s">
        <v>11383</v>
      </c>
      <c r="J3600">
        <v>10454</v>
      </c>
      <c r="K3600" t="s">
        <v>11446</v>
      </c>
      <c r="L3600" t="s">
        <v>13195</v>
      </c>
      <c r="M3600" t="s">
        <v>14744</v>
      </c>
      <c r="P3600" t="s">
        <v>14802</v>
      </c>
      <c r="Q3600" t="s">
        <v>11448</v>
      </c>
      <c r="S3600" t="s">
        <v>14827</v>
      </c>
      <c r="V3600">
        <v>804</v>
      </c>
      <c r="W3600" t="s">
        <v>14858</v>
      </c>
      <c r="X3600" t="s">
        <v>14863</v>
      </c>
      <c r="Z3600" t="s">
        <v>17878</v>
      </c>
      <c r="AC3600">
        <v>43</v>
      </c>
      <c r="AE3600" t="s">
        <v>24610</v>
      </c>
      <c r="AF3600">
        <v>5</v>
      </c>
      <c r="AG3600">
        <v>2</v>
      </c>
      <c r="AH3600">
        <v>0</v>
      </c>
      <c r="AI3600">
        <v>123.67</v>
      </c>
      <c r="AL3600" t="s">
        <v>5011</v>
      </c>
      <c r="AM3600">
        <v>20912</v>
      </c>
      <c r="AS3600">
        <v>4</v>
      </c>
      <c r="AT3600" t="s">
        <v>571</v>
      </c>
      <c r="AU3600" t="s">
        <v>237</v>
      </c>
      <c r="AV3600" t="s">
        <v>25335</v>
      </c>
      <c r="AW3600" t="s">
        <v>11447</v>
      </c>
    </row>
    <row r="3601" spans="1:49">
      <c r="A3601" s="1">
        <f>HYPERLINK("https://lsnyc.legalserver.org/matter/dynamic-profile/view/1906021","19-1906021")</f>
        <v>0</v>
      </c>
      <c r="B3601" t="s">
        <v>237</v>
      </c>
      <c r="C3601" t="s">
        <v>461</v>
      </c>
      <c r="E3601" t="s">
        <v>2841</v>
      </c>
      <c r="F3601" t="s">
        <v>4586</v>
      </c>
      <c r="G3601" t="s">
        <v>6479</v>
      </c>
      <c r="H3601" t="s">
        <v>10468</v>
      </c>
      <c r="I3601" t="s">
        <v>11383</v>
      </c>
      <c r="J3601">
        <v>10474</v>
      </c>
      <c r="K3601" t="s">
        <v>11448</v>
      </c>
      <c r="L3601" t="s">
        <v>13196</v>
      </c>
      <c r="M3601" t="s">
        <v>14744</v>
      </c>
      <c r="N3601" t="s">
        <v>14778</v>
      </c>
      <c r="P3601" t="s">
        <v>14802</v>
      </c>
      <c r="Q3601" t="s">
        <v>11448</v>
      </c>
      <c r="S3601" t="s">
        <v>14827</v>
      </c>
      <c r="V3601">
        <v>1350</v>
      </c>
      <c r="W3601" t="s">
        <v>14858</v>
      </c>
      <c r="Z3601" t="s">
        <v>17879</v>
      </c>
      <c r="AC3601">
        <v>47</v>
      </c>
      <c r="AF3601">
        <v>5</v>
      </c>
      <c r="AG3601">
        <v>1</v>
      </c>
      <c r="AH3601">
        <v>0</v>
      </c>
      <c r="AI3601">
        <v>124.9</v>
      </c>
      <c r="AL3601" t="s">
        <v>5011</v>
      </c>
      <c r="AM3601">
        <v>15600</v>
      </c>
      <c r="AS3601">
        <v>0</v>
      </c>
      <c r="AU3601" t="s">
        <v>237</v>
      </c>
      <c r="AV3601" t="s">
        <v>11459</v>
      </c>
      <c r="AW3601" t="s">
        <v>11447</v>
      </c>
    </row>
    <row r="3602" spans="1:49">
      <c r="A3602" s="1">
        <f>HYPERLINK("https://lsnyc.legalserver.org/matter/dynamic-profile/view/1915203","19-1915203")</f>
        <v>0</v>
      </c>
      <c r="B3602" t="s">
        <v>81</v>
      </c>
      <c r="C3602" t="s">
        <v>509</v>
      </c>
      <c r="E3602" t="s">
        <v>1218</v>
      </c>
      <c r="F3602" t="s">
        <v>4211</v>
      </c>
      <c r="G3602" t="s">
        <v>8986</v>
      </c>
      <c r="H3602" t="s">
        <v>10541</v>
      </c>
      <c r="I3602" t="s">
        <v>11383</v>
      </c>
      <c r="J3602">
        <v>10451</v>
      </c>
      <c r="K3602" t="s">
        <v>11446</v>
      </c>
      <c r="L3602" t="s">
        <v>13197</v>
      </c>
      <c r="M3602" t="s">
        <v>14744</v>
      </c>
      <c r="N3602" t="s">
        <v>14778</v>
      </c>
      <c r="P3602" t="s">
        <v>14802</v>
      </c>
      <c r="Q3602" t="s">
        <v>11448</v>
      </c>
      <c r="S3602" t="s">
        <v>14827</v>
      </c>
      <c r="T3602" t="s">
        <v>14832</v>
      </c>
      <c r="V3602">
        <v>231</v>
      </c>
      <c r="W3602" t="s">
        <v>14858</v>
      </c>
      <c r="X3602" t="s">
        <v>14863</v>
      </c>
      <c r="Z3602" t="s">
        <v>17880</v>
      </c>
      <c r="AB3602" t="s">
        <v>22964</v>
      </c>
      <c r="AC3602">
        <v>92</v>
      </c>
      <c r="AD3602" t="s">
        <v>24597</v>
      </c>
      <c r="AE3602" t="s">
        <v>24610</v>
      </c>
      <c r="AF3602">
        <v>14</v>
      </c>
      <c r="AG3602">
        <v>2</v>
      </c>
      <c r="AH3602">
        <v>2</v>
      </c>
      <c r="AI3602">
        <v>125.41</v>
      </c>
      <c r="AL3602" t="s">
        <v>5011</v>
      </c>
      <c r="AM3602">
        <v>32292</v>
      </c>
      <c r="AS3602">
        <v>0</v>
      </c>
      <c r="AU3602" t="s">
        <v>145</v>
      </c>
      <c r="AV3602" t="s">
        <v>25335</v>
      </c>
      <c r="AW3602" t="s">
        <v>11447</v>
      </c>
    </row>
    <row r="3603" spans="1:49">
      <c r="A3603" s="1">
        <f>HYPERLINK("https://lsnyc.legalserver.org/matter/dynamic-profile/view/1901396","19-1901396")</f>
        <v>0</v>
      </c>
      <c r="B3603" t="s">
        <v>143</v>
      </c>
      <c r="C3603" t="s">
        <v>649</v>
      </c>
      <c r="E3603" t="s">
        <v>1781</v>
      </c>
      <c r="F3603" t="s">
        <v>3819</v>
      </c>
      <c r="G3603" t="s">
        <v>8875</v>
      </c>
      <c r="H3603" t="s">
        <v>10595</v>
      </c>
      <c r="I3603" t="s">
        <v>11383</v>
      </c>
      <c r="J3603">
        <v>10460</v>
      </c>
      <c r="K3603" t="s">
        <v>11446</v>
      </c>
      <c r="N3603" t="s">
        <v>14778</v>
      </c>
      <c r="P3603" t="s">
        <v>14802</v>
      </c>
      <c r="Q3603" t="s">
        <v>11448</v>
      </c>
      <c r="S3603" t="s">
        <v>14827</v>
      </c>
      <c r="V3603">
        <v>0</v>
      </c>
      <c r="W3603" t="s">
        <v>14858</v>
      </c>
      <c r="X3603" t="s">
        <v>14863</v>
      </c>
      <c r="Z3603" t="s">
        <v>15323</v>
      </c>
      <c r="AB3603" t="s">
        <v>22965</v>
      </c>
      <c r="AC3603">
        <v>0</v>
      </c>
      <c r="AF3603">
        <v>0</v>
      </c>
      <c r="AG3603">
        <v>1</v>
      </c>
      <c r="AH3603">
        <v>0</v>
      </c>
      <c r="AI3603">
        <v>125.57</v>
      </c>
      <c r="AL3603" t="s">
        <v>5011</v>
      </c>
      <c r="AM3603">
        <v>15684</v>
      </c>
      <c r="AN3603" t="s">
        <v>24846</v>
      </c>
      <c r="AS3603">
        <v>0.6</v>
      </c>
      <c r="AT3603" t="s">
        <v>362</v>
      </c>
      <c r="AU3603" t="s">
        <v>25239</v>
      </c>
      <c r="AV3603" t="s">
        <v>25335</v>
      </c>
      <c r="AW3603" t="s">
        <v>11447</v>
      </c>
    </row>
    <row r="3604" spans="1:49">
      <c r="A3604" s="1">
        <f>HYPERLINK("https://lsnyc.legalserver.org/matter/dynamic-profile/view/1915420","19-1915420")</f>
        <v>0</v>
      </c>
      <c r="B3604" t="s">
        <v>116</v>
      </c>
      <c r="C3604" t="s">
        <v>495</v>
      </c>
      <c r="E3604" t="s">
        <v>1210</v>
      </c>
      <c r="F3604" t="s">
        <v>1032</v>
      </c>
      <c r="G3604" t="s">
        <v>8987</v>
      </c>
      <c r="H3604" t="s">
        <v>11155</v>
      </c>
      <c r="I3604" t="s">
        <v>11383</v>
      </c>
      <c r="J3604">
        <v>10451</v>
      </c>
      <c r="K3604" t="s">
        <v>11446</v>
      </c>
      <c r="M3604" t="s">
        <v>14744</v>
      </c>
      <c r="P3604" t="s">
        <v>14802</v>
      </c>
      <c r="Q3604" t="s">
        <v>11448</v>
      </c>
      <c r="S3604" t="s">
        <v>14827</v>
      </c>
      <c r="V3604">
        <v>2200</v>
      </c>
      <c r="W3604" t="s">
        <v>14858</v>
      </c>
      <c r="X3604" t="s">
        <v>14871</v>
      </c>
      <c r="Z3604" t="s">
        <v>17881</v>
      </c>
      <c r="AB3604" t="s">
        <v>22966</v>
      </c>
      <c r="AC3604">
        <v>140</v>
      </c>
      <c r="AD3604" t="s">
        <v>24595</v>
      </c>
      <c r="AE3604" t="s">
        <v>11459</v>
      </c>
      <c r="AF3604">
        <v>1</v>
      </c>
      <c r="AG3604">
        <v>3</v>
      </c>
      <c r="AH3604">
        <v>2</v>
      </c>
      <c r="AI3604">
        <v>129.27</v>
      </c>
      <c r="AL3604" t="s">
        <v>5011</v>
      </c>
      <c r="AM3604">
        <v>39000</v>
      </c>
      <c r="AS3604">
        <v>0</v>
      </c>
      <c r="AU3604" t="s">
        <v>25242</v>
      </c>
      <c r="AW3604" t="s">
        <v>11447</v>
      </c>
    </row>
    <row r="3605" spans="1:49">
      <c r="A3605" s="1">
        <f>HYPERLINK("https://lsnyc.legalserver.org/matter/dynamic-profile/view/1914400","19-1914400")</f>
        <v>0</v>
      </c>
      <c r="B3605" t="s">
        <v>80</v>
      </c>
      <c r="C3605" t="s">
        <v>506</v>
      </c>
      <c r="E3605" t="s">
        <v>2842</v>
      </c>
      <c r="F3605" t="s">
        <v>2002</v>
      </c>
      <c r="G3605" t="s">
        <v>8988</v>
      </c>
      <c r="H3605" t="s">
        <v>10626</v>
      </c>
      <c r="I3605" t="s">
        <v>11383</v>
      </c>
      <c r="J3605">
        <v>10467</v>
      </c>
      <c r="K3605" t="s">
        <v>11447</v>
      </c>
      <c r="N3605" t="s">
        <v>14781</v>
      </c>
      <c r="P3605" t="s">
        <v>14802</v>
      </c>
      <c r="S3605" t="s">
        <v>14827</v>
      </c>
      <c r="V3605">
        <v>1375</v>
      </c>
      <c r="W3605" t="s">
        <v>14858</v>
      </c>
      <c r="X3605" t="s">
        <v>14863</v>
      </c>
      <c r="Z3605" t="s">
        <v>17882</v>
      </c>
      <c r="AC3605">
        <v>0</v>
      </c>
      <c r="AD3605" t="s">
        <v>11479</v>
      </c>
      <c r="AF3605">
        <v>2</v>
      </c>
      <c r="AG3605">
        <v>1</v>
      </c>
      <c r="AH3605">
        <v>0</v>
      </c>
      <c r="AI3605">
        <v>133.23</v>
      </c>
      <c r="AL3605" t="s">
        <v>24632</v>
      </c>
      <c r="AM3605">
        <v>16640</v>
      </c>
      <c r="AS3605">
        <v>0</v>
      </c>
      <c r="AU3605" t="s">
        <v>25251</v>
      </c>
      <c r="AW3605" t="s">
        <v>11447</v>
      </c>
    </row>
    <row r="3606" spans="1:49">
      <c r="A3606" s="1">
        <f>HYPERLINK("https://lsnyc.legalserver.org/matter/dynamic-profile/view/1899543","19-1899543")</f>
        <v>0</v>
      </c>
      <c r="B3606" t="s">
        <v>82</v>
      </c>
      <c r="C3606" t="s">
        <v>543</v>
      </c>
      <c r="E3606" t="s">
        <v>1264</v>
      </c>
      <c r="F3606" t="s">
        <v>5466</v>
      </c>
      <c r="G3606" t="s">
        <v>8989</v>
      </c>
      <c r="H3606" t="s">
        <v>10476</v>
      </c>
      <c r="I3606" t="s">
        <v>11383</v>
      </c>
      <c r="J3606">
        <v>10456</v>
      </c>
      <c r="K3606" t="s">
        <v>11446</v>
      </c>
      <c r="L3606" t="s">
        <v>13198</v>
      </c>
      <c r="M3606" t="s">
        <v>14744</v>
      </c>
      <c r="N3606" t="s">
        <v>14781</v>
      </c>
      <c r="P3606" t="s">
        <v>14802</v>
      </c>
      <c r="Q3606" t="s">
        <v>11448</v>
      </c>
      <c r="S3606" t="s">
        <v>14827</v>
      </c>
      <c r="T3606" t="s">
        <v>14832</v>
      </c>
      <c r="V3606">
        <v>875</v>
      </c>
      <c r="W3606" t="s">
        <v>14858</v>
      </c>
      <c r="X3606" t="s">
        <v>14863</v>
      </c>
      <c r="Z3606" t="s">
        <v>17883</v>
      </c>
      <c r="AC3606">
        <v>60</v>
      </c>
      <c r="AD3606" t="s">
        <v>11479</v>
      </c>
      <c r="AE3606" t="s">
        <v>11459</v>
      </c>
      <c r="AF3606">
        <v>25</v>
      </c>
      <c r="AG3606">
        <v>2</v>
      </c>
      <c r="AH3606">
        <v>2</v>
      </c>
      <c r="AI3606">
        <v>136.7</v>
      </c>
      <c r="AL3606" t="s">
        <v>5011</v>
      </c>
      <c r="AM3606">
        <v>35200</v>
      </c>
      <c r="AS3606">
        <v>2.9</v>
      </c>
      <c r="AT3606" t="s">
        <v>491</v>
      </c>
      <c r="AU3606" t="s">
        <v>245</v>
      </c>
      <c r="AW3606" t="s">
        <v>11447</v>
      </c>
    </row>
    <row r="3607" spans="1:49">
      <c r="A3607" s="1">
        <f>HYPERLINK("https://lsnyc.legalserver.org/matter/dynamic-profile/view/1903727","19-1903727")</f>
        <v>0</v>
      </c>
      <c r="B3607" t="s">
        <v>273</v>
      </c>
      <c r="C3607" t="s">
        <v>545</v>
      </c>
      <c r="E3607" t="s">
        <v>2843</v>
      </c>
      <c r="F3607" t="s">
        <v>3561</v>
      </c>
      <c r="G3607" t="s">
        <v>8990</v>
      </c>
      <c r="H3607" t="s">
        <v>11156</v>
      </c>
      <c r="I3607" t="s">
        <v>11383</v>
      </c>
      <c r="J3607">
        <v>10453</v>
      </c>
      <c r="K3607" t="s">
        <v>11446</v>
      </c>
      <c r="N3607" t="s">
        <v>14781</v>
      </c>
      <c r="P3607" t="s">
        <v>14802</v>
      </c>
      <c r="S3607" t="s">
        <v>14827</v>
      </c>
      <c r="V3607">
        <v>0</v>
      </c>
      <c r="W3607" t="s">
        <v>14858</v>
      </c>
      <c r="Z3607" t="s">
        <v>17884</v>
      </c>
      <c r="AB3607" t="s">
        <v>22967</v>
      </c>
      <c r="AC3607">
        <v>151</v>
      </c>
      <c r="AF3607">
        <v>0</v>
      </c>
      <c r="AG3607">
        <v>2</v>
      </c>
      <c r="AH3607">
        <v>0</v>
      </c>
      <c r="AI3607">
        <v>137.03</v>
      </c>
      <c r="AL3607" t="s">
        <v>5011</v>
      </c>
      <c r="AM3607">
        <v>23172</v>
      </c>
      <c r="AS3607">
        <v>19.8</v>
      </c>
      <c r="AT3607" t="s">
        <v>519</v>
      </c>
      <c r="AU3607" t="s">
        <v>114</v>
      </c>
      <c r="AV3607" t="s">
        <v>25335</v>
      </c>
      <c r="AW3607" t="s">
        <v>11447</v>
      </c>
    </row>
    <row r="3608" spans="1:49">
      <c r="A3608" s="1">
        <f>HYPERLINK("https://lsnyc.legalserver.org/matter/dynamic-profile/view/1913540","19-1913540")</f>
        <v>0</v>
      </c>
      <c r="B3608" t="s">
        <v>298</v>
      </c>
      <c r="C3608" t="s">
        <v>477</v>
      </c>
      <c r="E3608" t="s">
        <v>1264</v>
      </c>
      <c r="F3608" t="s">
        <v>5467</v>
      </c>
      <c r="G3608" t="s">
        <v>8991</v>
      </c>
      <c r="I3608" t="s">
        <v>11383</v>
      </c>
      <c r="J3608">
        <v>10466</v>
      </c>
      <c r="K3608" t="s">
        <v>11446</v>
      </c>
      <c r="L3608" t="s">
        <v>13199</v>
      </c>
      <c r="M3608" t="s">
        <v>14743</v>
      </c>
      <c r="N3608" t="s">
        <v>14782</v>
      </c>
      <c r="P3608" t="s">
        <v>14802</v>
      </c>
      <c r="Q3608" t="s">
        <v>11448</v>
      </c>
      <c r="S3608" t="s">
        <v>14827</v>
      </c>
      <c r="V3608">
        <v>600</v>
      </c>
      <c r="W3608" t="s">
        <v>14858</v>
      </c>
      <c r="X3608" t="s">
        <v>14863</v>
      </c>
      <c r="Z3608" t="s">
        <v>17885</v>
      </c>
      <c r="AB3608" t="s">
        <v>22968</v>
      </c>
      <c r="AC3608">
        <v>3</v>
      </c>
      <c r="AD3608" t="s">
        <v>24600</v>
      </c>
      <c r="AE3608" t="s">
        <v>11459</v>
      </c>
      <c r="AF3608">
        <v>10</v>
      </c>
      <c r="AG3608">
        <v>1</v>
      </c>
      <c r="AH3608">
        <v>0</v>
      </c>
      <c r="AI3608">
        <v>140.11</v>
      </c>
      <c r="AL3608" t="s">
        <v>5011</v>
      </c>
      <c r="AM3608">
        <v>17500</v>
      </c>
      <c r="AS3608">
        <v>1.55</v>
      </c>
      <c r="AT3608" t="s">
        <v>654</v>
      </c>
      <c r="AU3608" t="s">
        <v>25252</v>
      </c>
      <c r="AV3608" t="s">
        <v>25335</v>
      </c>
      <c r="AW3608" t="s">
        <v>11447</v>
      </c>
    </row>
    <row r="3609" spans="1:49">
      <c r="A3609" s="1">
        <f>HYPERLINK("https://lsnyc.legalserver.org/matter/dynamic-profile/view/1914064","19-1914064")</f>
        <v>0</v>
      </c>
      <c r="B3609" t="s">
        <v>60</v>
      </c>
      <c r="C3609" t="s">
        <v>580</v>
      </c>
      <c r="E3609" t="s">
        <v>2844</v>
      </c>
      <c r="F3609" t="s">
        <v>3814</v>
      </c>
      <c r="G3609" t="s">
        <v>8992</v>
      </c>
      <c r="H3609" t="s">
        <v>10569</v>
      </c>
      <c r="I3609" t="s">
        <v>11383</v>
      </c>
      <c r="J3609">
        <v>10469</v>
      </c>
      <c r="K3609" t="s">
        <v>11446</v>
      </c>
      <c r="L3609" t="s">
        <v>13200</v>
      </c>
      <c r="M3609" t="s">
        <v>14744</v>
      </c>
      <c r="N3609" t="s">
        <v>14782</v>
      </c>
      <c r="P3609" t="s">
        <v>14802</v>
      </c>
      <c r="Q3609" t="s">
        <v>11448</v>
      </c>
      <c r="S3609" t="s">
        <v>14827</v>
      </c>
      <c r="T3609" t="s">
        <v>14832</v>
      </c>
      <c r="V3609">
        <v>1498</v>
      </c>
      <c r="W3609" t="s">
        <v>14858</v>
      </c>
      <c r="X3609" t="s">
        <v>14863</v>
      </c>
      <c r="Z3609" t="s">
        <v>17413</v>
      </c>
      <c r="AB3609" t="s">
        <v>22969</v>
      </c>
      <c r="AC3609">
        <v>10</v>
      </c>
      <c r="AD3609" t="s">
        <v>24595</v>
      </c>
      <c r="AE3609" t="s">
        <v>11459</v>
      </c>
      <c r="AF3609">
        <v>30</v>
      </c>
      <c r="AG3609">
        <v>2</v>
      </c>
      <c r="AH3609">
        <v>0</v>
      </c>
      <c r="AI3609">
        <v>141.93</v>
      </c>
      <c r="AL3609" t="s">
        <v>5011</v>
      </c>
      <c r="AM3609">
        <v>24000</v>
      </c>
      <c r="AS3609">
        <v>1.5</v>
      </c>
      <c r="AT3609" t="s">
        <v>592</v>
      </c>
      <c r="AU3609" t="s">
        <v>145</v>
      </c>
      <c r="AV3609" t="s">
        <v>25335</v>
      </c>
      <c r="AW3609" t="s">
        <v>11447</v>
      </c>
    </row>
    <row r="3610" spans="1:49">
      <c r="A3610" s="1">
        <f>HYPERLINK("https://lsnyc.legalserver.org/matter/dynamic-profile/view/1914772","19-1914772")</f>
        <v>0</v>
      </c>
      <c r="B3610" t="s">
        <v>256</v>
      </c>
      <c r="C3610" t="s">
        <v>592</v>
      </c>
      <c r="E3610" t="s">
        <v>1043</v>
      </c>
      <c r="F3610" t="s">
        <v>5468</v>
      </c>
      <c r="G3610" t="s">
        <v>8993</v>
      </c>
      <c r="H3610" t="s">
        <v>10481</v>
      </c>
      <c r="I3610" t="s">
        <v>11383</v>
      </c>
      <c r="J3610">
        <v>10466</v>
      </c>
      <c r="K3610" t="s">
        <v>11447</v>
      </c>
      <c r="L3610" t="s">
        <v>13201</v>
      </c>
      <c r="M3610" t="s">
        <v>14750</v>
      </c>
      <c r="N3610" t="s">
        <v>14783</v>
      </c>
      <c r="P3610" t="s">
        <v>14802</v>
      </c>
      <c r="Q3610" t="s">
        <v>11448</v>
      </c>
      <c r="S3610" t="s">
        <v>14828</v>
      </c>
      <c r="V3610">
        <v>1056</v>
      </c>
      <c r="W3610" t="s">
        <v>14858</v>
      </c>
      <c r="Z3610" t="s">
        <v>17886</v>
      </c>
      <c r="AB3610" t="s">
        <v>22970</v>
      </c>
      <c r="AC3610">
        <v>0</v>
      </c>
      <c r="AD3610" t="s">
        <v>24597</v>
      </c>
      <c r="AF3610">
        <v>10</v>
      </c>
      <c r="AG3610">
        <v>2</v>
      </c>
      <c r="AH3610">
        <v>2</v>
      </c>
      <c r="AI3610">
        <v>143.38</v>
      </c>
      <c r="AL3610" t="s">
        <v>24632</v>
      </c>
      <c r="AM3610">
        <v>36920</v>
      </c>
      <c r="AS3610">
        <v>1.3</v>
      </c>
      <c r="AT3610" t="s">
        <v>537</v>
      </c>
      <c r="AU3610" t="s">
        <v>25268</v>
      </c>
      <c r="AW3610" t="s">
        <v>11447</v>
      </c>
    </row>
    <row r="3611" spans="1:49">
      <c r="A3611" s="1">
        <f>HYPERLINK("https://lsnyc.legalserver.org/matter/dynamic-profile/view/1901903","19-1901903")</f>
        <v>0</v>
      </c>
      <c r="B3611" t="s">
        <v>257</v>
      </c>
      <c r="C3611" t="s">
        <v>347</v>
      </c>
      <c r="E3611" t="s">
        <v>2845</v>
      </c>
      <c r="F3611" t="s">
        <v>5469</v>
      </c>
      <c r="G3611" t="s">
        <v>8994</v>
      </c>
      <c r="H3611">
        <v>614</v>
      </c>
      <c r="I3611" t="s">
        <v>11383</v>
      </c>
      <c r="J3611">
        <v>10473</v>
      </c>
      <c r="K3611" t="s">
        <v>11446</v>
      </c>
      <c r="N3611" t="s">
        <v>14778</v>
      </c>
      <c r="P3611" t="s">
        <v>14802</v>
      </c>
      <c r="S3611" t="s">
        <v>14827</v>
      </c>
      <c r="V3611">
        <v>12000</v>
      </c>
      <c r="W3611" t="s">
        <v>14858</v>
      </c>
      <c r="Z3611" t="s">
        <v>17887</v>
      </c>
      <c r="AC3611">
        <v>0</v>
      </c>
      <c r="AF3611">
        <v>3</v>
      </c>
      <c r="AG3611">
        <v>1</v>
      </c>
      <c r="AH3611">
        <v>2</v>
      </c>
      <c r="AI3611">
        <v>150.02</v>
      </c>
      <c r="AL3611" t="s">
        <v>5011</v>
      </c>
      <c r="AM3611">
        <v>32000</v>
      </c>
      <c r="AN3611" t="s">
        <v>24671</v>
      </c>
      <c r="AS3611">
        <v>0.3</v>
      </c>
      <c r="AT3611" t="s">
        <v>498</v>
      </c>
      <c r="AU3611" t="s">
        <v>145</v>
      </c>
      <c r="AV3611" t="s">
        <v>25335</v>
      </c>
      <c r="AW3611" t="s">
        <v>11447</v>
      </c>
    </row>
    <row r="3612" spans="1:49">
      <c r="A3612" s="1">
        <f>HYPERLINK("https://lsnyc.legalserver.org/matter/dynamic-profile/view/1900136","19-1900136")</f>
        <v>0</v>
      </c>
      <c r="B3612" t="s">
        <v>111</v>
      </c>
      <c r="C3612" t="s">
        <v>835</v>
      </c>
      <c r="E3612" t="s">
        <v>1043</v>
      </c>
      <c r="F3612" t="s">
        <v>3563</v>
      </c>
      <c r="G3612" t="s">
        <v>6294</v>
      </c>
      <c r="H3612" t="s">
        <v>10461</v>
      </c>
      <c r="I3612" t="s">
        <v>11383</v>
      </c>
      <c r="J3612">
        <v>10453</v>
      </c>
      <c r="K3612" t="s">
        <v>11448</v>
      </c>
      <c r="L3612" t="s">
        <v>11457</v>
      </c>
      <c r="M3612" t="s">
        <v>14744</v>
      </c>
      <c r="N3612" t="s">
        <v>14778</v>
      </c>
      <c r="P3612" t="s">
        <v>14802</v>
      </c>
      <c r="Q3612" t="s">
        <v>11448</v>
      </c>
      <c r="S3612" t="s">
        <v>14827</v>
      </c>
      <c r="T3612" t="s">
        <v>14832</v>
      </c>
      <c r="V3612">
        <v>0</v>
      </c>
      <c r="W3612" t="s">
        <v>14858</v>
      </c>
      <c r="Z3612" t="s">
        <v>14920</v>
      </c>
      <c r="AB3612" t="s">
        <v>22971</v>
      </c>
      <c r="AC3612">
        <v>45</v>
      </c>
      <c r="AD3612" t="s">
        <v>24596</v>
      </c>
      <c r="AE3612" t="s">
        <v>24610</v>
      </c>
      <c r="AF3612">
        <v>0</v>
      </c>
      <c r="AG3612">
        <v>2</v>
      </c>
      <c r="AH3612">
        <v>1</v>
      </c>
      <c r="AI3612">
        <v>150.02</v>
      </c>
      <c r="AL3612" t="s">
        <v>5011</v>
      </c>
      <c r="AM3612">
        <v>32000</v>
      </c>
      <c r="AS3612">
        <v>3.2</v>
      </c>
      <c r="AT3612" t="s">
        <v>474</v>
      </c>
      <c r="AU3612" t="s">
        <v>145</v>
      </c>
      <c r="AV3612" t="s">
        <v>11459</v>
      </c>
      <c r="AW3612" t="s">
        <v>11447</v>
      </c>
    </row>
    <row r="3613" spans="1:49">
      <c r="A3613" s="1">
        <f>HYPERLINK("https://lsnyc.legalserver.org/matter/dynamic-profile/view/1905340","19-1905340")</f>
        <v>0</v>
      </c>
      <c r="B3613" t="s">
        <v>125</v>
      </c>
      <c r="C3613" t="s">
        <v>619</v>
      </c>
      <c r="E3613" t="s">
        <v>2846</v>
      </c>
      <c r="F3613" t="s">
        <v>4640</v>
      </c>
      <c r="G3613" t="s">
        <v>8995</v>
      </c>
      <c r="H3613" t="s">
        <v>10527</v>
      </c>
      <c r="I3613" t="s">
        <v>11383</v>
      </c>
      <c r="J3613">
        <v>10458</v>
      </c>
      <c r="K3613" t="s">
        <v>11446</v>
      </c>
      <c r="L3613" t="s">
        <v>13202</v>
      </c>
      <c r="M3613" t="s">
        <v>14743</v>
      </c>
      <c r="N3613" t="s">
        <v>14781</v>
      </c>
      <c r="P3613" t="s">
        <v>14802</v>
      </c>
      <c r="S3613" t="s">
        <v>14827</v>
      </c>
      <c r="T3613" t="s">
        <v>14832</v>
      </c>
      <c r="V3613">
        <v>0</v>
      </c>
      <c r="W3613" t="s">
        <v>14858</v>
      </c>
      <c r="Y3613" t="s">
        <v>14890</v>
      </c>
      <c r="Z3613" t="s">
        <v>17888</v>
      </c>
      <c r="AB3613" t="s">
        <v>22972</v>
      </c>
      <c r="AC3613">
        <v>0</v>
      </c>
      <c r="AD3613" t="s">
        <v>24599</v>
      </c>
      <c r="AF3613">
        <v>9</v>
      </c>
      <c r="AG3613">
        <v>2</v>
      </c>
      <c r="AH3613">
        <v>2</v>
      </c>
      <c r="AI3613">
        <v>154.81</v>
      </c>
      <c r="AL3613" t="s">
        <v>5011</v>
      </c>
      <c r="AM3613">
        <v>39864</v>
      </c>
      <c r="AS3613">
        <v>26.1</v>
      </c>
      <c r="AT3613" t="s">
        <v>516</v>
      </c>
      <c r="AU3613" t="s">
        <v>145</v>
      </c>
      <c r="AV3613" t="s">
        <v>25335</v>
      </c>
      <c r="AW3613" t="s">
        <v>11447</v>
      </c>
    </row>
    <row r="3614" spans="1:49">
      <c r="A3614" s="1">
        <f>HYPERLINK("https://lsnyc.legalserver.org/matter/dynamic-profile/view/1909358","19-1909358")</f>
        <v>0</v>
      </c>
      <c r="B3614" t="s">
        <v>157</v>
      </c>
      <c r="C3614" t="s">
        <v>589</v>
      </c>
      <c r="E3614" t="s">
        <v>1224</v>
      </c>
      <c r="F3614" t="s">
        <v>5470</v>
      </c>
      <c r="G3614" t="s">
        <v>8996</v>
      </c>
      <c r="H3614" t="s">
        <v>10451</v>
      </c>
      <c r="I3614" t="s">
        <v>11383</v>
      </c>
      <c r="J3614">
        <v>10467</v>
      </c>
      <c r="K3614" t="s">
        <v>11446</v>
      </c>
      <c r="L3614" t="s">
        <v>13203</v>
      </c>
      <c r="M3614" t="s">
        <v>14744</v>
      </c>
      <c r="P3614" t="s">
        <v>14802</v>
      </c>
      <c r="Q3614" t="s">
        <v>11448</v>
      </c>
      <c r="S3614" t="s">
        <v>14827</v>
      </c>
      <c r="V3614">
        <v>1531</v>
      </c>
      <c r="W3614" t="s">
        <v>14858</v>
      </c>
      <c r="X3614" t="s">
        <v>14863</v>
      </c>
      <c r="Z3614" t="s">
        <v>17889</v>
      </c>
      <c r="AC3614">
        <v>60</v>
      </c>
      <c r="AD3614" t="s">
        <v>24595</v>
      </c>
      <c r="AF3614">
        <v>4</v>
      </c>
      <c r="AG3614">
        <v>2</v>
      </c>
      <c r="AH3614">
        <v>1</v>
      </c>
      <c r="AI3614">
        <v>159.44</v>
      </c>
      <c r="AL3614" t="s">
        <v>24632</v>
      </c>
      <c r="AM3614">
        <v>34008</v>
      </c>
      <c r="AS3614">
        <v>4</v>
      </c>
      <c r="AT3614" t="s">
        <v>574</v>
      </c>
      <c r="AU3614" t="s">
        <v>145</v>
      </c>
      <c r="AV3614" t="s">
        <v>25335</v>
      </c>
      <c r="AW3614" t="s">
        <v>11447</v>
      </c>
    </row>
    <row r="3615" spans="1:49">
      <c r="A3615" s="1">
        <f>HYPERLINK("https://lsnyc.legalserver.org/matter/dynamic-profile/view/1912156","19-1912156")</f>
        <v>0</v>
      </c>
      <c r="B3615" t="s">
        <v>96</v>
      </c>
      <c r="C3615" t="s">
        <v>559</v>
      </c>
      <c r="E3615" t="s">
        <v>1749</v>
      </c>
      <c r="F3615" t="s">
        <v>3571</v>
      </c>
      <c r="G3615" t="s">
        <v>8997</v>
      </c>
      <c r="H3615" t="s">
        <v>10579</v>
      </c>
      <c r="I3615" t="s">
        <v>11383</v>
      </c>
      <c r="J3615">
        <v>10473</v>
      </c>
      <c r="K3615" t="s">
        <v>11446</v>
      </c>
      <c r="L3615" t="s">
        <v>13204</v>
      </c>
      <c r="M3615" t="s">
        <v>14744</v>
      </c>
      <c r="N3615" t="s">
        <v>14781</v>
      </c>
      <c r="P3615" t="s">
        <v>14802</v>
      </c>
      <c r="Q3615" t="s">
        <v>11448</v>
      </c>
      <c r="S3615" t="s">
        <v>14827</v>
      </c>
      <c r="T3615" t="s">
        <v>14837</v>
      </c>
      <c r="V3615">
        <v>1016</v>
      </c>
      <c r="W3615" t="s">
        <v>14858</v>
      </c>
      <c r="Z3615" t="s">
        <v>17890</v>
      </c>
      <c r="AB3615" t="s">
        <v>22973</v>
      </c>
      <c r="AC3615">
        <v>59</v>
      </c>
      <c r="AD3615" t="s">
        <v>24597</v>
      </c>
      <c r="AE3615" t="s">
        <v>11459</v>
      </c>
      <c r="AF3615">
        <v>7</v>
      </c>
      <c r="AG3615">
        <v>2</v>
      </c>
      <c r="AH3615">
        <v>2</v>
      </c>
      <c r="AI3615">
        <v>163.11</v>
      </c>
      <c r="AM3615">
        <v>42000</v>
      </c>
      <c r="AS3615">
        <v>8.300000000000001</v>
      </c>
      <c r="AT3615" t="s">
        <v>495</v>
      </c>
      <c r="AU3615" t="s">
        <v>145</v>
      </c>
      <c r="AV3615" t="s">
        <v>25335</v>
      </c>
      <c r="AW3615" t="s">
        <v>11447</v>
      </c>
    </row>
    <row r="3616" spans="1:49">
      <c r="A3616" s="1">
        <f>HYPERLINK("https://lsnyc.legalserver.org/matter/dynamic-profile/view/1914487","19-1914487")</f>
        <v>0</v>
      </c>
      <c r="B3616" t="s">
        <v>306</v>
      </c>
      <c r="C3616" t="s">
        <v>478</v>
      </c>
      <c r="E3616" t="s">
        <v>2847</v>
      </c>
      <c r="F3616" t="s">
        <v>1036</v>
      </c>
      <c r="G3616" t="s">
        <v>8998</v>
      </c>
      <c r="H3616" t="s">
        <v>10524</v>
      </c>
      <c r="I3616" t="s">
        <v>11383</v>
      </c>
      <c r="J3616">
        <v>10454</v>
      </c>
      <c r="K3616" t="s">
        <v>11446</v>
      </c>
      <c r="L3616" t="s">
        <v>13205</v>
      </c>
      <c r="M3616" t="s">
        <v>14744</v>
      </c>
      <c r="N3616" t="s">
        <v>14782</v>
      </c>
      <c r="P3616" t="s">
        <v>14802</v>
      </c>
      <c r="Q3616" t="s">
        <v>11448</v>
      </c>
      <c r="S3616" t="s">
        <v>14827</v>
      </c>
      <c r="T3616" t="s">
        <v>14837</v>
      </c>
      <c r="V3616">
        <v>1650</v>
      </c>
      <c r="W3616" t="s">
        <v>14858</v>
      </c>
      <c r="X3616" t="s">
        <v>14863</v>
      </c>
      <c r="Z3616" t="s">
        <v>17891</v>
      </c>
      <c r="AC3616">
        <v>53</v>
      </c>
      <c r="AD3616" t="s">
        <v>24606</v>
      </c>
      <c r="AE3616" t="s">
        <v>24610</v>
      </c>
      <c r="AF3616">
        <v>18</v>
      </c>
      <c r="AG3616">
        <v>1</v>
      </c>
      <c r="AH3616">
        <v>0</v>
      </c>
      <c r="AI3616">
        <v>164.04</v>
      </c>
      <c r="AL3616" t="s">
        <v>5011</v>
      </c>
      <c r="AM3616">
        <v>20488</v>
      </c>
      <c r="AS3616">
        <v>1.5</v>
      </c>
      <c r="AT3616" t="s">
        <v>521</v>
      </c>
      <c r="AU3616" t="s">
        <v>145</v>
      </c>
      <c r="AV3616" t="s">
        <v>25335</v>
      </c>
      <c r="AW3616" t="s">
        <v>11447</v>
      </c>
    </row>
    <row r="3617" spans="1:49">
      <c r="A3617" s="1">
        <f>HYPERLINK("https://lsnyc.legalserver.org/matter/dynamic-profile/view/1890566","19-1890566")</f>
        <v>0</v>
      </c>
      <c r="B3617" t="s">
        <v>115</v>
      </c>
      <c r="C3617" t="s">
        <v>748</v>
      </c>
      <c r="E3617" t="s">
        <v>1316</v>
      </c>
      <c r="F3617" t="s">
        <v>3682</v>
      </c>
      <c r="G3617" t="s">
        <v>8930</v>
      </c>
      <c r="H3617" t="s">
        <v>11157</v>
      </c>
      <c r="I3617" t="s">
        <v>11383</v>
      </c>
      <c r="J3617">
        <v>10451</v>
      </c>
      <c r="K3617" t="s">
        <v>11448</v>
      </c>
      <c r="L3617" t="s">
        <v>13206</v>
      </c>
      <c r="M3617" t="s">
        <v>14743</v>
      </c>
      <c r="N3617" t="s">
        <v>14781</v>
      </c>
      <c r="P3617" t="s">
        <v>14802</v>
      </c>
      <c r="Q3617" t="s">
        <v>11448</v>
      </c>
      <c r="S3617" t="s">
        <v>14827</v>
      </c>
      <c r="T3617" t="s">
        <v>14832</v>
      </c>
      <c r="V3617">
        <v>1110.56</v>
      </c>
      <c r="W3617" t="s">
        <v>14858</v>
      </c>
      <c r="Z3617" t="s">
        <v>17892</v>
      </c>
      <c r="AB3617" t="s">
        <v>22974</v>
      </c>
      <c r="AC3617">
        <v>85</v>
      </c>
      <c r="AF3617">
        <v>9</v>
      </c>
      <c r="AG3617">
        <v>3</v>
      </c>
      <c r="AH3617">
        <v>1</v>
      </c>
      <c r="AI3617">
        <v>167.77</v>
      </c>
      <c r="AL3617" t="s">
        <v>24632</v>
      </c>
      <c r="AM3617">
        <v>43200</v>
      </c>
      <c r="AN3617" t="s">
        <v>24879</v>
      </c>
      <c r="AS3617">
        <v>27.25</v>
      </c>
      <c r="AT3617" t="s">
        <v>533</v>
      </c>
      <c r="AU3617" t="s">
        <v>25251</v>
      </c>
      <c r="AV3617" t="s">
        <v>25335</v>
      </c>
      <c r="AW3617" t="s">
        <v>11446</v>
      </c>
    </row>
    <row r="3618" spans="1:49">
      <c r="A3618" s="1">
        <f>HYPERLINK("https://lsnyc.legalserver.org/matter/dynamic-profile/view/1913857","19-1913857")</f>
        <v>0</v>
      </c>
      <c r="B3618" t="s">
        <v>82</v>
      </c>
      <c r="C3618" t="s">
        <v>533</v>
      </c>
      <c r="E3618" t="s">
        <v>1425</v>
      </c>
      <c r="F3618" t="s">
        <v>3622</v>
      </c>
      <c r="G3618" t="s">
        <v>8999</v>
      </c>
      <c r="H3618" t="s">
        <v>10552</v>
      </c>
      <c r="I3618" t="s">
        <v>11383</v>
      </c>
      <c r="J3618">
        <v>10456</v>
      </c>
      <c r="K3618" t="s">
        <v>11446</v>
      </c>
      <c r="L3618" t="s">
        <v>13207</v>
      </c>
      <c r="M3618" t="s">
        <v>14743</v>
      </c>
      <c r="N3618" t="s">
        <v>14782</v>
      </c>
      <c r="P3618" t="s">
        <v>14802</v>
      </c>
      <c r="Q3618" t="s">
        <v>11448</v>
      </c>
      <c r="S3618" t="s">
        <v>14827</v>
      </c>
      <c r="T3618" t="s">
        <v>14832</v>
      </c>
      <c r="V3618">
        <v>0</v>
      </c>
      <c r="W3618" t="s">
        <v>14858</v>
      </c>
      <c r="X3618" t="s">
        <v>14863</v>
      </c>
      <c r="Z3618" t="s">
        <v>17893</v>
      </c>
      <c r="AB3618" t="s">
        <v>22975</v>
      </c>
      <c r="AC3618">
        <v>43</v>
      </c>
      <c r="AD3618" t="s">
        <v>24595</v>
      </c>
      <c r="AF3618">
        <v>25</v>
      </c>
      <c r="AG3618">
        <v>4</v>
      </c>
      <c r="AH3618">
        <v>0</v>
      </c>
      <c r="AI3618">
        <v>174.76</v>
      </c>
      <c r="AL3618" t="s">
        <v>24632</v>
      </c>
      <c r="AM3618">
        <v>45000</v>
      </c>
      <c r="AS3618">
        <v>1.7</v>
      </c>
      <c r="AT3618" t="s">
        <v>491</v>
      </c>
      <c r="AU3618" t="s">
        <v>145</v>
      </c>
      <c r="AV3618" t="s">
        <v>25335</v>
      </c>
      <c r="AW3618" t="s">
        <v>11447</v>
      </c>
    </row>
    <row r="3619" spans="1:49">
      <c r="A3619" s="1">
        <f>HYPERLINK("https://lsnyc.legalserver.org/matter/dynamic-profile/view/1915120","19-1915120")</f>
        <v>0</v>
      </c>
      <c r="B3619" t="s">
        <v>81</v>
      </c>
      <c r="C3619" t="s">
        <v>516</v>
      </c>
      <c r="E3619" t="s">
        <v>1087</v>
      </c>
      <c r="F3619" t="s">
        <v>3859</v>
      </c>
      <c r="G3619" t="s">
        <v>6567</v>
      </c>
      <c r="H3619" t="s">
        <v>10661</v>
      </c>
      <c r="I3619" t="s">
        <v>11383</v>
      </c>
      <c r="J3619">
        <v>10453</v>
      </c>
      <c r="K3619" t="s">
        <v>11446</v>
      </c>
      <c r="L3619" t="s">
        <v>13208</v>
      </c>
      <c r="M3619" t="s">
        <v>14744</v>
      </c>
      <c r="N3619" t="s">
        <v>14778</v>
      </c>
      <c r="P3619" t="s">
        <v>14802</v>
      </c>
      <c r="Q3619" t="s">
        <v>11448</v>
      </c>
      <c r="S3619" t="s">
        <v>14827</v>
      </c>
      <c r="T3619" t="s">
        <v>14834</v>
      </c>
      <c r="V3619">
        <v>1166</v>
      </c>
      <c r="W3619" t="s">
        <v>14858</v>
      </c>
      <c r="X3619" t="s">
        <v>14863</v>
      </c>
      <c r="Z3619" t="s">
        <v>15127</v>
      </c>
      <c r="AC3619">
        <v>66</v>
      </c>
      <c r="AD3619" t="s">
        <v>24595</v>
      </c>
      <c r="AF3619">
        <v>6</v>
      </c>
      <c r="AG3619">
        <v>2</v>
      </c>
      <c r="AH3619">
        <v>2</v>
      </c>
      <c r="AI3619">
        <v>175.16</v>
      </c>
      <c r="AL3619" t="s">
        <v>5011</v>
      </c>
      <c r="AM3619">
        <v>45104</v>
      </c>
      <c r="AS3619">
        <v>0</v>
      </c>
      <c r="AU3619" t="s">
        <v>145</v>
      </c>
      <c r="AV3619" t="s">
        <v>25335</v>
      </c>
      <c r="AW3619" t="s">
        <v>11447</v>
      </c>
    </row>
    <row r="3620" spans="1:49">
      <c r="A3620" s="1">
        <f>HYPERLINK("https://lsnyc.legalserver.org/matter/dynamic-profile/view/1912445","19-1912445")</f>
        <v>0</v>
      </c>
      <c r="B3620" t="s">
        <v>306</v>
      </c>
      <c r="C3620" t="s">
        <v>489</v>
      </c>
      <c r="E3620" t="s">
        <v>2848</v>
      </c>
      <c r="F3620" t="s">
        <v>5471</v>
      </c>
      <c r="G3620" t="s">
        <v>9000</v>
      </c>
      <c r="H3620" t="s">
        <v>10527</v>
      </c>
      <c r="I3620" t="s">
        <v>11383</v>
      </c>
      <c r="J3620">
        <v>10453</v>
      </c>
      <c r="K3620" t="s">
        <v>11446</v>
      </c>
      <c r="L3620" t="s">
        <v>13209</v>
      </c>
      <c r="M3620" t="s">
        <v>14744</v>
      </c>
      <c r="N3620" t="s">
        <v>14778</v>
      </c>
      <c r="P3620" t="s">
        <v>14802</v>
      </c>
      <c r="Q3620" t="s">
        <v>11448</v>
      </c>
      <c r="S3620" t="s">
        <v>14827</v>
      </c>
      <c r="T3620" t="s">
        <v>14832</v>
      </c>
      <c r="V3620">
        <v>1300</v>
      </c>
      <c r="W3620" t="s">
        <v>14858</v>
      </c>
      <c r="X3620" t="s">
        <v>14863</v>
      </c>
      <c r="Z3620" t="s">
        <v>17894</v>
      </c>
      <c r="AB3620" t="s">
        <v>22976</v>
      </c>
      <c r="AC3620">
        <v>0</v>
      </c>
      <c r="AF3620">
        <v>0</v>
      </c>
      <c r="AG3620">
        <v>1</v>
      </c>
      <c r="AH3620">
        <v>0</v>
      </c>
      <c r="AI3620">
        <v>179.02</v>
      </c>
      <c r="AL3620" t="s">
        <v>24632</v>
      </c>
      <c r="AM3620">
        <v>22360</v>
      </c>
      <c r="AS3620">
        <v>14.4</v>
      </c>
      <c r="AT3620" t="s">
        <v>509</v>
      </c>
      <c r="AU3620" t="s">
        <v>145</v>
      </c>
      <c r="AV3620" t="s">
        <v>25335</v>
      </c>
      <c r="AW3620" t="s">
        <v>11447</v>
      </c>
    </row>
    <row r="3621" spans="1:49">
      <c r="A3621" s="1">
        <f>HYPERLINK("https://lsnyc.legalserver.org/matter/dynamic-profile/view/1911137","19-1911137")</f>
        <v>0</v>
      </c>
      <c r="B3621" t="s">
        <v>272</v>
      </c>
      <c r="C3621" t="s">
        <v>475</v>
      </c>
      <c r="E3621" t="s">
        <v>2849</v>
      </c>
      <c r="F3621" t="s">
        <v>5472</v>
      </c>
      <c r="G3621" t="s">
        <v>9001</v>
      </c>
      <c r="H3621">
        <v>26</v>
      </c>
      <c r="I3621" t="s">
        <v>11383</v>
      </c>
      <c r="J3621">
        <v>10452</v>
      </c>
      <c r="K3621" t="s">
        <v>11446</v>
      </c>
      <c r="L3621" t="s">
        <v>13210</v>
      </c>
      <c r="M3621" t="s">
        <v>14743</v>
      </c>
      <c r="N3621" t="s">
        <v>14782</v>
      </c>
      <c r="P3621" t="s">
        <v>14802</v>
      </c>
      <c r="Q3621" t="s">
        <v>11448</v>
      </c>
      <c r="S3621" t="s">
        <v>14827</v>
      </c>
      <c r="T3621" t="s">
        <v>14832</v>
      </c>
      <c r="V3621">
        <v>1600</v>
      </c>
      <c r="W3621" t="s">
        <v>14858</v>
      </c>
      <c r="X3621" t="s">
        <v>14863</v>
      </c>
      <c r="Z3621" t="s">
        <v>17895</v>
      </c>
      <c r="AB3621" t="s">
        <v>22977</v>
      </c>
      <c r="AC3621">
        <v>32</v>
      </c>
      <c r="AD3621" t="s">
        <v>24606</v>
      </c>
      <c r="AF3621">
        <v>11</v>
      </c>
      <c r="AG3621">
        <v>1</v>
      </c>
      <c r="AH3621">
        <v>0</v>
      </c>
      <c r="AI3621">
        <v>198.17</v>
      </c>
      <c r="AL3621" t="s">
        <v>5011</v>
      </c>
      <c r="AM3621">
        <v>24752</v>
      </c>
      <c r="AS3621">
        <v>1.4</v>
      </c>
      <c r="AT3621" t="s">
        <v>491</v>
      </c>
      <c r="AU3621" t="s">
        <v>145</v>
      </c>
      <c r="AV3621" t="s">
        <v>25335</v>
      </c>
      <c r="AW3621" t="s">
        <v>11447</v>
      </c>
    </row>
    <row r="3622" spans="1:49">
      <c r="A3622" s="1">
        <f>HYPERLINK("https://lsnyc.legalserver.org/matter/dynamic-profile/view/1913228","19-1913228")</f>
        <v>0</v>
      </c>
      <c r="B3622" t="s">
        <v>73</v>
      </c>
      <c r="C3622" t="s">
        <v>515</v>
      </c>
      <c r="E3622" t="s">
        <v>1272</v>
      </c>
      <c r="F3622" t="s">
        <v>5473</v>
      </c>
      <c r="G3622" t="s">
        <v>7794</v>
      </c>
      <c r="H3622" t="s">
        <v>10971</v>
      </c>
      <c r="I3622" t="s">
        <v>11383</v>
      </c>
      <c r="J3622">
        <v>10451</v>
      </c>
      <c r="K3622" t="s">
        <v>11447</v>
      </c>
      <c r="M3622" t="s">
        <v>11601</v>
      </c>
      <c r="N3622" t="s">
        <v>14778</v>
      </c>
      <c r="P3622" t="s">
        <v>14802</v>
      </c>
      <c r="S3622" t="s">
        <v>14827</v>
      </c>
      <c r="V3622">
        <v>1400</v>
      </c>
      <c r="W3622" t="s">
        <v>14858</v>
      </c>
      <c r="X3622" t="s">
        <v>14868</v>
      </c>
      <c r="Z3622" t="s">
        <v>17896</v>
      </c>
      <c r="AB3622" t="s">
        <v>22978</v>
      </c>
      <c r="AC3622">
        <v>150</v>
      </c>
      <c r="AD3622" t="s">
        <v>11479</v>
      </c>
      <c r="AE3622" t="s">
        <v>24613</v>
      </c>
      <c r="AF3622">
        <v>30</v>
      </c>
      <c r="AG3622">
        <v>1</v>
      </c>
      <c r="AH3622">
        <v>0</v>
      </c>
      <c r="AI3622">
        <v>200.16</v>
      </c>
      <c r="AL3622" t="s">
        <v>5011</v>
      </c>
      <c r="AM3622">
        <v>25000</v>
      </c>
      <c r="AS3622">
        <v>0.8</v>
      </c>
      <c r="AT3622" t="s">
        <v>484</v>
      </c>
      <c r="AU3622" t="s">
        <v>25244</v>
      </c>
      <c r="AW3622" t="s">
        <v>11447</v>
      </c>
    </row>
    <row r="3623" spans="1:49">
      <c r="A3623" s="1">
        <f>HYPERLINK("https://lsnyc.legalserver.org/matter/dynamic-profile/view/1906331","19-1906331")</f>
        <v>0</v>
      </c>
      <c r="B3623" t="s">
        <v>299</v>
      </c>
      <c r="C3623" t="s">
        <v>355</v>
      </c>
      <c r="E3623" t="s">
        <v>2573</v>
      </c>
      <c r="F3623" t="s">
        <v>5474</v>
      </c>
      <c r="G3623" t="s">
        <v>9002</v>
      </c>
      <c r="H3623" t="s">
        <v>10568</v>
      </c>
      <c r="I3623" t="s">
        <v>11383</v>
      </c>
      <c r="J3623">
        <v>10462</v>
      </c>
      <c r="K3623" t="s">
        <v>11446</v>
      </c>
      <c r="L3623" t="s">
        <v>13211</v>
      </c>
      <c r="M3623" t="s">
        <v>14743</v>
      </c>
      <c r="N3623" t="s">
        <v>14781</v>
      </c>
      <c r="P3623" t="s">
        <v>14802</v>
      </c>
      <c r="Q3623" t="s">
        <v>11448</v>
      </c>
      <c r="S3623" t="s">
        <v>14827</v>
      </c>
      <c r="V3623">
        <v>1196.54</v>
      </c>
      <c r="W3623" t="s">
        <v>14858</v>
      </c>
      <c r="X3623" t="s">
        <v>14863</v>
      </c>
      <c r="Z3623" t="s">
        <v>17897</v>
      </c>
      <c r="AB3623" t="s">
        <v>22979</v>
      </c>
      <c r="AC3623">
        <v>3857</v>
      </c>
      <c r="AD3623" t="s">
        <v>24600</v>
      </c>
      <c r="AE3623" t="s">
        <v>11459</v>
      </c>
      <c r="AF3623">
        <v>12</v>
      </c>
      <c r="AG3623">
        <v>1</v>
      </c>
      <c r="AH3623">
        <v>0</v>
      </c>
      <c r="AI3623">
        <v>201.67</v>
      </c>
      <c r="AL3623" t="s">
        <v>5011</v>
      </c>
      <c r="AM3623">
        <v>25188</v>
      </c>
      <c r="AN3623" t="s">
        <v>24880</v>
      </c>
      <c r="AS3623">
        <v>36.35</v>
      </c>
      <c r="AT3623" t="s">
        <v>490</v>
      </c>
      <c r="AU3623" t="s">
        <v>245</v>
      </c>
      <c r="AW3623" t="s">
        <v>11447</v>
      </c>
    </row>
    <row r="3624" spans="1:49">
      <c r="A3624" s="1">
        <f>HYPERLINK("https://lsnyc.legalserver.org/matter/dynamic-profile/view/1902297","19-1902297")</f>
        <v>0</v>
      </c>
      <c r="B3624" t="s">
        <v>96</v>
      </c>
      <c r="C3624" t="s">
        <v>362</v>
      </c>
      <c r="E3624" t="s">
        <v>1901</v>
      </c>
      <c r="F3624" t="s">
        <v>4252</v>
      </c>
      <c r="G3624" t="s">
        <v>9003</v>
      </c>
      <c r="H3624" t="s">
        <v>10474</v>
      </c>
      <c r="I3624" t="s">
        <v>11383</v>
      </c>
      <c r="J3624">
        <v>10461</v>
      </c>
      <c r="K3624" t="s">
        <v>11448</v>
      </c>
      <c r="N3624" t="s">
        <v>14783</v>
      </c>
      <c r="P3624" t="s">
        <v>14802</v>
      </c>
      <c r="Q3624" t="s">
        <v>11448</v>
      </c>
      <c r="S3624" t="s">
        <v>14827</v>
      </c>
      <c r="V3624">
        <v>1500</v>
      </c>
      <c r="W3624" t="s">
        <v>14858</v>
      </c>
      <c r="X3624" t="s">
        <v>14871</v>
      </c>
      <c r="Z3624" t="s">
        <v>17898</v>
      </c>
      <c r="AA3624" t="s">
        <v>19770</v>
      </c>
      <c r="AB3624" t="s">
        <v>22980</v>
      </c>
      <c r="AC3624">
        <v>125</v>
      </c>
      <c r="AD3624" t="s">
        <v>24595</v>
      </c>
      <c r="AE3624" t="s">
        <v>11459</v>
      </c>
      <c r="AF3624">
        <v>10</v>
      </c>
      <c r="AG3624">
        <v>2</v>
      </c>
      <c r="AH3624">
        <v>1</v>
      </c>
      <c r="AI3624">
        <v>210.97</v>
      </c>
      <c r="AL3624" t="s">
        <v>5011</v>
      </c>
      <c r="AM3624">
        <v>45000</v>
      </c>
      <c r="AN3624" t="s">
        <v>24881</v>
      </c>
      <c r="AS3624">
        <v>1</v>
      </c>
      <c r="AT3624" t="s">
        <v>489</v>
      </c>
      <c r="AU3624" t="s">
        <v>25268</v>
      </c>
      <c r="AV3624" t="s">
        <v>25334</v>
      </c>
      <c r="AW3624" t="s">
        <v>11447</v>
      </c>
    </row>
    <row r="3625" spans="1:49">
      <c r="A3625" s="1">
        <f>HYPERLINK("https://lsnyc.legalserver.org/matter/dynamic-profile/view/1911122","19-1911122")</f>
        <v>0</v>
      </c>
      <c r="B3625" t="s">
        <v>82</v>
      </c>
      <c r="C3625" t="s">
        <v>475</v>
      </c>
      <c r="E3625" t="s">
        <v>2850</v>
      </c>
      <c r="F3625" t="s">
        <v>5475</v>
      </c>
      <c r="G3625" t="s">
        <v>9004</v>
      </c>
      <c r="H3625" t="s">
        <v>10579</v>
      </c>
      <c r="I3625" t="s">
        <v>11383</v>
      </c>
      <c r="J3625">
        <v>10456</v>
      </c>
      <c r="K3625" t="s">
        <v>11447</v>
      </c>
      <c r="L3625" t="s">
        <v>13212</v>
      </c>
      <c r="M3625" t="s">
        <v>14744</v>
      </c>
      <c r="N3625" t="s">
        <v>14779</v>
      </c>
      <c r="P3625" t="s">
        <v>14802</v>
      </c>
      <c r="S3625" t="s">
        <v>14827</v>
      </c>
      <c r="V3625">
        <v>1276</v>
      </c>
      <c r="W3625" t="s">
        <v>14858</v>
      </c>
      <c r="X3625" t="s">
        <v>14873</v>
      </c>
      <c r="Z3625" t="s">
        <v>17899</v>
      </c>
      <c r="AB3625" t="s">
        <v>22981</v>
      </c>
      <c r="AC3625">
        <v>0</v>
      </c>
      <c r="AF3625">
        <v>8</v>
      </c>
      <c r="AG3625">
        <v>2</v>
      </c>
      <c r="AH3625">
        <v>1</v>
      </c>
      <c r="AI3625">
        <v>218.26</v>
      </c>
      <c r="AL3625" t="s">
        <v>24632</v>
      </c>
      <c r="AM3625">
        <v>46554.88</v>
      </c>
      <c r="AN3625" t="s">
        <v>24882</v>
      </c>
      <c r="AS3625">
        <v>4.05</v>
      </c>
      <c r="AT3625" t="s">
        <v>489</v>
      </c>
      <c r="AU3625" t="s">
        <v>25311</v>
      </c>
      <c r="AV3625" t="s">
        <v>25335</v>
      </c>
      <c r="AW3625" t="s">
        <v>11447</v>
      </c>
    </row>
    <row r="3626" spans="1:49">
      <c r="A3626" s="1">
        <f>HYPERLINK("https://lsnyc.legalserver.org/matter/dynamic-profile/view/1906537","19-1906537")</f>
        <v>0</v>
      </c>
      <c r="B3626" t="s">
        <v>82</v>
      </c>
      <c r="C3626" t="s">
        <v>380</v>
      </c>
      <c r="E3626" t="s">
        <v>1069</v>
      </c>
      <c r="F3626" t="s">
        <v>4776</v>
      </c>
      <c r="G3626" t="s">
        <v>9005</v>
      </c>
      <c r="H3626" t="s">
        <v>10471</v>
      </c>
      <c r="I3626" t="s">
        <v>11383</v>
      </c>
      <c r="J3626">
        <v>10451</v>
      </c>
      <c r="K3626" t="s">
        <v>11446</v>
      </c>
      <c r="L3626" t="s">
        <v>13213</v>
      </c>
      <c r="M3626" t="s">
        <v>14743</v>
      </c>
      <c r="P3626" t="s">
        <v>14802</v>
      </c>
      <c r="Q3626" t="s">
        <v>11448</v>
      </c>
      <c r="S3626" t="s">
        <v>14827</v>
      </c>
      <c r="T3626" t="s">
        <v>14835</v>
      </c>
      <c r="V3626">
        <v>1283</v>
      </c>
      <c r="W3626" t="s">
        <v>14858</v>
      </c>
      <c r="X3626" t="s">
        <v>14863</v>
      </c>
      <c r="Z3626" t="s">
        <v>17900</v>
      </c>
      <c r="AB3626" t="s">
        <v>22982</v>
      </c>
      <c r="AC3626">
        <v>56</v>
      </c>
      <c r="AD3626" t="s">
        <v>24595</v>
      </c>
      <c r="AE3626" t="s">
        <v>24616</v>
      </c>
      <c r="AF3626">
        <v>18</v>
      </c>
      <c r="AG3626">
        <v>4</v>
      </c>
      <c r="AH3626">
        <v>0</v>
      </c>
      <c r="AI3626">
        <v>222.14</v>
      </c>
      <c r="AL3626" t="s">
        <v>24632</v>
      </c>
      <c r="AM3626">
        <v>57200</v>
      </c>
      <c r="AS3626">
        <v>3.9</v>
      </c>
      <c r="AT3626" t="s">
        <v>521</v>
      </c>
      <c r="AU3626" t="s">
        <v>145</v>
      </c>
      <c r="AV3626" t="s">
        <v>25335</v>
      </c>
      <c r="AW3626" t="s">
        <v>11447</v>
      </c>
    </row>
    <row r="3627" spans="1:49">
      <c r="A3627" s="1">
        <f>HYPERLINK("https://lsnyc.legalserver.org/matter/dynamic-profile/view/1892722","19-1892722")</f>
        <v>0</v>
      </c>
      <c r="B3627" t="s">
        <v>142</v>
      </c>
      <c r="C3627" t="s">
        <v>702</v>
      </c>
      <c r="E3627" t="s">
        <v>2851</v>
      </c>
      <c r="F3627" t="s">
        <v>5476</v>
      </c>
      <c r="G3627" t="s">
        <v>9006</v>
      </c>
      <c r="H3627">
        <v>2</v>
      </c>
      <c r="I3627" t="s">
        <v>11383</v>
      </c>
      <c r="J3627">
        <v>10469</v>
      </c>
      <c r="K3627" t="s">
        <v>11446</v>
      </c>
      <c r="L3627" t="s">
        <v>13214</v>
      </c>
      <c r="M3627" t="s">
        <v>14743</v>
      </c>
      <c r="N3627" t="s">
        <v>14778</v>
      </c>
      <c r="P3627" t="s">
        <v>14802</v>
      </c>
      <c r="Q3627" t="s">
        <v>11448</v>
      </c>
      <c r="S3627" t="s">
        <v>14827</v>
      </c>
      <c r="V3627">
        <v>758.1</v>
      </c>
      <c r="W3627" t="s">
        <v>14858</v>
      </c>
      <c r="X3627" t="s">
        <v>14863</v>
      </c>
      <c r="Z3627" t="s">
        <v>17901</v>
      </c>
      <c r="AC3627">
        <v>3</v>
      </c>
      <c r="AD3627" t="s">
        <v>24600</v>
      </c>
      <c r="AE3627" t="s">
        <v>24617</v>
      </c>
      <c r="AF3627">
        <v>1</v>
      </c>
      <c r="AG3627">
        <v>2</v>
      </c>
      <c r="AH3627">
        <v>0</v>
      </c>
      <c r="AI3627">
        <v>223.54</v>
      </c>
      <c r="AL3627" t="s">
        <v>5011</v>
      </c>
      <c r="AM3627">
        <v>37800</v>
      </c>
      <c r="AN3627" t="s">
        <v>24883</v>
      </c>
      <c r="AS3627">
        <v>5.5</v>
      </c>
      <c r="AT3627" t="s">
        <v>594</v>
      </c>
      <c r="AU3627" t="s">
        <v>25251</v>
      </c>
      <c r="AW3627" t="s">
        <v>11446</v>
      </c>
    </row>
    <row r="3628" spans="1:49">
      <c r="A3628" s="1">
        <f>HYPERLINK("https://lsnyc.legalserver.org/matter/dynamic-profile/view/1907107","19-1907107")</f>
        <v>0</v>
      </c>
      <c r="B3628" t="s">
        <v>60</v>
      </c>
      <c r="C3628" t="s">
        <v>626</v>
      </c>
      <c r="E3628" t="s">
        <v>2852</v>
      </c>
      <c r="F3628" t="s">
        <v>3662</v>
      </c>
      <c r="G3628" t="s">
        <v>9007</v>
      </c>
      <c r="H3628" t="s">
        <v>11158</v>
      </c>
      <c r="I3628" t="s">
        <v>11383</v>
      </c>
      <c r="J3628">
        <v>10453</v>
      </c>
      <c r="K3628" t="s">
        <v>11446</v>
      </c>
      <c r="L3628" t="s">
        <v>13215</v>
      </c>
      <c r="M3628" t="s">
        <v>14770</v>
      </c>
      <c r="N3628" t="s">
        <v>14781</v>
      </c>
      <c r="P3628" t="s">
        <v>14802</v>
      </c>
      <c r="Q3628" t="s">
        <v>11448</v>
      </c>
      <c r="S3628" t="s">
        <v>14827</v>
      </c>
      <c r="T3628" t="s">
        <v>14832</v>
      </c>
      <c r="V3628">
        <v>1181.16</v>
      </c>
      <c r="W3628" t="s">
        <v>14858</v>
      </c>
      <c r="X3628" t="s">
        <v>14867</v>
      </c>
      <c r="Z3628" t="s">
        <v>17902</v>
      </c>
      <c r="AB3628" t="s">
        <v>22983</v>
      </c>
      <c r="AC3628">
        <v>42</v>
      </c>
      <c r="AD3628" t="s">
        <v>24595</v>
      </c>
      <c r="AE3628" t="s">
        <v>11459</v>
      </c>
      <c r="AF3628">
        <v>20</v>
      </c>
      <c r="AG3628">
        <v>4</v>
      </c>
      <c r="AH3628">
        <v>1</v>
      </c>
      <c r="AI3628">
        <v>232.68</v>
      </c>
      <c r="AJ3628" t="s">
        <v>489</v>
      </c>
      <c r="AK3628" t="s">
        <v>24629</v>
      </c>
      <c r="AL3628" t="s">
        <v>5011</v>
      </c>
      <c r="AM3628">
        <v>70200</v>
      </c>
      <c r="AN3628" t="s">
        <v>24884</v>
      </c>
      <c r="AS3628">
        <v>56.2</v>
      </c>
      <c r="AT3628" t="s">
        <v>521</v>
      </c>
      <c r="AU3628" t="s">
        <v>25232</v>
      </c>
      <c r="AV3628" t="s">
        <v>25335</v>
      </c>
      <c r="AW3628" t="s">
        <v>11447</v>
      </c>
    </row>
    <row r="3629" spans="1:49">
      <c r="A3629" s="1">
        <f>HYPERLINK("https://lsnyc.legalserver.org/matter/dynamic-profile/view/1907467","19-1907467")</f>
        <v>0</v>
      </c>
      <c r="B3629" t="s">
        <v>80</v>
      </c>
      <c r="C3629" t="s">
        <v>465</v>
      </c>
      <c r="E3629" t="s">
        <v>1856</v>
      </c>
      <c r="F3629" t="s">
        <v>3654</v>
      </c>
      <c r="G3629" t="s">
        <v>9008</v>
      </c>
      <c r="H3629" t="s">
        <v>11159</v>
      </c>
      <c r="I3629" t="s">
        <v>11383</v>
      </c>
      <c r="J3629">
        <v>10458</v>
      </c>
      <c r="K3629" t="s">
        <v>11447</v>
      </c>
      <c r="L3629" t="s">
        <v>13216</v>
      </c>
      <c r="M3629" t="s">
        <v>14744</v>
      </c>
      <c r="N3629" t="s">
        <v>14781</v>
      </c>
      <c r="P3629" t="s">
        <v>14802</v>
      </c>
      <c r="Q3629" t="s">
        <v>11448</v>
      </c>
      <c r="S3629" t="s">
        <v>14827</v>
      </c>
      <c r="V3629">
        <v>1300</v>
      </c>
      <c r="W3629" t="s">
        <v>14858</v>
      </c>
      <c r="X3629" t="s">
        <v>14867</v>
      </c>
      <c r="Z3629" t="s">
        <v>17903</v>
      </c>
      <c r="AB3629" t="s">
        <v>22984</v>
      </c>
      <c r="AC3629">
        <v>60</v>
      </c>
      <c r="AD3629" t="s">
        <v>24595</v>
      </c>
      <c r="AF3629">
        <v>3</v>
      </c>
      <c r="AG3629">
        <v>1</v>
      </c>
      <c r="AH3629">
        <v>0</v>
      </c>
      <c r="AI3629">
        <v>288.23</v>
      </c>
      <c r="AL3629" t="s">
        <v>5011</v>
      </c>
      <c r="AM3629">
        <v>36000</v>
      </c>
      <c r="AN3629" t="s">
        <v>24747</v>
      </c>
      <c r="AS3629">
        <v>3.15</v>
      </c>
      <c r="AT3629" t="s">
        <v>475</v>
      </c>
      <c r="AU3629" t="s">
        <v>25229</v>
      </c>
      <c r="AW3629" t="s">
        <v>11447</v>
      </c>
    </row>
    <row r="3630" spans="1:49">
      <c r="A3630" s="1">
        <f>HYPERLINK("https://lsnyc.legalserver.org/matter/dynamic-profile/view/1902055","19-1902055")</f>
        <v>0</v>
      </c>
      <c r="B3630" t="s">
        <v>89</v>
      </c>
      <c r="C3630" t="s">
        <v>349</v>
      </c>
      <c r="E3630" t="s">
        <v>1404</v>
      </c>
      <c r="F3630" t="s">
        <v>1210</v>
      </c>
      <c r="G3630" t="s">
        <v>9009</v>
      </c>
      <c r="H3630" t="s">
        <v>10736</v>
      </c>
      <c r="I3630" t="s">
        <v>11383</v>
      </c>
      <c r="J3630">
        <v>10472</v>
      </c>
      <c r="K3630" t="s">
        <v>11448</v>
      </c>
      <c r="L3630" t="s">
        <v>13217</v>
      </c>
      <c r="M3630" t="s">
        <v>14746</v>
      </c>
      <c r="N3630" t="s">
        <v>14781</v>
      </c>
      <c r="P3630" t="s">
        <v>14802</v>
      </c>
      <c r="Q3630" t="s">
        <v>11448</v>
      </c>
      <c r="S3630" t="s">
        <v>14828</v>
      </c>
      <c r="T3630" t="s">
        <v>14832</v>
      </c>
      <c r="V3630">
        <v>1000</v>
      </c>
      <c r="W3630" t="s">
        <v>14858</v>
      </c>
      <c r="X3630" t="s">
        <v>14871</v>
      </c>
      <c r="Z3630" t="s">
        <v>16237</v>
      </c>
      <c r="AB3630" t="s">
        <v>22985</v>
      </c>
      <c r="AC3630">
        <v>594</v>
      </c>
      <c r="AD3630" t="s">
        <v>24597</v>
      </c>
      <c r="AE3630" t="s">
        <v>11459</v>
      </c>
      <c r="AF3630">
        <v>40</v>
      </c>
      <c r="AG3630">
        <v>1</v>
      </c>
      <c r="AH3630">
        <v>0</v>
      </c>
      <c r="AI3630">
        <v>324.74</v>
      </c>
      <c r="AL3630" t="s">
        <v>5011</v>
      </c>
      <c r="AM3630">
        <v>40560</v>
      </c>
      <c r="AN3630" t="s">
        <v>24885</v>
      </c>
      <c r="AS3630">
        <v>8.9</v>
      </c>
      <c r="AT3630" t="s">
        <v>539</v>
      </c>
      <c r="AU3630" t="s">
        <v>89</v>
      </c>
      <c r="AV3630" t="s">
        <v>11459</v>
      </c>
      <c r="AW3630" t="s">
        <v>11447</v>
      </c>
    </row>
    <row r="3631" spans="1:49">
      <c r="A3631" s="1">
        <f>HYPERLINK("https://lsnyc.legalserver.org/matter/dynamic-profile/view/1915171","19-1915171")</f>
        <v>0</v>
      </c>
      <c r="B3631" t="s">
        <v>82</v>
      </c>
      <c r="C3631" t="s">
        <v>516</v>
      </c>
      <c r="E3631" t="s">
        <v>1245</v>
      </c>
      <c r="F3631" t="s">
        <v>5477</v>
      </c>
      <c r="G3631" t="s">
        <v>9010</v>
      </c>
      <c r="H3631" t="s">
        <v>10665</v>
      </c>
      <c r="I3631" t="s">
        <v>11383</v>
      </c>
      <c r="J3631">
        <v>10463</v>
      </c>
      <c r="K3631" t="s">
        <v>11448</v>
      </c>
      <c r="L3631" t="s">
        <v>13218</v>
      </c>
      <c r="M3631" t="s">
        <v>14743</v>
      </c>
      <c r="N3631" t="s">
        <v>14778</v>
      </c>
      <c r="P3631" t="s">
        <v>14802</v>
      </c>
      <c r="Q3631" t="s">
        <v>11448</v>
      </c>
      <c r="S3631" t="s">
        <v>14827</v>
      </c>
      <c r="V3631">
        <v>0</v>
      </c>
      <c r="W3631" t="s">
        <v>14858</v>
      </c>
      <c r="X3631" t="s">
        <v>14863</v>
      </c>
      <c r="Z3631" t="s">
        <v>17904</v>
      </c>
      <c r="AB3631" t="s">
        <v>22986</v>
      </c>
      <c r="AC3631">
        <v>63</v>
      </c>
      <c r="AD3631" t="s">
        <v>24598</v>
      </c>
      <c r="AF3631">
        <v>0</v>
      </c>
      <c r="AG3631">
        <v>2</v>
      </c>
      <c r="AH3631">
        <v>0</v>
      </c>
      <c r="AI3631">
        <v>600.83</v>
      </c>
      <c r="AL3631" t="s">
        <v>5011</v>
      </c>
      <c r="AM3631">
        <v>101600</v>
      </c>
      <c r="AS3631">
        <v>0</v>
      </c>
      <c r="AU3631" t="s">
        <v>145</v>
      </c>
      <c r="AV3631" t="s">
        <v>25335</v>
      </c>
      <c r="AW3631" t="s">
        <v>11447</v>
      </c>
    </row>
    <row r="3632" spans="1:49">
      <c r="A3632" s="1">
        <f>HYPERLINK("https://lsnyc.legalserver.org/matter/dynamic-profile/view/1896736","19-1896736")</f>
        <v>0</v>
      </c>
      <c r="B3632" t="s">
        <v>142</v>
      </c>
      <c r="C3632" t="s">
        <v>656</v>
      </c>
      <c r="E3632" t="s">
        <v>1835</v>
      </c>
      <c r="F3632" t="s">
        <v>5478</v>
      </c>
      <c r="G3632" t="s">
        <v>9011</v>
      </c>
      <c r="H3632" t="s">
        <v>10524</v>
      </c>
      <c r="I3632" t="s">
        <v>11383</v>
      </c>
      <c r="J3632">
        <v>10470</v>
      </c>
      <c r="K3632" t="s">
        <v>11446</v>
      </c>
      <c r="L3632" t="s">
        <v>13219</v>
      </c>
      <c r="M3632" t="s">
        <v>14743</v>
      </c>
      <c r="N3632" t="s">
        <v>14778</v>
      </c>
      <c r="P3632" t="s">
        <v>14802</v>
      </c>
      <c r="S3632" t="s">
        <v>14827</v>
      </c>
      <c r="T3632" t="s">
        <v>14832</v>
      </c>
      <c r="V3632">
        <v>925</v>
      </c>
      <c r="W3632" t="s">
        <v>14858</v>
      </c>
      <c r="X3632" t="s">
        <v>14863</v>
      </c>
      <c r="Z3632" t="s">
        <v>17905</v>
      </c>
      <c r="AB3632" t="s">
        <v>22987</v>
      </c>
      <c r="AC3632">
        <v>22</v>
      </c>
      <c r="AD3632" t="s">
        <v>24595</v>
      </c>
      <c r="AE3632" t="s">
        <v>11459</v>
      </c>
      <c r="AF3632">
        <v>3</v>
      </c>
      <c r="AG3632">
        <v>1</v>
      </c>
      <c r="AH3632">
        <v>0</v>
      </c>
      <c r="AI3632">
        <v>640.51</v>
      </c>
      <c r="AL3632" t="s">
        <v>5011</v>
      </c>
      <c r="AM3632">
        <v>80000</v>
      </c>
      <c r="AN3632" t="s">
        <v>24886</v>
      </c>
      <c r="AS3632">
        <v>12</v>
      </c>
      <c r="AT3632" t="s">
        <v>835</v>
      </c>
      <c r="AU3632" t="s">
        <v>94</v>
      </c>
      <c r="AW3632" t="s">
        <v>11446</v>
      </c>
    </row>
    <row r="3633" spans="1:49">
      <c r="A3633" s="1">
        <f>HYPERLINK("https://lsnyc.legalserver.org/matter/dynamic-profile/view/1851756","17-1851756")</f>
        <v>0</v>
      </c>
      <c r="B3633" t="s">
        <v>156</v>
      </c>
      <c r="C3633" t="s">
        <v>350</v>
      </c>
      <c r="D3633" t="s">
        <v>379</v>
      </c>
      <c r="E3633" t="s">
        <v>1144</v>
      </c>
      <c r="F3633" t="s">
        <v>3864</v>
      </c>
      <c r="G3633" t="s">
        <v>9012</v>
      </c>
      <c r="H3633">
        <v>2</v>
      </c>
      <c r="I3633" t="s">
        <v>11386</v>
      </c>
      <c r="J3633">
        <v>10027</v>
      </c>
      <c r="K3633" t="s">
        <v>11447</v>
      </c>
      <c r="M3633" t="s">
        <v>14746</v>
      </c>
      <c r="N3633" t="s">
        <v>14781</v>
      </c>
      <c r="O3633" t="s">
        <v>14787</v>
      </c>
      <c r="P3633" t="s">
        <v>14803</v>
      </c>
      <c r="S3633" t="s">
        <v>14827</v>
      </c>
      <c r="V3633">
        <v>1425</v>
      </c>
      <c r="W3633" t="s">
        <v>14860</v>
      </c>
      <c r="X3633" t="s">
        <v>14868</v>
      </c>
      <c r="Y3633" t="s">
        <v>14886</v>
      </c>
      <c r="Z3633" t="s">
        <v>17906</v>
      </c>
      <c r="AB3633" t="s">
        <v>22988</v>
      </c>
      <c r="AC3633">
        <v>4</v>
      </c>
      <c r="AD3633" t="s">
        <v>11479</v>
      </c>
      <c r="AF3633">
        <v>4</v>
      </c>
      <c r="AG3633">
        <v>1</v>
      </c>
      <c r="AH3633">
        <v>0</v>
      </c>
      <c r="AI3633">
        <v>150.91</v>
      </c>
      <c r="AL3633" t="s">
        <v>5011</v>
      </c>
      <c r="AM3633">
        <v>18200</v>
      </c>
      <c r="AS3633">
        <v>6.2</v>
      </c>
      <c r="AT3633" t="s">
        <v>379</v>
      </c>
      <c r="AU3633" t="s">
        <v>153</v>
      </c>
      <c r="AW3633" t="s">
        <v>11447</v>
      </c>
    </row>
    <row r="3634" spans="1:49">
      <c r="A3634" s="1">
        <f>HYPERLINK("https://lsnyc.legalserver.org/matter/dynamic-profile/view/1904619","19-1904619")</f>
        <v>0</v>
      </c>
      <c r="B3634" t="s">
        <v>182</v>
      </c>
      <c r="C3634" t="s">
        <v>365</v>
      </c>
      <c r="D3634" t="s">
        <v>366</v>
      </c>
      <c r="E3634" t="s">
        <v>1032</v>
      </c>
      <c r="F3634" t="s">
        <v>5091</v>
      </c>
      <c r="G3634" t="s">
        <v>9013</v>
      </c>
      <c r="H3634" t="s">
        <v>10851</v>
      </c>
      <c r="I3634" t="s">
        <v>11386</v>
      </c>
      <c r="J3634">
        <v>10029</v>
      </c>
      <c r="K3634" t="s">
        <v>11446</v>
      </c>
      <c r="L3634" t="s">
        <v>13220</v>
      </c>
      <c r="M3634" t="s">
        <v>14743</v>
      </c>
      <c r="N3634" t="s">
        <v>14778</v>
      </c>
      <c r="O3634" t="s">
        <v>14786</v>
      </c>
      <c r="P3634" t="s">
        <v>14803</v>
      </c>
      <c r="Q3634" t="s">
        <v>11448</v>
      </c>
      <c r="S3634" t="s">
        <v>14828</v>
      </c>
      <c r="T3634" t="s">
        <v>14832</v>
      </c>
      <c r="U3634" t="s">
        <v>365</v>
      </c>
      <c r="V3634">
        <v>268</v>
      </c>
      <c r="W3634" t="s">
        <v>14860</v>
      </c>
      <c r="X3634" t="s">
        <v>14865</v>
      </c>
      <c r="Y3634" t="s">
        <v>14883</v>
      </c>
      <c r="Z3634" t="s">
        <v>17907</v>
      </c>
      <c r="AB3634" t="s">
        <v>22989</v>
      </c>
      <c r="AC3634">
        <v>595</v>
      </c>
      <c r="AD3634" t="s">
        <v>24602</v>
      </c>
      <c r="AE3634" t="s">
        <v>11459</v>
      </c>
      <c r="AF3634">
        <v>2</v>
      </c>
      <c r="AG3634">
        <v>1</v>
      </c>
      <c r="AH3634">
        <v>0</v>
      </c>
      <c r="AI3634">
        <v>160.54</v>
      </c>
      <c r="AL3634" t="s">
        <v>5011</v>
      </c>
      <c r="AM3634">
        <v>20052</v>
      </c>
      <c r="AS3634">
        <v>1</v>
      </c>
      <c r="AT3634" t="s">
        <v>461</v>
      </c>
      <c r="AU3634" t="s">
        <v>25266</v>
      </c>
      <c r="AV3634" t="s">
        <v>25335</v>
      </c>
      <c r="AW3634" t="s">
        <v>11447</v>
      </c>
    </row>
    <row r="3635" spans="1:49">
      <c r="A3635" s="1">
        <f>HYPERLINK("https://lsnyc.legalserver.org/matter/dynamic-profile/view/1907028","19-1907028")</f>
        <v>0</v>
      </c>
      <c r="B3635" t="s">
        <v>307</v>
      </c>
      <c r="C3635" t="s">
        <v>626</v>
      </c>
      <c r="D3635" t="s">
        <v>466</v>
      </c>
      <c r="E3635" t="s">
        <v>2853</v>
      </c>
      <c r="F3635" t="s">
        <v>5479</v>
      </c>
      <c r="G3635" t="s">
        <v>9014</v>
      </c>
      <c r="H3635">
        <v>1</v>
      </c>
      <c r="I3635" t="s">
        <v>11386</v>
      </c>
      <c r="J3635">
        <v>10035</v>
      </c>
      <c r="K3635" t="s">
        <v>11446</v>
      </c>
      <c r="L3635" t="s">
        <v>13221</v>
      </c>
      <c r="M3635" t="s">
        <v>14744</v>
      </c>
      <c r="N3635" t="s">
        <v>14778</v>
      </c>
      <c r="O3635" t="s">
        <v>14786</v>
      </c>
      <c r="P3635" t="s">
        <v>14803</v>
      </c>
      <c r="Q3635" t="s">
        <v>11448</v>
      </c>
      <c r="S3635" t="s">
        <v>14830</v>
      </c>
      <c r="U3635" t="s">
        <v>626</v>
      </c>
      <c r="V3635">
        <v>612</v>
      </c>
      <c r="W3635" t="s">
        <v>14860</v>
      </c>
      <c r="X3635" t="s">
        <v>14864</v>
      </c>
      <c r="Y3635" t="s">
        <v>14883</v>
      </c>
      <c r="Z3635" t="s">
        <v>17908</v>
      </c>
      <c r="AA3635" t="s">
        <v>19771</v>
      </c>
      <c r="AB3635" t="s">
        <v>22990</v>
      </c>
      <c r="AC3635">
        <v>4</v>
      </c>
      <c r="AD3635" t="s">
        <v>24605</v>
      </c>
      <c r="AE3635" t="s">
        <v>14755</v>
      </c>
      <c r="AF3635">
        <v>10</v>
      </c>
      <c r="AG3635">
        <v>2</v>
      </c>
      <c r="AH3635">
        <v>0</v>
      </c>
      <c r="AI3635">
        <v>15.07</v>
      </c>
      <c r="AL3635" t="s">
        <v>5011</v>
      </c>
      <c r="AM3635">
        <v>2548</v>
      </c>
      <c r="AS3635">
        <v>0.2</v>
      </c>
      <c r="AT3635" t="s">
        <v>466</v>
      </c>
      <c r="AU3635" t="s">
        <v>25276</v>
      </c>
      <c r="AV3635" t="s">
        <v>25334</v>
      </c>
      <c r="AW3635" t="s">
        <v>11447</v>
      </c>
    </row>
    <row r="3636" spans="1:49">
      <c r="A3636" s="1">
        <f>HYPERLINK("https://lsnyc.legalserver.org/matter/dynamic-profile/view/1866465","18-1866465")</f>
        <v>0</v>
      </c>
      <c r="B3636" t="s">
        <v>307</v>
      </c>
      <c r="C3636" t="s">
        <v>836</v>
      </c>
      <c r="D3636" t="s">
        <v>410</v>
      </c>
      <c r="E3636" t="s">
        <v>2498</v>
      </c>
      <c r="F3636" t="s">
        <v>5480</v>
      </c>
      <c r="G3636" t="s">
        <v>9015</v>
      </c>
      <c r="H3636" t="s">
        <v>10451</v>
      </c>
      <c r="I3636" t="s">
        <v>11386</v>
      </c>
      <c r="J3636">
        <v>10128</v>
      </c>
      <c r="K3636" t="s">
        <v>11446</v>
      </c>
      <c r="L3636" t="s">
        <v>13222</v>
      </c>
      <c r="M3636" t="s">
        <v>14750</v>
      </c>
      <c r="N3636" t="s">
        <v>14778</v>
      </c>
      <c r="O3636" t="s">
        <v>14787</v>
      </c>
      <c r="P3636" t="s">
        <v>14803</v>
      </c>
      <c r="Q3636" t="s">
        <v>11448</v>
      </c>
      <c r="S3636" t="s">
        <v>14828</v>
      </c>
      <c r="U3636" t="s">
        <v>14839</v>
      </c>
      <c r="V3636">
        <v>358</v>
      </c>
      <c r="W3636" t="s">
        <v>14860</v>
      </c>
      <c r="X3636" t="s">
        <v>14867</v>
      </c>
      <c r="Y3636" t="s">
        <v>14883</v>
      </c>
      <c r="Z3636" t="s">
        <v>17909</v>
      </c>
      <c r="AB3636" t="s">
        <v>22991</v>
      </c>
      <c r="AC3636">
        <v>538</v>
      </c>
      <c r="AD3636" t="s">
        <v>24597</v>
      </c>
      <c r="AE3636" t="s">
        <v>11459</v>
      </c>
      <c r="AF3636">
        <v>7</v>
      </c>
      <c r="AG3636">
        <v>2</v>
      </c>
      <c r="AH3636">
        <v>0</v>
      </c>
      <c r="AI3636">
        <v>91.70999999999999</v>
      </c>
      <c r="AM3636">
        <v>15096</v>
      </c>
      <c r="AS3636">
        <v>4</v>
      </c>
      <c r="AT3636" t="s">
        <v>410</v>
      </c>
      <c r="AU3636" t="s">
        <v>25280</v>
      </c>
      <c r="AV3636" t="s">
        <v>25335</v>
      </c>
      <c r="AW3636" t="s">
        <v>11447</v>
      </c>
    </row>
    <row r="3637" spans="1:49">
      <c r="A3637" s="1">
        <f>HYPERLINK("https://lsnyc.legalserver.org/matter/dynamic-profile/view/1885050","18-1885050")</f>
        <v>0</v>
      </c>
      <c r="B3637" t="s">
        <v>188</v>
      </c>
      <c r="C3637" t="s">
        <v>794</v>
      </c>
      <c r="D3637" t="s">
        <v>410</v>
      </c>
      <c r="E3637" t="s">
        <v>1111</v>
      </c>
      <c r="F3637" t="s">
        <v>1606</v>
      </c>
      <c r="G3637" t="s">
        <v>9016</v>
      </c>
      <c r="H3637">
        <v>42</v>
      </c>
      <c r="I3637" t="s">
        <v>11386</v>
      </c>
      <c r="J3637">
        <v>10024</v>
      </c>
      <c r="K3637" t="s">
        <v>11446</v>
      </c>
      <c r="L3637" t="s">
        <v>13223</v>
      </c>
      <c r="M3637" t="s">
        <v>14744</v>
      </c>
      <c r="N3637" t="s">
        <v>14778</v>
      </c>
      <c r="O3637" t="s">
        <v>14786</v>
      </c>
      <c r="P3637" t="s">
        <v>14803</v>
      </c>
      <c r="Q3637" t="s">
        <v>11448</v>
      </c>
      <c r="S3637" t="s">
        <v>14827</v>
      </c>
      <c r="V3637">
        <v>3750</v>
      </c>
      <c r="W3637" t="s">
        <v>14860</v>
      </c>
      <c r="X3637" t="s">
        <v>14865</v>
      </c>
      <c r="Y3637" t="s">
        <v>14883</v>
      </c>
      <c r="Z3637" t="s">
        <v>17910</v>
      </c>
      <c r="AB3637" t="s">
        <v>22992</v>
      </c>
      <c r="AC3637">
        <v>128</v>
      </c>
      <c r="AD3637" t="s">
        <v>11479</v>
      </c>
      <c r="AE3637" t="s">
        <v>11459</v>
      </c>
      <c r="AF3637">
        <v>11</v>
      </c>
      <c r="AG3637">
        <v>1</v>
      </c>
      <c r="AH3637">
        <v>0</v>
      </c>
      <c r="AI3637">
        <v>175.65</v>
      </c>
      <c r="AL3637" t="s">
        <v>5011</v>
      </c>
      <c r="AM3637">
        <v>21324</v>
      </c>
      <c r="AS3637">
        <v>2.1</v>
      </c>
      <c r="AT3637" t="s">
        <v>341</v>
      </c>
      <c r="AU3637" t="s">
        <v>153</v>
      </c>
      <c r="AW3637" t="s">
        <v>11446</v>
      </c>
    </row>
    <row r="3638" spans="1:49">
      <c r="A3638" s="1">
        <f>HYPERLINK("https://lsnyc.legalserver.org/matter/dynamic-profile/view/1906992","19-1906992")</f>
        <v>0</v>
      </c>
      <c r="B3638" t="s">
        <v>247</v>
      </c>
      <c r="C3638" t="s">
        <v>626</v>
      </c>
      <c r="D3638" t="s">
        <v>463</v>
      </c>
      <c r="E3638" t="s">
        <v>2854</v>
      </c>
      <c r="F3638" t="s">
        <v>5481</v>
      </c>
      <c r="G3638" t="s">
        <v>9017</v>
      </c>
      <c r="H3638">
        <v>2</v>
      </c>
      <c r="I3638" t="s">
        <v>11386</v>
      </c>
      <c r="J3638">
        <v>10033</v>
      </c>
      <c r="K3638" t="s">
        <v>11446</v>
      </c>
      <c r="L3638" t="s">
        <v>13224</v>
      </c>
      <c r="M3638" t="s">
        <v>14743</v>
      </c>
      <c r="N3638" t="s">
        <v>14778</v>
      </c>
      <c r="O3638" t="s">
        <v>14786</v>
      </c>
      <c r="P3638" t="s">
        <v>14803</v>
      </c>
      <c r="Q3638" t="s">
        <v>11448</v>
      </c>
      <c r="S3638" t="s">
        <v>14827</v>
      </c>
      <c r="T3638" t="s">
        <v>14832</v>
      </c>
      <c r="U3638" t="s">
        <v>626</v>
      </c>
      <c r="V3638">
        <v>1500</v>
      </c>
      <c r="W3638" t="s">
        <v>14860</v>
      </c>
      <c r="X3638" t="s">
        <v>14865</v>
      </c>
      <c r="Y3638" t="s">
        <v>14883</v>
      </c>
      <c r="Z3638" t="s">
        <v>17911</v>
      </c>
      <c r="AB3638" t="s">
        <v>22993</v>
      </c>
      <c r="AC3638">
        <v>3</v>
      </c>
      <c r="AD3638" t="s">
        <v>11479</v>
      </c>
      <c r="AE3638" t="s">
        <v>11459</v>
      </c>
      <c r="AF3638">
        <v>1</v>
      </c>
      <c r="AG3638">
        <v>3</v>
      </c>
      <c r="AH3638">
        <v>1</v>
      </c>
      <c r="AI3638">
        <v>100.96</v>
      </c>
      <c r="AL3638" t="s">
        <v>24632</v>
      </c>
      <c r="AM3638">
        <v>25998</v>
      </c>
      <c r="AS3638">
        <v>0.5</v>
      </c>
      <c r="AT3638" t="s">
        <v>463</v>
      </c>
      <c r="AU3638" t="s">
        <v>25266</v>
      </c>
      <c r="AV3638" t="s">
        <v>25335</v>
      </c>
      <c r="AW3638" t="s">
        <v>11447</v>
      </c>
    </row>
    <row r="3639" spans="1:49">
      <c r="A3639" s="1">
        <f>HYPERLINK("https://lsnyc.legalserver.org/matter/dynamic-profile/view/1909726","19-1909726")</f>
        <v>0</v>
      </c>
      <c r="B3639" t="s">
        <v>308</v>
      </c>
      <c r="C3639" t="s">
        <v>519</v>
      </c>
      <c r="D3639" t="s">
        <v>519</v>
      </c>
      <c r="E3639" t="s">
        <v>1816</v>
      </c>
      <c r="F3639" t="s">
        <v>5062</v>
      </c>
      <c r="G3639" t="s">
        <v>8096</v>
      </c>
      <c r="H3639" t="s">
        <v>10498</v>
      </c>
      <c r="I3639" t="s">
        <v>11385</v>
      </c>
      <c r="J3639">
        <v>11205</v>
      </c>
      <c r="K3639" t="s">
        <v>11447</v>
      </c>
      <c r="N3639" t="s">
        <v>14778</v>
      </c>
      <c r="O3639" t="s">
        <v>14786</v>
      </c>
      <c r="P3639" t="s">
        <v>14803</v>
      </c>
      <c r="S3639" t="s">
        <v>14828</v>
      </c>
      <c r="V3639">
        <v>0</v>
      </c>
      <c r="W3639" t="s">
        <v>14860</v>
      </c>
      <c r="Y3639" t="s">
        <v>14883</v>
      </c>
      <c r="Z3639" t="s">
        <v>17912</v>
      </c>
      <c r="AB3639" t="s">
        <v>22994</v>
      </c>
      <c r="AC3639">
        <v>0</v>
      </c>
      <c r="AF3639">
        <v>0</v>
      </c>
      <c r="AG3639">
        <v>1</v>
      </c>
      <c r="AH3639">
        <v>0</v>
      </c>
      <c r="AI3639">
        <v>74.08</v>
      </c>
      <c r="AL3639" t="s">
        <v>5011</v>
      </c>
      <c r="AM3639">
        <v>9252</v>
      </c>
      <c r="AS3639">
        <v>1.75</v>
      </c>
      <c r="AT3639" t="s">
        <v>519</v>
      </c>
      <c r="AU3639" t="s">
        <v>25286</v>
      </c>
      <c r="AW3639" t="s">
        <v>11447</v>
      </c>
    </row>
    <row r="3640" spans="1:49">
      <c r="A3640" s="1">
        <f>HYPERLINK("https://lsnyc.legalserver.org/matter/dynamic-profile/view/1853038","17-1853038")</f>
        <v>0</v>
      </c>
      <c r="B3640" t="s">
        <v>156</v>
      </c>
      <c r="C3640" t="s">
        <v>837</v>
      </c>
      <c r="D3640" t="s">
        <v>528</v>
      </c>
      <c r="E3640" t="s">
        <v>2439</v>
      </c>
      <c r="F3640" t="s">
        <v>3984</v>
      </c>
      <c r="G3640" t="s">
        <v>9018</v>
      </c>
      <c r="H3640" t="s">
        <v>11160</v>
      </c>
      <c r="I3640" t="s">
        <v>11386</v>
      </c>
      <c r="J3640">
        <v>10025</v>
      </c>
      <c r="K3640" t="s">
        <v>11447</v>
      </c>
      <c r="M3640" t="s">
        <v>14746</v>
      </c>
      <c r="N3640" t="s">
        <v>14779</v>
      </c>
      <c r="O3640" t="s">
        <v>14786</v>
      </c>
      <c r="P3640" t="s">
        <v>14803</v>
      </c>
      <c r="R3640" t="s">
        <v>14811</v>
      </c>
      <c r="S3640" t="s">
        <v>14828</v>
      </c>
      <c r="V3640">
        <v>0</v>
      </c>
      <c r="W3640" t="s">
        <v>14860</v>
      </c>
      <c r="Y3640" t="s">
        <v>14883</v>
      </c>
      <c r="Z3640" t="s">
        <v>17913</v>
      </c>
      <c r="AB3640" t="s">
        <v>22995</v>
      </c>
      <c r="AC3640">
        <v>0</v>
      </c>
      <c r="AF3640">
        <v>0</v>
      </c>
      <c r="AG3640">
        <v>1</v>
      </c>
      <c r="AH3640">
        <v>0</v>
      </c>
      <c r="AI3640">
        <v>115.02</v>
      </c>
      <c r="AL3640" t="s">
        <v>5011</v>
      </c>
      <c r="AM3640">
        <v>13872</v>
      </c>
      <c r="AS3640">
        <v>4.5</v>
      </c>
      <c r="AT3640" t="s">
        <v>528</v>
      </c>
      <c r="AU3640" t="s">
        <v>156</v>
      </c>
      <c r="AW3640" t="s">
        <v>11447</v>
      </c>
    </row>
    <row r="3641" spans="1:49">
      <c r="A3641" s="1">
        <f>HYPERLINK("https://lsnyc.legalserver.org/matter/dynamic-profile/view/1910151","19-1910151")</f>
        <v>0</v>
      </c>
      <c r="B3641" t="s">
        <v>188</v>
      </c>
      <c r="C3641" t="s">
        <v>528</v>
      </c>
      <c r="D3641" t="s">
        <v>663</v>
      </c>
      <c r="E3641" t="s">
        <v>1210</v>
      </c>
      <c r="F3641" t="s">
        <v>5482</v>
      </c>
      <c r="G3641" t="s">
        <v>9019</v>
      </c>
      <c r="H3641" t="s">
        <v>10502</v>
      </c>
      <c r="I3641" t="s">
        <v>11386</v>
      </c>
      <c r="J3641">
        <v>10033</v>
      </c>
      <c r="K3641" t="s">
        <v>11446</v>
      </c>
      <c r="L3641" t="s">
        <v>13225</v>
      </c>
      <c r="M3641" t="s">
        <v>14744</v>
      </c>
      <c r="N3641" t="s">
        <v>14778</v>
      </c>
      <c r="O3641" t="s">
        <v>14786</v>
      </c>
      <c r="P3641" t="s">
        <v>14803</v>
      </c>
      <c r="Q3641" t="s">
        <v>11448</v>
      </c>
      <c r="S3641" t="s">
        <v>14827</v>
      </c>
      <c r="U3641" t="s">
        <v>528</v>
      </c>
      <c r="V3641">
        <v>0</v>
      </c>
      <c r="W3641" t="s">
        <v>14860</v>
      </c>
      <c r="X3641" t="s">
        <v>14865</v>
      </c>
      <c r="Y3641" t="s">
        <v>14883</v>
      </c>
      <c r="Z3641" t="s">
        <v>17519</v>
      </c>
      <c r="AA3641" t="s">
        <v>19772</v>
      </c>
      <c r="AB3641" t="s">
        <v>22996</v>
      </c>
      <c r="AC3641">
        <v>28</v>
      </c>
      <c r="AD3641" t="s">
        <v>11479</v>
      </c>
      <c r="AE3641" t="s">
        <v>11459</v>
      </c>
      <c r="AF3641">
        <v>1</v>
      </c>
      <c r="AG3641">
        <v>1</v>
      </c>
      <c r="AH3641">
        <v>0</v>
      </c>
      <c r="AI3641">
        <v>0</v>
      </c>
      <c r="AL3641" t="s">
        <v>24632</v>
      </c>
      <c r="AM3641">
        <v>0</v>
      </c>
      <c r="AS3641">
        <v>0</v>
      </c>
      <c r="AT3641" t="s">
        <v>644</v>
      </c>
      <c r="AU3641" t="s">
        <v>25276</v>
      </c>
      <c r="AV3641" t="s">
        <v>25334</v>
      </c>
      <c r="AW3641" t="s">
        <v>11447</v>
      </c>
    </row>
    <row r="3642" spans="1:49">
      <c r="A3642" s="1">
        <f>HYPERLINK("https://lsnyc.legalserver.org/matter/dynamic-profile/view/1910203","19-1910203")</f>
        <v>0</v>
      </c>
      <c r="B3642" t="s">
        <v>188</v>
      </c>
      <c r="C3642" t="s">
        <v>528</v>
      </c>
      <c r="D3642" t="s">
        <v>663</v>
      </c>
      <c r="E3642" t="s">
        <v>2855</v>
      </c>
      <c r="F3642" t="s">
        <v>5483</v>
      </c>
      <c r="G3642" t="s">
        <v>9020</v>
      </c>
      <c r="H3642" t="s">
        <v>10702</v>
      </c>
      <c r="I3642" t="s">
        <v>11386</v>
      </c>
      <c r="J3642">
        <v>10029</v>
      </c>
      <c r="K3642" t="s">
        <v>11446</v>
      </c>
      <c r="L3642" t="s">
        <v>13226</v>
      </c>
      <c r="M3642" t="s">
        <v>14743</v>
      </c>
      <c r="N3642" t="s">
        <v>14778</v>
      </c>
      <c r="O3642" t="s">
        <v>14786</v>
      </c>
      <c r="P3642" t="s">
        <v>14803</v>
      </c>
      <c r="Q3642" t="s">
        <v>11448</v>
      </c>
      <c r="S3642" t="s">
        <v>14827</v>
      </c>
      <c r="U3642" t="s">
        <v>528</v>
      </c>
      <c r="V3642">
        <v>215</v>
      </c>
      <c r="W3642" t="s">
        <v>14860</v>
      </c>
      <c r="X3642" t="s">
        <v>14864</v>
      </c>
      <c r="Y3642" t="s">
        <v>14883</v>
      </c>
      <c r="Z3642" t="s">
        <v>17914</v>
      </c>
      <c r="AB3642" t="s">
        <v>22997</v>
      </c>
      <c r="AC3642">
        <v>24</v>
      </c>
      <c r="AD3642" t="s">
        <v>24595</v>
      </c>
      <c r="AE3642" t="s">
        <v>11459</v>
      </c>
      <c r="AF3642">
        <v>4</v>
      </c>
      <c r="AG3642">
        <v>1</v>
      </c>
      <c r="AH3642">
        <v>0</v>
      </c>
      <c r="AI3642">
        <v>16.24</v>
      </c>
      <c r="AL3642" t="s">
        <v>5011</v>
      </c>
      <c r="AM3642">
        <v>2028</v>
      </c>
      <c r="AS3642">
        <v>0</v>
      </c>
      <c r="AT3642" t="s">
        <v>644</v>
      </c>
      <c r="AU3642" t="s">
        <v>25276</v>
      </c>
      <c r="AV3642" t="s">
        <v>25335</v>
      </c>
      <c r="AW3642" t="s">
        <v>11447</v>
      </c>
    </row>
    <row r="3643" spans="1:49">
      <c r="A3643" s="1">
        <f>HYPERLINK("https://lsnyc.legalserver.org/matter/dynamic-profile/view/1910245","19-1910245")</f>
        <v>0</v>
      </c>
      <c r="B3643" t="s">
        <v>188</v>
      </c>
      <c r="C3643" t="s">
        <v>528</v>
      </c>
      <c r="D3643" t="s">
        <v>663</v>
      </c>
      <c r="E3643" t="s">
        <v>2459</v>
      </c>
      <c r="F3643" t="s">
        <v>3561</v>
      </c>
      <c r="G3643" t="s">
        <v>9021</v>
      </c>
      <c r="H3643" t="s">
        <v>10665</v>
      </c>
      <c r="I3643" t="s">
        <v>11386</v>
      </c>
      <c r="J3643">
        <v>10035</v>
      </c>
      <c r="K3643" t="s">
        <v>11446</v>
      </c>
      <c r="L3643" t="s">
        <v>13227</v>
      </c>
      <c r="M3643" t="s">
        <v>14744</v>
      </c>
      <c r="N3643" t="s">
        <v>14778</v>
      </c>
      <c r="O3643" t="s">
        <v>14786</v>
      </c>
      <c r="P3643" t="s">
        <v>14803</v>
      </c>
      <c r="Q3643" t="s">
        <v>11448</v>
      </c>
      <c r="S3643" t="s">
        <v>14827</v>
      </c>
      <c r="U3643" t="s">
        <v>528</v>
      </c>
      <c r="V3643">
        <v>1530</v>
      </c>
      <c r="W3643" t="s">
        <v>14860</v>
      </c>
      <c r="X3643" t="s">
        <v>14864</v>
      </c>
      <c r="Y3643" t="s">
        <v>14883</v>
      </c>
      <c r="Z3643" t="s">
        <v>17915</v>
      </c>
      <c r="AA3643" t="s">
        <v>19773</v>
      </c>
      <c r="AB3643" t="s">
        <v>22998</v>
      </c>
      <c r="AC3643">
        <v>35</v>
      </c>
      <c r="AD3643" t="s">
        <v>24595</v>
      </c>
      <c r="AE3643" t="s">
        <v>24615</v>
      </c>
      <c r="AF3643">
        <v>3</v>
      </c>
      <c r="AG3643">
        <v>2</v>
      </c>
      <c r="AH3643">
        <v>3</v>
      </c>
      <c r="AI3643">
        <v>17.24</v>
      </c>
      <c r="AL3643" t="s">
        <v>5011</v>
      </c>
      <c r="AM3643">
        <v>5200</v>
      </c>
      <c r="AS3643">
        <v>0</v>
      </c>
      <c r="AT3643" t="s">
        <v>644</v>
      </c>
      <c r="AU3643" t="s">
        <v>25276</v>
      </c>
      <c r="AV3643" t="s">
        <v>25334</v>
      </c>
      <c r="AW3643" t="s">
        <v>11447</v>
      </c>
    </row>
    <row r="3644" spans="1:49">
      <c r="A3644" s="1">
        <f>HYPERLINK("https://lsnyc.legalserver.org/matter/dynamic-profile/view/1910171","19-1910171")</f>
        <v>0</v>
      </c>
      <c r="B3644" t="s">
        <v>188</v>
      </c>
      <c r="C3644" t="s">
        <v>528</v>
      </c>
      <c r="D3644" t="s">
        <v>663</v>
      </c>
      <c r="E3644" t="s">
        <v>2856</v>
      </c>
      <c r="F3644" t="s">
        <v>2650</v>
      </c>
      <c r="G3644" t="s">
        <v>9022</v>
      </c>
      <c r="H3644" t="s">
        <v>11161</v>
      </c>
      <c r="I3644" t="s">
        <v>11386</v>
      </c>
      <c r="J3644">
        <v>10019</v>
      </c>
      <c r="K3644" t="s">
        <v>11446</v>
      </c>
      <c r="L3644" t="s">
        <v>13228</v>
      </c>
      <c r="M3644" t="s">
        <v>14744</v>
      </c>
      <c r="N3644" t="s">
        <v>14778</v>
      </c>
      <c r="O3644" t="s">
        <v>14786</v>
      </c>
      <c r="P3644" t="s">
        <v>14803</v>
      </c>
      <c r="Q3644" t="s">
        <v>11448</v>
      </c>
      <c r="S3644" t="s">
        <v>14827</v>
      </c>
      <c r="U3644" t="s">
        <v>528</v>
      </c>
      <c r="V3644">
        <v>627</v>
      </c>
      <c r="W3644" t="s">
        <v>14860</v>
      </c>
      <c r="X3644" t="s">
        <v>14865</v>
      </c>
      <c r="Y3644" t="s">
        <v>14883</v>
      </c>
      <c r="Z3644" t="s">
        <v>17916</v>
      </c>
      <c r="AA3644" t="s">
        <v>19774</v>
      </c>
      <c r="AB3644" t="s">
        <v>22999</v>
      </c>
      <c r="AC3644">
        <v>736</v>
      </c>
      <c r="AD3644" t="s">
        <v>24595</v>
      </c>
      <c r="AE3644" t="s">
        <v>11459</v>
      </c>
      <c r="AF3644">
        <v>6</v>
      </c>
      <c r="AG3644">
        <v>1</v>
      </c>
      <c r="AH3644">
        <v>0</v>
      </c>
      <c r="AI3644">
        <v>24.98</v>
      </c>
      <c r="AL3644" t="s">
        <v>5011</v>
      </c>
      <c r="AM3644">
        <v>3120</v>
      </c>
      <c r="AS3644">
        <v>0</v>
      </c>
      <c r="AT3644" t="s">
        <v>644</v>
      </c>
      <c r="AU3644" t="s">
        <v>153</v>
      </c>
      <c r="AV3644" t="s">
        <v>25334</v>
      </c>
      <c r="AW3644" t="s">
        <v>11447</v>
      </c>
    </row>
    <row r="3645" spans="1:49">
      <c r="A3645" s="1">
        <f>HYPERLINK("https://lsnyc.legalserver.org/matter/dynamic-profile/view/1910192","19-1910192")</f>
        <v>0</v>
      </c>
      <c r="B3645" t="s">
        <v>188</v>
      </c>
      <c r="C3645" t="s">
        <v>528</v>
      </c>
      <c r="D3645" t="s">
        <v>663</v>
      </c>
      <c r="E3645" t="s">
        <v>2857</v>
      </c>
      <c r="F3645" t="s">
        <v>5484</v>
      </c>
      <c r="G3645" t="s">
        <v>9023</v>
      </c>
      <c r="H3645" t="s">
        <v>10638</v>
      </c>
      <c r="I3645" t="s">
        <v>11386</v>
      </c>
      <c r="J3645">
        <v>10040</v>
      </c>
      <c r="K3645" t="s">
        <v>11446</v>
      </c>
      <c r="L3645" t="s">
        <v>13229</v>
      </c>
      <c r="M3645" t="s">
        <v>14744</v>
      </c>
      <c r="N3645" t="s">
        <v>14778</v>
      </c>
      <c r="O3645" t="s">
        <v>14786</v>
      </c>
      <c r="P3645" t="s">
        <v>14803</v>
      </c>
      <c r="Q3645" t="s">
        <v>11448</v>
      </c>
      <c r="S3645" t="s">
        <v>14827</v>
      </c>
      <c r="U3645" t="s">
        <v>528</v>
      </c>
      <c r="V3645">
        <v>693.42</v>
      </c>
      <c r="W3645" t="s">
        <v>14860</v>
      </c>
      <c r="X3645" t="s">
        <v>14865</v>
      </c>
      <c r="Y3645" t="s">
        <v>14883</v>
      </c>
      <c r="Z3645" t="s">
        <v>17917</v>
      </c>
      <c r="AA3645" t="s">
        <v>19775</v>
      </c>
      <c r="AB3645" t="s">
        <v>23000</v>
      </c>
      <c r="AC3645">
        <v>62</v>
      </c>
      <c r="AD3645" t="s">
        <v>24595</v>
      </c>
      <c r="AE3645" t="s">
        <v>24613</v>
      </c>
      <c r="AF3645">
        <v>27</v>
      </c>
      <c r="AG3645">
        <v>2</v>
      </c>
      <c r="AH3645">
        <v>0</v>
      </c>
      <c r="AI3645">
        <v>56.77</v>
      </c>
      <c r="AL3645" t="s">
        <v>24632</v>
      </c>
      <c r="AM3645">
        <v>9600</v>
      </c>
      <c r="AS3645">
        <v>0</v>
      </c>
      <c r="AT3645" t="s">
        <v>644</v>
      </c>
      <c r="AU3645" t="s">
        <v>153</v>
      </c>
      <c r="AV3645" t="s">
        <v>25334</v>
      </c>
      <c r="AW3645" t="s">
        <v>11447</v>
      </c>
    </row>
    <row r="3646" spans="1:49">
      <c r="A3646" s="1">
        <f>HYPERLINK("https://lsnyc.legalserver.org/matter/dynamic-profile/view/1910252","19-1910252")</f>
        <v>0</v>
      </c>
      <c r="B3646" t="s">
        <v>188</v>
      </c>
      <c r="C3646" t="s">
        <v>528</v>
      </c>
      <c r="D3646" t="s">
        <v>663</v>
      </c>
      <c r="E3646" t="s">
        <v>2455</v>
      </c>
      <c r="F3646" t="s">
        <v>5485</v>
      </c>
      <c r="G3646" t="s">
        <v>9024</v>
      </c>
      <c r="H3646" t="s">
        <v>10736</v>
      </c>
      <c r="I3646" t="s">
        <v>11386</v>
      </c>
      <c r="J3646">
        <v>10002</v>
      </c>
      <c r="K3646" t="s">
        <v>11446</v>
      </c>
      <c r="L3646" t="s">
        <v>13230</v>
      </c>
      <c r="M3646" t="s">
        <v>14743</v>
      </c>
      <c r="N3646" t="s">
        <v>14778</v>
      </c>
      <c r="O3646" t="s">
        <v>14786</v>
      </c>
      <c r="P3646" t="s">
        <v>14803</v>
      </c>
      <c r="Q3646" t="s">
        <v>11448</v>
      </c>
      <c r="S3646" t="s">
        <v>14827</v>
      </c>
      <c r="U3646" t="s">
        <v>528</v>
      </c>
      <c r="V3646">
        <v>611</v>
      </c>
      <c r="W3646" t="s">
        <v>14860</v>
      </c>
      <c r="X3646" t="s">
        <v>14864</v>
      </c>
      <c r="Y3646" t="s">
        <v>14883</v>
      </c>
      <c r="Z3646" t="s">
        <v>17918</v>
      </c>
      <c r="AB3646" t="s">
        <v>23001</v>
      </c>
      <c r="AC3646">
        <v>806</v>
      </c>
      <c r="AD3646" t="s">
        <v>24601</v>
      </c>
      <c r="AE3646" t="s">
        <v>11459</v>
      </c>
      <c r="AF3646">
        <v>11</v>
      </c>
      <c r="AG3646">
        <v>3</v>
      </c>
      <c r="AH3646">
        <v>0</v>
      </c>
      <c r="AI3646">
        <v>57.44</v>
      </c>
      <c r="AL3646" t="s">
        <v>24632</v>
      </c>
      <c r="AM3646">
        <v>12251</v>
      </c>
      <c r="AS3646">
        <v>0</v>
      </c>
      <c r="AT3646" t="s">
        <v>644</v>
      </c>
      <c r="AU3646" t="s">
        <v>25276</v>
      </c>
      <c r="AV3646" t="s">
        <v>25335</v>
      </c>
      <c r="AW3646" t="s">
        <v>11447</v>
      </c>
    </row>
    <row r="3647" spans="1:49">
      <c r="A3647" s="1">
        <f>HYPERLINK("https://lsnyc.legalserver.org/matter/dynamic-profile/view/1910177","19-1910177")</f>
        <v>0</v>
      </c>
      <c r="B3647" t="s">
        <v>188</v>
      </c>
      <c r="C3647" t="s">
        <v>528</v>
      </c>
      <c r="D3647" t="s">
        <v>663</v>
      </c>
      <c r="E3647" t="s">
        <v>2858</v>
      </c>
      <c r="F3647" t="s">
        <v>5486</v>
      </c>
      <c r="G3647" t="s">
        <v>9025</v>
      </c>
      <c r="H3647" t="s">
        <v>11162</v>
      </c>
      <c r="I3647" t="s">
        <v>11386</v>
      </c>
      <c r="J3647">
        <v>10030</v>
      </c>
      <c r="K3647" t="s">
        <v>11446</v>
      </c>
      <c r="L3647" t="s">
        <v>13231</v>
      </c>
      <c r="M3647" t="s">
        <v>14743</v>
      </c>
      <c r="N3647" t="s">
        <v>14778</v>
      </c>
      <c r="O3647" t="s">
        <v>14786</v>
      </c>
      <c r="P3647" t="s">
        <v>14803</v>
      </c>
      <c r="Q3647" t="s">
        <v>11448</v>
      </c>
      <c r="S3647" t="s">
        <v>14828</v>
      </c>
      <c r="U3647" t="s">
        <v>528</v>
      </c>
      <c r="V3647">
        <v>232</v>
      </c>
      <c r="W3647" t="s">
        <v>14860</v>
      </c>
      <c r="X3647" t="s">
        <v>14865</v>
      </c>
      <c r="Y3647" t="s">
        <v>14883</v>
      </c>
      <c r="Z3647" t="s">
        <v>17551</v>
      </c>
      <c r="AA3647" t="s">
        <v>19776</v>
      </c>
      <c r="AB3647" t="s">
        <v>23002</v>
      </c>
      <c r="AC3647">
        <v>247</v>
      </c>
      <c r="AD3647" t="s">
        <v>24597</v>
      </c>
      <c r="AE3647" t="s">
        <v>11459</v>
      </c>
      <c r="AF3647">
        <v>16</v>
      </c>
      <c r="AG3647">
        <v>1</v>
      </c>
      <c r="AH3647">
        <v>0</v>
      </c>
      <c r="AI3647">
        <v>74.08</v>
      </c>
      <c r="AL3647" t="s">
        <v>5011</v>
      </c>
      <c r="AM3647">
        <v>9252</v>
      </c>
      <c r="AS3647">
        <v>0</v>
      </c>
      <c r="AT3647" t="s">
        <v>644</v>
      </c>
      <c r="AU3647" t="s">
        <v>25276</v>
      </c>
      <c r="AV3647" t="s">
        <v>25334</v>
      </c>
      <c r="AW3647" t="s">
        <v>11447</v>
      </c>
    </row>
    <row r="3648" spans="1:49">
      <c r="A3648" s="1">
        <f>HYPERLINK("https://lsnyc.legalserver.org/matter/dynamic-profile/view/1910163","19-1910163")</f>
        <v>0</v>
      </c>
      <c r="B3648" t="s">
        <v>188</v>
      </c>
      <c r="C3648" t="s">
        <v>528</v>
      </c>
      <c r="D3648" t="s">
        <v>663</v>
      </c>
      <c r="E3648" t="s">
        <v>1032</v>
      </c>
      <c r="F3648" t="s">
        <v>3706</v>
      </c>
      <c r="G3648" t="s">
        <v>9026</v>
      </c>
      <c r="H3648" t="s">
        <v>10542</v>
      </c>
      <c r="I3648" t="s">
        <v>11386</v>
      </c>
      <c r="J3648">
        <v>10032</v>
      </c>
      <c r="K3648" t="s">
        <v>11446</v>
      </c>
      <c r="L3648" t="s">
        <v>13232</v>
      </c>
      <c r="M3648" t="s">
        <v>14743</v>
      </c>
      <c r="N3648" t="s">
        <v>14778</v>
      </c>
      <c r="O3648" t="s">
        <v>14786</v>
      </c>
      <c r="P3648" t="s">
        <v>14803</v>
      </c>
      <c r="Q3648" t="s">
        <v>11448</v>
      </c>
      <c r="S3648" t="s">
        <v>14830</v>
      </c>
      <c r="T3648" t="s">
        <v>14832</v>
      </c>
      <c r="U3648" t="s">
        <v>528</v>
      </c>
      <c r="V3648">
        <v>224</v>
      </c>
      <c r="W3648" t="s">
        <v>14860</v>
      </c>
      <c r="X3648" t="s">
        <v>14865</v>
      </c>
      <c r="Y3648" t="s">
        <v>14883</v>
      </c>
      <c r="Z3648" t="s">
        <v>17919</v>
      </c>
      <c r="AA3648" t="s">
        <v>19777</v>
      </c>
      <c r="AB3648" t="s">
        <v>23003</v>
      </c>
      <c r="AC3648">
        <v>98</v>
      </c>
      <c r="AD3648" t="s">
        <v>24596</v>
      </c>
      <c r="AE3648" t="s">
        <v>11459</v>
      </c>
      <c r="AF3648">
        <v>-1</v>
      </c>
      <c r="AG3648">
        <v>1</v>
      </c>
      <c r="AH3648">
        <v>0</v>
      </c>
      <c r="AI3648">
        <v>88.01000000000001</v>
      </c>
      <c r="AL3648" t="s">
        <v>5011</v>
      </c>
      <c r="AM3648">
        <v>10992</v>
      </c>
      <c r="AS3648">
        <v>0</v>
      </c>
      <c r="AT3648" t="s">
        <v>644</v>
      </c>
      <c r="AU3648" t="s">
        <v>153</v>
      </c>
      <c r="AV3648" t="s">
        <v>25334</v>
      </c>
      <c r="AW3648" t="s">
        <v>11447</v>
      </c>
    </row>
    <row r="3649" spans="1:49">
      <c r="A3649" s="1">
        <f>HYPERLINK("https://lsnyc.legalserver.org/matter/dynamic-profile/view/1910223","19-1910223")</f>
        <v>0</v>
      </c>
      <c r="B3649" t="s">
        <v>188</v>
      </c>
      <c r="C3649" t="s">
        <v>528</v>
      </c>
      <c r="D3649" t="s">
        <v>663</v>
      </c>
      <c r="E3649" t="s">
        <v>1750</v>
      </c>
      <c r="F3649" t="s">
        <v>3814</v>
      </c>
      <c r="G3649" t="s">
        <v>9027</v>
      </c>
      <c r="H3649" t="s">
        <v>10464</v>
      </c>
      <c r="I3649" t="s">
        <v>11386</v>
      </c>
      <c r="J3649">
        <v>10023</v>
      </c>
      <c r="K3649" t="s">
        <v>11446</v>
      </c>
      <c r="L3649" t="s">
        <v>13233</v>
      </c>
      <c r="M3649" t="s">
        <v>14746</v>
      </c>
      <c r="N3649" t="s">
        <v>14778</v>
      </c>
      <c r="O3649" t="s">
        <v>14786</v>
      </c>
      <c r="P3649" t="s">
        <v>14803</v>
      </c>
      <c r="Q3649" t="s">
        <v>11448</v>
      </c>
      <c r="S3649" t="s">
        <v>14827</v>
      </c>
      <c r="U3649" t="s">
        <v>528</v>
      </c>
      <c r="V3649">
        <v>545.5599999999999</v>
      </c>
      <c r="W3649" t="s">
        <v>14860</v>
      </c>
      <c r="X3649" t="s">
        <v>14864</v>
      </c>
      <c r="Y3649" t="s">
        <v>14883</v>
      </c>
      <c r="Z3649" t="s">
        <v>16030</v>
      </c>
      <c r="AB3649" t="s">
        <v>23004</v>
      </c>
      <c r="AC3649">
        <v>30</v>
      </c>
      <c r="AD3649" t="s">
        <v>24595</v>
      </c>
      <c r="AE3649" t="s">
        <v>11459</v>
      </c>
      <c r="AF3649">
        <v>50</v>
      </c>
      <c r="AG3649">
        <v>1</v>
      </c>
      <c r="AH3649">
        <v>0</v>
      </c>
      <c r="AI3649">
        <v>103.67</v>
      </c>
      <c r="AL3649" t="s">
        <v>5011</v>
      </c>
      <c r="AM3649">
        <v>12948</v>
      </c>
      <c r="AS3649">
        <v>0</v>
      </c>
      <c r="AT3649" t="s">
        <v>644</v>
      </c>
      <c r="AU3649" t="s">
        <v>25276</v>
      </c>
      <c r="AV3649" t="s">
        <v>25335</v>
      </c>
      <c r="AW3649" t="s">
        <v>11447</v>
      </c>
    </row>
    <row r="3650" spans="1:49">
      <c r="A3650" s="1">
        <f>HYPERLINK("https://lsnyc.legalserver.org/matter/dynamic-profile/view/1910190","19-1910190")</f>
        <v>0</v>
      </c>
      <c r="B3650" t="s">
        <v>188</v>
      </c>
      <c r="C3650" t="s">
        <v>528</v>
      </c>
      <c r="D3650" t="s">
        <v>663</v>
      </c>
      <c r="E3650" t="s">
        <v>2859</v>
      </c>
      <c r="F3650" t="s">
        <v>5487</v>
      </c>
      <c r="G3650" t="s">
        <v>9028</v>
      </c>
      <c r="H3650" t="s">
        <v>10651</v>
      </c>
      <c r="I3650" t="s">
        <v>11386</v>
      </c>
      <c r="J3650">
        <v>10017</v>
      </c>
      <c r="K3650" t="s">
        <v>11446</v>
      </c>
      <c r="L3650" t="s">
        <v>13234</v>
      </c>
      <c r="M3650" t="s">
        <v>14744</v>
      </c>
      <c r="N3650" t="s">
        <v>14778</v>
      </c>
      <c r="O3650" t="s">
        <v>14786</v>
      </c>
      <c r="P3650" t="s">
        <v>14803</v>
      </c>
      <c r="Q3650" t="s">
        <v>11448</v>
      </c>
      <c r="S3650" t="s">
        <v>14827</v>
      </c>
      <c r="U3650" t="s">
        <v>528</v>
      </c>
      <c r="V3650">
        <v>1375</v>
      </c>
      <c r="W3650" t="s">
        <v>14860</v>
      </c>
      <c r="X3650" t="s">
        <v>14864</v>
      </c>
      <c r="Y3650" t="s">
        <v>14883</v>
      </c>
      <c r="Z3650" t="s">
        <v>17920</v>
      </c>
      <c r="AB3650" t="s">
        <v>23005</v>
      </c>
      <c r="AC3650">
        <v>310</v>
      </c>
      <c r="AD3650" t="s">
        <v>24595</v>
      </c>
      <c r="AE3650" t="s">
        <v>11459</v>
      </c>
      <c r="AF3650">
        <v>24</v>
      </c>
      <c r="AG3650">
        <v>1</v>
      </c>
      <c r="AH3650">
        <v>0</v>
      </c>
      <c r="AI3650">
        <v>118.49</v>
      </c>
      <c r="AL3650" t="s">
        <v>5011</v>
      </c>
      <c r="AM3650">
        <v>14800</v>
      </c>
      <c r="AS3650">
        <v>0</v>
      </c>
      <c r="AT3650" t="s">
        <v>644</v>
      </c>
      <c r="AU3650" t="s">
        <v>25276</v>
      </c>
      <c r="AV3650" t="s">
        <v>25335</v>
      </c>
      <c r="AW3650" t="s">
        <v>11447</v>
      </c>
    </row>
    <row r="3651" spans="1:49">
      <c r="A3651" s="1">
        <f>HYPERLINK("https://lsnyc.legalserver.org/matter/dynamic-profile/view/1910247","19-1910247")</f>
        <v>0</v>
      </c>
      <c r="B3651" t="s">
        <v>182</v>
      </c>
      <c r="C3651" t="s">
        <v>528</v>
      </c>
      <c r="D3651" t="s">
        <v>663</v>
      </c>
      <c r="E3651" t="s">
        <v>2860</v>
      </c>
      <c r="F3651" t="s">
        <v>5488</v>
      </c>
      <c r="G3651" t="s">
        <v>9029</v>
      </c>
      <c r="H3651" t="s">
        <v>10467</v>
      </c>
      <c r="I3651" t="s">
        <v>11386</v>
      </c>
      <c r="J3651">
        <v>10032</v>
      </c>
      <c r="K3651" t="s">
        <v>11446</v>
      </c>
      <c r="L3651" t="s">
        <v>13235</v>
      </c>
      <c r="M3651" t="s">
        <v>14744</v>
      </c>
      <c r="N3651" t="s">
        <v>14778</v>
      </c>
      <c r="O3651" t="s">
        <v>14786</v>
      </c>
      <c r="P3651" t="s">
        <v>14803</v>
      </c>
      <c r="Q3651" t="s">
        <v>11448</v>
      </c>
      <c r="S3651" t="s">
        <v>14827</v>
      </c>
      <c r="U3651" t="s">
        <v>528</v>
      </c>
      <c r="V3651">
        <v>1632.38</v>
      </c>
      <c r="W3651" t="s">
        <v>14860</v>
      </c>
      <c r="X3651" t="s">
        <v>14863</v>
      </c>
      <c r="Y3651" t="s">
        <v>14883</v>
      </c>
      <c r="Z3651" t="s">
        <v>17921</v>
      </c>
      <c r="AB3651" t="s">
        <v>23006</v>
      </c>
      <c r="AC3651">
        <v>33</v>
      </c>
      <c r="AD3651" t="s">
        <v>24595</v>
      </c>
      <c r="AE3651" t="s">
        <v>11459</v>
      </c>
      <c r="AF3651">
        <v>7</v>
      </c>
      <c r="AG3651">
        <v>1</v>
      </c>
      <c r="AH3651">
        <v>0</v>
      </c>
      <c r="AI3651">
        <v>128.1</v>
      </c>
      <c r="AL3651" t="s">
        <v>5011</v>
      </c>
      <c r="AM3651">
        <v>16000</v>
      </c>
      <c r="AS3651">
        <v>0</v>
      </c>
      <c r="AT3651" t="s">
        <v>644</v>
      </c>
      <c r="AU3651" t="s">
        <v>153</v>
      </c>
      <c r="AV3651" t="s">
        <v>25335</v>
      </c>
      <c r="AW3651" t="s">
        <v>11447</v>
      </c>
    </row>
    <row r="3652" spans="1:49">
      <c r="A3652" s="1">
        <f>HYPERLINK("https://lsnyc.legalserver.org/matter/dynamic-profile/view/1910227","19-1910227")</f>
        <v>0</v>
      </c>
      <c r="B3652" t="s">
        <v>188</v>
      </c>
      <c r="C3652" t="s">
        <v>528</v>
      </c>
      <c r="D3652" t="s">
        <v>663</v>
      </c>
      <c r="E3652" t="s">
        <v>2861</v>
      </c>
      <c r="F3652" t="s">
        <v>5489</v>
      </c>
      <c r="G3652" t="s">
        <v>9030</v>
      </c>
      <c r="H3652">
        <v>5</v>
      </c>
      <c r="I3652" t="s">
        <v>11386</v>
      </c>
      <c r="J3652">
        <v>10030</v>
      </c>
      <c r="K3652" t="s">
        <v>11446</v>
      </c>
      <c r="L3652" t="s">
        <v>13236</v>
      </c>
      <c r="M3652" t="s">
        <v>14743</v>
      </c>
      <c r="N3652" t="s">
        <v>14778</v>
      </c>
      <c r="O3652" t="s">
        <v>14786</v>
      </c>
      <c r="P3652" t="s">
        <v>14803</v>
      </c>
      <c r="Q3652" t="s">
        <v>11448</v>
      </c>
      <c r="S3652" t="s">
        <v>14827</v>
      </c>
      <c r="U3652" t="s">
        <v>604</v>
      </c>
      <c r="V3652">
        <v>1000</v>
      </c>
      <c r="W3652" t="s">
        <v>14860</v>
      </c>
      <c r="X3652" t="s">
        <v>14867</v>
      </c>
      <c r="Y3652" t="s">
        <v>14883</v>
      </c>
      <c r="Z3652" t="s">
        <v>15099</v>
      </c>
      <c r="AB3652" t="s">
        <v>23007</v>
      </c>
      <c r="AC3652">
        <v>42</v>
      </c>
      <c r="AD3652" t="s">
        <v>11479</v>
      </c>
      <c r="AE3652" t="s">
        <v>11459</v>
      </c>
      <c r="AF3652">
        <v>6</v>
      </c>
      <c r="AG3652">
        <v>1</v>
      </c>
      <c r="AH3652">
        <v>0</v>
      </c>
      <c r="AI3652">
        <v>249.8</v>
      </c>
      <c r="AL3652" t="s">
        <v>24632</v>
      </c>
      <c r="AM3652">
        <v>31200</v>
      </c>
      <c r="AS3652">
        <v>0</v>
      </c>
      <c r="AT3652" t="s">
        <v>644</v>
      </c>
      <c r="AU3652" t="s">
        <v>153</v>
      </c>
      <c r="AV3652" t="s">
        <v>25335</v>
      </c>
      <c r="AW3652" t="s">
        <v>11447</v>
      </c>
    </row>
    <row r="3653" spans="1:49">
      <c r="A3653" s="1">
        <f>HYPERLINK("https://lsnyc.legalserver.org/matter/dynamic-profile/view/1907013","19-1907013")</f>
        <v>0</v>
      </c>
      <c r="B3653" t="s">
        <v>217</v>
      </c>
      <c r="C3653" t="s">
        <v>626</v>
      </c>
      <c r="D3653" t="s">
        <v>467</v>
      </c>
      <c r="E3653" t="s">
        <v>2862</v>
      </c>
      <c r="F3653" t="s">
        <v>5490</v>
      </c>
      <c r="G3653" t="s">
        <v>9031</v>
      </c>
      <c r="H3653" t="s">
        <v>10516</v>
      </c>
      <c r="I3653" t="s">
        <v>11386</v>
      </c>
      <c r="J3653">
        <v>10001</v>
      </c>
      <c r="K3653" t="s">
        <v>11446</v>
      </c>
      <c r="L3653" t="s">
        <v>13237</v>
      </c>
      <c r="M3653" t="s">
        <v>14743</v>
      </c>
      <c r="N3653" t="s">
        <v>14778</v>
      </c>
      <c r="O3653" t="s">
        <v>14786</v>
      </c>
      <c r="P3653" t="s">
        <v>14803</v>
      </c>
      <c r="Q3653" t="s">
        <v>11448</v>
      </c>
      <c r="S3653" t="s">
        <v>14828</v>
      </c>
      <c r="T3653" t="s">
        <v>14832</v>
      </c>
      <c r="U3653" t="s">
        <v>626</v>
      </c>
      <c r="V3653">
        <v>356</v>
      </c>
      <c r="W3653" t="s">
        <v>14860</v>
      </c>
      <c r="X3653" t="s">
        <v>14865</v>
      </c>
      <c r="Y3653" t="s">
        <v>14883</v>
      </c>
      <c r="Z3653" t="s">
        <v>17922</v>
      </c>
      <c r="AB3653" t="s">
        <v>23008</v>
      </c>
      <c r="AC3653">
        <v>223</v>
      </c>
      <c r="AD3653" t="s">
        <v>24602</v>
      </c>
      <c r="AE3653" t="s">
        <v>11459</v>
      </c>
      <c r="AF3653">
        <v>4</v>
      </c>
      <c r="AG3653">
        <v>1</v>
      </c>
      <c r="AH3653">
        <v>0</v>
      </c>
      <c r="AI3653">
        <v>18.73</v>
      </c>
      <c r="AL3653" t="s">
        <v>5011</v>
      </c>
      <c r="AM3653">
        <v>2340</v>
      </c>
      <c r="AS3653">
        <v>1.4</v>
      </c>
      <c r="AT3653" t="s">
        <v>464</v>
      </c>
      <c r="AU3653" t="s">
        <v>25266</v>
      </c>
      <c r="AV3653" t="s">
        <v>25335</v>
      </c>
      <c r="AW3653" t="s">
        <v>11447</v>
      </c>
    </row>
    <row r="3654" spans="1:49">
      <c r="A3654" s="1">
        <f>HYPERLINK("https://lsnyc.legalserver.org/matter/dynamic-profile/view/1906993","19-1906993")</f>
        <v>0</v>
      </c>
      <c r="B3654" t="s">
        <v>217</v>
      </c>
      <c r="C3654" t="s">
        <v>626</v>
      </c>
      <c r="D3654" t="s">
        <v>467</v>
      </c>
      <c r="E3654" t="s">
        <v>1330</v>
      </c>
      <c r="F3654" t="s">
        <v>4152</v>
      </c>
      <c r="G3654" t="s">
        <v>9032</v>
      </c>
      <c r="H3654" t="s">
        <v>10951</v>
      </c>
      <c r="I3654" t="s">
        <v>11386</v>
      </c>
      <c r="J3654">
        <v>10033</v>
      </c>
      <c r="K3654" t="s">
        <v>11446</v>
      </c>
      <c r="L3654" t="s">
        <v>13238</v>
      </c>
      <c r="M3654" t="s">
        <v>14743</v>
      </c>
      <c r="N3654" t="s">
        <v>14778</v>
      </c>
      <c r="O3654" t="s">
        <v>14786</v>
      </c>
      <c r="P3654" t="s">
        <v>14803</v>
      </c>
      <c r="Q3654" t="s">
        <v>11448</v>
      </c>
      <c r="S3654" t="s">
        <v>14827</v>
      </c>
      <c r="U3654" t="s">
        <v>626</v>
      </c>
      <c r="V3654">
        <v>1050</v>
      </c>
      <c r="W3654" t="s">
        <v>14860</v>
      </c>
      <c r="X3654" t="s">
        <v>14865</v>
      </c>
      <c r="Y3654" t="s">
        <v>14883</v>
      </c>
      <c r="Z3654" t="s">
        <v>17923</v>
      </c>
      <c r="AB3654" t="s">
        <v>23009</v>
      </c>
      <c r="AC3654">
        <v>0</v>
      </c>
      <c r="AD3654" t="s">
        <v>24595</v>
      </c>
      <c r="AE3654" t="s">
        <v>11459</v>
      </c>
      <c r="AF3654">
        <v>7</v>
      </c>
      <c r="AG3654">
        <v>2</v>
      </c>
      <c r="AH3654">
        <v>0</v>
      </c>
      <c r="AI3654">
        <v>107.87</v>
      </c>
      <c r="AL3654" t="s">
        <v>24632</v>
      </c>
      <c r="AM3654">
        <v>18240</v>
      </c>
      <c r="AS3654">
        <v>2.15</v>
      </c>
      <c r="AT3654" t="s">
        <v>519</v>
      </c>
      <c r="AU3654" t="s">
        <v>25276</v>
      </c>
      <c r="AV3654" t="s">
        <v>25335</v>
      </c>
      <c r="AW3654" t="s">
        <v>11447</v>
      </c>
    </row>
    <row r="3655" spans="1:49">
      <c r="A3655" s="1">
        <f>HYPERLINK("https://lsnyc.legalserver.org/matter/dynamic-profile/view/1907061","19-1907061")</f>
        <v>0</v>
      </c>
      <c r="B3655" t="s">
        <v>217</v>
      </c>
      <c r="C3655" t="s">
        <v>626</v>
      </c>
      <c r="D3655" t="s">
        <v>467</v>
      </c>
      <c r="E3655" t="s">
        <v>2863</v>
      </c>
      <c r="F3655" t="s">
        <v>3649</v>
      </c>
      <c r="G3655" t="s">
        <v>9033</v>
      </c>
      <c r="H3655" t="s">
        <v>10936</v>
      </c>
      <c r="I3655" t="s">
        <v>11386</v>
      </c>
      <c r="J3655">
        <v>10030</v>
      </c>
      <c r="K3655" t="s">
        <v>11446</v>
      </c>
      <c r="L3655" t="s">
        <v>13239</v>
      </c>
      <c r="M3655" t="s">
        <v>14743</v>
      </c>
      <c r="N3655" t="s">
        <v>14778</v>
      </c>
      <c r="O3655" t="s">
        <v>14786</v>
      </c>
      <c r="P3655" t="s">
        <v>14803</v>
      </c>
      <c r="Q3655" t="s">
        <v>11448</v>
      </c>
      <c r="S3655" t="s">
        <v>14827</v>
      </c>
      <c r="T3655" t="s">
        <v>14832</v>
      </c>
      <c r="U3655" t="s">
        <v>626</v>
      </c>
      <c r="V3655">
        <v>829</v>
      </c>
      <c r="W3655" t="s">
        <v>14860</v>
      </c>
      <c r="X3655" t="s">
        <v>14865</v>
      </c>
      <c r="Y3655" t="s">
        <v>14883</v>
      </c>
      <c r="Z3655" t="s">
        <v>17924</v>
      </c>
      <c r="AB3655" t="s">
        <v>23010</v>
      </c>
      <c r="AC3655">
        <v>240</v>
      </c>
      <c r="AD3655" t="s">
        <v>24595</v>
      </c>
      <c r="AE3655" t="s">
        <v>24610</v>
      </c>
      <c r="AF3655">
        <v>45</v>
      </c>
      <c r="AG3655">
        <v>1</v>
      </c>
      <c r="AH3655">
        <v>0</v>
      </c>
      <c r="AI3655">
        <v>166.53</v>
      </c>
      <c r="AL3655" t="s">
        <v>5011</v>
      </c>
      <c r="AM3655">
        <v>20800</v>
      </c>
      <c r="AS3655">
        <v>1.3</v>
      </c>
      <c r="AT3655" t="s">
        <v>602</v>
      </c>
      <c r="AU3655" t="s">
        <v>25276</v>
      </c>
      <c r="AV3655" t="s">
        <v>25335</v>
      </c>
      <c r="AW3655" t="s">
        <v>11447</v>
      </c>
    </row>
    <row r="3656" spans="1:49">
      <c r="A3656" s="1">
        <f>HYPERLINK("https://lsnyc.legalserver.org/matter/dynamic-profile/view/1907043","19-1907043")</f>
        <v>0</v>
      </c>
      <c r="B3656" t="s">
        <v>217</v>
      </c>
      <c r="C3656" t="s">
        <v>626</v>
      </c>
      <c r="D3656" t="s">
        <v>467</v>
      </c>
      <c r="E3656" t="s">
        <v>2864</v>
      </c>
      <c r="F3656" t="s">
        <v>5491</v>
      </c>
      <c r="G3656" t="s">
        <v>9034</v>
      </c>
      <c r="H3656">
        <v>1</v>
      </c>
      <c r="I3656" t="s">
        <v>11386</v>
      </c>
      <c r="J3656">
        <v>10029</v>
      </c>
      <c r="K3656" t="s">
        <v>11446</v>
      </c>
      <c r="L3656" t="s">
        <v>13240</v>
      </c>
      <c r="M3656" t="s">
        <v>14743</v>
      </c>
      <c r="N3656" t="s">
        <v>14778</v>
      </c>
      <c r="O3656" t="s">
        <v>14786</v>
      </c>
      <c r="P3656" t="s">
        <v>14803</v>
      </c>
      <c r="Q3656" t="s">
        <v>11448</v>
      </c>
      <c r="S3656" t="s">
        <v>14827</v>
      </c>
      <c r="U3656" t="s">
        <v>626</v>
      </c>
      <c r="V3656">
        <v>2900</v>
      </c>
      <c r="W3656" t="s">
        <v>14860</v>
      </c>
      <c r="X3656" t="s">
        <v>14864</v>
      </c>
      <c r="Y3656" t="s">
        <v>14883</v>
      </c>
      <c r="Z3656" t="s">
        <v>17925</v>
      </c>
      <c r="AB3656" t="s">
        <v>23011</v>
      </c>
      <c r="AC3656">
        <v>3</v>
      </c>
      <c r="AD3656" t="s">
        <v>11479</v>
      </c>
      <c r="AE3656" t="s">
        <v>11459</v>
      </c>
      <c r="AF3656">
        <v>1</v>
      </c>
      <c r="AG3656">
        <v>2</v>
      </c>
      <c r="AH3656">
        <v>0</v>
      </c>
      <c r="AI3656">
        <v>418.1</v>
      </c>
      <c r="AL3656" t="s">
        <v>5011</v>
      </c>
      <c r="AM3656">
        <v>70700</v>
      </c>
      <c r="AS3656">
        <v>1</v>
      </c>
      <c r="AT3656" t="s">
        <v>626</v>
      </c>
      <c r="AU3656" t="s">
        <v>25276</v>
      </c>
      <c r="AV3656" t="s">
        <v>25335</v>
      </c>
      <c r="AW3656" t="s">
        <v>11447</v>
      </c>
    </row>
    <row r="3657" spans="1:49">
      <c r="A3657" s="1">
        <f>HYPERLINK("https://lsnyc.legalserver.org/matter/dynamic-profile/view/1907032","19-1907032")</f>
        <v>0</v>
      </c>
      <c r="B3657" t="s">
        <v>223</v>
      </c>
      <c r="C3657" t="s">
        <v>626</v>
      </c>
      <c r="D3657" t="s">
        <v>486</v>
      </c>
      <c r="E3657" t="s">
        <v>2865</v>
      </c>
      <c r="F3657" t="s">
        <v>1375</v>
      </c>
      <c r="G3657" t="s">
        <v>9035</v>
      </c>
      <c r="H3657" t="s">
        <v>10489</v>
      </c>
      <c r="I3657" t="s">
        <v>11386</v>
      </c>
      <c r="J3657">
        <v>10009</v>
      </c>
      <c r="K3657" t="s">
        <v>11446</v>
      </c>
      <c r="L3657" t="s">
        <v>13241</v>
      </c>
      <c r="M3657" t="s">
        <v>14744</v>
      </c>
      <c r="N3657" t="s">
        <v>14778</v>
      </c>
      <c r="O3657" t="s">
        <v>14786</v>
      </c>
      <c r="P3657" t="s">
        <v>14803</v>
      </c>
      <c r="Q3657" t="s">
        <v>11448</v>
      </c>
      <c r="S3657" t="s">
        <v>14828</v>
      </c>
      <c r="T3657" t="s">
        <v>14832</v>
      </c>
      <c r="U3657" t="s">
        <v>626</v>
      </c>
      <c r="V3657">
        <v>342</v>
      </c>
      <c r="W3657" t="s">
        <v>14860</v>
      </c>
      <c r="X3657" t="s">
        <v>14865</v>
      </c>
      <c r="Y3657" t="s">
        <v>14883</v>
      </c>
      <c r="Z3657" t="s">
        <v>17926</v>
      </c>
      <c r="AA3657" t="s">
        <v>19778</v>
      </c>
      <c r="AB3657" t="s">
        <v>23012</v>
      </c>
      <c r="AC3657">
        <v>33</v>
      </c>
      <c r="AD3657" t="s">
        <v>24602</v>
      </c>
      <c r="AE3657" t="s">
        <v>11459</v>
      </c>
      <c r="AF3657">
        <v>1</v>
      </c>
      <c r="AG3657">
        <v>1</v>
      </c>
      <c r="AH3657">
        <v>2</v>
      </c>
      <c r="AI3657">
        <v>19.14</v>
      </c>
      <c r="AL3657" t="s">
        <v>5011</v>
      </c>
      <c r="AM3657">
        <v>4082</v>
      </c>
      <c r="AS3657">
        <v>0.1</v>
      </c>
      <c r="AT3657" t="s">
        <v>486</v>
      </c>
      <c r="AU3657" t="s">
        <v>25266</v>
      </c>
      <c r="AV3657" t="s">
        <v>25334</v>
      </c>
      <c r="AW3657" t="s">
        <v>11447</v>
      </c>
    </row>
    <row r="3658" spans="1:49">
      <c r="A3658" s="1">
        <f>HYPERLINK("https://lsnyc.legalserver.org/matter/dynamic-profile/view/1907050","19-1907050")</f>
        <v>0</v>
      </c>
      <c r="B3658" t="s">
        <v>247</v>
      </c>
      <c r="C3658" t="s">
        <v>626</v>
      </c>
      <c r="D3658" t="s">
        <v>486</v>
      </c>
      <c r="E3658" t="s">
        <v>1086</v>
      </c>
      <c r="F3658" t="s">
        <v>5492</v>
      </c>
      <c r="G3658" t="s">
        <v>9036</v>
      </c>
      <c r="H3658" t="s">
        <v>10934</v>
      </c>
      <c r="I3658" t="s">
        <v>11386</v>
      </c>
      <c r="J3658">
        <v>10035</v>
      </c>
      <c r="K3658" t="s">
        <v>11446</v>
      </c>
      <c r="L3658" t="s">
        <v>13242</v>
      </c>
      <c r="M3658" t="s">
        <v>14744</v>
      </c>
      <c r="N3658" t="s">
        <v>14778</v>
      </c>
      <c r="O3658" t="s">
        <v>14786</v>
      </c>
      <c r="P3658" t="s">
        <v>14803</v>
      </c>
      <c r="Q3658" t="s">
        <v>11448</v>
      </c>
      <c r="S3658" t="s">
        <v>14827</v>
      </c>
      <c r="U3658" t="s">
        <v>626</v>
      </c>
      <c r="V3658">
        <v>3257</v>
      </c>
      <c r="W3658" t="s">
        <v>14860</v>
      </c>
      <c r="X3658" t="s">
        <v>14864</v>
      </c>
      <c r="Y3658" t="s">
        <v>14883</v>
      </c>
      <c r="Z3658" t="s">
        <v>17927</v>
      </c>
      <c r="AA3658" t="s">
        <v>19779</v>
      </c>
      <c r="AB3658" t="s">
        <v>23013</v>
      </c>
      <c r="AC3658">
        <v>135</v>
      </c>
      <c r="AD3658" t="s">
        <v>24604</v>
      </c>
      <c r="AE3658" t="s">
        <v>24610</v>
      </c>
      <c r="AF3658">
        <v>20</v>
      </c>
      <c r="AG3658">
        <v>2</v>
      </c>
      <c r="AH3658">
        <v>0</v>
      </c>
      <c r="AI3658">
        <v>131.87</v>
      </c>
      <c r="AL3658" t="s">
        <v>5011</v>
      </c>
      <c r="AM3658">
        <v>22300</v>
      </c>
      <c r="AS3658">
        <v>0.1</v>
      </c>
      <c r="AT3658" t="s">
        <v>486</v>
      </c>
      <c r="AU3658" t="s">
        <v>25276</v>
      </c>
      <c r="AV3658" t="s">
        <v>25334</v>
      </c>
      <c r="AW3658" t="s">
        <v>11447</v>
      </c>
    </row>
    <row r="3659" spans="1:49">
      <c r="A3659" s="1">
        <f>HYPERLINK("https://lsnyc.legalserver.org/matter/dynamic-profile/view/1880744","18-1880744")</f>
        <v>0</v>
      </c>
      <c r="B3659" t="s">
        <v>249</v>
      </c>
      <c r="C3659" t="s">
        <v>820</v>
      </c>
      <c r="D3659" t="s">
        <v>505</v>
      </c>
      <c r="E3659" t="s">
        <v>2866</v>
      </c>
      <c r="F3659" t="s">
        <v>5493</v>
      </c>
      <c r="G3659" t="s">
        <v>9037</v>
      </c>
      <c r="H3659">
        <v>403</v>
      </c>
      <c r="I3659" t="s">
        <v>11386</v>
      </c>
      <c r="J3659">
        <v>10033</v>
      </c>
      <c r="K3659" t="s">
        <v>11446</v>
      </c>
      <c r="L3659" t="s">
        <v>13243</v>
      </c>
      <c r="M3659" t="s">
        <v>14743</v>
      </c>
      <c r="N3659" t="s">
        <v>14778</v>
      </c>
      <c r="O3659" t="s">
        <v>14786</v>
      </c>
      <c r="P3659" t="s">
        <v>14803</v>
      </c>
      <c r="Q3659" t="s">
        <v>11448</v>
      </c>
      <c r="S3659" t="s">
        <v>14827</v>
      </c>
      <c r="U3659" t="s">
        <v>14839</v>
      </c>
      <c r="V3659">
        <v>0</v>
      </c>
      <c r="W3659" t="s">
        <v>14860</v>
      </c>
      <c r="X3659" t="s">
        <v>14865</v>
      </c>
      <c r="Y3659" t="s">
        <v>14883</v>
      </c>
      <c r="Z3659" t="s">
        <v>17928</v>
      </c>
      <c r="AA3659" t="s">
        <v>19780</v>
      </c>
      <c r="AB3659" t="s">
        <v>23014</v>
      </c>
      <c r="AC3659">
        <v>0</v>
      </c>
      <c r="AF3659">
        <v>4</v>
      </c>
      <c r="AG3659">
        <v>1</v>
      </c>
      <c r="AH3659">
        <v>0</v>
      </c>
      <c r="AI3659">
        <v>22.73</v>
      </c>
      <c r="AK3659" t="s">
        <v>24629</v>
      </c>
      <c r="AL3659" t="s">
        <v>5011</v>
      </c>
      <c r="AM3659">
        <v>2760</v>
      </c>
      <c r="AS3659">
        <v>1.7</v>
      </c>
      <c r="AT3659" t="s">
        <v>25170</v>
      </c>
      <c r="AU3659" t="s">
        <v>118</v>
      </c>
      <c r="AV3659" t="s">
        <v>25334</v>
      </c>
      <c r="AW3659" t="s">
        <v>11447</v>
      </c>
    </row>
    <row r="3660" spans="1:49">
      <c r="A3660" s="1">
        <f>HYPERLINK("https://lsnyc.legalserver.org/matter/dynamic-profile/view/1880804","18-1880804")</f>
        <v>0</v>
      </c>
      <c r="B3660" t="s">
        <v>249</v>
      </c>
      <c r="C3660" t="s">
        <v>820</v>
      </c>
      <c r="D3660" t="s">
        <v>505</v>
      </c>
      <c r="E3660" t="s">
        <v>2867</v>
      </c>
      <c r="F3660" t="s">
        <v>3877</v>
      </c>
      <c r="G3660" t="s">
        <v>9038</v>
      </c>
      <c r="H3660" t="s">
        <v>10855</v>
      </c>
      <c r="I3660" t="s">
        <v>11386</v>
      </c>
      <c r="J3660">
        <v>10023</v>
      </c>
      <c r="K3660" t="s">
        <v>11446</v>
      </c>
      <c r="L3660" t="s">
        <v>13244</v>
      </c>
      <c r="M3660" t="s">
        <v>14744</v>
      </c>
      <c r="N3660" t="s">
        <v>14778</v>
      </c>
      <c r="O3660" t="s">
        <v>14786</v>
      </c>
      <c r="P3660" t="s">
        <v>14803</v>
      </c>
      <c r="Q3660" t="s">
        <v>11448</v>
      </c>
      <c r="S3660" t="s">
        <v>14827</v>
      </c>
      <c r="U3660" t="s">
        <v>14839</v>
      </c>
      <c r="V3660">
        <v>1057</v>
      </c>
      <c r="W3660" t="s">
        <v>14860</v>
      </c>
      <c r="Y3660" t="s">
        <v>14883</v>
      </c>
      <c r="Z3660" t="s">
        <v>17929</v>
      </c>
      <c r="AB3660" t="s">
        <v>23015</v>
      </c>
      <c r="AC3660">
        <v>0</v>
      </c>
      <c r="AD3660" t="s">
        <v>24597</v>
      </c>
      <c r="AE3660" t="s">
        <v>11459</v>
      </c>
      <c r="AF3660">
        <v>5</v>
      </c>
      <c r="AG3660">
        <v>2</v>
      </c>
      <c r="AH3660">
        <v>1</v>
      </c>
      <c r="AI3660">
        <v>182.87</v>
      </c>
      <c r="AM3660">
        <v>38000</v>
      </c>
      <c r="AS3660">
        <v>1</v>
      </c>
      <c r="AT3660" t="s">
        <v>433</v>
      </c>
      <c r="AU3660" t="s">
        <v>118</v>
      </c>
      <c r="AV3660" t="s">
        <v>25335</v>
      </c>
      <c r="AW3660" t="s">
        <v>11447</v>
      </c>
    </row>
    <row r="3661" spans="1:49">
      <c r="A3661" s="1">
        <f>HYPERLINK("https://lsnyc.legalserver.org/matter/dynamic-profile/view/1912227","19-1912227")</f>
        <v>0</v>
      </c>
      <c r="B3661" t="s">
        <v>175</v>
      </c>
      <c r="C3661" t="s">
        <v>559</v>
      </c>
      <c r="D3661" t="s">
        <v>559</v>
      </c>
      <c r="E3661" t="s">
        <v>1372</v>
      </c>
      <c r="F3661" t="s">
        <v>3547</v>
      </c>
      <c r="G3661" t="s">
        <v>9039</v>
      </c>
      <c r="H3661" t="s">
        <v>11163</v>
      </c>
      <c r="I3661" t="s">
        <v>11386</v>
      </c>
      <c r="J3661">
        <v>10002</v>
      </c>
      <c r="K3661" t="s">
        <v>11446</v>
      </c>
      <c r="M3661" t="s">
        <v>11601</v>
      </c>
      <c r="N3661" t="s">
        <v>14778</v>
      </c>
      <c r="O3661" t="s">
        <v>14786</v>
      </c>
      <c r="P3661" t="s">
        <v>14803</v>
      </c>
      <c r="Q3661" t="s">
        <v>11448</v>
      </c>
      <c r="S3661" t="s">
        <v>14827</v>
      </c>
      <c r="U3661" t="s">
        <v>559</v>
      </c>
      <c r="V3661">
        <v>553</v>
      </c>
      <c r="W3661" t="s">
        <v>14860</v>
      </c>
      <c r="X3661" t="s">
        <v>14876</v>
      </c>
      <c r="Y3661" t="s">
        <v>14883</v>
      </c>
      <c r="Z3661" t="s">
        <v>17930</v>
      </c>
      <c r="AB3661" t="s">
        <v>23016</v>
      </c>
      <c r="AC3661">
        <v>0</v>
      </c>
      <c r="AD3661" t="s">
        <v>24595</v>
      </c>
      <c r="AE3661" t="s">
        <v>14755</v>
      </c>
      <c r="AF3661">
        <v>35</v>
      </c>
      <c r="AG3661">
        <v>3</v>
      </c>
      <c r="AH3661">
        <v>0</v>
      </c>
      <c r="AI3661">
        <v>255.23</v>
      </c>
      <c r="AL3661" t="s">
        <v>5011</v>
      </c>
      <c r="AM3661">
        <v>54440</v>
      </c>
      <c r="AS3661">
        <v>1</v>
      </c>
      <c r="AT3661" t="s">
        <v>551</v>
      </c>
      <c r="AU3661" t="s">
        <v>137</v>
      </c>
      <c r="AV3661" t="s">
        <v>25335</v>
      </c>
      <c r="AW3661" t="s">
        <v>11447</v>
      </c>
    </row>
    <row r="3662" spans="1:49">
      <c r="A3662" s="1">
        <f>HYPERLINK("https://lsnyc.legalserver.org/matter/dynamic-profile/view/1912887","19-1912887")</f>
        <v>0</v>
      </c>
      <c r="B3662" t="s">
        <v>309</v>
      </c>
      <c r="C3662" t="s">
        <v>574</v>
      </c>
      <c r="D3662" t="s">
        <v>574</v>
      </c>
      <c r="E3662" t="s">
        <v>1528</v>
      </c>
      <c r="F3662" t="s">
        <v>5494</v>
      </c>
      <c r="G3662" t="s">
        <v>9040</v>
      </c>
      <c r="I3662" t="s">
        <v>11386</v>
      </c>
      <c r="J3662">
        <v>10011</v>
      </c>
      <c r="K3662" t="s">
        <v>11446</v>
      </c>
      <c r="L3662" t="s">
        <v>13245</v>
      </c>
      <c r="M3662" t="s">
        <v>14746</v>
      </c>
      <c r="N3662" t="s">
        <v>14778</v>
      </c>
      <c r="O3662" t="s">
        <v>14786</v>
      </c>
      <c r="P3662" t="s">
        <v>14803</v>
      </c>
      <c r="Q3662" t="s">
        <v>11448</v>
      </c>
      <c r="S3662" t="s">
        <v>14827</v>
      </c>
      <c r="T3662" t="s">
        <v>14832</v>
      </c>
      <c r="U3662" t="s">
        <v>574</v>
      </c>
      <c r="V3662">
        <v>788.66</v>
      </c>
      <c r="W3662" t="s">
        <v>14860</v>
      </c>
      <c r="X3662" t="s">
        <v>14864</v>
      </c>
      <c r="Y3662" t="s">
        <v>14883</v>
      </c>
      <c r="Z3662" t="s">
        <v>17931</v>
      </c>
      <c r="AB3662" t="s">
        <v>23017</v>
      </c>
      <c r="AC3662">
        <v>13</v>
      </c>
      <c r="AD3662" t="s">
        <v>24599</v>
      </c>
      <c r="AE3662" t="s">
        <v>11459</v>
      </c>
      <c r="AF3662">
        <v>45</v>
      </c>
      <c r="AG3662">
        <v>1</v>
      </c>
      <c r="AH3662">
        <v>0</v>
      </c>
      <c r="AI3662">
        <v>200.16</v>
      </c>
      <c r="AL3662" t="s">
        <v>5011</v>
      </c>
      <c r="AM3662">
        <v>25000</v>
      </c>
      <c r="AS3662">
        <v>0.75</v>
      </c>
      <c r="AT3662" t="s">
        <v>574</v>
      </c>
      <c r="AU3662" t="s">
        <v>25266</v>
      </c>
      <c r="AV3662" t="s">
        <v>25335</v>
      </c>
      <c r="AW3662" t="s">
        <v>11447</v>
      </c>
    </row>
    <row r="3663" spans="1:49">
      <c r="A3663" s="1">
        <f>HYPERLINK("https://lsnyc.legalserver.org/matter/dynamic-profile/view/1905976","19-1905976")</f>
        <v>0</v>
      </c>
      <c r="B3663" t="s">
        <v>247</v>
      </c>
      <c r="C3663" t="s">
        <v>461</v>
      </c>
      <c r="D3663" t="s">
        <v>515</v>
      </c>
      <c r="E3663" t="s">
        <v>2868</v>
      </c>
      <c r="F3663" t="s">
        <v>3885</v>
      </c>
      <c r="G3663" t="s">
        <v>9041</v>
      </c>
      <c r="H3663" t="s">
        <v>10719</v>
      </c>
      <c r="I3663" t="s">
        <v>11386</v>
      </c>
      <c r="J3663">
        <v>10035</v>
      </c>
      <c r="K3663" t="s">
        <v>11446</v>
      </c>
      <c r="L3663" t="s">
        <v>13246</v>
      </c>
      <c r="M3663" t="s">
        <v>14743</v>
      </c>
      <c r="N3663" t="s">
        <v>14778</v>
      </c>
      <c r="O3663" t="s">
        <v>14786</v>
      </c>
      <c r="P3663" t="s">
        <v>14803</v>
      </c>
      <c r="Q3663" t="s">
        <v>11448</v>
      </c>
      <c r="S3663" t="s">
        <v>14828</v>
      </c>
      <c r="U3663" t="s">
        <v>461</v>
      </c>
      <c r="V3663">
        <v>214</v>
      </c>
      <c r="W3663" t="s">
        <v>14860</v>
      </c>
      <c r="X3663" t="s">
        <v>14864</v>
      </c>
      <c r="Y3663" t="s">
        <v>14883</v>
      </c>
      <c r="Z3663" t="s">
        <v>17319</v>
      </c>
      <c r="AA3663" t="s">
        <v>19781</v>
      </c>
      <c r="AB3663" t="s">
        <v>23018</v>
      </c>
      <c r="AC3663">
        <v>36</v>
      </c>
      <c r="AD3663" t="s">
        <v>24597</v>
      </c>
      <c r="AE3663" t="s">
        <v>11459</v>
      </c>
      <c r="AF3663">
        <v>7</v>
      </c>
      <c r="AG3663">
        <v>1</v>
      </c>
      <c r="AH3663">
        <v>0</v>
      </c>
      <c r="AI3663">
        <v>62.45</v>
      </c>
      <c r="AL3663" t="s">
        <v>5011</v>
      </c>
      <c r="AM3663">
        <v>7800</v>
      </c>
      <c r="AS3663">
        <v>0.9</v>
      </c>
      <c r="AT3663" t="s">
        <v>373</v>
      </c>
      <c r="AU3663" t="s">
        <v>25276</v>
      </c>
      <c r="AV3663" t="s">
        <v>25334</v>
      </c>
      <c r="AW3663" t="s">
        <v>11447</v>
      </c>
    </row>
    <row r="3664" spans="1:49">
      <c r="A3664" s="1">
        <f>HYPERLINK("https://lsnyc.legalserver.org/matter/dynamic-profile/view/1907000","19-1907000")</f>
        <v>0</v>
      </c>
      <c r="B3664" t="s">
        <v>223</v>
      </c>
      <c r="C3664" t="s">
        <v>626</v>
      </c>
      <c r="D3664" t="s">
        <v>515</v>
      </c>
      <c r="E3664" t="s">
        <v>1713</v>
      </c>
      <c r="F3664" t="s">
        <v>5495</v>
      </c>
      <c r="G3664" t="s">
        <v>9042</v>
      </c>
      <c r="H3664" t="s">
        <v>10677</v>
      </c>
      <c r="I3664" t="s">
        <v>11386</v>
      </c>
      <c r="J3664">
        <v>10036</v>
      </c>
      <c r="K3664" t="s">
        <v>11446</v>
      </c>
      <c r="L3664" t="s">
        <v>13247</v>
      </c>
      <c r="M3664" t="s">
        <v>14744</v>
      </c>
      <c r="N3664" t="s">
        <v>14778</v>
      </c>
      <c r="O3664" t="s">
        <v>14786</v>
      </c>
      <c r="P3664" t="s">
        <v>14803</v>
      </c>
      <c r="Q3664" t="s">
        <v>11448</v>
      </c>
      <c r="S3664" t="s">
        <v>14827</v>
      </c>
      <c r="T3664" t="s">
        <v>14832</v>
      </c>
      <c r="U3664" t="s">
        <v>626</v>
      </c>
      <c r="V3664">
        <v>503</v>
      </c>
      <c r="W3664" t="s">
        <v>14860</v>
      </c>
      <c r="X3664" t="s">
        <v>14865</v>
      </c>
      <c r="Y3664" t="s">
        <v>14883</v>
      </c>
      <c r="Z3664" t="s">
        <v>17932</v>
      </c>
      <c r="AB3664" t="s">
        <v>23019</v>
      </c>
      <c r="AC3664">
        <v>683</v>
      </c>
      <c r="AD3664" t="s">
        <v>24599</v>
      </c>
      <c r="AE3664" t="s">
        <v>11459</v>
      </c>
      <c r="AF3664">
        <v>8</v>
      </c>
      <c r="AG3664">
        <v>1</v>
      </c>
      <c r="AH3664">
        <v>0</v>
      </c>
      <c r="AI3664">
        <v>122.79</v>
      </c>
      <c r="AL3664" t="s">
        <v>5011</v>
      </c>
      <c r="AM3664">
        <v>15336</v>
      </c>
      <c r="AS3664">
        <v>2.3</v>
      </c>
      <c r="AT3664" t="s">
        <v>515</v>
      </c>
      <c r="AU3664" t="s">
        <v>25266</v>
      </c>
      <c r="AV3664" t="s">
        <v>25335</v>
      </c>
      <c r="AW3664" t="s">
        <v>11447</v>
      </c>
    </row>
    <row r="3665" spans="1:49">
      <c r="A3665" s="1">
        <f>HYPERLINK("https://lsnyc.legalserver.org/matter/dynamic-profile/view/1907062","19-1907062")</f>
        <v>0</v>
      </c>
      <c r="B3665" t="s">
        <v>247</v>
      </c>
      <c r="C3665" t="s">
        <v>626</v>
      </c>
      <c r="D3665" t="s">
        <v>515</v>
      </c>
      <c r="E3665" t="s">
        <v>2869</v>
      </c>
      <c r="F3665" t="s">
        <v>3587</v>
      </c>
      <c r="G3665" t="s">
        <v>9043</v>
      </c>
      <c r="H3665">
        <v>1024</v>
      </c>
      <c r="I3665" t="s">
        <v>11386</v>
      </c>
      <c r="J3665">
        <v>10001</v>
      </c>
      <c r="K3665" t="s">
        <v>11446</v>
      </c>
      <c r="L3665" t="s">
        <v>13248</v>
      </c>
      <c r="M3665" t="s">
        <v>14743</v>
      </c>
      <c r="N3665" t="s">
        <v>14778</v>
      </c>
      <c r="O3665" t="s">
        <v>14786</v>
      </c>
      <c r="P3665" t="s">
        <v>14803</v>
      </c>
      <c r="Q3665" t="s">
        <v>11448</v>
      </c>
      <c r="S3665" t="s">
        <v>14827</v>
      </c>
      <c r="U3665" t="s">
        <v>626</v>
      </c>
      <c r="V3665">
        <v>1200</v>
      </c>
      <c r="W3665" t="s">
        <v>14860</v>
      </c>
      <c r="X3665" t="s">
        <v>14864</v>
      </c>
      <c r="Y3665" t="s">
        <v>14883</v>
      </c>
      <c r="Z3665" t="s">
        <v>17933</v>
      </c>
      <c r="AB3665" t="s">
        <v>23020</v>
      </c>
      <c r="AC3665">
        <v>390</v>
      </c>
      <c r="AD3665" t="s">
        <v>11479</v>
      </c>
      <c r="AE3665" t="s">
        <v>11459</v>
      </c>
      <c r="AF3665">
        <v>1</v>
      </c>
      <c r="AG3665">
        <v>1</v>
      </c>
      <c r="AH3665">
        <v>0</v>
      </c>
      <c r="AI3665">
        <v>280.22</v>
      </c>
      <c r="AL3665" t="s">
        <v>5011</v>
      </c>
      <c r="AM3665">
        <v>35000</v>
      </c>
      <c r="AS3665">
        <v>0.1</v>
      </c>
      <c r="AT3665" t="s">
        <v>515</v>
      </c>
      <c r="AU3665" t="s">
        <v>25266</v>
      </c>
      <c r="AV3665" t="s">
        <v>25335</v>
      </c>
      <c r="AW3665" t="s">
        <v>11447</v>
      </c>
    </row>
    <row r="3666" spans="1:49">
      <c r="A3666" s="1">
        <f>HYPERLINK("https://lsnyc.legalserver.org/matter/dynamic-profile/view/1912294","19-1912294")</f>
        <v>0</v>
      </c>
      <c r="B3666" t="s">
        <v>194</v>
      </c>
      <c r="C3666" t="s">
        <v>473</v>
      </c>
      <c r="D3666" t="s">
        <v>483</v>
      </c>
      <c r="E3666" t="s">
        <v>1088</v>
      </c>
      <c r="F3666" t="s">
        <v>5496</v>
      </c>
      <c r="G3666" t="s">
        <v>7527</v>
      </c>
      <c r="I3666" t="s">
        <v>11386</v>
      </c>
      <c r="J3666">
        <v>10039</v>
      </c>
      <c r="K3666" t="s">
        <v>11446</v>
      </c>
      <c r="L3666" t="s">
        <v>13249</v>
      </c>
      <c r="M3666" t="s">
        <v>14744</v>
      </c>
      <c r="N3666" t="s">
        <v>14778</v>
      </c>
      <c r="O3666" t="s">
        <v>14786</v>
      </c>
      <c r="P3666" t="s">
        <v>14803</v>
      </c>
      <c r="Q3666" t="s">
        <v>11448</v>
      </c>
      <c r="S3666" t="s">
        <v>14827</v>
      </c>
      <c r="T3666" t="s">
        <v>14832</v>
      </c>
      <c r="U3666" t="s">
        <v>473</v>
      </c>
      <c r="V3666">
        <v>1545.3</v>
      </c>
      <c r="W3666" t="s">
        <v>14860</v>
      </c>
      <c r="X3666" t="s">
        <v>14865</v>
      </c>
      <c r="Y3666" t="s">
        <v>14883</v>
      </c>
      <c r="Z3666" t="s">
        <v>17934</v>
      </c>
      <c r="AB3666" t="s">
        <v>23021</v>
      </c>
      <c r="AC3666">
        <v>0</v>
      </c>
      <c r="AD3666" t="s">
        <v>24595</v>
      </c>
      <c r="AE3666" t="s">
        <v>11459</v>
      </c>
      <c r="AF3666">
        <v>2</v>
      </c>
      <c r="AG3666">
        <v>3</v>
      </c>
      <c r="AH3666">
        <v>0</v>
      </c>
      <c r="AI3666">
        <v>338.18</v>
      </c>
      <c r="AL3666" t="s">
        <v>5011</v>
      </c>
      <c r="AM3666">
        <v>72132.8</v>
      </c>
      <c r="AS3666">
        <v>0.3</v>
      </c>
      <c r="AT3666" t="s">
        <v>473</v>
      </c>
      <c r="AU3666" t="s">
        <v>25266</v>
      </c>
      <c r="AV3666" t="s">
        <v>25335</v>
      </c>
      <c r="AW3666" t="s">
        <v>11447</v>
      </c>
    </row>
    <row r="3667" spans="1:49">
      <c r="A3667" s="1">
        <f>HYPERLINK("https://lsnyc.legalserver.org/matter/dynamic-profile/view/1912901","19-1912901")</f>
        <v>0</v>
      </c>
      <c r="B3667" t="s">
        <v>309</v>
      </c>
      <c r="C3667" t="s">
        <v>574</v>
      </c>
      <c r="D3667" t="s">
        <v>484</v>
      </c>
      <c r="E3667" t="s">
        <v>1218</v>
      </c>
      <c r="F3667" t="s">
        <v>4112</v>
      </c>
      <c r="G3667" t="s">
        <v>9044</v>
      </c>
      <c r="H3667" t="s">
        <v>10489</v>
      </c>
      <c r="I3667" t="s">
        <v>11386</v>
      </c>
      <c r="J3667">
        <v>10039</v>
      </c>
      <c r="K3667" t="s">
        <v>11446</v>
      </c>
      <c r="L3667" t="s">
        <v>13250</v>
      </c>
      <c r="M3667" t="s">
        <v>14746</v>
      </c>
      <c r="N3667" t="s">
        <v>14778</v>
      </c>
      <c r="O3667" t="s">
        <v>14786</v>
      </c>
      <c r="P3667" t="s">
        <v>14803</v>
      </c>
      <c r="Q3667" t="s">
        <v>11448</v>
      </c>
      <c r="S3667" t="s">
        <v>14827</v>
      </c>
      <c r="U3667" t="s">
        <v>574</v>
      </c>
      <c r="V3667">
        <v>440</v>
      </c>
      <c r="W3667" t="s">
        <v>14860</v>
      </c>
      <c r="X3667" t="s">
        <v>14755</v>
      </c>
      <c r="Y3667" t="s">
        <v>14883</v>
      </c>
      <c r="Z3667" t="s">
        <v>17935</v>
      </c>
      <c r="AB3667" t="s">
        <v>23022</v>
      </c>
      <c r="AC3667">
        <v>0</v>
      </c>
      <c r="AD3667" t="s">
        <v>24596</v>
      </c>
      <c r="AE3667" t="s">
        <v>11459</v>
      </c>
      <c r="AF3667">
        <v>4</v>
      </c>
      <c r="AG3667">
        <v>1</v>
      </c>
      <c r="AH3667">
        <v>0</v>
      </c>
      <c r="AI3667">
        <v>62.45</v>
      </c>
      <c r="AL3667" t="s">
        <v>5011</v>
      </c>
      <c r="AM3667">
        <v>7800</v>
      </c>
      <c r="AS3667">
        <v>2.5</v>
      </c>
      <c r="AT3667" t="s">
        <v>484</v>
      </c>
      <c r="AU3667" t="s">
        <v>25266</v>
      </c>
      <c r="AV3667" t="s">
        <v>25335</v>
      </c>
      <c r="AW3667" t="s">
        <v>11447</v>
      </c>
    </row>
    <row r="3668" spans="1:49">
      <c r="A3668" s="1">
        <f>HYPERLINK("https://lsnyc.legalserver.org/matter/dynamic-profile/view/1913434","19-1913434")</f>
        <v>0</v>
      </c>
      <c r="B3668" t="s">
        <v>219</v>
      </c>
      <c r="C3668" t="s">
        <v>484</v>
      </c>
      <c r="D3668" t="s">
        <v>484</v>
      </c>
      <c r="E3668" t="s">
        <v>2870</v>
      </c>
      <c r="F3668" t="s">
        <v>4623</v>
      </c>
      <c r="G3668" t="s">
        <v>9045</v>
      </c>
      <c r="H3668" t="s">
        <v>10595</v>
      </c>
      <c r="I3668" t="s">
        <v>11386</v>
      </c>
      <c r="J3668">
        <v>10029</v>
      </c>
      <c r="K3668" t="s">
        <v>11446</v>
      </c>
      <c r="L3668" t="s">
        <v>13251</v>
      </c>
      <c r="M3668" t="s">
        <v>14750</v>
      </c>
      <c r="N3668" t="s">
        <v>14778</v>
      </c>
      <c r="O3668" t="s">
        <v>14786</v>
      </c>
      <c r="P3668" t="s">
        <v>14803</v>
      </c>
      <c r="Q3668" t="s">
        <v>11448</v>
      </c>
      <c r="S3668" t="s">
        <v>14828</v>
      </c>
      <c r="U3668" t="s">
        <v>484</v>
      </c>
      <c r="V3668">
        <v>638</v>
      </c>
      <c r="W3668" t="s">
        <v>14860</v>
      </c>
      <c r="X3668" t="s">
        <v>14864</v>
      </c>
      <c r="Y3668" t="s">
        <v>14883</v>
      </c>
      <c r="Z3668" t="s">
        <v>17936</v>
      </c>
      <c r="AB3668" t="s">
        <v>23023</v>
      </c>
      <c r="AC3668">
        <v>0</v>
      </c>
      <c r="AD3668" t="s">
        <v>24597</v>
      </c>
      <c r="AE3668" t="s">
        <v>11459</v>
      </c>
      <c r="AF3668">
        <v>4</v>
      </c>
      <c r="AG3668">
        <v>2</v>
      </c>
      <c r="AH3668">
        <v>2</v>
      </c>
      <c r="AI3668">
        <v>65.63</v>
      </c>
      <c r="AL3668" t="s">
        <v>5011</v>
      </c>
      <c r="AM3668">
        <v>16900</v>
      </c>
      <c r="AS3668">
        <v>1.5</v>
      </c>
      <c r="AT3668" t="s">
        <v>516</v>
      </c>
      <c r="AU3668" t="s">
        <v>25276</v>
      </c>
      <c r="AV3668" t="s">
        <v>25335</v>
      </c>
      <c r="AW3668" t="s">
        <v>11447</v>
      </c>
    </row>
    <row r="3669" spans="1:49">
      <c r="A3669" s="1">
        <f>HYPERLINK("https://lsnyc.legalserver.org/matter/dynamic-profile/view/1913447","19-1913447")</f>
        <v>0</v>
      </c>
      <c r="B3669" t="s">
        <v>219</v>
      </c>
      <c r="C3669" t="s">
        <v>484</v>
      </c>
      <c r="D3669" t="s">
        <v>484</v>
      </c>
      <c r="E3669" t="s">
        <v>1224</v>
      </c>
      <c r="F3669" t="s">
        <v>3547</v>
      </c>
      <c r="G3669" t="s">
        <v>9046</v>
      </c>
      <c r="H3669" t="s">
        <v>10524</v>
      </c>
      <c r="I3669" t="s">
        <v>11386</v>
      </c>
      <c r="J3669">
        <v>10035</v>
      </c>
      <c r="K3669" t="s">
        <v>11446</v>
      </c>
      <c r="M3669" t="s">
        <v>11601</v>
      </c>
      <c r="N3669" t="s">
        <v>14782</v>
      </c>
      <c r="O3669" t="s">
        <v>14786</v>
      </c>
      <c r="P3669" t="s">
        <v>14803</v>
      </c>
      <c r="Q3669" t="s">
        <v>11448</v>
      </c>
      <c r="S3669" t="s">
        <v>14828</v>
      </c>
      <c r="U3669" t="s">
        <v>484</v>
      </c>
      <c r="V3669">
        <v>257</v>
      </c>
      <c r="W3669" t="s">
        <v>14860</v>
      </c>
      <c r="X3669" t="s">
        <v>14864</v>
      </c>
      <c r="Y3669" t="s">
        <v>14883</v>
      </c>
      <c r="Z3669" t="s">
        <v>17937</v>
      </c>
      <c r="AB3669" t="s">
        <v>23024</v>
      </c>
      <c r="AC3669">
        <v>0</v>
      </c>
      <c r="AD3669" t="s">
        <v>24597</v>
      </c>
      <c r="AE3669" t="s">
        <v>11459</v>
      </c>
      <c r="AF3669">
        <v>7</v>
      </c>
      <c r="AG3669">
        <v>1</v>
      </c>
      <c r="AH3669">
        <v>0</v>
      </c>
      <c r="AI3669">
        <v>84.26000000000001</v>
      </c>
      <c r="AL3669" t="s">
        <v>24632</v>
      </c>
      <c r="AM3669">
        <v>10524</v>
      </c>
      <c r="AS3669">
        <v>1</v>
      </c>
      <c r="AT3669" t="s">
        <v>484</v>
      </c>
      <c r="AU3669" t="s">
        <v>25276</v>
      </c>
      <c r="AV3669" t="s">
        <v>25335</v>
      </c>
      <c r="AW3669" t="s">
        <v>11447</v>
      </c>
    </row>
    <row r="3670" spans="1:49">
      <c r="A3670" s="1">
        <f>HYPERLINK("https://lsnyc.legalserver.org/matter/dynamic-profile/view/1866420","18-1866420")</f>
        <v>0</v>
      </c>
      <c r="B3670" t="s">
        <v>247</v>
      </c>
      <c r="C3670" t="s">
        <v>836</v>
      </c>
      <c r="D3670" t="s">
        <v>539</v>
      </c>
      <c r="E3670" t="s">
        <v>2871</v>
      </c>
      <c r="F3670" t="s">
        <v>5497</v>
      </c>
      <c r="G3670" t="s">
        <v>9033</v>
      </c>
      <c r="H3670" t="s">
        <v>10751</v>
      </c>
      <c r="I3670" t="s">
        <v>11386</v>
      </c>
      <c r="J3670">
        <v>10030</v>
      </c>
      <c r="K3670" t="s">
        <v>11446</v>
      </c>
      <c r="L3670" t="s">
        <v>13252</v>
      </c>
      <c r="M3670" t="s">
        <v>14744</v>
      </c>
      <c r="N3670" t="s">
        <v>14778</v>
      </c>
      <c r="O3670" t="s">
        <v>14786</v>
      </c>
      <c r="P3670" t="s">
        <v>14803</v>
      </c>
      <c r="Q3670" t="s">
        <v>11448</v>
      </c>
      <c r="S3670" t="s">
        <v>14827</v>
      </c>
      <c r="U3670" t="s">
        <v>604</v>
      </c>
      <c r="V3670">
        <v>351</v>
      </c>
      <c r="W3670" t="s">
        <v>14860</v>
      </c>
      <c r="X3670" t="s">
        <v>14867</v>
      </c>
      <c r="Y3670" t="s">
        <v>14883</v>
      </c>
      <c r="Z3670" t="s">
        <v>17938</v>
      </c>
      <c r="AB3670" t="s">
        <v>23025</v>
      </c>
      <c r="AC3670">
        <v>262</v>
      </c>
      <c r="AD3670" t="s">
        <v>11479</v>
      </c>
      <c r="AE3670" t="s">
        <v>11459</v>
      </c>
      <c r="AF3670">
        <v>20</v>
      </c>
      <c r="AG3670">
        <v>1</v>
      </c>
      <c r="AH3670">
        <v>0</v>
      </c>
      <c r="AI3670">
        <v>0</v>
      </c>
      <c r="AL3670" t="s">
        <v>5011</v>
      </c>
      <c r="AM3670">
        <v>0</v>
      </c>
      <c r="AS3670">
        <v>1.75</v>
      </c>
      <c r="AT3670" t="s">
        <v>25171</v>
      </c>
      <c r="AU3670" t="s">
        <v>25280</v>
      </c>
      <c r="AV3670" t="s">
        <v>25335</v>
      </c>
      <c r="AW3670" t="s">
        <v>11447</v>
      </c>
    </row>
    <row r="3671" spans="1:49">
      <c r="A3671" s="1">
        <f>HYPERLINK("https://lsnyc.legalserver.org/matter/dynamic-profile/view/1911220","19-1911220")</f>
        <v>0</v>
      </c>
      <c r="B3671" t="s">
        <v>247</v>
      </c>
      <c r="C3671" t="s">
        <v>511</v>
      </c>
      <c r="D3671" t="s">
        <v>539</v>
      </c>
      <c r="E3671" t="s">
        <v>2872</v>
      </c>
      <c r="F3671" t="s">
        <v>3581</v>
      </c>
      <c r="G3671" t="s">
        <v>9047</v>
      </c>
      <c r="I3671" t="s">
        <v>11386</v>
      </c>
      <c r="J3671">
        <v>10038</v>
      </c>
      <c r="K3671" t="s">
        <v>11446</v>
      </c>
      <c r="L3671" t="s">
        <v>13253</v>
      </c>
      <c r="M3671" t="s">
        <v>14743</v>
      </c>
      <c r="N3671" t="s">
        <v>14778</v>
      </c>
      <c r="O3671" t="s">
        <v>14786</v>
      </c>
      <c r="P3671" t="s">
        <v>14803</v>
      </c>
      <c r="Q3671" t="s">
        <v>11448</v>
      </c>
      <c r="S3671" t="s">
        <v>14828</v>
      </c>
      <c r="T3671" t="s">
        <v>14832</v>
      </c>
      <c r="U3671" t="s">
        <v>511</v>
      </c>
      <c r="V3671">
        <v>1100</v>
      </c>
      <c r="W3671" t="s">
        <v>14860</v>
      </c>
      <c r="X3671" t="s">
        <v>14865</v>
      </c>
      <c r="Y3671" t="s">
        <v>14883</v>
      </c>
      <c r="Z3671" t="s">
        <v>16113</v>
      </c>
      <c r="AB3671" t="s">
        <v>23026</v>
      </c>
      <c r="AC3671">
        <v>0</v>
      </c>
      <c r="AD3671" t="s">
        <v>24602</v>
      </c>
      <c r="AE3671" t="s">
        <v>11459</v>
      </c>
      <c r="AF3671">
        <v>10</v>
      </c>
      <c r="AG3671">
        <v>3</v>
      </c>
      <c r="AH3671">
        <v>0</v>
      </c>
      <c r="AI3671">
        <v>146.27</v>
      </c>
      <c r="AL3671" t="s">
        <v>24634</v>
      </c>
      <c r="AM3671">
        <v>31200</v>
      </c>
      <c r="AS3671">
        <v>0.1</v>
      </c>
      <c r="AT3671" t="s">
        <v>539</v>
      </c>
      <c r="AU3671" t="s">
        <v>25266</v>
      </c>
      <c r="AV3671" t="s">
        <v>25335</v>
      </c>
      <c r="AW3671" t="s">
        <v>11447</v>
      </c>
    </row>
    <row r="3672" spans="1:49">
      <c r="A3672" s="1">
        <f>HYPERLINK("https://lsnyc.legalserver.org/matter/dynamic-profile/view/1897650","19-1897650")</f>
        <v>0</v>
      </c>
      <c r="B3672" t="s">
        <v>247</v>
      </c>
      <c r="C3672" t="s">
        <v>773</v>
      </c>
      <c r="D3672" t="s">
        <v>539</v>
      </c>
      <c r="E3672" t="s">
        <v>1025</v>
      </c>
      <c r="F3672" t="s">
        <v>5498</v>
      </c>
      <c r="G3672" t="s">
        <v>9048</v>
      </c>
      <c r="H3672" t="s">
        <v>10665</v>
      </c>
      <c r="I3672" t="s">
        <v>11386</v>
      </c>
      <c r="J3672">
        <v>10009</v>
      </c>
      <c r="K3672" t="s">
        <v>11447</v>
      </c>
      <c r="M3672" t="s">
        <v>11601</v>
      </c>
      <c r="N3672" t="s">
        <v>14778</v>
      </c>
      <c r="O3672" t="s">
        <v>14786</v>
      </c>
      <c r="P3672" t="s">
        <v>14803</v>
      </c>
      <c r="S3672" t="s">
        <v>14828</v>
      </c>
      <c r="V3672">
        <v>0</v>
      </c>
      <c r="W3672" t="s">
        <v>14860</v>
      </c>
      <c r="Y3672" t="s">
        <v>14890</v>
      </c>
      <c r="Z3672" t="s">
        <v>17939</v>
      </c>
      <c r="AB3672" t="s">
        <v>23027</v>
      </c>
      <c r="AC3672">
        <v>0</v>
      </c>
      <c r="AF3672">
        <v>17</v>
      </c>
      <c r="AG3672">
        <v>3</v>
      </c>
      <c r="AH3672">
        <v>1</v>
      </c>
      <c r="AI3672">
        <v>71.86</v>
      </c>
      <c r="AL3672" t="s">
        <v>24632</v>
      </c>
      <c r="AM3672">
        <v>18504</v>
      </c>
      <c r="AS3672">
        <v>0.1</v>
      </c>
      <c r="AT3672" t="s">
        <v>539</v>
      </c>
      <c r="AU3672" t="s">
        <v>25278</v>
      </c>
      <c r="AW3672" t="s">
        <v>11447</v>
      </c>
    </row>
    <row r="3673" spans="1:49">
      <c r="A3673" s="1">
        <f>HYPERLINK("https://lsnyc.legalserver.org/matter/dynamic-profile/view/1897716","19-1897716")</f>
        <v>0</v>
      </c>
      <c r="B3673" t="s">
        <v>247</v>
      </c>
      <c r="C3673" t="s">
        <v>502</v>
      </c>
      <c r="D3673" t="s">
        <v>539</v>
      </c>
      <c r="E3673" t="s">
        <v>2873</v>
      </c>
      <c r="F3673" t="s">
        <v>5499</v>
      </c>
      <c r="G3673" t="s">
        <v>9049</v>
      </c>
      <c r="H3673" t="s">
        <v>10450</v>
      </c>
      <c r="I3673" t="s">
        <v>11386</v>
      </c>
      <c r="J3673">
        <v>10002</v>
      </c>
      <c r="K3673" t="s">
        <v>11447</v>
      </c>
      <c r="N3673" t="s">
        <v>14778</v>
      </c>
      <c r="O3673" t="s">
        <v>14786</v>
      </c>
      <c r="P3673" t="s">
        <v>14803</v>
      </c>
      <c r="S3673" t="s">
        <v>14827</v>
      </c>
      <c r="V3673">
        <v>0</v>
      </c>
      <c r="W3673" t="s">
        <v>14860</v>
      </c>
      <c r="Y3673" t="s">
        <v>14883</v>
      </c>
      <c r="Z3673" t="s">
        <v>17940</v>
      </c>
      <c r="AC3673">
        <v>0</v>
      </c>
      <c r="AF3673">
        <v>2</v>
      </c>
      <c r="AG3673">
        <v>2</v>
      </c>
      <c r="AH3673">
        <v>2</v>
      </c>
      <c r="AI3673">
        <v>85.44</v>
      </c>
      <c r="AM3673">
        <v>22000</v>
      </c>
      <c r="AS3673">
        <v>2</v>
      </c>
      <c r="AT3673" t="s">
        <v>360</v>
      </c>
      <c r="AU3673" t="s">
        <v>25278</v>
      </c>
      <c r="AW3673" t="s">
        <v>11447</v>
      </c>
    </row>
    <row r="3674" spans="1:49">
      <c r="A3674" s="1">
        <f>HYPERLINK("https://lsnyc.legalserver.org/matter/dynamic-profile/view/1867529","18-1867529")</f>
        <v>0</v>
      </c>
      <c r="B3674" t="s">
        <v>247</v>
      </c>
      <c r="C3674" t="s">
        <v>391</v>
      </c>
      <c r="D3674" t="s">
        <v>539</v>
      </c>
      <c r="E3674" t="s">
        <v>1320</v>
      </c>
      <c r="F3674" t="s">
        <v>4176</v>
      </c>
      <c r="G3674" t="s">
        <v>9050</v>
      </c>
      <c r="H3674" t="s">
        <v>10498</v>
      </c>
      <c r="I3674" t="s">
        <v>11386</v>
      </c>
      <c r="J3674">
        <v>10002</v>
      </c>
      <c r="K3674" t="s">
        <v>11448</v>
      </c>
      <c r="L3674" t="s">
        <v>13254</v>
      </c>
      <c r="M3674" t="s">
        <v>14743</v>
      </c>
      <c r="N3674" t="s">
        <v>14781</v>
      </c>
      <c r="O3674" t="s">
        <v>14788</v>
      </c>
      <c r="P3674" t="s">
        <v>14803</v>
      </c>
      <c r="S3674" t="s">
        <v>14828</v>
      </c>
      <c r="V3674">
        <v>216</v>
      </c>
      <c r="W3674" t="s">
        <v>14860</v>
      </c>
      <c r="X3674" t="s">
        <v>14865</v>
      </c>
      <c r="Y3674" t="s">
        <v>14894</v>
      </c>
      <c r="Z3674" t="s">
        <v>17941</v>
      </c>
      <c r="AB3674" t="s">
        <v>23028</v>
      </c>
      <c r="AC3674">
        <v>0</v>
      </c>
      <c r="AD3674" t="s">
        <v>24597</v>
      </c>
      <c r="AE3674" t="s">
        <v>11459</v>
      </c>
      <c r="AF3674">
        <v>15</v>
      </c>
      <c r="AG3674">
        <v>2</v>
      </c>
      <c r="AH3674">
        <v>0</v>
      </c>
      <c r="AI3674">
        <v>151.64</v>
      </c>
      <c r="AM3674">
        <v>24960</v>
      </c>
      <c r="AQ3674" t="s">
        <v>24986</v>
      </c>
      <c r="AR3674" t="s">
        <v>25081</v>
      </c>
      <c r="AS3674">
        <v>36.4</v>
      </c>
      <c r="AT3674" t="s">
        <v>539</v>
      </c>
      <c r="AU3674" t="s">
        <v>274</v>
      </c>
      <c r="AW3674" t="s">
        <v>11447</v>
      </c>
    </row>
    <row r="3675" spans="1:49">
      <c r="A3675" s="1">
        <f>HYPERLINK("https://lsnyc.legalserver.org/matter/dynamic-profile/view/1904671","19-1904671")</f>
        <v>0</v>
      </c>
      <c r="B3675" t="s">
        <v>218</v>
      </c>
      <c r="C3675" t="s">
        <v>365</v>
      </c>
      <c r="D3675" t="s">
        <v>537</v>
      </c>
      <c r="E3675" t="s">
        <v>2874</v>
      </c>
      <c r="F3675" t="s">
        <v>3758</v>
      </c>
      <c r="G3675" t="s">
        <v>9051</v>
      </c>
      <c r="H3675" t="s">
        <v>11164</v>
      </c>
      <c r="I3675" t="s">
        <v>11386</v>
      </c>
      <c r="J3675">
        <v>10016</v>
      </c>
      <c r="K3675" t="s">
        <v>11446</v>
      </c>
      <c r="M3675" t="s">
        <v>11601</v>
      </c>
      <c r="N3675" t="s">
        <v>14778</v>
      </c>
      <c r="O3675" t="s">
        <v>14786</v>
      </c>
      <c r="P3675" t="s">
        <v>14803</v>
      </c>
      <c r="S3675" t="s">
        <v>14828</v>
      </c>
      <c r="U3675" t="s">
        <v>365</v>
      </c>
      <c r="V3675">
        <v>215</v>
      </c>
      <c r="W3675" t="s">
        <v>14860</v>
      </c>
      <c r="X3675" t="s">
        <v>14755</v>
      </c>
      <c r="Y3675" t="s">
        <v>14883</v>
      </c>
      <c r="Z3675" t="s">
        <v>17942</v>
      </c>
      <c r="AA3675" t="s">
        <v>19782</v>
      </c>
      <c r="AB3675" t="s">
        <v>23029</v>
      </c>
      <c r="AC3675">
        <v>225</v>
      </c>
      <c r="AD3675" t="s">
        <v>24597</v>
      </c>
      <c r="AE3675" t="s">
        <v>11459</v>
      </c>
      <c r="AF3675">
        <v>29</v>
      </c>
      <c r="AG3675">
        <v>1</v>
      </c>
      <c r="AH3675">
        <v>0</v>
      </c>
      <c r="AI3675">
        <v>20.4</v>
      </c>
      <c r="AL3675" t="s">
        <v>5011</v>
      </c>
      <c r="AM3675">
        <v>2548</v>
      </c>
      <c r="AS3675">
        <v>0.6</v>
      </c>
      <c r="AT3675" t="s">
        <v>491</v>
      </c>
      <c r="AU3675" t="s">
        <v>25276</v>
      </c>
      <c r="AV3675" t="s">
        <v>25334</v>
      </c>
      <c r="AW3675" t="s">
        <v>11447</v>
      </c>
    </row>
    <row r="3676" spans="1:49">
      <c r="A3676" s="1">
        <f>HYPERLINK("https://lsnyc.legalserver.org/matter/dynamic-profile/view/1875907","18-1875907")</f>
        <v>0</v>
      </c>
      <c r="B3676" t="s">
        <v>247</v>
      </c>
      <c r="C3676" t="s">
        <v>605</v>
      </c>
      <c r="D3676" t="s">
        <v>537</v>
      </c>
      <c r="E3676" t="s">
        <v>1554</v>
      </c>
      <c r="F3676" t="s">
        <v>4673</v>
      </c>
      <c r="G3676" t="s">
        <v>9052</v>
      </c>
      <c r="H3676" t="s">
        <v>10532</v>
      </c>
      <c r="I3676" t="s">
        <v>11386</v>
      </c>
      <c r="J3676">
        <v>10037</v>
      </c>
      <c r="K3676" t="s">
        <v>11446</v>
      </c>
      <c r="L3676" t="s">
        <v>13255</v>
      </c>
      <c r="M3676" t="s">
        <v>14744</v>
      </c>
      <c r="N3676" t="s">
        <v>14778</v>
      </c>
      <c r="O3676" t="s">
        <v>14786</v>
      </c>
      <c r="P3676" t="s">
        <v>14803</v>
      </c>
      <c r="Q3676" t="s">
        <v>11448</v>
      </c>
      <c r="S3676" t="s">
        <v>14828</v>
      </c>
      <c r="V3676">
        <v>1525</v>
      </c>
      <c r="W3676" t="s">
        <v>14860</v>
      </c>
      <c r="X3676" t="s">
        <v>14873</v>
      </c>
      <c r="Y3676" t="s">
        <v>14883</v>
      </c>
      <c r="Z3676" t="s">
        <v>17129</v>
      </c>
      <c r="AB3676" t="s">
        <v>23030</v>
      </c>
      <c r="AC3676">
        <v>105</v>
      </c>
      <c r="AD3676" t="s">
        <v>24596</v>
      </c>
      <c r="AE3676" t="s">
        <v>24610</v>
      </c>
      <c r="AF3676">
        <v>10</v>
      </c>
      <c r="AG3676">
        <v>1</v>
      </c>
      <c r="AH3676">
        <v>0</v>
      </c>
      <c r="AI3676">
        <v>93.81</v>
      </c>
      <c r="AL3676" t="s">
        <v>5011</v>
      </c>
      <c r="AM3676">
        <v>11388</v>
      </c>
      <c r="AS3676">
        <v>1.4</v>
      </c>
      <c r="AT3676" t="s">
        <v>438</v>
      </c>
      <c r="AU3676" t="s">
        <v>25282</v>
      </c>
      <c r="AV3676" t="s">
        <v>25335</v>
      </c>
      <c r="AW3676" t="s">
        <v>11447</v>
      </c>
    </row>
    <row r="3677" spans="1:49">
      <c r="A3677" s="1">
        <f>HYPERLINK("https://lsnyc.legalserver.org/matter/dynamic-profile/view/1867727","18-1867727")</f>
        <v>0</v>
      </c>
      <c r="B3677" t="s">
        <v>247</v>
      </c>
      <c r="C3677" t="s">
        <v>650</v>
      </c>
      <c r="D3677" t="s">
        <v>521</v>
      </c>
      <c r="E3677" t="s">
        <v>1999</v>
      </c>
      <c r="F3677" t="s">
        <v>3901</v>
      </c>
      <c r="G3677" t="s">
        <v>9053</v>
      </c>
      <c r="H3677" t="s">
        <v>11165</v>
      </c>
      <c r="I3677" t="s">
        <v>11386</v>
      </c>
      <c r="J3677">
        <v>10027</v>
      </c>
      <c r="K3677" t="s">
        <v>11448</v>
      </c>
      <c r="M3677" t="s">
        <v>11601</v>
      </c>
      <c r="N3677" t="s">
        <v>14782</v>
      </c>
      <c r="O3677" t="s">
        <v>14786</v>
      </c>
      <c r="P3677" t="s">
        <v>14803</v>
      </c>
      <c r="S3677" t="s">
        <v>14828</v>
      </c>
      <c r="V3677">
        <v>215</v>
      </c>
      <c r="W3677" t="s">
        <v>14860</v>
      </c>
      <c r="X3677" t="s">
        <v>14867</v>
      </c>
      <c r="Y3677" t="s">
        <v>14883</v>
      </c>
      <c r="Z3677" t="s">
        <v>17368</v>
      </c>
      <c r="AB3677" t="s">
        <v>23031</v>
      </c>
      <c r="AC3677">
        <v>0</v>
      </c>
      <c r="AD3677" t="s">
        <v>24597</v>
      </c>
      <c r="AE3677" t="s">
        <v>14755</v>
      </c>
      <c r="AF3677">
        <v>40</v>
      </c>
      <c r="AG3677">
        <v>1</v>
      </c>
      <c r="AH3677">
        <v>0</v>
      </c>
      <c r="AI3677">
        <v>30.44</v>
      </c>
      <c r="AM3677">
        <v>3696</v>
      </c>
      <c r="AS3677">
        <v>1.55</v>
      </c>
      <c r="AT3677" t="s">
        <v>521</v>
      </c>
      <c r="AU3677" t="s">
        <v>25280</v>
      </c>
      <c r="AW3677" t="s">
        <v>11447</v>
      </c>
    </row>
    <row r="3678" spans="1:49">
      <c r="A3678" s="1">
        <f>HYPERLINK("https://lsnyc.legalserver.org/matter/dynamic-profile/view/1868842","18-1868842")</f>
        <v>0</v>
      </c>
      <c r="B3678" t="s">
        <v>247</v>
      </c>
      <c r="C3678" t="s">
        <v>695</v>
      </c>
      <c r="D3678" t="s">
        <v>521</v>
      </c>
      <c r="E3678" t="s">
        <v>2251</v>
      </c>
      <c r="F3678" t="s">
        <v>5500</v>
      </c>
      <c r="G3678" t="s">
        <v>9054</v>
      </c>
      <c r="H3678">
        <v>45</v>
      </c>
      <c r="I3678" t="s">
        <v>11386</v>
      </c>
      <c r="J3678">
        <v>10033</v>
      </c>
      <c r="K3678" t="s">
        <v>11446</v>
      </c>
      <c r="L3678" t="s">
        <v>13256</v>
      </c>
      <c r="M3678" t="s">
        <v>14743</v>
      </c>
      <c r="N3678" t="s">
        <v>14778</v>
      </c>
      <c r="O3678" t="s">
        <v>14786</v>
      </c>
      <c r="P3678" t="s">
        <v>14803</v>
      </c>
      <c r="Q3678" t="s">
        <v>11448</v>
      </c>
      <c r="S3678" t="s">
        <v>14827</v>
      </c>
      <c r="V3678">
        <v>698</v>
      </c>
      <c r="W3678" t="s">
        <v>14860</v>
      </c>
      <c r="X3678" t="s">
        <v>14867</v>
      </c>
      <c r="Y3678" t="s">
        <v>14883</v>
      </c>
      <c r="Z3678" t="s">
        <v>16276</v>
      </c>
      <c r="AC3678">
        <v>0</v>
      </c>
      <c r="AD3678" t="s">
        <v>24599</v>
      </c>
      <c r="AE3678" t="s">
        <v>11459</v>
      </c>
      <c r="AF3678">
        <v>35</v>
      </c>
      <c r="AG3678">
        <v>2</v>
      </c>
      <c r="AH3678">
        <v>1</v>
      </c>
      <c r="AI3678">
        <v>151.59</v>
      </c>
      <c r="AL3678" t="s">
        <v>5011</v>
      </c>
      <c r="AM3678">
        <v>31500</v>
      </c>
      <c r="AS3678">
        <v>1.3</v>
      </c>
      <c r="AT3678" t="s">
        <v>521</v>
      </c>
      <c r="AU3678" t="s">
        <v>153</v>
      </c>
      <c r="AW3678" t="s">
        <v>11447</v>
      </c>
    </row>
    <row r="3679" spans="1:49">
      <c r="A3679" s="1">
        <f>HYPERLINK("https://lsnyc.legalserver.org/matter/dynamic-profile/view/1906916","19-1906916")</f>
        <v>0</v>
      </c>
      <c r="B3679" t="s">
        <v>194</v>
      </c>
      <c r="C3679" t="s">
        <v>354</v>
      </c>
      <c r="D3679" t="s">
        <v>509</v>
      </c>
      <c r="E3679" t="s">
        <v>2875</v>
      </c>
      <c r="F3679" t="s">
        <v>5501</v>
      </c>
      <c r="G3679" t="s">
        <v>9055</v>
      </c>
      <c r="H3679" t="s">
        <v>10849</v>
      </c>
      <c r="I3679" t="s">
        <v>11386</v>
      </c>
      <c r="J3679">
        <v>10038</v>
      </c>
      <c r="K3679" t="s">
        <v>11446</v>
      </c>
      <c r="L3679" t="s">
        <v>13257</v>
      </c>
      <c r="M3679" t="s">
        <v>14750</v>
      </c>
      <c r="N3679" t="s">
        <v>14783</v>
      </c>
      <c r="O3679" t="s">
        <v>14788</v>
      </c>
      <c r="P3679" t="s">
        <v>14803</v>
      </c>
      <c r="Q3679" t="s">
        <v>11448</v>
      </c>
      <c r="S3679" t="s">
        <v>14828</v>
      </c>
      <c r="U3679" t="s">
        <v>14839</v>
      </c>
      <c r="V3679">
        <v>350</v>
      </c>
      <c r="W3679" t="s">
        <v>14860</v>
      </c>
      <c r="X3679" t="s">
        <v>14876</v>
      </c>
      <c r="Y3679" t="s">
        <v>14894</v>
      </c>
      <c r="Z3679" t="s">
        <v>17943</v>
      </c>
      <c r="AC3679">
        <v>149</v>
      </c>
      <c r="AD3679" t="s">
        <v>24597</v>
      </c>
      <c r="AE3679" t="s">
        <v>11459</v>
      </c>
      <c r="AF3679">
        <v>20</v>
      </c>
      <c r="AG3679">
        <v>2</v>
      </c>
      <c r="AH3679">
        <v>0</v>
      </c>
      <c r="AI3679">
        <v>70.95999999999999</v>
      </c>
      <c r="AL3679" t="s">
        <v>24650</v>
      </c>
      <c r="AM3679">
        <v>12000</v>
      </c>
      <c r="AP3679" t="s">
        <v>24941</v>
      </c>
      <c r="AQ3679" t="s">
        <v>24986</v>
      </c>
      <c r="AR3679" t="s">
        <v>25082</v>
      </c>
      <c r="AS3679">
        <v>21.45</v>
      </c>
      <c r="AT3679" t="s">
        <v>516</v>
      </c>
      <c r="AU3679" t="s">
        <v>153</v>
      </c>
      <c r="AV3679" t="s">
        <v>25335</v>
      </c>
      <c r="AW3679" t="s">
        <v>11447</v>
      </c>
    </row>
    <row r="3680" spans="1:49">
      <c r="A3680" s="1">
        <f>HYPERLINK("https://lsnyc.legalserver.org/matter/dynamic-profile/view/1837103","17-1837103")</f>
        <v>0</v>
      </c>
      <c r="B3680" t="s">
        <v>242</v>
      </c>
      <c r="C3680" t="s">
        <v>838</v>
      </c>
      <c r="D3680" t="s">
        <v>495</v>
      </c>
      <c r="E3680" t="s">
        <v>1598</v>
      </c>
      <c r="F3680" t="s">
        <v>3206</v>
      </c>
      <c r="G3680" t="s">
        <v>9056</v>
      </c>
      <c r="H3680" t="s">
        <v>10620</v>
      </c>
      <c r="I3680" t="s">
        <v>11386</v>
      </c>
      <c r="J3680">
        <v>10029</v>
      </c>
      <c r="K3680" t="s">
        <v>11446</v>
      </c>
      <c r="L3680" t="s">
        <v>13258</v>
      </c>
      <c r="M3680" t="s">
        <v>14775</v>
      </c>
      <c r="N3680" t="s">
        <v>14783</v>
      </c>
      <c r="O3680" t="s">
        <v>14790</v>
      </c>
      <c r="P3680" t="s">
        <v>14803</v>
      </c>
      <c r="Q3680" t="s">
        <v>11448</v>
      </c>
      <c r="S3680" t="s">
        <v>14828</v>
      </c>
      <c r="U3680" t="s">
        <v>604</v>
      </c>
      <c r="V3680">
        <v>365</v>
      </c>
      <c r="W3680" t="s">
        <v>14860</v>
      </c>
      <c r="X3680" t="s">
        <v>14867</v>
      </c>
      <c r="Y3680" t="s">
        <v>14894</v>
      </c>
      <c r="Z3680" t="s">
        <v>17944</v>
      </c>
      <c r="AB3680" t="s">
        <v>23032</v>
      </c>
      <c r="AC3680">
        <v>80</v>
      </c>
      <c r="AD3680" t="s">
        <v>24602</v>
      </c>
      <c r="AE3680" t="s">
        <v>24610</v>
      </c>
      <c r="AF3680">
        <v>1</v>
      </c>
      <c r="AG3680">
        <v>1</v>
      </c>
      <c r="AH3680">
        <v>3</v>
      </c>
      <c r="AI3680">
        <v>72.98</v>
      </c>
      <c r="AL3680" t="s">
        <v>5011</v>
      </c>
      <c r="AM3680">
        <v>17952</v>
      </c>
      <c r="AS3680">
        <v>14.95</v>
      </c>
      <c r="AT3680" t="s">
        <v>456</v>
      </c>
      <c r="AU3680" t="s">
        <v>25286</v>
      </c>
      <c r="AV3680" t="s">
        <v>25335</v>
      </c>
      <c r="AW3680" t="s">
        <v>11447</v>
      </c>
    </row>
    <row r="3681" spans="1:49">
      <c r="A3681" s="1">
        <f>HYPERLINK("https://lsnyc.legalserver.org/matter/dynamic-profile/view/1897499","19-1897499")</f>
        <v>0</v>
      </c>
      <c r="B3681" t="s">
        <v>188</v>
      </c>
      <c r="C3681" t="s">
        <v>773</v>
      </c>
      <c r="E3681" t="s">
        <v>2876</v>
      </c>
      <c r="F3681" t="s">
        <v>3561</v>
      </c>
      <c r="G3681" t="s">
        <v>9057</v>
      </c>
      <c r="H3681" t="s">
        <v>11166</v>
      </c>
      <c r="I3681" t="s">
        <v>11386</v>
      </c>
      <c r="J3681">
        <v>10029</v>
      </c>
      <c r="K3681" t="s">
        <v>11446</v>
      </c>
      <c r="L3681" t="s">
        <v>13259</v>
      </c>
      <c r="M3681" t="s">
        <v>14744</v>
      </c>
      <c r="N3681" t="s">
        <v>14781</v>
      </c>
      <c r="P3681" t="s">
        <v>14803</v>
      </c>
      <c r="Q3681" t="s">
        <v>11448</v>
      </c>
      <c r="S3681" t="s">
        <v>14827</v>
      </c>
      <c r="U3681" t="s">
        <v>545</v>
      </c>
      <c r="V3681">
        <v>429</v>
      </c>
      <c r="W3681" t="s">
        <v>14860</v>
      </c>
      <c r="X3681" t="s">
        <v>14865</v>
      </c>
      <c r="Z3681" t="s">
        <v>17945</v>
      </c>
      <c r="AA3681" t="s">
        <v>19783</v>
      </c>
      <c r="AB3681" t="s">
        <v>23033</v>
      </c>
      <c r="AC3681">
        <v>0</v>
      </c>
      <c r="AD3681" t="s">
        <v>24596</v>
      </c>
      <c r="AE3681" t="s">
        <v>11459</v>
      </c>
      <c r="AF3681">
        <v>20</v>
      </c>
      <c r="AG3681">
        <v>2</v>
      </c>
      <c r="AH3681">
        <v>0</v>
      </c>
      <c r="AI3681">
        <v>73.8</v>
      </c>
      <c r="AL3681" t="s">
        <v>5011</v>
      </c>
      <c r="AM3681">
        <v>12480</v>
      </c>
      <c r="AS3681">
        <v>1</v>
      </c>
      <c r="AT3681" t="s">
        <v>773</v>
      </c>
      <c r="AU3681" t="s">
        <v>153</v>
      </c>
      <c r="AV3681" t="s">
        <v>25334</v>
      </c>
      <c r="AW3681" t="s">
        <v>11446</v>
      </c>
    </row>
    <row r="3682" spans="1:49">
      <c r="A3682" s="1">
        <f>HYPERLINK("https://lsnyc.legalserver.org/matter/dynamic-profile/view/1904447","19-1904447")</f>
        <v>0</v>
      </c>
      <c r="B3682" t="s">
        <v>249</v>
      </c>
      <c r="C3682" t="s">
        <v>607</v>
      </c>
      <c r="E3682" t="s">
        <v>2877</v>
      </c>
      <c r="F3682" t="s">
        <v>5502</v>
      </c>
      <c r="G3682" t="s">
        <v>9058</v>
      </c>
      <c r="H3682" t="s">
        <v>11167</v>
      </c>
      <c r="I3682" t="s">
        <v>11386</v>
      </c>
      <c r="J3682">
        <v>10023</v>
      </c>
      <c r="K3682" t="s">
        <v>11446</v>
      </c>
      <c r="L3682" t="s">
        <v>13260</v>
      </c>
      <c r="M3682" t="s">
        <v>14744</v>
      </c>
      <c r="N3682" t="s">
        <v>14781</v>
      </c>
      <c r="P3682" t="s">
        <v>14803</v>
      </c>
      <c r="Q3682" t="s">
        <v>11448</v>
      </c>
      <c r="S3682" t="s">
        <v>14827</v>
      </c>
      <c r="U3682" t="s">
        <v>607</v>
      </c>
      <c r="V3682">
        <v>750</v>
      </c>
      <c r="W3682" t="s">
        <v>14860</v>
      </c>
      <c r="X3682" t="s">
        <v>14865</v>
      </c>
      <c r="Z3682" t="s">
        <v>17946</v>
      </c>
      <c r="AB3682" t="s">
        <v>23034</v>
      </c>
      <c r="AC3682">
        <v>998</v>
      </c>
      <c r="AD3682" t="s">
        <v>24595</v>
      </c>
      <c r="AE3682" t="s">
        <v>11459</v>
      </c>
      <c r="AF3682">
        <v>4</v>
      </c>
      <c r="AG3682">
        <v>1</v>
      </c>
      <c r="AH3682">
        <v>1</v>
      </c>
      <c r="AI3682">
        <v>153.76</v>
      </c>
      <c r="AL3682" t="s">
        <v>5011</v>
      </c>
      <c r="AM3682">
        <v>26000</v>
      </c>
      <c r="AS3682">
        <v>10.6</v>
      </c>
      <c r="AT3682" t="s">
        <v>500</v>
      </c>
      <c r="AU3682" t="s">
        <v>25276</v>
      </c>
      <c r="AV3682" t="s">
        <v>25335</v>
      </c>
      <c r="AW3682" t="s">
        <v>11447</v>
      </c>
    </row>
    <row r="3683" spans="1:49">
      <c r="A3683" s="1">
        <f>HYPERLINK("https://lsnyc.legalserver.org/matter/dynamic-profile/view/1904643","19-1904643")</f>
        <v>0</v>
      </c>
      <c r="B3683" t="s">
        <v>218</v>
      </c>
      <c r="C3683" t="s">
        <v>365</v>
      </c>
      <c r="E3683" t="s">
        <v>1598</v>
      </c>
      <c r="F3683" t="s">
        <v>3206</v>
      </c>
      <c r="G3683" t="s">
        <v>9056</v>
      </c>
      <c r="H3683" t="s">
        <v>10620</v>
      </c>
      <c r="I3683" t="s">
        <v>11386</v>
      </c>
      <c r="J3683">
        <v>10029</v>
      </c>
      <c r="K3683" t="s">
        <v>11446</v>
      </c>
      <c r="L3683" t="s">
        <v>13261</v>
      </c>
      <c r="M3683" t="s">
        <v>14743</v>
      </c>
      <c r="N3683" t="s">
        <v>14781</v>
      </c>
      <c r="P3683" t="s">
        <v>14803</v>
      </c>
      <c r="Q3683" t="s">
        <v>11448</v>
      </c>
      <c r="S3683" t="s">
        <v>14828</v>
      </c>
      <c r="T3683" t="s">
        <v>14832</v>
      </c>
      <c r="U3683" t="s">
        <v>365</v>
      </c>
      <c r="V3683">
        <v>368</v>
      </c>
      <c r="W3683" t="s">
        <v>14860</v>
      </c>
      <c r="X3683" t="s">
        <v>14871</v>
      </c>
      <c r="Z3683" t="s">
        <v>17944</v>
      </c>
      <c r="AB3683" t="s">
        <v>23032</v>
      </c>
      <c r="AC3683">
        <v>81</v>
      </c>
      <c r="AD3683" t="s">
        <v>24602</v>
      </c>
      <c r="AE3683" t="s">
        <v>11459</v>
      </c>
      <c r="AF3683">
        <v>3</v>
      </c>
      <c r="AG3683">
        <v>1</v>
      </c>
      <c r="AH3683">
        <v>3</v>
      </c>
      <c r="AI3683">
        <v>71.39</v>
      </c>
      <c r="AL3683" t="s">
        <v>5011</v>
      </c>
      <c r="AM3683">
        <v>18384</v>
      </c>
      <c r="AS3683">
        <v>5.8</v>
      </c>
      <c r="AT3683" t="s">
        <v>509</v>
      </c>
      <c r="AU3683" t="s">
        <v>25266</v>
      </c>
      <c r="AV3683" t="s">
        <v>25335</v>
      </c>
      <c r="AW3683" t="s">
        <v>11447</v>
      </c>
    </row>
    <row r="3684" spans="1:49">
      <c r="A3684" s="1">
        <f>HYPERLINK("https://lsnyc.legalserver.org/matter/dynamic-profile/view/1904641","19-1904641")</f>
        <v>0</v>
      </c>
      <c r="B3684" t="s">
        <v>217</v>
      </c>
      <c r="C3684" t="s">
        <v>365</v>
      </c>
      <c r="E3684" t="s">
        <v>2878</v>
      </c>
      <c r="F3684" t="s">
        <v>1035</v>
      </c>
      <c r="G3684" t="s">
        <v>9059</v>
      </c>
      <c r="H3684" t="s">
        <v>10569</v>
      </c>
      <c r="I3684" t="s">
        <v>11386</v>
      </c>
      <c r="J3684">
        <v>10033</v>
      </c>
      <c r="K3684" t="s">
        <v>11446</v>
      </c>
      <c r="L3684" t="s">
        <v>13262</v>
      </c>
      <c r="M3684" t="s">
        <v>14744</v>
      </c>
      <c r="N3684" t="s">
        <v>14778</v>
      </c>
      <c r="P3684" t="s">
        <v>14803</v>
      </c>
      <c r="Q3684" t="s">
        <v>11448</v>
      </c>
      <c r="S3684" t="s">
        <v>14827</v>
      </c>
      <c r="U3684" t="s">
        <v>365</v>
      </c>
      <c r="V3684">
        <v>775</v>
      </c>
      <c r="W3684" t="s">
        <v>14860</v>
      </c>
      <c r="X3684" t="s">
        <v>14864</v>
      </c>
      <c r="Z3684" t="s">
        <v>17947</v>
      </c>
      <c r="AB3684" t="s">
        <v>23035</v>
      </c>
      <c r="AC3684">
        <v>0</v>
      </c>
      <c r="AD3684" t="s">
        <v>24597</v>
      </c>
      <c r="AE3684" t="s">
        <v>11459</v>
      </c>
      <c r="AF3684">
        <v>10</v>
      </c>
      <c r="AG3684">
        <v>1</v>
      </c>
      <c r="AH3684">
        <v>0</v>
      </c>
      <c r="AI3684">
        <v>187.35</v>
      </c>
      <c r="AL3684" t="s">
        <v>5011</v>
      </c>
      <c r="AM3684">
        <v>23400</v>
      </c>
      <c r="AS3684">
        <v>4</v>
      </c>
      <c r="AT3684" t="s">
        <v>644</v>
      </c>
      <c r="AU3684" t="s">
        <v>25276</v>
      </c>
      <c r="AV3684" t="s">
        <v>25335</v>
      </c>
      <c r="AW3684" t="s">
        <v>11447</v>
      </c>
    </row>
    <row r="3685" spans="1:49">
      <c r="A3685" s="1">
        <f>HYPERLINK("https://lsnyc.legalserver.org/matter/dynamic-profile/view/1905987","19-1905987")</f>
        <v>0</v>
      </c>
      <c r="B3685" t="s">
        <v>188</v>
      </c>
      <c r="C3685" t="s">
        <v>461</v>
      </c>
      <c r="E3685" t="s">
        <v>2879</v>
      </c>
      <c r="F3685" t="s">
        <v>3885</v>
      </c>
      <c r="G3685" t="s">
        <v>9060</v>
      </c>
      <c r="H3685" t="s">
        <v>10489</v>
      </c>
      <c r="I3685" t="s">
        <v>11386</v>
      </c>
      <c r="J3685">
        <v>10037</v>
      </c>
      <c r="K3685" t="s">
        <v>11446</v>
      </c>
      <c r="L3685" t="s">
        <v>13263</v>
      </c>
      <c r="M3685" t="s">
        <v>14744</v>
      </c>
      <c r="N3685" t="s">
        <v>14778</v>
      </c>
      <c r="P3685" t="s">
        <v>14803</v>
      </c>
      <c r="Q3685" t="s">
        <v>11448</v>
      </c>
      <c r="S3685" t="s">
        <v>14828</v>
      </c>
      <c r="U3685" t="s">
        <v>461</v>
      </c>
      <c r="V3685">
        <v>460</v>
      </c>
      <c r="W3685" t="s">
        <v>14860</v>
      </c>
      <c r="X3685" t="s">
        <v>14864</v>
      </c>
      <c r="Z3685" t="s">
        <v>17948</v>
      </c>
      <c r="AA3685" t="s">
        <v>19784</v>
      </c>
      <c r="AB3685" t="s">
        <v>23036</v>
      </c>
      <c r="AC3685">
        <v>710</v>
      </c>
      <c r="AD3685" t="s">
        <v>24597</v>
      </c>
      <c r="AE3685" t="s">
        <v>11459</v>
      </c>
      <c r="AF3685">
        <v>21</v>
      </c>
      <c r="AG3685">
        <v>4</v>
      </c>
      <c r="AH3685">
        <v>2</v>
      </c>
      <c r="AI3685">
        <v>20.32</v>
      </c>
      <c r="AL3685" t="s">
        <v>5011</v>
      </c>
      <c r="AM3685">
        <v>7030</v>
      </c>
      <c r="AS3685">
        <v>0.1</v>
      </c>
      <c r="AT3685" t="s">
        <v>461</v>
      </c>
      <c r="AU3685" t="s">
        <v>25276</v>
      </c>
      <c r="AV3685" t="s">
        <v>25334</v>
      </c>
      <c r="AW3685" t="s">
        <v>11447</v>
      </c>
    </row>
    <row r="3686" spans="1:49">
      <c r="A3686" s="1">
        <f>HYPERLINK("https://lsnyc.legalserver.org/matter/dynamic-profile/view/1905967","19-1905967")</f>
        <v>0</v>
      </c>
      <c r="B3686" t="s">
        <v>161</v>
      </c>
      <c r="C3686" t="s">
        <v>461</v>
      </c>
      <c r="E3686" t="s">
        <v>1404</v>
      </c>
      <c r="F3686" t="s">
        <v>2002</v>
      </c>
      <c r="G3686" t="s">
        <v>9061</v>
      </c>
      <c r="H3686" t="s">
        <v>11168</v>
      </c>
      <c r="I3686" t="s">
        <v>11386</v>
      </c>
      <c r="J3686">
        <v>10030</v>
      </c>
      <c r="K3686" t="s">
        <v>11446</v>
      </c>
      <c r="L3686" t="s">
        <v>13264</v>
      </c>
      <c r="M3686" t="s">
        <v>14750</v>
      </c>
      <c r="N3686" t="s">
        <v>14778</v>
      </c>
      <c r="P3686" t="s">
        <v>14803</v>
      </c>
      <c r="Q3686" t="s">
        <v>11446</v>
      </c>
      <c r="S3686" t="s">
        <v>14828</v>
      </c>
      <c r="U3686" t="s">
        <v>461</v>
      </c>
      <c r="V3686">
        <v>240.6</v>
      </c>
      <c r="W3686" t="s">
        <v>14860</v>
      </c>
      <c r="X3686" t="s">
        <v>14867</v>
      </c>
      <c r="Z3686" t="s">
        <v>17949</v>
      </c>
      <c r="AB3686" t="s">
        <v>23037</v>
      </c>
      <c r="AC3686">
        <v>245</v>
      </c>
      <c r="AD3686" t="s">
        <v>24597</v>
      </c>
      <c r="AE3686" t="s">
        <v>11459</v>
      </c>
      <c r="AF3686">
        <v>21</v>
      </c>
      <c r="AG3686">
        <v>1</v>
      </c>
      <c r="AH3686">
        <v>0</v>
      </c>
      <c r="AI3686">
        <v>72.06</v>
      </c>
      <c r="AL3686" t="s">
        <v>5011</v>
      </c>
      <c r="AM3686">
        <v>9000</v>
      </c>
      <c r="AS3686">
        <v>1</v>
      </c>
      <c r="AT3686" t="s">
        <v>461</v>
      </c>
      <c r="AU3686" t="s">
        <v>153</v>
      </c>
      <c r="AV3686" t="s">
        <v>25335</v>
      </c>
      <c r="AW3686" t="s">
        <v>11447</v>
      </c>
    </row>
    <row r="3687" spans="1:49">
      <c r="A3687" s="1">
        <f>HYPERLINK("https://lsnyc.legalserver.org/matter/dynamic-profile/view/1904544","19-1904544")</f>
        <v>0</v>
      </c>
      <c r="B3687" t="s">
        <v>253</v>
      </c>
      <c r="C3687" t="s">
        <v>493</v>
      </c>
      <c r="E3687" t="s">
        <v>1341</v>
      </c>
      <c r="F3687" t="s">
        <v>3758</v>
      </c>
      <c r="G3687" t="s">
        <v>7901</v>
      </c>
      <c r="H3687" t="s">
        <v>10527</v>
      </c>
      <c r="I3687" t="s">
        <v>11386</v>
      </c>
      <c r="J3687">
        <v>10009</v>
      </c>
      <c r="K3687" t="s">
        <v>11446</v>
      </c>
      <c r="L3687" t="s">
        <v>13265</v>
      </c>
      <c r="M3687" t="s">
        <v>14744</v>
      </c>
      <c r="N3687" t="s">
        <v>14781</v>
      </c>
      <c r="P3687" t="s">
        <v>14803</v>
      </c>
      <c r="Q3687" t="s">
        <v>11448</v>
      </c>
      <c r="S3687" t="s">
        <v>14828</v>
      </c>
      <c r="T3687" t="s">
        <v>14832</v>
      </c>
      <c r="U3687" t="s">
        <v>485</v>
      </c>
      <c r="V3687">
        <v>0</v>
      </c>
      <c r="W3687" t="s">
        <v>14860</v>
      </c>
      <c r="X3687" t="s">
        <v>14876</v>
      </c>
      <c r="Z3687" t="s">
        <v>16866</v>
      </c>
      <c r="AB3687" t="s">
        <v>21883</v>
      </c>
      <c r="AC3687">
        <v>590</v>
      </c>
      <c r="AD3687" t="s">
        <v>24597</v>
      </c>
      <c r="AE3687" t="s">
        <v>11459</v>
      </c>
      <c r="AF3687">
        <v>0</v>
      </c>
      <c r="AG3687">
        <v>1</v>
      </c>
      <c r="AH3687">
        <v>0</v>
      </c>
      <c r="AI3687">
        <v>224.18</v>
      </c>
      <c r="AJ3687" t="s">
        <v>345</v>
      </c>
      <c r="AK3687" t="s">
        <v>24629</v>
      </c>
      <c r="AL3687" t="s">
        <v>5011</v>
      </c>
      <c r="AM3687">
        <v>28000</v>
      </c>
      <c r="AS3687">
        <v>4.25</v>
      </c>
      <c r="AT3687" t="s">
        <v>640</v>
      </c>
      <c r="AU3687" t="s">
        <v>153</v>
      </c>
      <c r="AV3687" t="s">
        <v>25335</v>
      </c>
      <c r="AW3687" t="s">
        <v>11447</v>
      </c>
    </row>
    <row r="3688" spans="1:49">
      <c r="A3688" s="1">
        <f>HYPERLINK("https://lsnyc.legalserver.org/matter/dynamic-profile/view/1907010","19-1907010")</f>
        <v>0</v>
      </c>
      <c r="B3688" t="s">
        <v>217</v>
      </c>
      <c r="C3688" t="s">
        <v>626</v>
      </c>
      <c r="E3688" t="s">
        <v>1070</v>
      </c>
      <c r="F3688" t="s">
        <v>5503</v>
      </c>
      <c r="G3688" t="s">
        <v>9062</v>
      </c>
      <c r="H3688" t="s">
        <v>10509</v>
      </c>
      <c r="I3688" t="s">
        <v>11386</v>
      </c>
      <c r="J3688">
        <v>10021</v>
      </c>
      <c r="K3688" t="s">
        <v>11446</v>
      </c>
      <c r="L3688" t="s">
        <v>13266</v>
      </c>
      <c r="M3688" t="s">
        <v>14743</v>
      </c>
      <c r="N3688" t="s">
        <v>14778</v>
      </c>
      <c r="P3688" t="s">
        <v>14803</v>
      </c>
      <c r="Q3688" t="s">
        <v>11448</v>
      </c>
      <c r="S3688" t="s">
        <v>14827</v>
      </c>
      <c r="U3688" t="s">
        <v>626</v>
      </c>
      <c r="V3688">
        <v>1950</v>
      </c>
      <c r="W3688" t="s">
        <v>14860</v>
      </c>
      <c r="X3688" t="s">
        <v>14864</v>
      </c>
      <c r="Z3688" t="s">
        <v>17950</v>
      </c>
      <c r="AB3688" t="s">
        <v>23038</v>
      </c>
      <c r="AC3688">
        <v>0</v>
      </c>
      <c r="AD3688" t="s">
        <v>24595</v>
      </c>
      <c r="AE3688" t="s">
        <v>11459</v>
      </c>
      <c r="AF3688">
        <v>3</v>
      </c>
      <c r="AG3688">
        <v>1</v>
      </c>
      <c r="AH3688">
        <v>0</v>
      </c>
      <c r="AI3688">
        <v>0</v>
      </c>
      <c r="AL3688" t="s">
        <v>5011</v>
      </c>
      <c r="AM3688">
        <v>0</v>
      </c>
      <c r="AS3688">
        <v>3</v>
      </c>
      <c r="AT3688" t="s">
        <v>644</v>
      </c>
      <c r="AU3688" t="s">
        <v>25276</v>
      </c>
      <c r="AV3688" t="s">
        <v>25335</v>
      </c>
      <c r="AW3688" t="s">
        <v>11447</v>
      </c>
    </row>
    <row r="3689" spans="1:49">
      <c r="A3689" s="1">
        <f>HYPERLINK("https://lsnyc.legalserver.org/matter/dynamic-profile/view/1907054","19-1907054")</f>
        <v>0</v>
      </c>
      <c r="B3689" t="s">
        <v>215</v>
      </c>
      <c r="C3689" t="s">
        <v>626</v>
      </c>
      <c r="E3689" t="s">
        <v>1546</v>
      </c>
      <c r="F3689" t="s">
        <v>5504</v>
      </c>
      <c r="G3689" t="s">
        <v>9063</v>
      </c>
      <c r="H3689" t="s">
        <v>10451</v>
      </c>
      <c r="I3689" t="s">
        <v>11386</v>
      </c>
      <c r="J3689">
        <v>10037</v>
      </c>
      <c r="K3689" t="s">
        <v>11446</v>
      </c>
      <c r="L3689" t="s">
        <v>13267</v>
      </c>
      <c r="M3689" t="s">
        <v>14750</v>
      </c>
      <c r="N3689" t="s">
        <v>14783</v>
      </c>
      <c r="P3689" t="s">
        <v>14803</v>
      </c>
      <c r="Q3689" t="s">
        <v>11448</v>
      </c>
      <c r="S3689" t="s">
        <v>14828</v>
      </c>
      <c r="T3689" t="s">
        <v>14832</v>
      </c>
      <c r="U3689" t="s">
        <v>626</v>
      </c>
      <c r="V3689">
        <v>822</v>
      </c>
      <c r="W3689" t="s">
        <v>14860</v>
      </c>
      <c r="X3689" t="s">
        <v>14864</v>
      </c>
      <c r="Z3689" t="s">
        <v>17951</v>
      </c>
      <c r="AB3689" t="s">
        <v>23039</v>
      </c>
      <c r="AC3689">
        <v>710</v>
      </c>
      <c r="AD3689" t="s">
        <v>24602</v>
      </c>
      <c r="AE3689" t="s">
        <v>11459</v>
      </c>
      <c r="AF3689">
        <v>23</v>
      </c>
      <c r="AG3689">
        <v>2</v>
      </c>
      <c r="AH3689">
        <v>0</v>
      </c>
      <c r="AI3689">
        <v>120.85</v>
      </c>
      <c r="AL3689" t="s">
        <v>5011</v>
      </c>
      <c r="AM3689">
        <v>20436</v>
      </c>
      <c r="AS3689">
        <v>20.4</v>
      </c>
      <c r="AT3689" t="s">
        <v>478</v>
      </c>
      <c r="AU3689" t="s">
        <v>25266</v>
      </c>
      <c r="AV3689" t="s">
        <v>25335</v>
      </c>
      <c r="AW3689" t="s">
        <v>11447</v>
      </c>
    </row>
    <row r="3690" spans="1:49">
      <c r="A3690" s="1">
        <f>HYPERLINK("https://lsnyc.legalserver.org/matter/dynamic-profile/view/1907886","19-1907886")</f>
        <v>0</v>
      </c>
      <c r="B3690" t="s">
        <v>218</v>
      </c>
      <c r="C3690" t="s">
        <v>524</v>
      </c>
      <c r="E3690" t="s">
        <v>2880</v>
      </c>
      <c r="F3690" t="s">
        <v>3834</v>
      </c>
      <c r="G3690" t="s">
        <v>9064</v>
      </c>
      <c r="H3690" t="s">
        <v>10665</v>
      </c>
      <c r="I3690" t="s">
        <v>11386</v>
      </c>
      <c r="J3690">
        <v>10039</v>
      </c>
      <c r="K3690" t="s">
        <v>11446</v>
      </c>
      <c r="L3690" t="s">
        <v>13268</v>
      </c>
      <c r="M3690" t="s">
        <v>14743</v>
      </c>
      <c r="N3690" t="s">
        <v>14781</v>
      </c>
      <c r="P3690" t="s">
        <v>14803</v>
      </c>
      <c r="Q3690" t="s">
        <v>11448</v>
      </c>
      <c r="S3690" t="s">
        <v>14827</v>
      </c>
      <c r="U3690" t="s">
        <v>524</v>
      </c>
      <c r="V3690">
        <v>989.15</v>
      </c>
      <c r="W3690" t="s">
        <v>14860</v>
      </c>
      <c r="X3690" t="s">
        <v>14865</v>
      </c>
      <c r="Z3690" t="s">
        <v>17952</v>
      </c>
      <c r="AB3690" t="s">
        <v>23040</v>
      </c>
      <c r="AC3690">
        <v>35</v>
      </c>
      <c r="AD3690" t="s">
        <v>24595</v>
      </c>
      <c r="AE3690" t="s">
        <v>11459</v>
      </c>
      <c r="AF3690">
        <v>14</v>
      </c>
      <c r="AG3690">
        <v>1</v>
      </c>
      <c r="AH3690">
        <v>0</v>
      </c>
      <c r="AI3690">
        <v>0</v>
      </c>
      <c r="AL3690" t="s">
        <v>5011</v>
      </c>
      <c r="AM3690">
        <v>0</v>
      </c>
      <c r="AS3690">
        <v>11.9</v>
      </c>
      <c r="AT3690" t="s">
        <v>537</v>
      </c>
      <c r="AU3690" t="s">
        <v>25276</v>
      </c>
      <c r="AV3690" t="s">
        <v>25335</v>
      </c>
      <c r="AW3690" t="s">
        <v>11447</v>
      </c>
    </row>
    <row r="3691" spans="1:49">
      <c r="A3691" s="1">
        <f>HYPERLINK("https://lsnyc.legalserver.org/matter/dynamic-profile/view/1907899","19-1907899")</f>
        <v>0</v>
      </c>
      <c r="B3691" t="s">
        <v>217</v>
      </c>
      <c r="C3691" t="s">
        <v>524</v>
      </c>
      <c r="E3691" t="s">
        <v>2881</v>
      </c>
      <c r="F3691" t="s">
        <v>5505</v>
      </c>
      <c r="G3691" t="s">
        <v>9065</v>
      </c>
      <c r="H3691" t="s">
        <v>10838</v>
      </c>
      <c r="I3691" t="s">
        <v>11386</v>
      </c>
      <c r="J3691">
        <v>10128</v>
      </c>
      <c r="K3691" t="s">
        <v>11446</v>
      </c>
      <c r="L3691" t="s">
        <v>13269</v>
      </c>
      <c r="M3691" t="s">
        <v>14744</v>
      </c>
      <c r="N3691" t="s">
        <v>14781</v>
      </c>
      <c r="P3691" t="s">
        <v>14803</v>
      </c>
      <c r="Q3691" t="s">
        <v>11448</v>
      </c>
      <c r="S3691" t="s">
        <v>14827</v>
      </c>
      <c r="T3691" t="s">
        <v>14837</v>
      </c>
      <c r="U3691" t="s">
        <v>524</v>
      </c>
      <c r="V3691">
        <v>2111</v>
      </c>
      <c r="W3691" t="s">
        <v>14860</v>
      </c>
      <c r="X3691" t="s">
        <v>14865</v>
      </c>
      <c r="Z3691" t="s">
        <v>17953</v>
      </c>
      <c r="AB3691" t="s">
        <v>23041</v>
      </c>
      <c r="AC3691">
        <v>0</v>
      </c>
      <c r="AD3691" t="s">
        <v>24600</v>
      </c>
      <c r="AE3691" t="s">
        <v>24610</v>
      </c>
      <c r="AF3691">
        <v>6</v>
      </c>
      <c r="AG3691">
        <v>1</v>
      </c>
      <c r="AH3691">
        <v>1</v>
      </c>
      <c r="AI3691">
        <v>195.15</v>
      </c>
      <c r="AL3691" t="s">
        <v>5011</v>
      </c>
      <c r="AM3691">
        <v>33000</v>
      </c>
      <c r="AS3691">
        <v>5.9</v>
      </c>
      <c r="AT3691" t="s">
        <v>410</v>
      </c>
      <c r="AU3691" t="s">
        <v>153</v>
      </c>
      <c r="AV3691" t="s">
        <v>25335</v>
      </c>
      <c r="AW3691" t="s">
        <v>11447</v>
      </c>
    </row>
    <row r="3692" spans="1:49">
      <c r="A3692" s="1">
        <f>HYPERLINK("https://lsnyc.legalserver.org/matter/dynamic-profile/view/1908046","19-1908046")</f>
        <v>0</v>
      </c>
      <c r="B3692" t="s">
        <v>249</v>
      </c>
      <c r="C3692" t="s">
        <v>455</v>
      </c>
      <c r="E3692" t="s">
        <v>1528</v>
      </c>
      <c r="F3692" t="s">
        <v>3950</v>
      </c>
      <c r="G3692" t="s">
        <v>9066</v>
      </c>
      <c r="H3692" t="s">
        <v>10934</v>
      </c>
      <c r="I3692" t="s">
        <v>11386</v>
      </c>
      <c r="J3692">
        <v>10039</v>
      </c>
      <c r="K3692" t="s">
        <v>11446</v>
      </c>
      <c r="L3692" t="s">
        <v>13270</v>
      </c>
      <c r="M3692" t="s">
        <v>14743</v>
      </c>
      <c r="N3692" t="s">
        <v>14778</v>
      </c>
      <c r="P3692" t="s">
        <v>14803</v>
      </c>
      <c r="Q3692" t="s">
        <v>11448</v>
      </c>
      <c r="S3692" t="s">
        <v>14827</v>
      </c>
      <c r="U3692" t="s">
        <v>455</v>
      </c>
      <c r="V3692">
        <v>845</v>
      </c>
      <c r="W3692" t="s">
        <v>14860</v>
      </c>
      <c r="X3692" t="s">
        <v>14864</v>
      </c>
      <c r="Z3692" t="s">
        <v>17954</v>
      </c>
      <c r="AB3692" t="s">
        <v>23042</v>
      </c>
      <c r="AC3692">
        <v>312</v>
      </c>
      <c r="AD3692" t="s">
        <v>11479</v>
      </c>
      <c r="AE3692" t="s">
        <v>11459</v>
      </c>
      <c r="AF3692">
        <v>2</v>
      </c>
      <c r="AG3692">
        <v>2</v>
      </c>
      <c r="AH3692">
        <v>0</v>
      </c>
      <c r="AI3692">
        <v>342.99</v>
      </c>
      <c r="AL3692" t="s">
        <v>5011</v>
      </c>
      <c r="AM3692">
        <v>58000</v>
      </c>
      <c r="AS3692">
        <v>1.5</v>
      </c>
      <c r="AT3692" t="s">
        <v>455</v>
      </c>
      <c r="AU3692" t="s">
        <v>25276</v>
      </c>
      <c r="AV3692" t="s">
        <v>25335</v>
      </c>
      <c r="AW3692" t="s">
        <v>11447</v>
      </c>
    </row>
    <row r="3693" spans="1:49">
      <c r="A3693" s="1">
        <f>HYPERLINK("https://lsnyc.legalserver.org/matter/dynamic-profile/view/1906883","19-1906883")</f>
        <v>0</v>
      </c>
      <c r="B3693" t="s">
        <v>188</v>
      </c>
      <c r="C3693" t="s">
        <v>564</v>
      </c>
      <c r="E3693" t="s">
        <v>1181</v>
      </c>
      <c r="F3693" t="s">
        <v>5506</v>
      </c>
      <c r="G3693" t="s">
        <v>9067</v>
      </c>
      <c r="H3693" t="s">
        <v>11169</v>
      </c>
      <c r="I3693" t="s">
        <v>11386</v>
      </c>
      <c r="J3693">
        <v>10002</v>
      </c>
      <c r="K3693" t="s">
        <v>11446</v>
      </c>
      <c r="L3693" t="s">
        <v>13271</v>
      </c>
      <c r="M3693" t="s">
        <v>14744</v>
      </c>
      <c r="N3693" t="s">
        <v>14781</v>
      </c>
      <c r="P3693" t="s">
        <v>14803</v>
      </c>
      <c r="Q3693" t="s">
        <v>11448</v>
      </c>
      <c r="S3693" t="s">
        <v>14828</v>
      </c>
      <c r="T3693" t="s">
        <v>14836</v>
      </c>
      <c r="U3693" t="s">
        <v>14839</v>
      </c>
      <c r="V3693">
        <v>634</v>
      </c>
      <c r="W3693" t="s">
        <v>14860</v>
      </c>
      <c r="X3693" t="s">
        <v>14865</v>
      </c>
      <c r="Z3693" t="s">
        <v>17955</v>
      </c>
      <c r="AA3693" t="s">
        <v>19785</v>
      </c>
      <c r="AB3693" t="s">
        <v>23043</v>
      </c>
      <c r="AC3693">
        <v>172</v>
      </c>
      <c r="AD3693" t="s">
        <v>24597</v>
      </c>
      <c r="AE3693" t="s">
        <v>11459</v>
      </c>
      <c r="AF3693">
        <v>4</v>
      </c>
      <c r="AG3693">
        <v>1</v>
      </c>
      <c r="AH3693">
        <v>0</v>
      </c>
      <c r="AI3693">
        <v>9.369999999999999</v>
      </c>
      <c r="AL3693" t="s">
        <v>5011</v>
      </c>
      <c r="AM3693">
        <v>1170</v>
      </c>
      <c r="AS3693">
        <v>10</v>
      </c>
      <c r="AT3693" t="s">
        <v>375</v>
      </c>
      <c r="AU3693" t="s">
        <v>153</v>
      </c>
      <c r="AV3693" t="s">
        <v>25334</v>
      </c>
      <c r="AW3693" t="s">
        <v>11447</v>
      </c>
    </row>
    <row r="3694" spans="1:49">
      <c r="A3694" s="1">
        <f>HYPERLINK("https://lsnyc.legalserver.org/matter/dynamic-profile/view/1906932","19-1906932")</f>
        <v>0</v>
      </c>
      <c r="B3694" t="s">
        <v>194</v>
      </c>
      <c r="C3694" t="s">
        <v>354</v>
      </c>
      <c r="E3694" t="s">
        <v>2882</v>
      </c>
      <c r="F3694" t="s">
        <v>5507</v>
      </c>
      <c r="G3694" t="s">
        <v>9068</v>
      </c>
      <c r="H3694" t="s">
        <v>10665</v>
      </c>
      <c r="I3694" t="s">
        <v>11386</v>
      </c>
      <c r="J3694">
        <v>10029</v>
      </c>
      <c r="K3694" t="s">
        <v>11446</v>
      </c>
      <c r="L3694" t="s">
        <v>13272</v>
      </c>
      <c r="M3694" t="s">
        <v>14744</v>
      </c>
      <c r="N3694" t="s">
        <v>14781</v>
      </c>
      <c r="P3694" t="s">
        <v>14803</v>
      </c>
      <c r="Q3694" t="s">
        <v>11448</v>
      </c>
      <c r="S3694" t="s">
        <v>14827</v>
      </c>
      <c r="U3694" t="s">
        <v>14839</v>
      </c>
      <c r="V3694">
        <v>1123.25</v>
      </c>
      <c r="W3694" t="s">
        <v>14860</v>
      </c>
      <c r="X3694" t="s">
        <v>14876</v>
      </c>
      <c r="Z3694" t="s">
        <v>17956</v>
      </c>
      <c r="AB3694" t="s">
        <v>23044</v>
      </c>
      <c r="AC3694">
        <v>114</v>
      </c>
      <c r="AD3694" t="s">
        <v>24601</v>
      </c>
      <c r="AE3694" t="s">
        <v>24610</v>
      </c>
      <c r="AF3694">
        <v>10</v>
      </c>
      <c r="AG3694">
        <v>1</v>
      </c>
      <c r="AH3694">
        <v>0</v>
      </c>
      <c r="AI3694">
        <v>32.09</v>
      </c>
      <c r="AL3694" t="s">
        <v>24650</v>
      </c>
      <c r="AM3694">
        <v>4008</v>
      </c>
      <c r="AS3694">
        <v>17.5</v>
      </c>
      <c r="AT3694" t="s">
        <v>516</v>
      </c>
      <c r="AU3694" t="s">
        <v>153</v>
      </c>
      <c r="AV3694" t="s">
        <v>25335</v>
      </c>
      <c r="AW3694" t="s">
        <v>11447</v>
      </c>
    </row>
    <row r="3695" spans="1:49">
      <c r="A3695" s="1">
        <f>HYPERLINK("https://lsnyc.legalserver.org/matter/dynamic-profile/view/1902446","19-1902446")</f>
        <v>0</v>
      </c>
      <c r="B3695" t="s">
        <v>253</v>
      </c>
      <c r="C3695" t="s">
        <v>498</v>
      </c>
      <c r="E3695" t="s">
        <v>2883</v>
      </c>
      <c r="F3695" t="s">
        <v>3627</v>
      </c>
      <c r="G3695" t="s">
        <v>6462</v>
      </c>
      <c r="H3695" t="s">
        <v>10452</v>
      </c>
      <c r="I3695" t="s">
        <v>11386</v>
      </c>
      <c r="J3695">
        <v>10029</v>
      </c>
      <c r="K3695" t="s">
        <v>11446</v>
      </c>
      <c r="L3695" t="s">
        <v>13273</v>
      </c>
      <c r="M3695" t="s">
        <v>14744</v>
      </c>
      <c r="N3695" t="s">
        <v>14778</v>
      </c>
      <c r="P3695" t="s">
        <v>14803</v>
      </c>
      <c r="Q3695" t="s">
        <v>11448</v>
      </c>
      <c r="S3695" t="s">
        <v>14828</v>
      </c>
      <c r="U3695" t="s">
        <v>14839</v>
      </c>
      <c r="V3695">
        <v>223</v>
      </c>
      <c r="W3695" t="s">
        <v>14860</v>
      </c>
      <c r="X3695" t="s">
        <v>14865</v>
      </c>
      <c r="Z3695" t="s">
        <v>15021</v>
      </c>
      <c r="AA3695" t="s">
        <v>19786</v>
      </c>
      <c r="AB3695" t="s">
        <v>23045</v>
      </c>
      <c r="AC3695">
        <v>48</v>
      </c>
      <c r="AD3695" t="s">
        <v>24597</v>
      </c>
      <c r="AE3695" t="s">
        <v>11459</v>
      </c>
      <c r="AF3695">
        <v>15</v>
      </c>
      <c r="AG3695">
        <v>1</v>
      </c>
      <c r="AH3695">
        <v>0</v>
      </c>
      <c r="AI3695">
        <v>74.36</v>
      </c>
      <c r="AL3695" t="s">
        <v>5011</v>
      </c>
      <c r="AM3695">
        <v>9288</v>
      </c>
      <c r="AS3695">
        <v>0.25</v>
      </c>
      <c r="AT3695" t="s">
        <v>511</v>
      </c>
      <c r="AU3695" t="s">
        <v>153</v>
      </c>
      <c r="AV3695" t="s">
        <v>25334</v>
      </c>
      <c r="AW3695" t="s">
        <v>11447</v>
      </c>
    </row>
    <row r="3696" spans="1:49">
      <c r="A3696" s="1">
        <f>HYPERLINK("https://lsnyc.legalserver.org/matter/dynamic-profile/view/1908033","19-1908033")</f>
        <v>0</v>
      </c>
      <c r="B3696" t="s">
        <v>249</v>
      </c>
      <c r="C3696" t="s">
        <v>455</v>
      </c>
      <c r="E3696" t="s">
        <v>1025</v>
      </c>
      <c r="F3696" t="s">
        <v>3561</v>
      </c>
      <c r="G3696" t="s">
        <v>7316</v>
      </c>
      <c r="H3696" t="s">
        <v>10582</v>
      </c>
      <c r="I3696" t="s">
        <v>11386</v>
      </c>
      <c r="J3696">
        <v>10034</v>
      </c>
      <c r="K3696" t="s">
        <v>11446</v>
      </c>
      <c r="L3696" t="s">
        <v>13274</v>
      </c>
      <c r="M3696" t="s">
        <v>14744</v>
      </c>
      <c r="N3696" t="s">
        <v>14778</v>
      </c>
      <c r="P3696" t="s">
        <v>14803</v>
      </c>
      <c r="Q3696" t="s">
        <v>11448</v>
      </c>
      <c r="S3696" t="s">
        <v>14828</v>
      </c>
      <c r="T3696" t="s">
        <v>14834</v>
      </c>
      <c r="U3696" t="s">
        <v>14839</v>
      </c>
      <c r="V3696">
        <v>1201.76</v>
      </c>
      <c r="W3696" t="s">
        <v>14860</v>
      </c>
      <c r="X3696" t="s">
        <v>14865</v>
      </c>
      <c r="Z3696" t="s">
        <v>17957</v>
      </c>
      <c r="AB3696" t="s">
        <v>23046</v>
      </c>
      <c r="AC3696">
        <v>0</v>
      </c>
      <c r="AD3696" t="s">
        <v>24595</v>
      </c>
      <c r="AE3696" t="s">
        <v>14755</v>
      </c>
      <c r="AF3696">
        <v>9</v>
      </c>
      <c r="AG3696">
        <v>2</v>
      </c>
      <c r="AH3696">
        <v>1</v>
      </c>
      <c r="AI3696">
        <v>126.13</v>
      </c>
      <c r="AL3696" t="s">
        <v>5011</v>
      </c>
      <c r="AM3696">
        <v>26904</v>
      </c>
      <c r="AS3696">
        <v>1.5</v>
      </c>
      <c r="AT3696" t="s">
        <v>455</v>
      </c>
      <c r="AU3696" t="s">
        <v>153</v>
      </c>
      <c r="AV3696" t="s">
        <v>25335</v>
      </c>
      <c r="AW3696" t="s">
        <v>11447</v>
      </c>
    </row>
    <row r="3697" spans="1:49">
      <c r="A3697" s="1">
        <f>HYPERLINK("https://lsnyc.legalserver.org/matter/dynamic-profile/view/1909021","19-1909021")</f>
        <v>0</v>
      </c>
      <c r="B3697" t="s">
        <v>217</v>
      </c>
      <c r="C3697" t="s">
        <v>641</v>
      </c>
      <c r="E3697" t="s">
        <v>1218</v>
      </c>
      <c r="F3697" t="s">
        <v>3965</v>
      </c>
      <c r="G3697" t="s">
        <v>9069</v>
      </c>
      <c r="H3697" t="s">
        <v>10517</v>
      </c>
      <c r="I3697" t="s">
        <v>11386</v>
      </c>
      <c r="J3697">
        <v>10034</v>
      </c>
      <c r="K3697" t="s">
        <v>11446</v>
      </c>
      <c r="L3697" t="s">
        <v>13275</v>
      </c>
      <c r="M3697" t="s">
        <v>14744</v>
      </c>
      <c r="N3697" t="s">
        <v>14782</v>
      </c>
      <c r="P3697" t="s">
        <v>14803</v>
      </c>
      <c r="Q3697" t="s">
        <v>11448</v>
      </c>
      <c r="S3697" t="s">
        <v>14827</v>
      </c>
      <c r="T3697" t="s">
        <v>14832</v>
      </c>
      <c r="U3697" t="s">
        <v>641</v>
      </c>
      <c r="V3697">
        <v>981.3200000000001</v>
      </c>
      <c r="W3697" t="s">
        <v>14860</v>
      </c>
      <c r="X3697" t="s">
        <v>14865</v>
      </c>
      <c r="Z3697" t="s">
        <v>17124</v>
      </c>
      <c r="AB3697" t="s">
        <v>23047</v>
      </c>
      <c r="AC3697">
        <v>60</v>
      </c>
      <c r="AD3697" t="s">
        <v>24595</v>
      </c>
      <c r="AE3697" t="s">
        <v>11459</v>
      </c>
      <c r="AF3697">
        <v>26</v>
      </c>
      <c r="AG3697">
        <v>1</v>
      </c>
      <c r="AH3697">
        <v>0</v>
      </c>
      <c r="AI3697">
        <v>19.15</v>
      </c>
      <c r="AL3697" t="s">
        <v>5011</v>
      </c>
      <c r="AM3697">
        <v>2392</v>
      </c>
      <c r="AS3697">
        <v>0</v>
      </c>
      <c r="AU3697" t="s">
        <v>25266</v>
      </c>
      <c r="AV3697" t="s">
        <v>25335</v>
      </c>
      <c r="AW3697" t="s">
        <v>11447</v>
      </c>
    </row>
    <row r="3698" spans="1:49">
      <c r="A3698" s="1">
        <f>HYPERLINK("https://lsnyc.legalserver.org/matter/dynamic-profile/view/1908994","19-1908994")</f>
        <v>0</v>
      </c>
      <c r="B3698" t="s">
        <v>253</v>
      </c>
      <c r="C3698" t="s">
        <v>641</v>
      </c>
      <c r="E3698" t="s">
        <v>1950</v>
      </c>
      <c r="F3698" t="s">
        <v>5508</v>
      </c>
      <c r="G3698" t="s">
        <v>9070</v>
      </c>
      <c r="H3698">
        <v>2</v>
      </c>
      <c r="I3698" t="s">
        <v>11386</v>
      </c>
      <c r="J3698">
        <v>10019</v>
      </c>
      <c r="K3698" t="s">
        <v>11446</v>
      </c>
      <c r="L3698" t="s">
        <v>13276</v>
      </c>
      <c r="M3698" t="s">
        <v>14743</v>
      </c>
      <c r="N3698" t="s">
        <v>14782</v>
      </c>
      <c r="P3698" t="s">
        <v>14803</v>
      </c>
      <c r="Q3698" t="s">
        <v>11448</v>
      </c>
      <c r="S3698" t="s">
        <v>14827</v>
      </c>
      <c r="T3698" t="s">
        <v>14832</v>
      </c>
      <c r="U3698" t="s">
        <v>641</v>
      </c>
      <c r="V3698">
        <v>980</v>
      </c>
      <c r="W3698" t="s">
        <v>14860</v>
      </c>
      <c r="X3698" t="s">
        <v>14865</v>
      </c>
      <c r="Z3698" t="s">
        <v>17958</v>
      </c>
      <c r="AB3698" t="s">
        <v>23048</v>
      </c>
      <c r="AC3698">
        <v>4</v>
      </c>
      <c r="AD3698" t="s">
        <v>11479</v>
      </c>
      <c r="AE3698" t="s">
        <v>11459</v>
      </c>
      <c r="AF3698">
        <v>2</v>
      </c>
      <c r="AG3698">
        <v>1</v>
      </c>
      <c r="AH3698">
        <v>0</v>
      </c>
      <c r="AI3698">
        <v>64.05</v>
      </c>
      <c r="AL3698" t="s">
        <v>5011</v>
      </c>
      <c r="AM3698">
        <v>8000</v>
      </c>
      <c r="AS3698">
        <v>0</v>
      </c>
      <c r="AU3698" t="s">
        <v>25266</v>
      </c>
      <c r="AV3698" t="s">
        <v>25335</v>
      </c>
      <c r="AW3698" t="s">
        <v>11447</v>
      </c>
    </row>
    <row r="3699" spans="1:49">
      <c r="A3699" s="1">
        <f>HYPERLINK("https://lsnyc.legalserver.org/matter/dynamic-profile/view/1909019","19-1909019")</f>
        <v>0</v>
      </c>
      <c r="B3699" t="s">
        <v>217</v>
      </c>
      <c r="C3699" t="s">
        <v>641</v>
      </c>
      <c r="E3699" t="s">
        <v>2884</v>
      </c>
      <c r="F3699" t="s">
        <v>5509</v>
      </c>
      <c r="G3699" t="s">
        <v>9071</v>
      </c>
      <c r="H3699" t="s">
        <v>10522</v>
      </c>
      <c r="I3699" t="s">
        <v>11386</v>
      </c>
      <c r="J3699">
        <v>10032</v>
      </c>
      <c r="K3699" t="s">
        <v>11446</v>
      </c>
      <c r="L3699" t="s">
        <v>13277</v>
      </c>
      <c r="M3699" t="s">
        <v>14744</v>
      </c>
      <c r="N3699" t="s">
        <v>14782</v>
      </c>
      <c r="P3699" t="s">
        <v>14803</v>
      </c>
      <c r="Q3699" t="s">
        <v>11446</v>
      </c>
      <c r="S3699" t="s">
        <v>14827</v>
      </c>
      <c r="U3699" t="s">
        <v>641</v>
      </c>
      <c r="V3699">
        <v>870</v>
      </c>
      <c r="W3699" t="s">
        <v>14860</v>
      </c>
      <c r="X3699" t="s">
        <v>14865</v>
      </c>
      <c r="Z3699" t="s">
        <v>17959</v>
      </c>
      <c r="AA3699" t="s">
        <v>19787</v>
      </c>
      <c r="AB3699" t="s">
        <v>23049</v>
      </c>
      <c r="AC3699">
        <v>15</v>
      </c>
      <c r="AD3699" t="s">
        <v>24595</v>
      </c>
      <c r="AE3699" t="s">
        <v>24610</v>
      </c>
      <c r="AF3699">
        <v>7</v>
      </c>
      <c r="AG3699">
        <v>2</v>
      </c>
      <c r="AH3699">
        <v>0</v>
      </c>
      <c r="AI3699">
        <v>66.42</v>
      </c>
      <c r="AL3699" t="s">
        <v>5011</v>
      </c>
      <c r="AM3699">
        <v>11232</v>
      </c>
      <c r="AS3699">
        <v>0</v>
      </c>
      <c r="AU3699" t="s">
        <v>25276</v>
      </c>
      <c r="AV3699" t="s">
        <v>25334</v>
      </c>
      <c r="AW3699" t="s">
        <v>11447</v>
      </c>
    </row>
    <row r="3700" spans="1:49">
      <c r="A3700" s="1">
        <f>HYPERLINK("https://lsnyc.legalserver.org/matter/dynamic-profile/view/1909050","19-1909050")</f>
        <v>0</v>
      </c>
      <c r="B3700" t="s">
        <v>253</v>
      </c>
      <c r="C3700" t="s">
        <v>641</v>
      </c>
      <c r="E3700" t="s">
        <v>2885</v>
      </c>
      <c r="F3700" t="s">
        <v>1035</v>
      </c>
      <c r="G3700" t="s">
        <v>9072</v>
      </c>
      <c r="H3700" t="s">
        <v>11170</v>
      </c>
      <c r="I3700" t="s">
        <v>11386</v>
      </c>
      <c r="J3700">
        <v>10027</v>
      </c>
      <c r="K3700" t="s">
        <v>11446</v>
      </c>
      <c r="L3700" t="s">
        <v>13278</v>
      </c>
      <c r="M3700" t="s">
        <v>14758</v>
      </c>
      <c r="N3700" t="s">
        <v>14782</v>
      </c>
      <c r="P3700" t="s">
        <v>14803</v>
      </c>
      <c r="Q3700" t="s">
        <v>11448</v>
      </c>
      <c r="S3700" t="s">
        <v>14830</v>
      </c>
      <c r="U3700" t="s">
        <v>641</v>
      </c>
      <c r="V3700">
        <v>537</v>
      </c>
      <c r="W3700" t="s">
        <v>14860</v>
      </c>
      <c r="X3700" t="s">
        <v>14864</v>
      </c>
      <c r="Z3700" t="s">
        <v>17960</v>
      </c>
      <c r="AB3700" t="s">
        <v>23050</v>
      </c>
      <c r="AC3700">
        <v>0</v>
      </c>
      <c r="AD3700" t="s">
        <v>24605</v>
      </c>
      <c r="AF3700">
        <v>9</v>
      </c>
      <c r="AG3700">
        <v>1</v>
      </c>
      <c r="AH3700">
        <v>0</v>
      </c>
      <c r="AI3700">
        <v>73.02</v>
      </c>
      <c r="AL3700" t="s">
        <v>5011</v>
      </c>
      <c r="AM3700">
        <v>9120</v>
      </c>
      <c r="AS3700">
        <v>0</v>
      </c>
      <c r="AU3700" t="s">
        <v>25276</v>
      </c>
      <c r="AV3700" t="s">
        <v>25335</v>
      </c>
      <c r="AW3700" t="s">
        <v>11447</v>
      </c>
    </row>
    <row r="3701" spans="1:49">
      <c r="A3701" s="1">
        <f>HYPERLINK("https://lsnyc.legalserver.org/matter/dynamic-profile/view/1908996","19-1908996")</f>
        <v>0</v>
      </c>
      <c r="B3701" t="s">
        <v>188</v>
      </c>
      <c r="C3701" t="s">
        <v>641</v>
      </c>
      <c r="E3701" t="s">
        <v>1856</v>
      </c>
      <c r="F3701" t="s">
        <v>5510</v>
      </c>
      <c r="G3701" t="s">
        <v>9073</v>
      </c>
      <c r="H3701">
        <v>1006</v>
      </c>
      <c r="I3701" t="s">
        <v>11386</v>
      </c>
      <c r="J3701">
        <v>10035</v>
      </c>
      <c r="K3701" t="s">
        <v>11446</v>
      </c>
      <c r="L3701" t="s">
        <v>13279</v>
      </c>
      <c r="M3701" t="s">
        <v>14743</v>
      </c>
      <c r="N3701" t="s">
        <v>14778</v>
      </c>
      <c r="P3701" t="s">
        <v>14803</v>
      </c>
      <c r="Q3701" t="s">
        <v>11448</v>
      </c>
      <c r="S3701" t="s">
        <v>14827</v>
      </c>
      <c r="T3701" t="s">
        <v>14832</v>
      </c>
      <c r="U3701" t="s">
        <v>641</v>
      </c>
      <c r="V3701">
        <v>219</v>
      </c>
      <c r="W3701" t="s">
        <v>14860</v>
      </c>
      <c r="X3701" t="s">
        <v>14865</v>
      </c>
      <c r="Z3701" t="s">
        <v>17961</v>
      </c>
      <c r="AB3701" t="s">
        <v>23051</v>
      </c>
      <c r="AC3701">
        <v>208</v>
      </c>
      <c r="AD3701" t="s">
        <v>24606</v>
      </c>
      <c r="AE3701" t="s">
        <v>11459</v>
      </c>
      <c r="AF3701">
        <v>6</v>
      </c>
      <c r="AG3701">
        <v>1</v>
      </c>
      <c r="AH3701">
        <v>0</v>
      </c>
      <c r="AI3701">
        <v>82.63</v>
      </c>
      <c r="AL3701" t="s">
        <v>5011</v>
      </c>
      <c r="AM3701">
        <v>10320</v>
      </c>
      <c r="AS3701">
        <v>0.1</v>
      </c>
      <c r="AT3701" t="s">
        <v>641</v>
      </c>
      <c r="AU3701" t="s">
        <v>25266</v>
      </c>
      <c r="AV3701" t="s">
        <v>25335</v>
      </c>
      <c r="AW3701" t="s">
        <v>11447</v>
      </c>
    </row>
    <row r="3702" spans="1:49">
      <c r="A3702" s="1">
        <f>HYPERLINK("https://lsnyc.legalserver.org/matter/dynamic-profile/view/1909006","19-1909006")</f>
        <v>0</v>
      </c>
      <c r="B3702" t="s">
        <v>188</v>
      </c>
      <c r="C3702" t="s">
        <v>641</v>
      </c>
      <c r="E3702" t="s">
        <v>2886</v>
      </c>
      <c r="F3702" t="s">
        <v>4670</v>
      </c>
      <c r="G3702" t="s">
        <v>9074</v>
      </c>
      <c r="H3702" t="s">
        <v>10524</v>
      </c>
      <c r="I3702" t="s">
        <v>11386</v>
      </c>
      <c r="J3702">
        <v>10039</v>
      </c>
      <c r="K3702" t="s">
        <v>11446</v>
      </c>
      <c r="L3702" t="s">
        <v>13280</v>
      </c>
      <c r="M3702" t="s">
        <v>14744</v>
      </c>
      <c r="N3702" t="s">
        <v>14778</v>
      </c>
      <c r="P3702" t="s">
        <v>14803</v>
      </c>
      <c r="Q3702" t="s">
        <v>11448</v>
      </c>
      <c r="S3702" t="s">
        <v>14827</v>
      </c>
      <c r="T3702" t="s">
        <v>14832</v>
      </c>
      <c r="U3702" t="s">
        <v>641</v>
      </c>
      <c r="V3702">
        <v>1057.41</v>
      </c>
      <c r="W3702" t="s">
        <v>14860</v>
      </c>
      <c r="X3702" t="s">
        <v>14863</v>
      </c>
      <c r="Z3702" t="s">
        <v>17962</v>
      </c>
      <c r="AB3702" t="s">
        <v>23052</v>
      </c>
      <c r="AC3702">
        <v>27</v>
      </c>
      <c r="AD3702" t="s">
        <v>24601</v>
      </c>
      <c r="AE3702" t="s">
        <v>24610</v>
      </c>
      <c r="AF3702">
        <v>22</v>
      </c>
      <c r="AG3702">
        <v>1</v>
      </c>
      <c r="AH3702">
        <v>0</v>
      </c>
      <c r="AI3702">
        <v>90.79000000000001</v>
      </c>
      <c r="AL3702" t="s">
        <v>5011</v>
      </c>
      <c r="AM3702">
        <v>11340</v>
      </c>
      <c r="AS3702">
        <v>0.1</v>
      </c>
      <c r="AT3702" t="s">
        <v>641</v>
      </c>
      <c r="AU3702" t="s">
        <v>25266</v>
      </c>
      <c r="AV3702" t="s">
        <v>25335</v>
      </c>
      <c r="AW3702" t="s">
        <v>11447</v>
      </c>
    </row>
    <row r="3703" spans="1:49">
      <c r="A3703" s="1">
        <f>HYPERLINK("https://lsnyc.legalserver.org/matter/dynamic-profile/view/1909029","19-1909029")</f>
        <v>0</v>
      </c>
      <c r="B3703" t="s">
        <v>207</v>
      </c>
      <c r="C3703" t="s">
        <v>641</v>
      </c>
      <c r="E3703" t="s">
        <v>2135</v>
      </c>
      <c r="F3703" t="s">
        <v>3678</v>
      </c>
      <c r="G3703" t="s">
        <v>7188</v>
      </c>
      <c r="H3703" t="s">
        <v>11171</v>
      </c>
      <c r="I3703" t="s">
        <v>11383</v>
      </c>
      <c r="J3703">
        <v>10463</v>
      </c>
      <c r="K3703" t="s">
        <v>11446</v>
      </c>
      <c r="L3703" t="s">
        <v>13281</v>
      </c>
      <c r="M3703" t="s">
        <v>14743</v>
      </c>
      <c r="N3703" t="s">
        <v>14781</v>
      </c>
      <c r="P3703" t="s">
        <v>14803</v>
      </c>
      <c r="Q3703" t="s">
        <v>11448</v>
      </c>
      <c r="S3703" t="s">
        <v>14827</v>
      </c>
      <c r="U3703" t="s">
        <v>641</v>
      </c>
      <c r="V3703">
        <v>1054</v>
      </c>
      <c r="W3703" t="s">
        <v>14860</v>
      </c>
      <c r="X3703" t="s">
        <v>14865</v>
      </c>
      <c r="Z3703" t="s">
        <v>17963</v>
      </c>
      <c r="AA3703" t="s">
        <v>19788</v>
      </c>
      <c r="AB3703" t="s">
        <v>23053</v>
      </c>
      <c r="AC3703">
        <v>84</v>
      </c>
      <c r="AD3703" t="s">
        <v>24595</v>
      </c>
      <c r="AE3703" t="s">
        <v>11459</v>
      </c>
      <c r="AF3703">
        <v>25</v>
      </c>
      <c r="AG3703">
        <v>1</v>
      </c>
      <c r="AH3703">
        <v>0</v>
      </c>
      <c r="AI3703">
        <v>110.49</v>
      </c>
      <c r="AL3703" t="s">
        <v>5011</v>
      </c>
      <c r="AM3703">
        <v>13800</v>
      </c>
      <c r="AS3703">
        <v>14.7</v>
      </c>
      <c r="AT3703" t="s">
        <v>516</v>
      </c>
      <c r="AU3703" t="s">
        <v>25276</v>
      </c>
      <c r="AV3703" t="s">
        <v>25334</v>
      </c>
      <c r="AW3703" t="s">
        <v>11447</v>
      </c>
    </row>
    <row r="3704" spans="1:49">
      <c r="A3704" s="1">
        <f>HYPERLINK("https://lsnyc.legalserver.org/matter/dynamic-profile/view/1909062","19-1909062")</f>
        <v>0</v>
      </c>
      <c r="B3704" t="s">
        <v>253</v>
      </c>
      <c r="C3704" t="s">
        <v>641</v>
      </c>
      <c r="E3704" t="s">
        <v>1056</v>
      </c>
      <c r="F3704" t="s">
        <v>5511</v>
      </c>
      <c r="G3704" t="s">
        <v>9075</v>
      </c>
      <c r="H3704" t="s">
        <v>11172</v>
      </c>
      <c r="I3704" t="s">
        <v>11386</v>
      </c>
      <c r="J3704">
        <v>10009</v>
      </c>
      <c r="K3704" t="s">
        <v>11446</v>
      </c>
      <c r="L3704" t="s">
        <v>13282</v>
      </c>
      <c r="M3704" t="s">
        <v>14743</v>
      </c>
      <c r="N3704" t="s">
        <v>14782</v>
      </c>
      <c r="P3704" t="s">
        <v>14803</v>
      </c>
      <c r="Q3704" t="s">
        <v>11448</v>
      </c>
      <c r="S3704" t="s">
        <v>14827</v>
      </c>
      <c r="T3704" t="s">
        <v>14832</v>
      </c>
      <c r="U3704" t="s">
        <v>641</v>
      </c>
      <c r="V3704">
        <v>450</v>
      </c>
      <c r="W3704" t="s">
        <v>14860</v>
      </c>
      <c r="X3704" t="s">
        <v>14865</v>
      </c>
      <c r="Z3704" t="s">
        <v>17964</v>
      </c>
      <c r="AB3704" t="s">
        <v>23054</v>
      </c>
      <c r="AC3704">
        <v>16</v>
      </c>
      <c r="AD3704" t="s">
        <v>24599</v>
      </c>
      <c r="AE3704" t="s">
        <v>24610</v>
      </c>
      <c r="AF3704">
        <v>56</v>
      </c>
      <c r="AG3704">
        <v>1</v>
      </c>
      <c r="AH3704">
        <v>0</v>
      </c>
      <c r="AI3704">
        <v>115.29</v>
      </c>
      <c r="AL3704" t="s">
        <v>5011</v>
      </c>
      <c r="AM3704">
        <v>14400</v>
      </c>
      <c r="AS3704">
        <v>0.5</v>
      </c>
      <c r="AT3704" t="s">
        <v>460</v>
      </c>
      <c r="AU3704" t="s">
        <v>25266</v>
      </c>
      <c r="AV3704" t="s">
        <v>25335</v>
      </c>
      <c r="AW3704" t="s">
        <v>11447</v>
      </c>
    </row>
    <row r="3705" spans="1:49">
      <c r="A3705" s="1">
        <f>HYPERLINK("https://lsnyc.legalserver.org/matter/dynamic-profile/view/1908998","19-1908998")</f>
        <v>0</v>
      </c>
      <c r="B3705" t="s">
        <v>188</v>
      </c>
      <c r="C3705" t="s">
        <v>641</v>
      </c>
      <c r="E3705" t="s">
        <v>2887</v>
      </c>
      <c r="F3705" t="s">
        <v>5512</v>
      </c>
      <c r="G3705" t="s">
        <v>9076</v>
      </c>
      <c r="H3705" t="s">
        <v>10581</v>
      </c>
      <c r="I3705" t="s">
        <v>11386</v>
      </c>
      <c r="J3705">
        <v>10029</v>
      </c>
      <c r="K3705" t="s">
        <v>11446</v>
      </c>
      <c r="L3705" t="s">
        <v>13283</v>
      </c>
      <c r="M3705" t="s">
        <v>14744</v>
      </c>
      <c r="N3705" t="s">
        <v>14778</v>
      </c>
      <c r="P3705" t="s">
        <v>14803</v>
      </c>
      <c r="Q3705" t="s">
        <v>11448</v>
      </c>
      <c r="S3705" t="s">
        <v>14827</v>
      </c>
      <c r="T3705" t="s">
        <v>14832</v>
      </c>
      <c r="U3705" t="s">
        <v>641</v>
      </c>
      <c r="V3705">
        <v>900.15</v>
      </c>
      <c r="W3705" t="s">
        <v>14860</v>
      </c>
      <c r="X3705" t="s">
        <v>14865</v>
      </c>
      <c r="Z3705" t="s">
        <v>17965</v>
      </c>
      <c r="AB3705" t="s">
        <v>23055</v>
      </c>
      <c r="AC3705">
        <v>20</v>
      </c>
      <c r="AD3705" t="s">
        <v>24606</v>
      </c>
      <c r="AE3705" t="s">
        <v>11459</v>
      </c>
      <c r="AF3705">
        <v>17</v>
      </c>
      <c r="AG3705">
        <v>1</v>
      </c>
      <c r="AH3705">
        <v>0</v>
      </c>
      <c r="AI3705">
        <v>127.92</v>
      </c>
      <c r="AL3705" t="s">
        <v>5011</v>
      </c>
      <c r="AM3705">
        <v>15976.8</v>
      </c>
      <c r="AS3705">
        <v>0.9</v>
      </c>
      <c r="AT3705" t="s">
        <v>504</v>
      </c>
      <c r="AU3705" t="s">
        <v>25266</v>
      </c>
      <c r="AV3705" t="s">
        <v>25335</v>
      </c>
      <c r="AW3705" t="s">
        <v>11447</v>
      </c>
    </row>
    <row r="3706" spans="1:49">
      <c r="A3706" s="1">
        <f>HYPERLINK("https://lsnyc.legalserver.org/matter/dynamic-profile/view/1909033","19-1909033")</f>
        <v>0</v>
      </c>
      <c r="B3706" t="s">
        <v>217</v>
      </c>
      <c r="C3706" t="s">
        <v>641</v>
      </c>
      <c r="E3706" t="s">
        <v>2888</v>
      </c>
      <c r="F3706" t="s">
        <v>5513</v>
      </c>
      <c r="G3706" t="s">
        <v>9077</v>
      </c>
      <c r="H3706" t="s">
        <v>11173</v>
      </c>
      <c r="I3706" t="s">
        <v>11386</v>
      </c>
      <c r="J3706">
        <v>10024</v>
      </c>
      <c r="K3706" t="s">
        <v>11446</v>
      </c>
      <c r="L3706" t="s">
        <v>13284</v>
      </c>
      <c r="M3706" t="s">
        <v>14743</v>
      </c>
      <c r="N3706" t="s">
        <v>14782</v>
      </c>
      <c r="P3706" t="s">
        <v>14803</v>
      </c>
      <c r="Q3706" t="s">
        <v>11448</v>
      </c>
      <c r="S3706" t="s">
        <v>14827</v>
      </c>
      <c r="T3706" t="s">
        <v>14832</v>
      </c>
      <c r="U3706" t="s">
        <v>641</v>
      </c>
      <c r="V3706">
        <v>1207</v>
      </c>
      <c r="W3706" t="s">
        <v>14860</v>
      </c>
      <c r="X3706" t="s">
        <v>14865</v>
      </c>
      <c r="Z3706" t="s">
        <v>15529</v>
      </c>
      <c r="AB3706" t="s">
        <v>23056</v>
      </c>
      <c r="AC3706">
        <v>60</v>
      </c>
      <c r="AD3706" t="s">
        <v>24595</v>
      </c>
      <c r="AE3706" t="s">
        <v>11459</v>
      </c>
      <c r="AF3706">
        <v>42</v>
      </c>
      <c r="AG3706">
        <v>1</v>
      </c>
      <c r="AH3706">
        <v>0</v>
      </c>
      <c r="AI3706">
        <v>160.13</v>
      </c>
      <c r="AL3706" t="s">
        <v>5011</v>
      </c>
      <c r="AM3706">
        <v>20000</v>
      </c>
      <c r="AS3706">
        <v>0</v>
      </c>
      <c r="AU3706" t="s">
        <v>25266</v>
      </c>
      <c r="AV3706" t="s">
        <v>25335</v>
      </c>
      <c r="AW3706" t="s">
        <v>11447</v>
      </c>
    </row>
    <row r="3707" spans="1:49">
      <c r="A3707" s="1">
        <f>HYPERLINK("https://lsnyc.legalserver.org/matter/dynamic-profile/view/1908995","19-1908995")</f>
        <v>0</v>
      </c>
      <c r="B3707" t="s">
        <v>217</v>
      </c>
      <c r="C3707" t="s">
        <v>641</v>
      </c>
      <c r="E3707" t="s">
        <v>1511</v>
      </c>
      <c r="F3707" t="s">
        <v>2041</v>
      </c>
      <c r="G3707" t="s">
        <v>9078</v>
      </c>
      <c r="H3707" t="s">
        <v>11174</v>
      </c>
      <c r="I3707" t="s">
        <v>11386</v>
      </c>
      <c r="J3707">
        <v>10002</v>
      </c>
      <c r="K3707" t="s">
        <v>11446</v>
      </c>
      <c r="L3707" t="s">
        <v>13285</v>
      </c>
      <c r="M3707" t="s">
        <v>14744</v>
      </c>
      <c r="N3707" t="s">
        <v>14778</v>
      </c>
      <c r="P3707" t="s">
        <v>14803</v>
      </c>
      <c r="Q3707" t="s">
        <v>11448</v>
      </c>
      <c r="S3707" t="s">
        <v>14828</v>
      </c>
      <c r="U3707" t="s">
        <v>641</v>
      </c>
      <c r="V3707">
        <v>1516</v>
      </c>
      <c r="W3707" t="s">
        <v>14860</v>
      </c>
      <c r="X3707" t="s">
        <v>14865</v>
      </c>
      <c r="Z3707" t="s">
        <v>17966</v>
      </c>
      <c r="AA3707" t="s">
        <v>19789</v>
      </c>
      <c r="AB3707" t="s">
        <v>23057</v>
      </c>
      <c r="AC3707">
        <v>181</v>
      </c>
      <c r="AD3707" t="s">
        <v>24597</v>
      </c>
      <c r="AE3707" t="s">
        <v>11459</v>
      </c>
      <c r="AF3707">
        <v>41</v>
      </c>
      <c r="AG3707">
        <v>5</v>
      </c>
      <c r="AH3707">
        <v>0</v>
      </c>
      <c r="AI3707">
        <v>172.36</v>
      </c>
      <c r="AL3707" t="s">
        <v>5011</v>
      </c>
      <c r="AM3707">
        <v>52000</v>
      </c>
      <c r="AS3707">
        <v>0.1</v>
      </c>
      <c r="AT3707" t="s">
        <v>641</v>
      </c>
      <c r="AU3707" t="s">
        <v>25276</v>
      </c>
      <c r="AV3707" t="s">
        <v>25334</v>
      </c>
      <c r="AW3707" t="s">
        <v>11447</v>
      </c>
    </row>
    <row r="3708" spans="1:49">
      <c r="A3708" s="1">
        <f>HYPERLINK("https://lsnyc.legalserver.org/matter/dynamic-profile/view/1909041","19-1909041")</f>
        <v>0</v>
      </c>
      <c r="B3708" t="s">
        <v>188</v>
      </c>
      <c r="C3708" t="s">
        <v>641</v>
      </c>
      <c r="E3708" t="s">
        <v>2889</v>
      </c>
      <c r="F3708" t="s">
        <v>3682</v>
      </c>
      <c r="G3708" t="s">
        <v>9079</v>
      </c>
      <c r="H3708">
        <v>6</v>
      </c>
      <c r="I3708" t="s">
        <v>11386</v>
      </c>
      <c r="J3708">
        <v>10002</v>
      </c>
      <c r="K3708" t="s">
        <v>11446</v>
      </c>
      <c r="L3708" t="s">
        <v>13286</v>
      </c>
      <c r="M3708" t="s">
        <v>14743</v>
      </c>
      <c r="N3708" t="s">
        <v>14781</v>
      </c>
      <c r="P3708" t="s">
        <v>14803</v>
      </c>
      <c r="Q3708" t="s">
        <v>11448</v>
      </c>
      <c r="S3708" t="s">
        <v>14827</v>
      </c>
      <c r="U3708" t="s">
        <v>641</v>
      </c>
      <c r="V3708">
        <v>677.33</v>
      </c>
      <c r="W3708" t="s">
        <v>14860</v>
      </c>
      <c r="X3708" t="s">
        <v>14865</v>
      </c>
      <c r="Z3708" t="s">
        <v>17967</v>
      </c>
      <c r="AB3708" t="s">
        <v>23058</v>
      </c>
      <c r="AC3708">
        <v>16</v>
      </c>
      <c r="AD3708" t="s">
        <v>24595</v>
      </c>
      <c r="AE3708" t="s">
        <v>11459</v>
      </c>
      <c r="AF3708">
        <v>43</v>
      </c>
      <c r="AG3708">
        <v>1</v>
      </c>
      <c r="AH3708">
        <v>0</v>
      </c>
      <c r="AI3708">
        <v>175.92</v>
      </c>
      <c r="AL3708" t="s">
        <v>5011</v>
      </c>
      <c r="AM3708">
        <v>21972</v>
      </c>
      <c r="AS3708">
        <v>6.7</v>
      </c>
      <c r="AT3708" t="s">
        <v>537</v>
      </c>
      <c r="AU3708" t="s">
        <v>25276</v>
      </c>
      <c r="AV3708" t="s">
        <v>25335</v>
      </c>
      <c r="AW3708" t="s">
        <v>11447</v>
      </c>
    </row>
    <row r="3709" spans="1:49">
      <c r="A3709" s="1">
        <f>HYPERLINK("https://lsnyc.legalserver.org/matter/dynamic-profile/view/1909066","19-1909066")</f>
        <v>0</v>
      </c>
      <c r="B3709" t="s">
        <v>253</v>
      </c>
      <c r="C3709" t="s">
        <v>641</v>
      </c>
      <c r="E3709" t="s">
        <v>2046</v>
      </c>
      <c r="F3709" t="s">
        <v>5514</v>
      </c>
      <c r="G3709" t="s">
        <v>9022</v>
      </c>
      <c r="H3709" t="s">
        <v>11175</v>
      </c>
      <c r="I3709" t="s">
        <v>11386</v>
      </c>
      <c r="J3709">
        <v>10019</v>
      </c>
      <c r="K3709" t="s">
        <v>11446</v>
      </c>
      <c r="L3709" t="s">
        <v>13287</v>
      </c>
      <c r="M3709" t="s">
        <v>14744</v>
      </c>
      <c r="N3709" t="s">
        <v>14782</v>
      </c>
      <c r="P3709" t="s">
        <v>14803</v>
      </c>
      <c r="Q3709" t="s">
        <v>11448</v>
      </c>
      <c r="S3709" t="s">
        <v>14827</v>
      </c>
      <c r="U3709" t="s">
        <v>641</v>
      </c>
      <c r="V3709">
        <v>715</v>
      </c>
      <c r="W3709" t="s">
        <v>14860</v>
      </c>
      <c r="X3709" t="s">
        <v>14864</v>
      </c>
      <c r="Z3709" t="s">
        <v>17968</v>
      </c>
      <c r="AA3709" t="s">
        <v>19790</v>
      </c>
      <c r="AB3709" t="s">
        <v>23059</v>
      </c>
      <c r="AC3709">
        <v>0</v>
      </c>
      <c r="AD3709" t="s">
        <v>24595</v>
      </c>
      <c r="AE3709" t="s">
        <v>11459</v>
      </c>
      <c r="AF3709">
        <v>23</v>
      </c>
      <c r="AG3709">
        <v>1</v>
      </c>
      <c r="AH3709">
        <v>0</v>
      </c>
      <c r="AI3709">
        <v>176.14</v>
      </c>
      <c r="AL3709" t="s">
        <v>5011</v>
      </c>
      <c r="AM3709">
        <v>22000</v>
      </c>
      <c r="AS3709">
        <v>0</v>
      </c>
      <c r="AU3709" t="s">
        <v>25276</v>
      </c>
      <c r="AV3709" t="s">
        <v>25334</v>
      </c>
      <c r="AW3709" t="s">
        <v>11447</v>
      </c>
    </row>
    <row r="3710" spans="1:49">
      <c r="A3710" s="1">
        <f>HYPERLINK("https://lsnyc.legalserver.org/matter/dynamic-profile/view/1909042","19-1909042")</f>
        <v>0</v>
      </c>
      <c r="B3710" t="s">
        <v>188</v>
      </c>
      <c r="C3710" t="s">
        <v>641</v>
      </c>
      <c r="E3710" t="s">
        <v>1750</v>
      </c>
      <c r="F3710" t="s">
        <v>4638</v>
      </c>
      <c r="G3710" t="s">
        <v>9080</v>
      </c>
      <c r="H3710" t="s">
        <v>10943</v>
      </c>
      <c r="I3710" t="s">
        <v>11386</v>
      </c>
      <c r="J3710">
        <v>10029</v>
      </c>
      <c r="K3710" t="s">
        <v>11446</v>
      </c>
      <c r="M3710" t="s">
        <v>14750</v>
      </c>
      <c r="N3710" t="s">
        <v>14782</v>
      </c>
      <c r="P3710" t="s">
        <v>14803</v>
      </c>
      <c r="Q3710" t="s">
        <v>11448</v>
      </c>
      <c r="S3710" t="s">
        <v>14828</v>
      </c>
      <c r="T3710" t="s">
        <v>14832</v>
      </c>
      <c r="U3710" t="s">
        <v>641</v>
      </c>
      <c r="V3710">
        <v>230</v>
      </c>
      <c r="W3710" t="s">
        <v>14860</v>
      </c>
      <c r="X3710" t="s">
        <v>14864</v>
      </c>
      <c r="Z3710" t="s">
        <v>17969</v>
      </c>
      <c r="AB3710" t="s">
        <v>23060</v>
      </c>
      <c r="AC3710">
        <v>120</v>
      </c>
      <c r="AD3710" t="s">
        <v>24602</v>
      </c>
      <c r="AE3710" t="s">
        <v>11459</v>
      </c>
      <c r="AF3710">
        <v>19</v>
      </c>
      <c r="AG3710">
        <v>2</v>
      </c>
      <c r="AH3710">
        <v>0</v>
      </c>
      <c r="AI3710">
        <v>185.41</v>
      </c>
      <c r="AL3710" t="s">
        <v>5011</v>
      </c>
      <c r="AM3710">
        <v>31352</v>
      </c>
      <c r="AS3710">
        <v>0</v>
      </c>
      <c r="AU3710" t="s">
        <v>25266</v>
      </c>
      <c r="AV3710" t="s">
        <v>25335</v>
      </c>
      <c r="AW3710" t="s">
        <v>11447</v>
      </c>
    </row>
    <row r="3711" spans="1:49">
      <c r="A3711" s="1">
        <f>HYPERLINK("https://lsnyc.legalserver.org/matter/dynamic-profile/view/1909004","19-1909004")</f>
        <v>0</v>
      </c>
      <c r="B3711" t="s">
        <v>253</v>
      </c>
      <c r="C3711" t="s">
        <v>641</v>
      </c>
      <c r="E3711" t="s">
        <v>1329</v>
      </c>
      <c r="F3711" t="s">
        <v>4675</v>
      </c>
      <c r="G3711" t="s">
        <v>9081</v>
      </c>
      <c r="H3711">
        <v>55</v>
      </c>
      <c r="I3711" t="s">
        <v>11386</v>
      </c>
      <c r="J3711">
        <v>10032</v>
      </c>
      <c r="K3711" t="s">
        <v>11446</v>
      </c>
      <c r="L3711" t="s">
        <v>13288</v>
      </c>
      <c r="M3711" t="s">
        <v>14743</v>
      </c>
      <c r="N3711" t="s">
        <v>14782</v>
      </c>
      <c r="P3711" t="s">
        <v>14803</v>
      </c>
      <c r="Q3711" t="s">
        <v>11448</v>
      </c>
      <c r="S3711" t="s">
        <v>14827</v>
      </c>
      <c r="U3711" t="s">
        <v>641</v>
      </c>
      <c r="V3711">
        <v>600</v>
      </c>
      <c r="W3711" t="s">
        <v>14860</v>
      </c>
      <c r="X3711" t="s">
        <v>14864</v>
      </c>
      <c r="Z3711" t="s">
        <v>17970</v>
      </c>
      <c r="AB3711" t="s">
        <v>23061</v>
      </c>
      <c r="AC3711">
        <v>29</v>
      </c>
      <c r="AD3711" t="s">
        <v>24606</v>
      </c>
      <c r="AE3711" t="s">
        <v>11459</v>
      </c>
      <c r="AF3711">
        <v>12</v>
      </c>
      <c r="AG3711">
        <v>2</v>
      </c>
      <c r="AH3711">
        <v>0</v>
      </c>
      <c r="AI3711">
        <v>484.09</v>
      </c>
      <c r="AL3711" t="s">
        <v>5011</v>
      </c>
      <c r="AM3711">
        <v>81860</v>
      </c>
      <c r="AS3711">
        <v>0.5</v>
      </c>
      <c r="AT3711" t="s">
        <v>589</v>
      </c>
      <c r="AU3711" t="s">
        <v>25276</v>
      </c>
      <c r="AV3711" t="s">
        <v>25335</v>
      </c>
      <c r="AW3711" t="s">
        <v>11447</v>
      </c>
    </row>
    <row r="3712" spans="1:49">
      <c r="A3712" s="1">
        <f>HYPERLINK("https://lsnyc.legalserver.org/matter/dynamic-profile/view/1909979","19-1909979")</f>
        <v>0</v>
      </c>
      <c r="B3712" t="s">
        <v>188</v>
      </c>
      <c r="C3712" t="s">
        <v>468</v>
      </c>
      <c r="E3712" t="s">
        <v>1760</v>
      </c>
      <c r="F3712" t="s">
        <v>5515</v>
      </c>
      <c r="G3712" t="s">
        <v>9082</v>
      </c>
      <c r="H3712" t="s">
        <v>11114</v>
      </c>
      <c r="I3712" t="s">
        <v>11386</v>
      </c>
      <c r="J3712">
        <v>10002</v>
      </c>
      <c r="K3712" t="s">
        <v>11446</v>
      </c>
      <c r="L3712" t="s">
        <v>13289</v>
      </c>
      <c r="M3712" t="s">
        <v>14744</v>
      </c>
      <c r="N3712" t="s">
        <v>14781</v>
      </c>
      <c r="P3712" t="s">
        <v>14803</v>
      </c>
      <c r="Q3712" t="s">
        <v>11448</v>
      </c>
      <c r="S3712" t="s">
        <v>14827</v>
      </c>
      <c r="U3712" t="s">
        <v>468</v>
      </c>
      <c r="V3712">
        <v>238</v>
      </c>
      <c r="W3712" t="s">
        <v>14860</v>
      </c>
      <c r="X3712" t="s">
        <v>14865</v>
      </c>
      <c r="Z3712" t="s">
        <v>17971</v>
      </c>
      <c r="AB3712" t="s">
        <v>23062</v>
      </c>
      <c r="AC3712">
        <v>0</v>
      </c>
      <c r="AD3712" t="s">
        <v>11479</v>
      </c>
      <c r="AE3712" t="s">
        <v>24610</v>
      </c>
      <c r="AF3712">
        <v>32</v>
      </c>
      <c r="AG3712">
        <v>1</v>
      </c>
      <c r="AH3712">
        <v>0</v>
      </c>
      <c r="AI3712">
        <v>74.08</v>
      </c>
      <c r="AL3712" t="s">
        <v>5011</v>
      </c>
      <c r="AM3712">
        <v>9252</v>
      </c>
      <c r="AS3712">
        <v>13</v>
      </c>
      <c r="AT3712" t="s">
        <v>663</v>
      </c>
      <c r="AU3712" t="s">
        <v>25276</v>
      </c>
      <c r="AV3712" t="s">
        <v>25335</v>
      </c>
      <c r="AW3712" t="s">
        <v>11447</v>
      </c>
    </row>
    <row r="3713" spans="1:49">
      <c r="A3713" s="1">
        <f>HYPERLINK("https://lsnyc.legalserver.org/matter/dynamic-profile/view/1910212","19-1910212")</f>
        <v>0</v>
      </c>
      <c r="B3713" t="s">
        <v>249</v>
      </c>
      <c r="C3713" t="s">
        <v>528</v>
      </c>
      <c r="E3713" t="s">
        <v>2890</v>
      </c>
      <c r="F3713" t="s">
        <v>5516</v>
      </c>
      <c r="G3713" t="s">
        <v>9083</v>
      </c>
      <c r="H3713">
        <v>19</v>
      </c>
      <c r="I3713" t="s">
        <v>11386</v>
      </c>
      <c r="J3713">
        <v>10002</v>
      </c>
      <c r="K3713" t="s">
        <v>11446</v>
      </c>
      <c r="L3713" t="s">
        <v>13290</v>
      </c>
      <c r="M3713" t="s">
        <v>14743</v>
      </c>
      <c r="N3713" t="s">
        <v>14782</v>
      </c>
      <c r="P3713" t="s">
        <v>14803</v>
      </c>
      <c r="Q3713" t="s">
        <v>11448</v>
      </c>
      <c r="S3713" t="s">
        <v>14827</v>
      </c>
      <c r="U3713" t="s">
        <v>528</v>
      </c>
      <c r="V3713">
        <v>760.42</v>
      </c>
      <c r="W3713" t="s">
        <v>14860</v>
      </c>
      <c r="X3713" t="s">
        <v>14865</v>
      </c>
      <c r="Z3713" t="s">
        <v>17972</v>
      </c>
      <c r="AA3713" t="s">
        <v>19791</v>
      </c>
      <c r="AB3713" t="s">
        <v>23063</v>
      </c>
      <c r="AC3713">
        <v>20</v>
      </c>
      <c r="AD3713" t="s">
        <v>24595</v>
      </c>
      <c r="AE3713" t="s">
        <v>11459</v>
      </c>
      <c r="AF3713">
        <v>29</v>
      </c>
      <c r="AG3713">
        <v>2</v>
      </c>
      <c r="AH3713">
        <v>0</v>
      </c>
      <c r="AI3713">
        <v>38.32</v>
      </c>
      <c r="AL3713" t="s">
        <v>24635</v>
      </c>
      <c r="AM3713">
        <v>6480</v>
      </c>
      <c r="AS3713">
        <v>7.85</v>
      </c>
      <c r="AT3713" t="s">
        <v>655</v>
      </c>
      <c r="AU3713" t="s">
        <v>153</v>
      </c>
      <c r="AV3713" t="s">
        <v>25334</v>
      </c>
      <c r="AW3713" t="s">
        <v>11447</v>
      </c>
    </row>
    <row r="3714" spans="1:49">
      <c r="A3714" s="1">
        <f>HYPERLINK("https://lsnyc.legalserver.org/matter/dynamic-profile/view/1910184","19-1910184")</f>
        <v>0</v>
      </c>
      <c r="B3714" t="s">
        <v>182</v>
      </c>
      <c r="C3714" t="s">
        <v>528</v>
      </c>
      <c r="E3714" t="s">
        <v>2074</v>
      </c>
      <c r="F3714" t="s">
        <v>5517</v>
      </c>
      <c r="G3714" t="s">
        <v>9084</v>
      </c>
      <c r="H3714" t="s">
        <v>10542</v>
      </c>
      <c r="I3714" t="s">
        <v>11386</v>
      </c>
      <c r="J3714">
        <v>10034</v>
      </c>
      <c r="K3714" t="s">
        <v>11446</v>
      </c>
      <c r="L3714" t="s">
        <v>13291</v>
      </c>
      <c r="M3714" t="s">
        <v>14744</v>
      </c>
      <c r="N3714" t="s">
        <v>14778</v>
      </c>
      <c r="P3714" t="s">
        <v>14803</v>
      </c>
      <c r="Q3714" t="s">
        <v>11448</v>
      </c>
      <c r="S3714" t="s">
        <v>14827</v>
      </c>
      <c r="U3714" t="s">
        <v>528</v>
      </c>
      <c r="V3714">
        <v>976.48</v>
      </c>
      <c r="W3714" t="s">
        <v>14860</v>
      </c>
      <c r="X3714" t="s">
        <v>14865</v>
      </c>
      <c r="Z3714" t="s">
        <v>17973</v>
      </c>
      <c r="AA3714" t="s">
        <v>19792</v>
      </c>
      <c r="AB3714" t="s">
        <v>23064</v>
      </c>
      <c r="AC3714">
        <v>54</v>
      </c>
      <c r="AE3714" t="s">
        <v>14755</v>
      </c>
      <c r="AF3714">
        <v>20</v>
      </c>
      <c r="AG3714">
        <v>1</v>
      </c>
      <c r="AH3714">
        <v>2</v>
      </c>
      <c r="AI3714">
        <v>55.2</v>
      </c>
      <c r="AL3714" t="s">
        <v>5011</v>
      </c>
      <c r="AM3714">
        <v>11774</v>
      </c>
      <c r="AS3714">
        <v>2.25</v>
      </c>
      <c r="AT3714" t="s">
        <v>473</v>
      </c>
      <c r="AU3714" t="s">
        <v>153</v>
      </c>
      <c r="AV3714" t="s">
        <v>25334</v>
      </c>
      <c r="AW3714" t="s">
        <v>11447</v>
      </c>
    </row>
    <row r="3715" spans="1:49">
      <c r="A3715" s="1">
        <f>HYPERLINK("https://lsnyc.legalserver.org/matter/dynamic-profile/view/1910166","19-1910166")</f>
        <v>0</v>
      </c>
      <c r="B3715" t="s">
        <v>182</v>
      </c>
      <c r="C3715" t="s">
        <v>528</v>
      </c>
      <c r="E3715" t="s">
        <v>2891</v>
      </c>
      <c r="F3715" t="s">
        <v>4518</v>
      </c>
      <c r="G3715" t="s">
        <v>9085</v>
      </c>
      <c r="H3715" t="s">
        <v>10569</v>
      </c>
      <c r="I3715" t="s">
        <v>11386</v>
      </c>
      <c r="J3715">
        <v>10039</v>
      </c>
      <c r="K3715" t="s">
        <v>11446</v>
      </c>
      <c r="L3715" t="s">
        <v>13292</v>
      </c>
      <c r="M3715" t="s">
        <v>14744</v>
      </c>
      <c r="N3715" t="s">
        <v>14778</v>
      </c>
      <c r="P3715" t="s">
        <v>14803</v>
      </c>
      <c r="Q3715" t="s">
        <v>11448</v>
      </c>
      <c r="S3715" t="s">
        <v>14827</v>
      </c>
      <c r="U3715" t="s">
        <v>528</v>
      </c>
      <c r="V3715">
        <v>1096</v>
      </c>
      <c r="W3715" t="s">
        <v>14860</v>
      </c>
      <c r="X3715" t="s">
        <v>14865</v>
      </c>
      <c r="Z3715" t="s">
        <v>17974</v>
      </c>
      <c r="AB3715" t="s">
        <v>23065</v>
      </c>
      <c r="AC3715">
        <v>20</v>
      </c>
      <c r="AD3715" t="s">
        <v>24595</v>
      </c>
      <c r="AE3715" t="s">
        <v>24613</v>
      </c>
      <c r="AF3715">
        <v>18</v>
      </c>
      <c r="AG3715">
        <v>2</v>
      </c>
      <c r="AH3715">
        <v>0</v>
      </c>
      <c r="AI3715">
        <v>88.7</v>
      </c>
      <c r="AL3715" t="s">
        <v>24632</v>
      </c>
      <c r="AM3715">
        <v>15000</v>
      </c>
      <c r="AS3715">
        <v>3</v>
      </c>
      <c r="AT3715" t="s">
        <v>533</v>
      </c>
      <c r="AU3715" t="s">
        <v>25276</v>
      </c>
      <c r="AV3715" t="s">
        <v>25335</v>
      </c>
      <c r="AW3715" t="s">
        <v>11447</v>
      </c>
    </row>
    <row r="3716" spans="1:49">
      <c r="A3716" s="1">
        <f>HYPERLINK("https://lsnyc.legalserver.org/matter/dynamic-profile/view/1910217","19-1910217")</f>
        <v>0</v>
      </c>
      <c r="B3716" t="s">
        <v>182</v>
      </c>
      <c r="C3716" t="s">
        <v>528</v>
      </c>
      <c r="E3716" t="s">
        <v>1661</v>
      </c>
      <c r="F3716" t="s">
        <v>4541</v>
      </c>
      <c r="G3716" t="s">
        <v>9086</v>
      </c>
      <c r="H3716" t="s">
        <v>11176</v>
      </c>
      <c r="I3716" t="s">
        <v>11386</v>
      </c>
      <c r="J3716">
        <v>10011</v>
      </c>
      <c r="K3716" t="s">
        <v>11446</v>
      </c>
      <c r="L3716" t="s">
        <v>13293</v>
      </c>
      <c r="M3716" t="s">
        <v>14744</v>
      </c>
      <c r="N3716" t="s">
        <v>14778</v>
      </c>
      <c r="P3716" t="s">
        <v>14803</v>
      </c>
      <c r="Q3716" t="s">
        <v>11448</v>
      </c>
      <c r="S3716" t="s">
        <v>14828</v>
      </c>
      <c r="U3716" t="s">
        <v>528</v>
      </c>
      <c r="V3716">
        <v>802</v>
      </c>
      <c r="W3716" t="s">
        <v>14860</v>
      </c>
      <c r="X3716" t="s">
        <v>14864</v>
      </c>
      <c r="Z3716" t="s">
        <v>17975</v>
      </c>
      <c r="AA3716" t="s">
        <v>19793</v>
      </c>
      <c r="AB3716" t="s">
        <v>23066</v>
      </c>
      <c r="AC3716">
        <v>291</v>
      </c>
      <c r="AD3716" t="s">
        <v>24597</v>
      </c>
      <c r="AE3716" t="s">
        <v>11459</v>
      </c>
      <c r="AF3716">
        <v>2</v>
      </c>
      <c r="AG3716">
        <v>1</v>
      </c>
      <c r="AH3716">
        <v>1</v>
      </c>
      <c r="AI3716">
        <v>123</v>
      </c>
      <c r="AL3716" t="s">
        <v>5011</v>
      </c>
      <c r="AM3716">
        <v>20800</v>
      </c>
      <c r="AS3716">
        <v>0.75</v>
      </c>
      <c r="AT3716" t="s">
        <v>528</v>
      </c>
      <c r="AU3716" t="s">
        <v>25276</v>
      </c>
      <c r="AV3716" t="s">
        <v>25334</v>
      </c>
      <c r="AW3716" t="s">
        <v>11447</v>
      </c>
    </row>
    <row r="3717" spans="1:49">
      <c r="A3717" s="1">
        <f>HYPERLINK("https://lsnyc.legalserver.org/matter/dynamic-profile/view/1910158","19-1910158")</f>
        <v>0</v>
      </c>
      <c r="B3717" t="s">
        <v>182</v>
      </c>
      <c r="C3717" t="s">
        <v>528</v>
      </c>
      <c r="E3717" t="s">
        <v>1855</v>
      </c>
      <c r="F3717" t="s">
        <v>3510</v>
      </c>
      <c r="G3717" t="s">
        <v>9087</v>
      </c>
      <c r="H3717">
        <v>37</v>
      </c>
      <c r="I3717" t="s">
        <v>11386</v>
      </c>
      <c r="J3717">
        <v>10032</v>
      </c>
      <c r="K3717" t="s">
        <v>11446</v>
      </c>
      <c r="L3717" t="s">
        <v>13294</v>
      </c>
      <c r="M3717" t="s">
        <v>14743</v>
      </c>
      <c r="N3717" t="s">
        <v>14782</v>
      </c>
      <c r="P3717" t="s">
        <v>14803</v>
      </c>
      <c r="Q3717" t="s">
        <v>11448</v>
      </c>
      <c r="S3717" t="s">
        <v>14827</v>
      </c>
      <c r="U3717" t="s">
        <v>528</v>
      </c>
      <c r="V3717">
        <v>1171</v>
      </c>
      <c r="W3717" t="s">
        <v>14860</v>
      </c>
      <c r="X3717" t="s">
        <v>14865</v>
      </c>
      <c r="Z3717" t="s">
        <v>17976</v>
      </c>
      <c r="AB3717" t="s">
        <v>23067</v>
      </c>
      <c r="AC3717">
        <v>45</v>
      </c>
      <c r="AD3717" t="s">
        <v>24595</v>
      </c>
      <c r="AE3717" t="s">
        <v>11459</v>
      </c>
      <c r="AF3717">
        <v>20</v>
      </c>
      <c r="AG3717">
        <v>3</v>
      </c>
      <c r="AH3717">
        <v>2</v>
      </c>
      <c r="AI3717">
        <v>172.36</v>
      </c>
      <c r="AL3717" t="s">
        <v>24632</v>
      </c>
      <c r="AM3717">
        <v>52000</v>
      </c>
      <c r="AS3717">
        <v>5.65</v>
      </c>
      <c r="AT3717" t="s">
        <v>533</v>
      </c>
      <c r="AU3717" t="s">
        <v>25276</v>
      </c>
      <c r="AV3717" t="s">
        <v>25335</v>
      </c>
      <c r="AW3717" t="s">
        <v>11447</v>
      </c>
    </row>
    <row r="3718" spans="1:49">
      <c r="A3718" s="1">
        <f>HYPERLINK("https://lsnyc.legalserver.org/matter/dynamic-profile/view/1910150","19-1910150")</f>
        <v>0</v>
      </c>
      <c r="B3718" t="s">
        <v>188</v>
      </c>
      <c r="C3718" t="s">
        <v>528</v>
      </c>
      <c r="E3718" t="s">
        <v>2892</v>
      </c>
      <c r="F3718" t="s">
        <v>5518</v>
      </c>
      <c r="G3718" t="s">
        <v>9060</v>
      </c>
      <c r="H3718" t="s">
        <v>10841</v>
      </c>
      <c r="I3718" t="s">
        <v>11386</v>
      </c>
      <c r="J3718">
        <v>10037</v>
      </c>
      <c r="K3718" t="s">
        <v>11446</v>
      </c>
      <c r="L3718" t="s">
        <v>13295</v>
      </c>
      <c r="M3718" t="s">
        <v>14743</v>
      </c>
      <c r="N3718" t="s">
        <v>14778</v>
      </c>
      <c r="P3718" t="s">
        <v>14803</v>
      </c>
      <c r="Q3718" t="s">
        <v>11448</v>
      </c>
      <c r="S3718" t="s">
        <v>14828</v>
      </c>
      <c r="U3718" t="s">
        <v>528</v>
      </c>
      <c r="V3718">
        <v>450</v>
      </c>
      <c r="W3718" t="s">
        <v>14860</v>
      </c>
      <c r="X3718" t="s">
        <v>14864</v>
      </c>
      <c r="Z3718" t="s">
        <v>17977</v>
      </c>
      <c r="AB3718" t="s">
        <v>23068</v>
      </c>
      <c r="AC3718">
        <v>126</v>
      </c>
      <c r="AD3718" t="s">
        <v>24597</v>
      </c>
      <c r="AE3718" t="s">
        <v>11459</v>
      </c>
      <c r="AF3718">
        <v>20</v>
      </c>
      <c r="AG3718">
        <v>1</v>
      </c>
      <c r="AH3718">
        <v>0</v>
      </c>
      <c r="AI3718">
        <v>172.94</v>
      </c>
      <c r="AL3718" t="s">
        <v>5011</v>
      </c>
      <c r="AM3718">
        <v>21600</v>
      </c>
      <c r="AS3718">
        <v>1</v>
      </c>
      <c r="AT3718" t="s">
        <v>528</v>
      </c>
      <c r="AU3718" t="s">
        <v>25276</v>
      </c>
      <c r="AV3718" t="s">
        <v>25335</v>
      </c>
      <c r="AW3718" t="s">
        <v>11447</v>
      </c>
    </row>
    <row r="3719" spans="1:49">
      <c r="A3719" s="1">
        <f>HYPERLINK("https://lsnyc.legalserver.org/matter/dynamic-profile/view/1910238","19-1910238")</f>
        <v>0</v>
      </c>
      <c r="B3719" t="s">
        <v>182</v>
      </c>
      <c r="C3719" t="s">
        <v>528</v>
      </c>
      <c r="E3719" t="s">
        <v>1028</v>
      </c>
      <c r="F3719" t="s">
        <v>1465</v>
      </c>
      <c r="G3719" t="s">
        <v>9088</v>
      </c>
      <c r="H3719" t="s">
        <v>10522</v>
      </c>
      <c r="I3719" t="s">
        <v>11386</v>
      </c>
      <c r="J3719">
        <v>10039</v>
      </c>
      <c r="K3719" t="s">
        <v>11446</v>
      </c>
      <c r="L3719" t="s">
        <v>13296</v>
      </c>
      <c r="M3719" t="s">
        <v>14743</v>
      </c>
      <c r="N3719" t="s">
        <v>14782</v>
      </c>
      <c r="P3719" t="s">
        <v>14803</v>
      </c>
      <c r="Q3719" t="s">
        <v>11448</v>
      </c>
      <c r="S3719" t="s">
        <v>14827</v>
      </c>
      <c r="U3719" t="s">
        <v>528</v>
      </c>
      <c r="V3719">
        <v>400</v>
      </c>
      <c r="W3719" t="s">
        <v>14860</v>
      </c>
      <c r="X3719" t="s">
        <v>14864</v>
      </c>
      <c r="Z3719" t="s">
        <v>17978</v>
      </c>
      <c r="AB3719" t="s">
        <v>23069</v>
      </c>
      <c r="AC3719">
        <v>18</v>
      </c>
      <c r="AD3719" t="s">
        <v>24604</v>
      </c>
      <c r="AE3719" t="s">
        <v>11459</v>
      </c>
      <c r="AF3719">
        <v>18</v>
      </c>
      <c r="AG3719">
        <v>2</v>
      </c>
      <c r="AH3719">
        <v>0</v>
      </c>
      <c r="AI3719">
        <v>179.07</v>
      </c>
      <c r="AL3719" t="s">
        <v>5011</v>
      </c>
      <c r="AM3719">
        <v>30280</v>
      </c>
      <c r="AS3719">
        <v>1.75</v>
      </c>
      <c r="AT3719" t="s">
        <v>483</v>
      </c>
      <c r="AU3719" t="s">
        <v>25276</v>
      </c>
      <c r="AV3719" t="s">
        <v>25335</v>
      </c>
      <c r="AW3719" t="s">
        <v>11447</v>
      </c>
    </row>
    <row r="3720" spans="1:49">
      <c r="A3720" s="1">
        <f>HYPERLINK("https://lsnyc.legalserver.org/matter/dynamic-profile/view/1910216","19-1910216")</f>
        <v>0</v>
      </c>
      <c r="B3720" t="s">
        <v>188</v>
      </c>
      <c r="C3720" t="s">
        <v>528</v>
      </c>
      <c r="E3720" t="s">
        <v>1692</v>
      </c>
      <c r="F3720" t="s">
        <v>5519</v>
      </c>
      <c r="G3720" t="s">
        <v>9089</v>
      </c>
      <c r="H3720" t="s">
        <v>10568</v>
      </c>
      <c r="I3720" t="s">
        <v>11386</v>
      </c>
      <c r="J3720">
        <v>10037</v>
      </c>
      <c r="K3720" t="s">
        <v>11446</v>
      </c>
      <c r="L3720" t="s">
        <v>13297</v>
      </c>
      <c r="M3720" t="s">
        <v>14744</v>
      </c>
      <c r="N3720" t="s">
        <v>14778</v>
      </c>
      <c r="P3720" t="s">
        <v>14803</v>
      </c>
      <c r="Q3720" t="s">
        <v>11448</v>
      </c>
      <c r="S3720" t="s">
        <v>14827</v>
      </c>
      <c r="U3720" t="s">
        <v>528</v>
      </c>
      <c r="V3720">
        <v>723</v>
      </c>
      <c r="W3720" t="s">
        <v>14860</v>
      </c>
      <c r="X3720" t="s">
        <v>14868</v>
      </c>
      <c r="Z3720" t="s">
        <v>17979</v>
      </c>
      <c r="AB3720" t="s">
        <v>23070</v>
      </c>
      <c r="AC3720">
        <v>28</v>
      </c>
      <c r="AD3720" t="s">
        <v>24595</v>
      </c>
      <c r="AE3720" t="s">
        <v>11459</v>
      </c>
      <c r="AF3720">
        <v>9</v>
      </c>
      <c r="AG3720">
        <v>1</v>
      </c>
      <c r="AH3720">
        <v>0</v>
      </c>
      <c r="AI3720">
        <v>243.11</v>
      </c>
      <c r="AL3720" t="s">
        <v>24632</v>
      </c>
      <c r="AM3720">
        <v>30364</v>
      </c>
      <c r="AS3720">
        <v>1.5</v>
      </c>
      <c r="AT3720" t="s">
        <v>604</v>
      </c>
      <c r="AU3720" t="s">
        <v>153</v>
      </c>
      <c r="AV3720" t="s">
        <v>25335</v>
      </c>
      <c r="AW3720" t="s">
        <v>11447</v>
      </c>
    </row>
    <row r="3721" spans="1:49">
      <c r="A3721" s="1">
        <f>HYPERLINK("https://lsnyc.legalserver.org/matter/dynamic-profile/view/1910383","19-1910383")</f>
        <v>0</v>
      </c>
      <c r="B3721" t="s">
        <v>208</v>
      </c>
      <c r="C3721" t="s">
        <v>601</v>
      </c>
      <c r="E3721" t="s">
        <v>1209</v>
      </c>
      <c r="F3721" t="s">
        <v>3662</v>
      </c>
      <c r="G3721" t="s">
        <v>9090</v>
      </c>
      <c r="H3721" t="s">
        <v>10459</v>
      </c>
      <c r="I3721" t="s">
        <v>11386</v>
      </c>
      <c r="J3721">
        <v>10002</v>
      </c>
      <c r="K3721" t="s">
        <v>11446</v>
      </c>
      <c r="M3721" t="s">
        <v>11601</v>
      </c>
      <c r="N3721" t="s">
        <v>14782</v>
      </c>
      <c r="P3721" t="s">
        <v>14803</v>
      </c>
      <c r="Q3721" t="s">
        <v>11448</v>
      </c>
      <c r="S3721" t="s">
        <v>14828</v>
      </c>
      <c r="U3721" t="s">
        <v>601</v>
      </c>
      <c r="V3721">
        <v>2500</v>
      </c>
      <c r="W3721" t="s">
        <v>14860</v>
      </c>
      <c r="X3721" t="s">
        <v>14876</v>
      </c>
      <c r="Z3721" t="s">
        <v>17980</v>
      </c>
      <c r="AB3721" t="s">
        <v>23071</v>
      </c>
      <c r="AC3721">
        <v>404</v>
      </c>
      <c r="AD3721" t="s">
        <v>24600</v>
      </c>
      <c r="AE3721" t="s">
        <v>24615</v>
      </c>
      <c r="AF3721">
        <v>24</v>
      </c>
      <c r="AG3721">
        <v>3</v>
      </c>
      <c r="AH3721">
        <v>0</v>
      </c>
      <c r="AI3721">
        <v>0</v>
      </c>
      <c r="AL3721" t="s">
        <v>5011</v>
      </c>
      <c r="AM3721">
        <v>0</v>
      </c>
      <c r="AS3721">
        <v>0</v>
      </c>
      <c r="AU3721" t="s">
        <v>153</v>
      </c>
      <c r="AV3721" t="s">
        <v>25335</v>
      </c>
      <c r="AW3721" t="s">
        <v>11447</v>
      </c>
    </row>
    <row r="3722" spans="1:49">
      <c r="A3722" s="1">
        <f>HYPERLINK("https://lsnyc.legalserver.org/matter/dynamic-profile/view/1908205","19-1908205")</f>
        <v>0</v>
      </c>
      <c r="B3722" t="s">
        <v>208</v>
      </c>
      <c r="C3722" t="s">
        <v>372</v>
      </c>
      <c r="E3722" t="s">
        <v>2893</v>
      </c>
      <c r="F3722" t="s">
        <v>5520</v>
      </c>
      <c r="G3722" t="s">
        <v>9091</v>
      </c>
      <c r="H3722" t="s">
        <v>10581</v>
      </c>
      <c r="I3722" t="s">
        <v>11386</v>
      </c>
      <c r="J3722">
        <v>10026</v>
      </c>
      <c r="K3722" t="s">
        <v>11446</v>
      </c>
      <c r="L3722" t="s">
        <v>13298</v>
      </c>
      <c r="M3722" t="s">
        <v>14744</v>
      </c>
      <c r="N3722" t="s">
        <v>14782</v>
      </c>
      <c r="P3722" t="s">
        <v>14803</v>
      </c>
      <c r="Q3722" t="s">
        <v>11448</v>
      </c>
      <c r="S3722" t="s">
        <v>14829</v>
      </c>
      <c r="U3722" t="s">
        <v>604</v>
      </c>
      <c r="V3722">
        <v>1350</v>
      </c>
      <c r="W3722" t="s">
        <v>14860</v>
      </c>
      <c r="Z3722" t="s">
        <v>17981</v>
      </c>
      <c r="AB3722" t="s">
        <v>23072</v>
      </c>
      <c r="AC3722">
        <v>0</v>
      </c>
      <c r="AF3722">
        <v>1</v>
      </c>
      <c r="AG3722">
        <v>1</v>
      </c>
      <c r="AH3722">
        <v>0</v>
      </c>
      <c r="AI3722">
        <v>0</v>
      </c>
      <c r="AL3722" t="s">
        <v>5011</v>
      </c>
      <c r="AM3722">
        <v>0</v>
      </c>
      <c r="AS3722">
        <v>0</v>
      </c>
      <c r="AU3722" t="s">
        <v>25278</v>
      </c>
      <c r="AV3722" t="s">
        <v>25335</v>
      </c>
      <c r="AW3722" t="s">
        <v>11447</v>
      </c>
    </row>
    <row r="3723" spans="1:49">
      <c r="A3723" s="1">
        <f>HYPERLINK("https://lsnyc.legalserver.org/matter/dynamic-profile/view/1908210","19-1908210")</f>
        <v>0</v>
      </c>
      <c r="B3723" t="s">
        <v>208</v>
      </c>
      <c r="C3723" t="s">
        <v>372</v>
      </c>
      <c r="E3723" t="s">
        <v>1359</v>
      </c>
      <c r="F3723" t="s">
        <v>5521</v>
      </c>
      <c r="G3723" t="s">
        <v>9092</v>
      </c>
      <c r="H3723" t="s">
        <v>10559</v>
      </c>
      <c r="I3723" t="s">
        <v>11386</v>
      </c>
      <c r="J3723">
        <v>10026</v>
      </c>
      <c r="K3723" t="s">
        <v>11446</v>
      </c>
      <c r="L3723" t="s">
        <v>13299</v>
      </c>
      <c r="M3723" t="s">
        <v>14744</v>
      </c>
      <c r="N3723" t="s">
        <v>14782</v>
      </c>
      <c r="P3723" t="s">
        <v>14803</v>
      </c>
      <c r="Q3723" t="s">
        <v>11448</v>
      </c>
      <c r="S3723" t="s">
        <v>14829</v>
      </c>
      <c r="U3723" t="s">
        <v>604</v>
      </c>
      <c r="V3723">
        <v>380</v>
      </c>
      <c r="W3723" t="s">
        <v>14860</v>
      </c>
      <c r="Z3723" t="s">
        <v>17982</v>
      </c>
      <c r="AB3723" t="s">
        <v>23073</v>
      </c>
      <c r="AC3723">
        <v>0</v>
      </c>
      <c r="AD3723" t="s">
        <v>24596</v>
      </c>
      <c r="AF3723">
        <v>20</v>
      </c>
      <c r="AG3723">
        <v>1</v>
      </c>
      <c r="AH3723">
        <v>0</v>
      </c>
      <c r="AI3723">
        <v>13.26</v>
      </c>
      <c r="AL3723" t="s">
        <v>5011</v>
      </c>
      <c r="AM3723">
        <v>1656</v>
      </c>
      <c r="AS3723">
        <v>0</v>
      </c>
      <c r="AU3723" t="s">
        <v>25278</v>
      </c>
      <c r="AV3723" t="s">
        <v>25335</v>
      </c>
      <c r="AW3723" t="s">
        <v>11447</v>
      </c>
    </row>
    <row r="3724" spans="1:49">
      <c r="A3724" s="1">
        <f>HYPERLINK("https://lsnyc.legalserver.org/matter/dynamic-profile/view/1874631","18-1874631")</f>
        <v>0</v>
      </c>
      <c r="B3724" t="s">
        <v>208</v>
      </c>
      <c r="C3724" t="s">
        <v>786</v>
      </c>
      <c r="E3724" t="s">
        <v>1176</v>
      </c>
      <c r="F3724" t="s">
        <v>5522</v>
      </c>
      <c r="G3724" t="s">
        <v>9093</v>
      </c>
      <c r="H3724" t="s">
        <v>10717</v>
      </c>
      <c r="I3724" t="s">
        <v>11386</v>
      </c>
      <c r="J3724">
        <v>10032</v>
      </c>
      <c r="K3724" t="s">
        <v>11446</v>
      </c>
      <c r="L3724" t="s">
        <v>13300</v>
      </c>
      <c r="M3724" t="s">
        <v>14744</v>
      </c>
      <c r="N3724" t="s">
        <v>14782</v>
      </c>
      <c r="P3724" t="s">
        <v>14803</v>
      </c>
      <c r="Q3724" t="s">
        <v>11448</v>
      </c>
      <c r="S3724" t="s">
        <v>14827</v>
      </c>
      <c r="U3724" t="s">
        <v>604</v>
      </c>
      <c r="V3724">
        <v>1116.99</v>
      </c>
      <c r="W3724" t="s">
        <v>14860</v>
      </c>
      <c r="X3724" t="s">
        <v>14865</v>
      </c>
      <c r="Z3724" t="s">
        <v>17983</v>
      </c>
      <c r="AB3724" t="s">
        <v>23074</v>
      </c>
      <c r="AC3724">
        <v>100</v>
      </c>
      <c r="AF3724">
        <v>24</v>
      </c>
      <c r="AG3724">
        <v>1</v>
      </c>
      <c r="AH3724">
        <v>0</v>
      </c>
      <c r="AI3724">
        <v>79.5</v>
      </c>
      <c r="AL3724" t="s">
        <v>5011</v>
      </c>
      <c r="AM3724">
        <v>9651</v>
      </c>
      <c r="AS3724">
        <v>0</v>
      </c>
      <c r="AU3724" t="s">
        <v>25278</v>
      </c>
      <c r="AV3724" t="s">
        <v>25335</v>
      </c>
      <c r="AW3724" t="s">
        <v>11447</v>
      </c>
    </row>
    <row r="3725" spans="1:49">
      <c r="A3725" s="1">
        <f>HYPERLINK("https://lsnyc.legalserver.org/matter/dynamic-profile/view/1910899","19-1910899")</f>
        <v>0</v>
      </c>
      <c r="B3725" t="s">
        <v>188</v>
      </c>
      <c r="C3725" t="s">
        <v>604</v>
      </c>
      <c r="E3725" t="s">
        <v>1634</v>
      </c>
      <c r="F3725" t="s">
        <v>3890</v>
      </c>
      <c r="G3725" t="s">
        <v>9094</v>
      </c>
      <c r="H3725" t="s">
        <v>10498</v>
      </c>
      <c r="I3725" t="s">
        <v>11386</v>
      </c>
      <c r="J3725">
        <v>10039</v>
      </c>
      <c r="K3725" t="s">
        <v>11446</v>
      </c>
      <c r="M3725" t="s">
        <v>11601</v>
      </c>
      <c r="N3725" t="s">
        <v>14780</v>
      </c>
      <c r="P3725" t="s">
        <v>14803</v>
      </c>
      <c r="Q3725" t="s">
        <v>11448</v>
      </c>
      <c r="S3725" t="s">
        <v>14827</v>
      </c>
      <c r="U3725" t="s">
        <v>604</v>
      </c>
      <c r="V3725">
        <v>725.4299999999999</v>
      </c>
      <c r="W3725" t="s">
        <v>14860</v>
      </c>
      <c r="Z3725" t="s">
        <v>17984</v>
      </c>
      <c r="AB3725" t="s">
        <v>23075</v>
      </c>
      <c r="AC3725">
        <v>0</v>
      </c>
      <c r="AD3725" t="s">
        <v>24595</v>
      </c>
      <c r="AE3725" t="s">
        <v>24610</v>
      </c>
      <c r="AF3725">
        <v>11</v>
      </c>
      <c r="AG3725">
        <v>1</v>
      </c>
      <c r="AH3725">
        <v>0</v>
      </c>
      <c r="AI3725">
        <v>96.08</v>
      </c>
      <c r="AL3725" t="s">
        <v>5011</v>
      </c>
      <c r="AM3725">
        <v>12000</v>
      </c>
      <c r="AS3725">
        <v>14.2</v>
      </c>
      <c r="AT3725" t="s">
        <v>495</v>
      </c>
      <c r="AU3725" t="s">
        <v>25276</v>
      </c>
      <c r="AV3725" t="s">
        <v>25335</v>
      </c>
      <c r="AW3725" t="s">
        <v>11447</v>
      </c>
    </row>
    <row r="3726" spans="1:49">
      <c r="A3726" s="1">
        <f>HYPERLINK("https://lsnyc.legalserver.org/matter/dynamic-profile/view/1878752","18-1878752")</f>
        <v>0</v>
      </c>
      <c r="B3726" t="s">
        <v>188</v>
      </c>
      <c r="C3726" t="s">
        <v>839</v>
      </c>
      <c r="E3726" t="s">
        <v>2894</v>
      </c>
      <c r="F3726" t="s">
        <v>3857</v>
      </c>
      <c r="G3726" t="s">
        <v>9095</v>
      </c>
      <c r="H3726" t="s">
        <v>10484</v>
      </c>
      <c r="I3726" t="s">
        <v>11386</v>
      </c>
      <c r="J3726">
        <v>10030</v>
      </c>
      <c r="K3726" t="s">
        <v>11446</v>
      </c>
      <c r="L3726" t="s">
        <v>13301</v>
      </c>
      <c r="M3726" t="s">
        <v>14743</v>
      </c>
      <c r="N3726" t="s">
        <v>14778</v>
      </c>
      <c r="P3726" t="s">
        <v>14803</v>
      </c>
      <c r="Q3726" t="s">
        <v>11448</v>
      </c>
      <c r="S3726" t="s">
        <v>14828</v>
      </c>
      <c r="U3726" t="s">
        <v>604</v>
      </c>
      <c r="V3726">
        <v>1100</v>
      </c>
      <c r="W3726" t="s">
        <v>14860</v>
      </c>
      <c r="Z3726" t="s">
        <v>17985</v>
      </c>
      <c r="AB3726" t="s">
        <v>23076</v>
      </c>
      <c r="AC3726">
        <v>62</v>
      </c>
      <c r="AF3726">
        <v>17</v>
      </c>
      <c r="AG3726">
        <v>1</v>
      </c>
      <c r="AH3726">
        <v>0</v>
      </c>
      <c r="AI3726">
        <v>128.5</v>
      </c>
      <c r="AL3726" t="s">
        <v>5011</v>
      </c>
      <c r="AM3726">
        <v>15600</v>
      </c>
      <c r="AS3726">
        <v>0.3</v>
      </c>
      <c r="AT3726" t="s">
        <v>726</v>
      </c>
      <c r="AU3726" t="s">
        <v>25278</v>
      </c>
      <c r="AV3726" t="s">
        <v>25335</v>
      </c>
      <c r="AW3726" t="s">
        <v>11447</v>
      </c>
    </row>
    <row r="3727" spans="1:49">
      <c r="A3727" s="1">
        <f>HYPERLINK("https://lsnyc.legalserver.org/matter/dynamic-profile/view/1910503","19-1910503")</f>
        <v>0</v>
      </c>
      <c r="B3727" t="s">
        <v>208</v>
      </c>
      <c r="C3727" t="s">
        <v>508</v>
      </c>
      <c r="E3727" t="s">
        <v>1218</v>
      </c>
      <c r="F3727" t="s">
        <v>3823</v>
      </c>
      <c r="G3727" t="s">
        <v>9096</v>
      </c>
      <c r="I3727" t="s">
        <v>11386</v>
      </c>
      <c r="J3727">
        <v>10038</v>
      </c>
      <c r="K3727" t="s">
        <v>11446</v>
      </c>
      <c r="M3727" t="s">
        <v>11601</v>
      </c>
      <c r="N3727" t="s">
        <v>14782</v>
      </c>
      <c r="P3727" t="s">
        <v>14803</v>
      </c>
      <c r="S3727" t="s">
        <v>14828</v>
      </c>
      <c r="U3727" t="s">
        <v>604</v>
      </c>
      <c r="V3727">
        <v>333</v>
      </c>
      <c r="W3727" t="s">
        <v>14860</v>
      </c>
      <c r="X3727" t="s">
        <v>14876</v>
      </c>
      <c r="Z3727" t="s">
        <v>17986</v>
      </c>
      <c r="AB3727" t="s">
        <v>23077</v>
      </c>
      <c r="AC3727">
        <v>0</v>
      </c>
      <c r="AD3727" t="s">
        <v>11479</v>
      </c>
      <c r="AE3727" t="s">
        <v>11459</v>
      </c>
      <c r="AF3727">
        <v>21</v>
      </c>
      <c r="AG3727">
        <v>1</v>
      </c>
      <c r="AH3727">
        <v>0</v>
      </c>
      <c r="AI3727">
        <v>215.24</v>
      </c>
      <c r="AL3727" t="s">
        <v>5011</v>
      </c>
      <c r="AM3727">
        <v>26884</v>
      </c>
      <c r="AS3727">
        <v>0</v>
      </c>
      <c r="AU3727" t="s">
        <v>153</v>
      </c>
      <c r="AV3727" t="s">
        <v>25335</v>
      </c>
      <c r="AW3727" t="s">
        <v>11447</v>
      </c>
    </row>
    <row r="3728" spans="1:49">
      <c r="A3728" s="1">
        <f>HYPERLINK("https://lsnyc.legalserver.org/matter/dynamic-profile/view/1911059","19-1911059")</f>
        <v>0</v>
      </c>
      <c r="B3728" t="s">
        <v>182</v>
      </c>
      <c r="C3728" t="s">
        <v>460</v>
      </c>
      <c r="E3728" t="s">
        <v>1999</v>
      </c>
      <c r="F3728" t="s">
        <v>5523</v>
      </c>
      <c r="G3728" t="s">
        <v>9097</v>
      </c>
      <c r="H3728" t="s">
        <v>10450</v>
      </c>
      <c r="I3728" t="s">
        <v>11386</v>
      </c>
      <c r="J3728">
        <v>10021</v>
      </c>
      <c r="K3728" t="s">
        <v>11446</v>
      </c>
      <c r="L3728" t="s">
        <v>13302</v>
      </c>
      <c r="M3728" t="s">
        <v>14743</v>
      </c>
      <c r="N3728" t="s">
        <v>14778</v>
      </c>
      <c r="P3728" t="s">
        <v>14803</v>
      </c>
      <c r="Q3728" t="s">
        <v>11448</v>
      </c>
      <c r="S3728" t="s">
        <v>14827</v>
      </c>
      <c r="U3728" t="s">
        <v>460</v>
      </c>
      <c r="V3728">
        <v>958.16</v>
      </c>
      <c r="W3728" t="s">
        <v>14860</v>
      </c>
      <c r="X3728" t="s">
        <v>14871</v>
      </c>
      <c r="Z3728" t="s">
        <v>17987</v>
      </c>
      <c r="AB3728" t="s">
        <v>23078</v>
      </c>
      <c r="AC3728">
        <v>12</v>
      </c>
      <c r="AD3728" t="s">
        <v>24595</v>
      </c>
      <c r="AE3728" t="s">
        <v>14755</v>
      </c>
      <c r="AF3728">
        <v>36</v>
      </c>
      <c r="AG3728">
        <v>1</v>
      </c>
      <c r="AH3728">
        <v>0</v>
      </c>
      <c r="AI3728">
        <v>19.05</v>
      </c>
      <c r="AL3728" t="s">
        <v>5011</v>
      </c>
      <c r="AM3728">
        <v>2379</v>
      </c>
      <c r="AS3728">
        <v>2</v>
      </c>
      <c r="AT3728" t="s">
        <v>477</v>
      </c>
      <c r="AU3728" t="s">
        <v>25276</v>
      </c>
      <c r="AV3728" t="s">
        <v>25335</v>
      </c>
      <c r="AW3728" t="s">
        <v>11447</v>
      </c>
    </row>
    <row r="3729" spans="1:49">
      <c r="A3729" s="1">
        <f>HYPERLINK("https://lsnyc.legalserver.org/matter/dynamic-profile/view/1911227","19-1911227")</f>
        <v>0</v>
      </c>
      <c r="B3729" t="s">
        <v>223</v>
      </c>
      <c r="C3729" t="s">
        <v>511</v>
      </c>
      <c r="E3729" t="s">
        <v>1618</v>
      </c>
      <c r="F3729" t="s">
        <v>5524</v>
      </c>
      <c r="G3729" t="s">
        <v>9098</v>
      </c>
      <c r="H3729">
        <v>4</v>
      </c>
      <c r="I3729" t="s">
        <v>11386</v>
      </c>
      <c r="J3729">
        <v>10039</v>
      </c>
      <c r="K3729" t="s">
        <v>11446</v>
      </c>
      <c r="L3729" t="s">
        <v>13303</v>
      </c>
      <c r="M3729" t="s">
        <v>14743</v>
      </c>
      <c r="N3729" t="s">
        <v>14778</v>
      </c>
      <c r="P3729" t="s">
        <v>14803</v>
      </c>
      <c r="Q3729" t="s">
        <v>11448</v>
      </c>
      <c r="S3729" t="s">
        <v>14827</v>
      </c>
      <c r="U3729" t="s">
        <v>511</v>
      </c>
      <c r="V3729">
        <v>0</v>
      </c>
      <c r="W3729" t="s">
        <v>14860</v>
      </c>
      <c r="X3729" t="s">
        <v>14865</v>
      </c>
      <c r="Z3729" t="s">
        <v>17988</v>
      </c>
      <c r="AB3729" t="s">
        <v>23079</v>
      </c>
      <c r="AC3729">
        <v>0</v>
      </c>
      <c r="AD3729" t="s">
        <v>11479</v>
      </c>
      <c r="AE3729" t="s">
        <v>11459</v>
      </c>
      <c r="AF3729">
        <v>8</v>
      </c>
      <c r="AG3729">
        <v>2</v>
      </c>
      <c r="AH3729">
        <v>1</v>
      </c>
      <c r="AI3729">
        <v>0</v>
      </c>
      <c r="AL3729" t="s">
        <v>24632</v>
      </c>
      <c r="AM3729">
        <v>0</v>
      </c>
      <c r="AS3729">
        <v>4.3</v>
      </c>
      <c r="AT3729" t="s">
        <v>473</v>
      </c>
      <c r="AU3729" t="s">
        <v>25276</v>
      </c>
      <c r="AV3729" t="s">
        <v>25335</v>
      </c>
      <c r="AW3729" t="s">
        <v>11447</v>
      </c>
    </row>
    <row r="3730" spans="1:49">
      <c r="A3730" s="1">
        <f>HYPERLINK("https://lsnyc.legalserver.org/matter/dynamic-profile/view/1911216","19-1911216")</f>
        <v>0</v>
      </c>
      <c r="B3730" t="s">
        <v>223</v>
      </c>
      <c r="C3730" t="s">
        <v>511</v>
      </c>
      <c r="E3730" t="s">
        <v>1025</v>
      </c>
      <c r="F3730" t="s">
        <v>3623</v>
      </c>
      <c r="G3730" t="s">
        <v>9099</v>
      </c>
      <c r="H3730" t="s">
        <v>10485</v>
      </c>
      <c r="I3730" t="s">
        <v>11386</v>
      </c>
      <c r="J3730">
        <v>10032</v>
      </c>
      <c r="K3730" t="s">
        <v>11446</v>
      </c>
      <c r="L3730" t="s">
        <v>13304</v>
      </c>
      <c r="M3730" t="s">
        <v>14744</v>
      </c>
      <c r="N3730" t="s">
        <v>14778</v>
      </c>
      <c r="P3730" t="s">
        <v>14803</v>
      </c>
      <c r="Q3730" t="s">
        <v>11448</v>
      </c>
      <c r="S3730" t="s">
        <v>14827</v>
      </c>
      <c r="U3730" t="s">
        <v>511</v>
      </c>
      <c r="V3730">
        <v>1630</v>
      </c>
      <c r="W3730" t="s">
        <v>14860</v>
      </c>
      <c r="X3730" t="s">
        <v>14865</v>
      </c>
      <c r="Z3730" t="s">
        <v>17989</v>
      </c>
      <c r="AA3730" t="s">
        <v>19794</v>
      </c>
      <c r="AB3730" t="s">
        <v>23080</v>
      </c>
      <c r="AC3730">
        <v>0</v>
      </c>
      <c r="AD3730" t="s">
        <v>24595</v>
      </c>
      <c r="AE3730" t="s">
        <v>24613</v>
      </c>
      <c r="AF3730">
        <v>14</v>
      </c>
      <c r="AG3730">
        <v>1</v>
      </c>
      <c r="AH3730">
        <v>0</v>
      </c>
      <c r="AI3730">
        <v>139.12</v>
      </c>
      <c r="AL3730" t="s">
        <v>24632</v>
      </c>
      <c r="AM3730">
        <v>17376</v>
      </c>
      <c r="AS3730">
        <v>1</v>
      </c>
      <c r="AT3730" t="s">
        <v>511</v>
      </c>
      <c r="AU3730" t="s">
        <v>25276</v>
      </c>
      <c r="AV3730" t="s">
        <v>25334</v>
      </c>
      <c r="AW3730" t="s">
        <v>11447</v>
      </c>
    </row>
    <row r="3731" spans="1:49">
      <c r="A3731" s="1">
        <f>HYPERLINK("https://lsnyc.legalserver.org/matter/dynamic-profile/view/1911780","19-1911780")</f>
        <v>0</v>
      </c>
      <c r="B3731" t="s">
        <v>104</v>
      </c>
      <c r="C3731" t="s">
        <v>645</v>
      </c>
      <c r="E3731" t="s">
        <v>2895</v>
      </c>
      <c r="F3731" t="s">
        <v>5525</v>
      </c>
      <c r="G3731" t="s">
        <v>9100</v>
      </c>
      <c r="H3731" t="s">
        <v>10478</v>
      </c>
      <c r="I3731" t="s">
        <v>11386</v>
      </c>
      <c r="J3731">
        <v>10039</v>
      </c>
      <c r="K3731" t="s">
        <v>11446</v>
      </c>
      <c r="L3731" t="s">
        <v>13305</v>
      </c>
      <c r="M3731" t="s">
        <v>14743</v>
      </c>
      <c r="N3731" t="s">
        <v>14782</v>
      </c>
      <c r="P3731" t="s">
        <v>14803</v>
      </c>
      <c r="Q3731" t="s">
        <v>11448</v>
      </c>
      <c r="S3731" t="s">
        <v>14827</v>
      </c>
      <c r="U3731" t="s">
        <v>645</v>
      </c>
      <c r="V3731">
        <v>1630</v>
      </c>
      <c r="W3731" t="s">
        <v>14860</v>
      </c>
      <c r="X3731" t="s">
        <v>14864</v>
      </c>
      <c r="Z3731" t="s">
        <v>17810</v>
      </c>
      <c r="AB3731" t="s">
        <v>23081</v>
      </c>
      <c r="AC3731">
        <v>0</v>
      </c>
      <c r="AD3731" t="s">
        <v>24595</v>
      </c>
      <c r="AE3731" t="s">
        <v>11459</v>
      </c>
      <c r="AF3731">
        <v>3</v>
      </c>
      <c r="AG3731">
        <v>1</v>
      </c>
      <c r="AH3731">
        <v>0</v>
      </c>
      <c r="AI3731">
        <v>76.86</v>
      </c>
      <c r="AL3731" t="s">
        <v>5011</v>
      </c>
      <c r="AM3731">
        <v>9600</v>
      </c>
      <c r="AS3731">
        <v>9.800000000000001</v>
      </c>
      <c r="AT3731" t="s">
        <v>495</v>
      </c>
      <c r="AU3731" t="s">
        <v>25276</v>
      </c>
      <c r="AV3731" t="s">
        <v>25335</v>
      </c>
      <c r="AW3731" t="s">
        <v>11447</v>
      </c>
    </row>
    <row r="3732" spans="1:49">
      <c r="A3732" s="1">
        <f>HYPERLINK("https://lsnyc.legalserver.org/matter/dynamic-profile/view/1911783","19-1911783")</f>
        <v>0</v>
      </c>
      <c r="B3732" t="s">
        <v>219</v>
      </c>
      <c r="C3732" t="s">
        <v>645</v>
      </c>
      <c r="E3732" t="s">
        <v>1528</v>
      </c>
      <c r="F3732" t="s">
        <v>5526</v>
      </c>
      <c r="G3732" t="s">
        <v>9101</v>
      </c>
      <c r="H3732" t="s">
        <v>10500</v>
      </c>
      <c r="I3732" t="s">
        <v>11386</v>
      </c>
      <c r="J3732">
        <v>10035</v>
      </c>
      <c r="K3732" t="s">
        <v>11446</v>
      </c>
      <c r="M3732" t="s">
        <v>11601</v>
      </c>
      <c r="N3732" t="s">
        <v>14782</v>
      </c>
      <c r="P3732" t="s">
        <v>14803</v>
      </c>
      <c r="Q3732" t="s">
        <v>11448</v>
      </c>
      <c r="S3732" t="s">
        <v>14828</v>
      </c>
      <c r="U3732" t="s">
        <v>645</v>
      </c>
      <c r="V3732">
        <v>198</v>
      </c>
      <c r="W3732" t="s">
        <v>14860</v>
      </c>
      <c r="X3732" t="s">
        <v>14864</v>
      </c>
      <c r="Z3732" t="s">
        <v>17990</v>
      </c>
      <c r="AB3732" t="s">
        <v>23082</v>
      </c>
      <c r="AC3732">
        <v>0</v>
      </c>
      <c r="AD3732" t="s">
        <v>24597</v>
      </c>
      <c r="AF3732">
        <v>5</v>
      </c>
      <c r="AG3732">
        <v>1</v>
      </c>
      <c r="AH3732">
        <v>0</v>
      </c>
      <c r="AI3732">
        <v>81.09</v>
      </c>
      <c r="AL3732" t="s">
        <v>5011</v>
      </c>
      <c r="AM3732">
        <v>10128</v>
      </c>
      <c r="AS3732">
        <v>5.4</v>
      </c>
      <c r="AT3732" t="s">
        <v>509</v>
      </c>
      <c r="AU3732" t="s">
        <v>25286</v>
      </c>
      <c r="AV3732" t="s">
        <v>25335</v>
      </c>
      <c r="AW3732" t="s">
        <v>11447</v>
      </c>
    </row>
    <row r="3733" spans="1:49">
      <c r="A3733" s="1">
        <f>HYPERLINK("https://lsnyc.legalserver.org/matter/dynamic-profile/view/1911788","19-1911788")</f>
        <v>0</v>
      </c>
      <c r="B3733" t="s">
        <v>310</v>
      </c>
      <c r="C3733" t="s">
        <v>645</v>
      </c>
      <c r="E3733" t="s">
        <v>2281</v>
      </c>
      <c r="F3733" t="s">
        <v>5527</v>
      </c>
      <c r="G3733" t="s">
        <v>9102</v>
      </c>
      <c r="H3733" t="s">
        <v>11177</v>
      </c>
      <c r="I3733" t="s">
        <v>11386</v>
      </c>
      <c r="J3733">
        <v>10002</v>
      </c>
      <c r="K3733" t="s">
        <v>11446</v>
      </c>
      <c r="L3733" t="s">
        <v>13306</v>
      </c>
      <c r="M3733" t="s">
        <v>14743</v>
      </c>
      <c r="N3733" t="s">
        <v>14782</v>
      </c>
      <c r="P3733" t="s">
        <v>14803</v>
      </c>
      <c r="Q3733" t="s">
        <v>11448</v>
      </c>
      <c r="S3733" t="s">
        <v>14827</v>
      </c>
      <c r="U3733" t="s">
        <v>645</v>
      </c>
      <c r="V3733">
        <v>269</v>
      </c>
      <c r="W3733" t="s">
        <v>14860</v>
      </c>
      <c r="X3733" t="s">
        <v>14864</v>
      </c>
      <c r="Z3733" t="s">
        <v>17991</v>
      </c>
      <c r="AA3733" t="s">
        <v>19795</v>
      </c>
      <c r="AB3733" t="s">
        <v>23083</v>
      </c>
      <c r="AC3733">
        <v>0</v>
      </c>
      <c r="AD3733" t="s">
        <v>24595</v>
      </c>
      <c r="AE3733" t="s">
        <v>24610</v>
      </c>
      <c r="AF3733">
        <v>9</v>
      </c>
      <c r="AG3733">
        <v>2</v>
      </c>
      <c r="AH3733">
        <v>1</v>
      </c>
      <c r="AI3733">
        <v>150.02</v>
      </c>
      <c r="AL3733" t="s">
        <v>5011</v>
      </c>
      <c r="AM3733">
        <v>32000</v>
      </c>
      <c r="AS3733">
        <v>0.6</v>
      </c>
      <c r="AT3733" t="s">
        <v>472</v>
      </c>
      <c r="AU3733" t="s">
        <v>25276</v>
      </c>
      <c r="AV3733" t="s">
        <v>25334</v>
      </c>
      <c r="AW3733" t="s">
        <v>11447</v>
      </c>
    </row>
    <row r="3734" spans="1:49">
      <c r="A3734" s="1">
        <f>HYPERLINK("https://lsnyc.legalserver.org/matter/dynamic-profile/view/1911801","19-1911801")</f>
        <v>0</v>
      </c>
      <c r="B3734" t="s">
        <v>219</v>
      </c>
      <c r="C3734" t="s">
        <v>645</v>
      </c>
      <c r="E3734" t="s">
        <v>2896</v>
      </c>
      <c r="F3734" t="s">
        <v>2002</v>
      </c>
      <c r="G3734" t="s">
        <v>9103</v>
      </c>
      <c r="H3734" t="s">
        <v>10491</v>
      </c>
      <c r="I3734" t="s">
        <v>11386</v>
      </c>
      <c r="J3734">
        <v>10009</v>
      </c>
      <c r="K3734" t="s">
        <v>11446</v>
      </c>
      <c r="M3734" t="s">
        <v>11601</v>
      </c>
      <c r="N3734" t="s">
        <v>14782</v>
      </c>
      <c r="P3734" t="s">
        <v>14803</v>
      </c>
      <c r="Q3734" t="s">
        <v>11448</v>
      </c>
      <c r="S3734" t="s">
        <v>14827</v>
      </c>
      <c r="U3734" t="s">
        <v>645</v>
      </c>
      <c r="V3734">
        <v>1287.51</v>
      </c>
      <c r="W3734" t="s">
        <v>14860</v>
      </c>
      <c r="X3734" t="s">
        <v>14864</v>
      </c>
      <c r="Z3734" t="s">
        <v>17992</v>
      </c>
      <c r="AB3734" t="s">
        <v>23084</v>
      </c>
      <c r="AC3734">
        <v>0</v>
      </c>
      <c r="AD3734" t="s">
        <v>11479</v>
      </c>
      <c r="AF3734">
        <v>19</v>
      </c>
      <c r="AG3734">
        <v>1</v>
      </c>
      <c r="AH3734">
        <v>0</v>
      </c>
      <c r="AI3734">
        <v>218.57</v>
      </c>
      <c r="AL3734" t="s">
        <v>5011</v>
      </c>
      <c r="AM3734">
        <v>27300</v>
      </c>
      <c r="AS3734">
        <v>0.7</v>
      </c>
      <c r="AT3734" t="s">
        <v>483</v>
      </c>
      <c r="AU3734" t="s">
        <v>25286</v>
      </c>
      <c r="AV3734" t="s">
        <v>25335</v>
      </c>
      <c r="AW3734" t="s">
        <v>11447</v>
      </c>
    </row>
    <row r="3735" spans="1:49">
      <c r="A3735" s="1">
        <f>HYPERLINK("https://lsnyc.legalserver.org/matter/dynamic-profile/view/1912308","19-1912308")</f>
        <v>0</v>
      </c>
      <c r="B3735" t="s">
        <v>194</v>
      </c>
      <c r="C3735" t="s">
        <v>473</v>
      </c>
      <c r="E3735" t="s">
        <v>2897</v>
      </c>
      <c r="F3735" t="s">
        <v>4156</v>
      </c>
      <c r="G3735" t="s">
        <v>9104</v>
      </c>
      <c r="H3735" t="s">
        <v>10851</v>
      </c>
      <c r="I3735" t="s">
        <v>11386</v>
      </c>
      <c r="J3735">
        <v>10001</v>
      </c>
      <c r="K3735" t="s">
        <v>11446</v>
      </c>
      <c r="L3735" t="s">
        <v>13307</v>
      </c>
      <c r="M3735" t="s">
        <v>14744</v>
      </c>
      <c r="N3735" t="s">
        <v>14781</v>
      </c>
      <c r="P3735" t="s">
        <v>14803</v>
      </c>
      <c r="Q3735" t="s">
        <v>11448</v>
      </c>
      <c r="S3735" t="s">
        <v>14828</v>
      </c>
      <c r="T3735" t="s">
        <v>14832</v>
      </c>
      <c r="U3735" t="s">
        <v>473</v>
      </c>
      <c r="V3735">
        <v>1100</v>
      </c>
      <c r="W3735" t="s">
        <v>14860</v>
      </c>
      <c r="X3735" t="s">
        <v>14865</v>
      </c>
      <c r="Z3735" t="s">
        <v>17993</v>
      </c>
      <c r="AB3735" t="s">
        <v>23085</v>
      </c>
      <c r="AC3735">
        <v>162</v>
      </c>
      <c r="AD3735" t="s">
        <v>24602</v>
      </c>
      <c r="AF3735">
        <v>3</v>
      </c>
      <c r="AG3735">
        <v>1</v>
      </c>
      <c r="AH3735">
        <v>4</v>
      </c>
      <c r="AI3735">
        <v>19.89</v>
      </c>
      <c r="AL3735" t="s">
        <v>5011</v>
      </c>
      <c r="AM3735">
        <v>6000</v>
      </c>
      <c r="AS3735">
        <v>22.3</v>
      </c>
      <c r="AT3735" t="s">
        <v>491</v>
      </c>
      <c r="AU3735" t="s">
        <v>25286</v>
      </c>
      <c r="AW3735" t="s">
        <v>11447</v>
      </c>
    </row>
    <row r="3736" spans="1:49">
      <c r="A3736" s="1">
        <f>HYPERLINK("https://lsnyc.legalserver.org/matter/dynamic-profile/view/1912296","19-1912296")</f>
        <v>0</v>
      </c>
      <c r="B3736" t="s">
        <v>253</v>
      </c>
      <c r="C3736" t="s">
        <v>473</v>
      </c>
      <c r="E3736" t="s">
        <v>1048</v>
      </c>
      <c r="F3736" t="s">
        <v>1035</v>
      </c>
      <c r="G3736" t="s">
        <v>9105</v>
      </c>
      <c r="H3736" t="s">
        <v>10509</v>
      </c>
      <c r="I3736" t="s">
        <v>11386</v>
      </c>
      <c r="J3736">
        <v>10030</v>
      </c>
      <c r="K3736" t="s">
        <v>11446</v>
      </c>
      <c r="L3736" t="s">
        <v>13308</v>
      </c>
      <c r="M3736" t="s">
        <v>14744</v>
      </c>
      <c r="N3736" t="s">
        <v>14782</v>
      </c>
      <c r="P3736" t="s">
        <v>14803</v>
      </c>
      <c r="Q3736" t="s">
        <v>11448</v>
      </c>
      <c r="S3736" t="s">
        <v>14827</v>
      </c>
      <c r="T3736" t="s">
        <v>14832</v>
      </c>
      <c r="U3736" t="s">
        <v>473</v>
      </c>
      <c r="V3736">
        <v>466</v>
      </c>
      <c r="W3736" t="s">
        <v>14860</v>
      </c>
      <c r="X3736" t="s">
        <v>14865</v>
      </c>
      <c r="Z3736" t="s">
        <v>17994</v>
      </c>
      <c r="AB3736" t="s">
        <v>23086</v>
      </c>
      <c r="AC3736">
        <v>19</v>
      </c>
      <c r="AD3736" t="s">
        <v>24599</v>
      </c>
      <c r="AF3736">
        <v>35</v>
      </c>
      <c r="AG3736">
        <v>1</v>
      </c>
      <c r="AH3736">
        <v>0</v>
      </c>
      <c r="AI3736">
        <v>125</v>
      </c>
      <c r="AL3736" t="s">
        <v>5011</v>
      </c>
      <c r="AM3736">
        <v>15612</v>
      </c>
      <c r="AS3736">
        <v>0</v>
      </c>
      <c r="AU3736" t="s">
        <v>25286</v>
      </c>
      <c r="AV3736" t="s">
        <v>25335</v>
      </c>
      <c r="AW3736" t="s">
        <v>11447</v>
      </c>
    </row>
    <row r="3737" spans="1:49">
      <c r="A3737" s="1">
        <f>HYPERLINK("https://lsnyc.legalserver.org/matter/dynamic-profile/view/1912705","19-1912705")</f>
        <v>0</v>
      </c>
      <c r="B3737" t="s">
        <v>249</v>
      </c>
      <c r="C3737" t="s">
        <v>578</v>
      </c>
      <c r="E3737" t="s">
        <v>2253</v>
      </c>
      <c r="F3737" t="s">
        <v>5528</v>
      </c>
      <c r="G3737" t="s">
        <v>9106</v>
      </c>
      <c r="H3737" t="s">
        <v>10620</v>
      </c>
      <c r="I3737" t="s">
        <v>11386</v>
      </c>
      <c r="J3737">
        <v>10021</v>
      </c>
      <c r="K3737" t="s">
        <v>11446</v>
      </c>
      <c r="L3737" t="s">
        <v>13309</v>
      </c>
      <c r="M3737" t="s">
        <v>14743</v>
      </c>
      <c r="N3737" t="s">
        <v>14782</v>
      </c>
      <c r="P3737" t="s">
        <v>14803</v>
      </c>
      <c r="Q3737" t="s">
        <v>11448</v>
      </c>
      <c r="S3737" t="s">
        <v>14827</v>
      </c>
      <c r="U3737" t="s">
        <v>578</v>
      </c>
      <c r="V3737">
        <v>1001.84</v>
      </c>
      <c r="W3737" t="s">
        <v>14860</v>
      </c>
      <c r="X3737" t="s">
        <v>14863</v>
      </c>
      <c r="Z3737" t="s">
        <v>15649</v>
      </c>
      <c r="AA3737" t="s">
        <v>19796</v>
      </c>
      <c r="AC3737">
        <v>0</v>
      </c>
      <c r="AD3737" t="s">
        <v>24599</v>
      </c>
      <c r="AE3737" t="s">
        <v>24613</v>
      </c>
      <c r="AF3737">
        <v>49</v>
      </c>
      <c r="AG3737">
        <v>1</v>
      </c>
      <c r="AH3737">
        <v>0</v>
      </c>
      <c r="AI3737">
        <v>113.13</v>
      </c>
      <c r="AL3737" t="s">
        <v>5011</v>
      </c>
      <c r="AM3737">
        <v>14130</v>
      </c>
      <c r="AS3737">
        <v>2.4</v>
      </c>
      <c r="AT3737" t="s">
        <v>495</v>
      </c>
      <c r="AU3737" t="s">
        <v>153</v>
      </c>
      <c r="AV3737" t="s">
        <v>25335</v>
      </c>
      <c r="AW3737" t="s">
        <v>11447</v>
      </c>
    </row>
    <row r="3738" spans="1:49">
      <c r="A3738" s="1">
        <f>HYPERLINK("https://lsnyc.legalserver.org/matter/dynamic-profile/view/1912935","19-1912935")</f>
        <v>0</v>
      </c>
      <c r="B3738" t="s">
        <v>234</v>
      </c>
      <c r="C3738" t="s">
        <v>574</v>
      </c>
      <c r="E3738" t="s">
        <v>1462</v>
      </c>
      <c r="F3738" t="s">
        <v>5529</v>
      </c>
      <c r="G3738" t="s">
        <v>9107</v>
      </c>
      <c r="H3738" t="s">
        <v>10484</v>
      </c>
      <c r="I3738" t="s">
        <v>11386</v>
      </c>
      <c r="J3738">
        <v>10030</v>
      </c>
      <c r="K3738" t="s">
        <v>11446</v>
      </c>
      <c r="L3738" t="s">
        <v>13310</v>
      </c>
      <c r="M3738" t="s">
        <v>14743</v>
      </c>
      <c r="N3738" t="s">
        <v>14781</v>
      </c>
      <c r="P3738" t="s">
        <v>14803</v>
      </c>
      <c r="Q3738" t="s">
        <v>11448</v>
      </c>
      <c r="S3738" t="s">
        <v>14827</v>
      </c>
      <c r="T3738" t="s">
        <v>14832</v>
      </c>
      <c r="U3738" t="s">
        <v>574</v>
      </c>
      <c r="V3738">
        <v>1100</v>
      </c>
      <c r="W3738" t="s">
        <v>14860</v>
      </c>
      <c r="X3738" t="s">
        <v>14755</v>
      </c>
      <c r="Z3738" t="s">
        <v>17995</v>
      </c>
      <c r="AB3738" t="s">
        <v>23087</v>
      </c>
      <c r="AC3738">
        <v>6</v>
      </c>
      <c r="AD3738" t="s">
        <v>24595</v>
      </c>
      <c r="AF3738">
        <v>9</v>
      </c>
      <c r="AG3738">
        <v>1</v>
      </c>
      <c r="AH3738">
        <v>0</v>
      </c>
      <c r="AI3738">
        <v>31.43</v>
      </c>
      <c r="AL3738" t="s">
        <v>5011</v>
      </c>
      <c r="AM3738">
        <v>3926</v>
      </c>
      <c r="AS3738">
        <v>3</v>
      </c>
      <c r="AT3738" t="s">
        <v>592</v>
      </c>
      <c r="AU3738" t="s">
        <v>25286</v>
      </c>
      <c r="AV3738" t="s">
        <v>25335</v>
      </c>
      <c r="AW3738" t="s">
        <v>11447</v>
      </c>
    </row>
    <row r="3739" spans="1:49">
      <c r="A3739" s="1">
        <f>HYPERLINK("https://lsnyc.legalserver.org/matter/dynamic-profile/view/1913672","19-1913672")</f>
        <v>0</v>
      </c>
      <c r="B3739" t="s">
        <v>249</v>
      </c>
      <c r="C3739" t="s">
        <v>476</v>
      </c>
      <c r="E3739" t="s">
        <v>1918</v>
      </c>
      <c r="F3739" t="s">
        <v>4147</v>
      </c>
      <c r="G3739" t="s">
        <v>9108</v>
      </c>
      <c r="H3739" t="s">
        <v>10509</v>
      </c>
      <c r="I3739" t="s">
        <v>11386</v>
      </c>
      <c r="J3739">
        <v>10027</v>
      </c>
      <c r="K3739" t="s">
        <v>11446</v>
      </c>
      <c r="L3739" t="s">
        <v>13311</v>
      </c>
      <c r="M3739" t="s">
        <v>14744</v>
      </c>
      <c r="N3739" t="s">
        <v>14782</v>
      </c>
      <c r="P3739" t="s">
        <v>14803</v>
      </c>
      <c r="Q3739" t="s">
        <v>11448</v>
      </c>
      <c r="S3739" t="s">
        <v>14827</v>
      </c>
      <c r="U3739" t="s">
        <v>476</v>
      </c>
      <c r="V3739">
        <v>1469.78</v>
      </c>
      <c r="W3739" t="s">
        <v>14860</v>
      </c>
      <c r="X3739" t="s">
        <v>14863</v>
      </c>
      <c r="Z3739" t="s">
        <v>17996</v>
      </c>
      <c r="AB3739" t="s">
        <v>23088</v>
      </c>
      <c r="AC3739">
        <v>0</v>
      </c>
      <c r="AD3739" t="s">
        <v>11479</v>
      </c>
      <c r="AE3739" t="s">
        <v>11459</v>
      </c>
      <c r="AF3739">
        <v>25</v>
      </c>
      <c r="AG3739">
        <v>2</v>
      </c>
      <c r="AH3739">
        <v>0</v>
      </c>
      <c r="AI3739">
        <v>384.39</v>
      </c>
      <c r="AL3739" t="s">
        <v>5011</v>
      </c>
      <c r="AM3739">
        <v>65000</v>
      </c>
      <c r="AS3739">
        <v>1</v>
      </c>
      <c r="AT3739" t="s">
        <v>476</v>
      </c>
      <c r="AU3739" t="s">
        <v>25276</v>
      </c>
      <c r="AV3739" t="s">
        <v>25335</v>
      </c>
      <c r="AW3739" t="s">
        <v>11447</v>
      </c>
    </row>
    <row r="3740" spans="1:49">
      <c r="A3740" s="1">
        <f>HYPERLINK("https://lsnyc.legalserver.org/matter/dynamic-profile/view/1913702","19-1913702")</f>
        <v>0</v>
      </c>
      <c r="B3740" t="s">
        <v>249</v>
      </c>
      <c r="C3740" t="s">
        <v>476</v>
      </c>
      <c r="E3740" t="s">
        <v>2898</v>
      </c>
      <c r="F3740" t="s">
        <v>3621</v>
      </c>
      <c r="G3740" t="s">
        <v>9109</v>
      </c>
      <c r="H3740" t="s">
        <v>10450</v>
      </c>
      <c r="I3740" t="s">
        <v>11386</v>
      </c>
      <c r="J3740">
        <v>10026</v>
      </c>
      <c r="K3740" t="s">
        <v>11446</v>
      </c>
      <c r="L3740" t="s">
        <v>13312</v>
      </c>
      <c r="M3740" t="s">
        <v>14744</v>
      </c>
      <c r="N3740" t="s">
        <v>14778</v>
      </c>
      <c r="P3740" t="s">
        <v>14803</v>
      </c>
      <c r="Q3740" t="s">
        <v>11448</v>
      </c>
      <c r="S3740" t="s">
        <v>14827</v>
      </c>
      <c r="U3740" t="s">
        <v>476</v>
      </c>
      <c r="V3740">
        <v>1975</v>
      </c>
      <c r="W3740" t="s">
        <v>14860</v>
      </c>
      <c r="X3740" t="s">
        <v>14863</v>
      </c>
      <c r="Z3740" t="s">
        <v>17997</v>
      </c>
      <c r="AB3740" t="s">
        <v>23089</v>
      </c>
      <c r="AC3740">
        <v>0</v>
      </c>
      <c r="AD3740" t="s">
        <v>11479</v>
      </c>
      <c r="AE3740" t="s">
        <v>11459</v>
      </c>
      <c r="AF3740">
        <v>14</v>
      </c>
      <c r="AG3740">
        <v>2</v>
      </c>
      <c r="AH3740">
        <v>2</v>
      </c>
      <c r="AI3740">
        <v>505.66</v>
      </c>
      <c r="AL3740" t="s">
        <v>5011</v>
      </c>
      <c r="AM3740">
        <v>130208</v>
      </c>
      <c r="AS3740">
        <v>0</v>
      </c>
      <c r="AU3740" t="s">
        <v>25276</v>
      </c>
      <c r="AV3740" t="s">
        <v>25335</v>
      </c>
      <c r="AW3740" t="s">
        <v>11447</v>
      </c>
    </row>
    <row r="3741" spans="1:49">
      <c r="A3741" s="1">
        <f>HYPERLINK("https://lsnyc.legalserver.org/matter/dynamic-profile/view/1913920","19-1913920")</f>
        <v>0</v>
      </c>
      <c r="B3741" t="s">
        <v>311</v>
      </c>
      <c r="C3741" t="s">
        <v>490</v>
      </c>
      <c r="E3741" t="s">
        <v>1114</v>
      </c>
      <c r="F3741" t="s">
        <v>3769</v>
      </c>
      <c r="G3741" t="s">
        <v>9110</v>
      </c>
      <c r="H3741" t="s">
        <v>10569</v>
      </c>
      <c r="I3741" t="s">
        <v>11386</v>
      </c>
      <c r="J3741">
        <v>10029</v>
      </c>
      <c r="K3741" t="s">
        <v>11446</v>
      </c>
      <c r="L3741" t="s">
        <v>13313</v>
      </c>
      <c r="M3741" t="s">
        <v>14743</v>
      </c>
      <c r="N3741" t="s">
        <v>14778</v>
      </c>
      <c r="P3741" t="s">
        <v>14803</v>
      </c>
      <c r="Q3741" t="s">
        <v>11448</v>
      </c>
      <c r="S3741" t="s">
        <v>14828</v>
      </c>
      <c r="T3741" t="s">
        <v>14832</v>
      </c>
      <c r="U3741" t="s">
        <v>490</v>
      </c>
      <c r="V3741">
        <v>250</v>
      </c>
      <c r="W3741" t="s">
        <v>14860</v>
      </c>
      <c r="X3741" t="s">
        <v>14865</v>
      </c>
      <c r="Z3741" t="s">
        <v>17998</v>
      </c>
      <c r="AB3741" t="s">
        <v>23090</v>
      </c>
      <c r="AC3741">
        <v>0</v>
      </c>
      <c r="AD3741" t="s">
        <v>24597</v>
      </c>
      <c r="AE3741" t="s">
        <v>11459</v>
      </c>
      <c r="AF3741">
        <v>1</v>
      </c>
      <c r="AG3741">
        <v>1</v>
      </c>
      <c r="AH3741">
        <v>0</v>
      </c>
      <c r="AI3741">
        <v>40.03</v>
      </c>
      <c r="AL3741" t="s">
        <v>5011</v>
      </c>
      <c r="AM3741">
        <v>5000</v>
      </c>
      <c r="AS3741">
        <v>5.25</v>
      </c>
      <c r="AT3741" t="s">
        <v>506</v>
      </c>
      <c r="AU3741" t="s">
        <v>25266</v>
      </c>
      <c r="AV3741" t="s">
        <v>25335</v>
      </c>
      <c r="AW3741" t="s">
        <v>11447</v>
      </c>
    </row>
    <row r="3742" spans="1:49">
      <c r="A3742" s="1">
        <f>HYPERLINK("https://lsnyc.legalserver.org/matter/dynamic-profile/view/1913916","19-1913916")</f>
        <v>0</v>
      </c>
      <c r="B3742" t="s">
        <v>234</v>
      </c>
      <c r="C3742" t="s">
        <v>490</v>
      </c>
      <c r="E3742" t="s">
        <v>2899</v>
      </c>
      <c r="F3742" t="s">
        <v>4012</v>
      </c>
      <c r="G3742" t="s">
        <v>9111</v>
      </c>
      <c r="H3742" t="s">
        <v>11178</v>
      </c>
      <c r="I3742" t="s">
        <v>11386</v>
      </c>
      <c r="J3742">
        <v>10002</v>
      </c>
      <c r="K3742" t="s">
        <v>11446</v>
      </c>
      <c r="L3742" t="s">
        <v>13314</v>
      </c>
      <c r="M3742" t="s">
        <v>14744</v>
      </c>
      <c r="N3742" t="s">
        <v>14778</v>
      </c>
      <c r="P3742" t="s">
        <v>14803</v>
      </c>
      <c r="Q3742" t="s">
        <v>11448</v>
      </c>
      <c r="S3742" t="s">
        <v>14827</v>
      </c>
      <c r="T3742" t="s">
        <v>14832</v>
      </c>
      <c r="U3742" t="s">
        <v>490</v>
      </c>
      <c r="V3742">
        <v>1515</v>
      </c>
      <c r="W3742" t="s">
        <v>14860</v>
      </c>
      <c r="X3742" t="s">
        <v>14865</v>
      </c>
      <c r="Z3742" t="s">
        <v>17999</v>
      </c>
      <c r="AB3742" t="s">
        <v>23091</v>
      </c>
      <c r="AC3742">
        <v>0</v>
      </c>
      <c r="AD3742" t="s">
        <v>24595</v>
      </c>
      <c r="AE3742" t="s">
        <v>24616</v>
      </c>
      <c r="AF3742">
        <v>1</v>
      </c>
      <c r="AG3742">
        <v>1</v>
      </c>
      <c r="AH3742">
        <v>2</v>
      </c>
      <c r="AI3742">
        <v>42.19</v>
      </c>
      <c r="AL3742" t="s">
        <v>5011</v>
      </c>
      <c r="AM3742">
        <v>9000</v>
      </c>
      <c r="AS3742">
        <v>1.1</v>
      </c>
      <c r="AT3742" t="s">
        <v>521</v>
      </c>
      <c r="AU3742" t="s">
        <v>25266</v>
      </c>
      <c r="AV3742" t="s">
        <v>25335</v>
      </c>
      <c r="AW3742" t="s">
        <v>11447</v>
      </c>
    </row>
    <row r="3743" spans="1:49">
      <c r="A3743" s="1">
        <f>HYPERLINK("https://lsnyc.legalserver.org/matter/dynamic-profile/view/1913942","19-1913942")</f>
        <v>0</v>
      </c>
      <c r="B3743" t="s">
        <v>312</v>
      </c>
      <c r="C3743" t="s">
        <v>490</v>
      </c>
      <c r="E3743" t="s">
        <v>1224</v>
      </c>
      <c r="F3743" t="s">
        <v>5530</v>
      </c>
      <c r="G3743" t="s">
        <v>9019</v>
      </c>
      <c r="I3743" t="s">
        <v>11386</v>
      </c>
      <c r="J3743">
        <v>10033</v>
      </c>
      <c r="K3743" t="s">
        <v>11446</v>
      </c>
      <c r="L3743" t="s">
        <v>13315</v>
      </c>
      <c r="M3743" t="s">
        <v>14743</v>
      </c>
      <c r="N3743" t="s">
        <v>14782</v>
      </c>
      <c r="P3743" t="s">
        <v>14803</v>
      </c>
      <c r="Q3743" t="s">
        <v>11448</v>
      </c>
      <c r="S3743" t="s">
        <v>14827</v>
      </c>
      <c r="T3743" t="s">
        <v>14832</v>
      </c>
      <c r="U3743" t="s">
        <v>490</v>
      </c>
      <c r="V3743">
        <v>0</v>
      </c>
      <c r="W3743" t="s">
        <v>14860</v>
      </c>
      <c r="X3743" t="s">
        <v>14865</v>
      </c>
      <c r="Z3743" t="s">
        <v>18000</v>
      </c>
      <c r="AB3743" t="s">
        <v>23092</v>
      </c>
      <c r="AC3743">
        <v>0</v>
      </c>
      <c r="AD3743" t="s">
        <v>24595</v>
      </c>
      <c r="AE3743" t="s">
        <v>11459</v>
      </c>
      <c r="AF3743">
        <v>7</v>
      </c>
      <c r="AG3743">
        <v>1</v>
      </c>
      <c r="AH3743">
        <v>0</v>
      </c>
      <c r="AI3743">
        <v>82.43000000000001</v>
      </c>
      <c r="AL3743" t="s">
        <v>24632</v>
      </c>
      <c r="AM3743">
        <v>10296</v>
      </c>
      <c r="AS3743">
        <v>1.5</v>
      </c>
      <c r="AT3743" t="s">
        <v>592</v>
      </c>
      <c r="AU3743" t="s">
        <v>25266</v>
      </c>
      <c r="AV3743" t="s">
        <v>25335</v>
      </c>
      <c r="AW3743" t="s">
        <v>11447</v>
      </c>
    </row>
    <row r="3744" spans="1:49">
      <c r="A3744" s="1">
        <f>HYPERLINK("https://lsnyc.legalserver.org/matter/dynamic-profile/view/1913918","19-1913918")</f>
        <v>0</v>
      </c>
      <c r="B3744" t="s">
        <v>311</v>
      </c>
      <c r="C3744" t="s">
        <v>490</v>
      </c>
      <c r="E3744" t="s">
        <v>1035</v>
      </c>
      <c r="F3744" t="s">
        <v>4284</v>
      </c>
      <c r="G3744" t="s">
        <v>7527</v>
      </c>
      <c r="H3744" t="s">
        <v>10542</v>
      </c>
      <c r="I3744" t="s">
        <v>11386</v>
      </c>
      <c r="J3744">
        <v>10039</v>
      </c>
      <c r="K3744" t="s">
        <v>11446</v>
      </c>
      <c r="L3744" t="s">
        <v>13316</v>
      </c>
      <c r="M3744" t="s">
        <v>14744</v>
      </c>
      <c r="N3744" t="s">
        <v>14778</v>
      </c>
      <c r="P3744" t="s">
        <v>14803</v>
      </c>
      <c r="Q3744" t="s">
        <v>11448</v>
      </c>
      <c r="S3744" t="s">
        <v>14830</v>
      </c>
      <c r="U3744" t="s">
        <v>490</v>
      </c>
      <c r="V3744">
        <v>1257.77</v>
      </c>
      <c r="W3744" t="s">
        <v>14860</v>
      </c>
      <c r="X3744" t="s">
        <v>14865</v>
      </c>
      <c r="Z3744" t="s">
        <v>18001</v>
      </c>
      <c r="AB3744" t="s">
        <v>23093</v>
      </c>
      <c r="AC3744">
        <v>0</v>
      </c>
      <c r="AD3744" t="s">
        <v>24595</v>
      </c>
      <c r="AE3744" t="s">
        <v>24613</v>
      </c>
      <c r="AF3744">
        <v>12</v>
      </c>
      <c r="AG3744">
        <v>1</v>
      </c>
      <c r="AH3744">
        <v>0</v>
      </c>
      <c r="AI3744">
        <v>195.29</v>
      </c>
      <c r="AL3744" t="s">
        <v>5011</v>
      </c>
      <c r="AM3744">
        <v>24392.04</v>
      </c>
      <c r="AS3744">
        <v>1.75</v>
      </c>
      <c r="AT3744" t="s">
        <v>490</v>
      </c>
      <c r="AU3744" t="s">
        <v>153</v>
      </c>
      <c r="AV3744" t="s">
        <v>25335</v>
      </c>
      <c r="AW3744" t="s">
        <v>11447</v>
      </c>
    </row>
    <row r="3745" spans="1:49">
      <c r="A3745" s="1">
        <f>HYPERLINK("https://lsnyc.legalserver.org/matter/dynamic-profile/view/1914514","19-1914514")</f>
        <v>0</v>
      </c>
      <c r="B3745" t="s">
        <v>188</v>
      </c>
      <c r="C3745" t="s">
        <v>478</v>
      </c>
      <c r="E3745" t="s">
        <v>2461</v>
      </c>
      <c r="F3745" t="s">
        <v>5531</v>
      </c>
      <c r="G3745" t="s">
        <v>9112</v>
      </c>
      <c r="I3745" t="s">
        <v>11386</v>
      </c>
      <c r="J3745">
        <v>10037</v>
      </c>
      <c r="K3745" t="s">
        <v>11446</v>
      </c>
      <c r="L3745" t="s">
        <v>13317</v>
      </c>
      <c r="M3745" t="s">
        <v>14744</v>
      </c>
      <c r="N3745" t="s">
        <v>14782</v>
      </c>
      <c r="P3745" t="s">
        <v>14803</v>
      </c>
      <c r="Q3745" t="s">
        <v>11448</v>
      </c>
      <c r="S3745" t="s">
        <v>14827</v>
      </c>
      <c r="U3745" t="s">
        <v>478</v>
      </c>
      <c r="V3745">
        <v>946</v>
      </c>
      <c r="W3745" t="s">
        <v>14860</v>
      </c>
      <c r="X3745" t="s">
        <v>14755</v>
      </c>
      <c r="Z3745" t="s">
        <v>18002</v>
      </c>
      <c r="AB3745" t="s">
        <v>23094</v>
      </c>
      <c r="AC3745">
        <v>286</v>
      </c>
      <c r="AD3745" t="s">
        <v>24599</v>
      </c>
      <c r="AF3745">
        <v>4</v>
      </c>
      <c r="AG3745">
        <v>1</v>
      </c>
      <c r="AH3745">
        <v>1</v>
      </c>
      <c r="AI3745">
        <v>156.12</v>
      </c>
      <c r="AL3745" t="s">
        <v>5011</v>
      </c>
      <c r="AM3745">
        <v>26400</v>
      </c>
      <c r="AS3745">
        <v>0</v>
      </c>
      <c r="AU3745" t="s">
        <v>25286</v>
      </c>
      <c r="AW3745" t="s">
        <v>11447</v>
      </c>
    </row>
    <row r="3746" spans="1:49">
      <c r="A3746" s="1">
        <f>HYPERLINK("https://lsnyc.legalserver.org/matter/dynamic-profile/view/1914859","19-1914859")</f>
        <v>0</v>
      </c>
      <c r="B3746" t="s">
        <v>253</v>
      </c>
      <c r="C3746" t="s">
        <v>537</v>
      </c>
      <c r="E3746" t="s">
        <v>1181</v>
      </c>
      <c r="F3746" t="s">
        <v>5532</v>
      </c>
      <c r="G3746" t="s">
        <v>9113</v>
      </c>
      <c r="H3746" t="s">
        <v>10451</v>
      </c>
      <c r="I3746" t="s">
        <v>11386</v>
      </c>
      <c r="J3746">
        <v>10002</v>
      </c>
      <c r="K3746" t="s">
        <v>11446</v>
      </c>
      <c r="L3746" t="s">
        <v>13318</v>
      </c>
      <c r="M3746" t="s">
        <v>14764</v>
      </c>
      <c r="N3746" t="s">
        <v>14778</v>
      </c>
      <c r="P3746" t="s">
        <v>14803</v>
      </c>
      <c r="Q3746" t="s">
        <v>11448</v>
      </c>
      <c r="S3746" t="s">
        <v>14828</v>
      </c>
      <c r="U3746" t="s">
        <v>537</v>
      </c>
      <c r="V3746">
        <v>230</v>
      </c>
      <c r="W3746" t="s">
        <v>14860</v>
      </c>
      <c r="X3746" t="s">
        <v>14865</v>
      </c>
      <c r="Z3746" t="s">
        <v>18003</v>
      </c>
      <c r="AA3746" t="s">
        <v>19797</v>
      </c>
      <c r="AB3746" t="s">
        <v>23095</v>
      </c>
      <c r="AC3746">
        <v>0</v>
      </c>
      <c r="AD3746" t="s">
        <v>24597</v>
      </c>
      <c r="AE3746" t="s">
        <v>11459</v>
      </c>
      <c r="AF3746">
        <v>36</v>
      </c>
      <c r="AG3746">
        <v>1</v>
      </c>
      <c r="AH3746">
        <v>0</v>
      </c>
      <c r="AI3746">
        <v>0</v>
      </c>
      <c r="AL3746" t="s">
        <v>5011</v>
      </c>
      <c r="AM3746">
        <v>0</v>
      </c>
      <c r="AS3746">
        <v>0</v>
      </c>
      <c r="AU3746" t="s">
        <v>25276</v>
      </c>
      <c r="AV3746" t="s">
        <v>25334</v>
      </c>
      <c r="AW3746" t="s">
        <v>11447</v>
      </c>
    </row>
    <row r="3747" spans="1:49">
      <c r="A3747" s="1">
        <f>HYPERLINK("https://lsnyc.legalserver.org/matter/dynamic-profile/view/1915105","19-1915105")</f>
        <v>0</v>
      </c>
      <c r="B3747" t="s">
        <v>182</v>
      </c>
      <c r="C3747" t="s">
        <v>516</v>
      </c>
      <c r="E3747" t="s">
        <v>1847</v>
      </c>
      <c r="F3747" t="s">
        <v>4368</v>
      </c>
      <c r="G3747" t="s">
        <v>9114</v>
      </c>
      <c r="H3747" t="s">
        <v>10489</v>
      </c>
      <c r="I3747" t="s">
        <v>11386</v>
      </c>
      <c r="J3747">
        <v>10009</v>
      </c>
      <c r="K3747" t="s">
        <v>11446</v>
      </c>
      <c r="L3747" t="s">
        <v>13319</v>
      </c>
      <c r="M3747" t="s">
        <v>14744</v>
      </c>
      <c r="N3747" t="s">
        <v>14782</v>
      </c>
      <c r="P3747" t="s">
        <v>14803</v>
      </c>
      <c r="Q3747" t="s">
        <v>11448</v>
      </c>
      <c r="S3747" t="s">
        <v>14828</v>
      </c>
      <c r="U3747" t="s">
        <v>516</v>
      </c>
      <c r="V3747">
        <v>735</v>
      </c>
      <c r="W3747" t="s">
        <v>14860</v>
      </c>
      <c r="X3747" t="s">
        <v>14865</v>
      </c>
      <c r="Z3747" t="s">
        <v>18004</v>
      </c>
      <c r="AB3747" t="s">
        <v>23096</v>
      </c>
      <c r="AC3747">
        <v>0</v>
      </c>
      <c r="AD3747" t="s">
        <v>24597</v>
      </c>
      <c r="AE3747" t="s">
        <v>11459</v>
      </c>
      <c r="AF3747">
        <v>25</v>
      </c>
      <c r="AG3747">
        <v>2</v>
      </c>
      <c r="AH3747">
        <v>0</v>
      </c>
      <c r="AI3747">
        <v>0</v>
      </c>
      <c r="AL3747" t="s">
        <v>5011</v>
      </c>
      <c r="AM3747">
        <v>0</v>
      </c>
      <c r="AS3747">
        <v>0.75</v>
      </c>
      <c r="AT3747" t="s">
        <v>516</v>
      </c>
      <c r="AU3747" t="s">
        <v>25276</v>
      </c>
      <c r="AV3747" t="s">
        <v>25335</v>
      </c>
      <c r="AW3747" t="s">
        <v>11447</v>
      </c>
    </row>
    <row r="3748" spans="1:49">
      <c r="A3748" s="1">
        <f>HYPERLINK("https://lsnyc.legalserver.org/matter/dynamic-profile/view/1915119","19-1915119")</f>
        <v>0</v>
      </c>
      <c r="B3748" t="s">
        <v>313</v>
      </c>
      <c r="C3748" t="s">
        <v>516</v>
      </c>
      <c r="E3748" t="s">
        <v>2650</v>
      </c>
      <c r="F3748" t="s">
        <v>5533</v>
      </c>
      <c r="G3748" t="s">
        <v>9115</v>
      </c>
      <c r="H3748" t="s">
        <v>10557</v>
      </c>
      <c r="I3748" t="s">
        <v>11386</v>
      </c>
      <c r="J3748">
        <v>10128</v>
      </c>
      <c r="K3748" t="s">
        <v>11446</v>
      </c>
      <c r="M3748" t="s">
        <v>11601</v>
      </c>
      <c r="N3748" t="s">
        <v>14778</v>
      </c>
      <c r="P3748" t="s">
        <v>14803</v>
      </c>
      <c r="Q3748" t="s">
        <v>11448</v>
      </c>
      <c r="S3748" t="s">
        <v>14827</v>
      </c>
      <c r="U3748" t="s">
        <v>516</v>
      </c>
      <c r="V3748">
        <v>861.54</v>
      </c>
      <c r="W3748" t="s">
        <v>14860</v>
      </c>
      <c r="X3748" t="s">
        <v>14864</v>
      </c>
      <c r="Z3748" t="s">
        <v>18005</v>
      </c>
      <c r="AB3748" t="s">
        <v>23097</v>
      </c>
      <c r="AC3748">
        <v>482</v>
      </c>
      <c r="AD3748" t="s">
        <v>24595</v>
      </c>
      <c r="AF3748">
        <v>13</v>
      </c>
      <c r="AG3748">
        <v>1</v>
      </c>
      <c r="AH3748">
        <v>0</v>
      </c>
      <c r="AI3748">
        <v>72.06</v>
      </c>
      <c r="AL3748" t="s">
        <v>5011</v>
      </c>
      <c r="AM3748">
        <v>9000</v>
      </c>
      <c r="AS3748">
        <v>1.5</v>
      </c>
      <c r="AT3748" t="s">
        <v>516</v>
      </c>
      <c r="AU3748" t="s">
        <v>25278</v>
      </c>
      <c r="AV3748" t="s">
        <v>25335</v>
      </c>
      <c r="AW3748" t="s">
        <v>11447</v>
      </c>
    </row>
    <row r="3749" spans="1:49">
      <c r="A3749" s="1">
        <f>HYPERLINK("https://lsnyc.legalserver.org/matter/dynamic-profile/view/1915101","19-1915101")</f>
        <v>0</v>
      </c>
      <c r="B3749" t="s">
        <v>182</v>
      </c>
      <c r="C3749" t="s">
        <v>516</v>
      </c>
      <c r="E3749" t="s">
        <v>1724</v>
      </c>
      <c r="F3749" t="s">
        <v>5534</v>
      </c>
      <c r="G3749" t="s">
        <v>9116</v>
      </c>
      <c r="H3749">
        <v>42</v>
      </c>
      <c r="I3749" t="s">
        <v>11386</v>
      </c>
      <c r="J3749">
        <v>10040</v>
      </c>
      <c r="K3749" t="s">
        <v>11446</v>
      </c>
      <c r="L3749" t="s">
        <v>13320</v>
      </c>
      <c r="M3749" t="s">
        <v>14744</v>
      </c>
      <c r="N3749" t="s">
        <v>14782</v>
      </c>
      <c r="P3749" t="s">
        <v>14803</v>
      </c>
      <c r="Q3749" t="s">
        <v>11448</v>
      </c>
      <c r="S3749" t="s">
        <v>14827</v>
      </c>
      <c r="U3749" t="s">
        <v>516</v>
      </c>
      <c r="V3749">
        <v>596</v>
      </c>
      <c r="W3749" t="s">
        <v>14860</v>
      </c>
      <c r="X3749" t="s">
        <v>14865</v>
      </c>
      <c r="Z3749" t="s">
        <v>16345</v>
      </c>
      <c r="AA3749" t="s">
        <v>19798</v>
      </c>
      <c r="AB3749" t="s">
        <v>23098</v>
      </c>
      <c r="AC3749">
        <v>0</v>
      </c>
      <c r="AD3749" t="s">
        <v>24595</v>
      </c>
      <c r="AE3749" t="s">
        <v>24613</v>
      </c>
      <c r="AF3749">
        <v>47</v>
      </c>
      <c r="AG3749">
        <v>1</v>
      </c>
      <c r="AH3749">
        <v>0</v>
      </c>
      <c r="AI3749">
        <v>74.08</v>
      </c>
      <c r="AL3749" t="s">
        <v>24632</v>
      </c>
      <c r="AM3749">
        <v>9252</v>
      </c>
      <c r="AS3749">
        <v>1.5</v>
      </c>
      <c r="AT3749" t="s">
        <v>516</v>
      </c>
      <c r="AU3749" t="s">
        <v>25276</v>
      </c>
      <c r="AV3749" t="s">
        <v>25334</v>
      </c>
      <c r="AW3749" t="s">
        <v>11447</v>
      </c>
    </row>
    <row r="3750" spans="1:49">
      <c r="A3750" s="1">
        <f>HYPERLINK("https://lsnyc.legalserver.org/matter/dynamic-profile/view/1915102","19-1915102")</f>
        <v>0</v>
      </c>
      <c r="B3750" t="s">
        <v>313</v>
      </c>
      <c r="C3750" t="s">
        <v>516</v>
      </c>
      <c r="E3750" t="s">
        <v>1618</v>
      </c>
      <c r="F3750" t="s">
        <v>3761</v>
      </c>
      <c r="G3750" t="s">
        <v>9117</v>
      </c>
      <c r="H3750" t="s">
        <v>11179</v>
      </c>
      <c r="I3750" t="s">
        <v>11386</v>
      </c>
      <c r="J3750">
        <v>10009</v>
      </c>
      <c r="K3750" t="s">
        <v>11446</v>
      </c>
      <c r="L3750" t="s">
        <v>13321</v>
      </c>
      <c r="M3750" t="s">
        <v>14743</v>
      </c>
      <c r="N3750" t="s">
        <v>14778</v>
      </c>
      <c r="P3750" t="s">
        <v>14803</v>
      </c>
      <c r="Q3750" t="s">
        <v>11448</v>
      </c>
      <c r="S3750" t="s">
        <v>14827</v>
      </c>
      <c r="T3750" t="s">
        <v>14832</v>
      </c>
      <c r="U3750" t="s">
        <v>516</v>
      </c>
      <c r="V3750">
        <v>1183</v>
      </c>
      <c r="W3750" t="s">
        <v>14860</v>
      </c>
      <c r="X3750" t="s">
        <v>14865</v>
      </c>
      <c r="Z3750" t="s">
        <v>18006</v>
      </c>
      <c r="AB3750" t="s">
        <v>23099</v>
      </c>
      <c r="AC3750">
        <v>19</v>
      </c>
      <c r="AD3750" t="s">
        <v>24595</v>
      </c>
      <c r="AF3750">
        <v>24</v>
      </c>
      <c r="AG3750">
        <v>1</v>
      </c>
      <c r="AH3750">
        <v>0</v>
      </c>
      <c r="AI3750">
        <v>166.53</v>
      </c>
      <c r="AL3750" t="s">
        <v>24632</v>
      </c>
      <c r="AM3750">
        <v>20800</v>
      </c>
      <c r="AS3750">
        <v>1</v>
      </c>
      <c r="AT3750" t="s">
        <v>516</v>
      </c>
      <c r="AU3750" t="s">
        <v>25278</v>
      </c>
      <c r="AV3750" t="s">
        <v>25335</v>
      </c>
      <c r="AW3750" t="s">
        <v>11447</v>
      </c>
    </row>
    <row r="3751" spans="1:49">
      <c r="A3751" s="1">
        <f>HYPERLINK("https://lsnyc.legalserver.org/matter/dynamic-profile/view/1898754","19-1898754")</f>
        <v>0</v>
      </c>
      <c r="B3751" t="s">
        <v>208</v>
      </c>
      <c r="C3751" t="s">
        <v>512</v>
      </c>
      <c r="E3751" t="s">
        <v>2900</v>
      </c>
      <c r="F3751" t="s">
        <v>5535</v>
      </c>
      <c r="G3751" t="s">
        <v>9118</v>
      </c>
      <c r="H3751" t="s">
        <v>10814</v>
      </c>
      <c r="I3751" t="s">
        <v>11386</v>
      </c>
      <c r="J3751">
        <v>10037</v>
      </c>
      <c r="K3751" t="s">
        <v>11448</v>
      </c>
      <c r="L3751" t="s">
        <v>13322</v>
      </c>
      <c r="M3751" t="s">
        <v>14743</v>
      </c>
      <c r="N3751" t="s">
        <v>14781</v>
      </c>
      <c r="P3751" t="s">
        <v>14803</v>
      </c>
      <c r="Q3751" t="s">
        <v>11448</v>
      </c>
      <c r="S3751" t="s">
        <v>14827</v>
      </c>
      <c r="T3751" t="s">
        <v>14832</v>
      </c>
      <c r="V3751">
        <v>1925</v>
      </c>
      <c r="W3751" t="s">
        <v>14860</v>
      </c>
      <c r="X3751" t="s">
        <v>14868</v>
      </c>
      <c r="Z3751" t="s">
        <v>18007</v>
      </c>
      <c r="AB3751" t="s">
        <v>23100</v>
      </c>
      <c r="AC3751">
        <v>0</v>
      </c>
      <c r="AD3751" t="s">
        <v>24600</v>
      </c>
      <c r="AE3751" t="s">
        <v>11459</v>
      </c>
      <c r="AF3751">
        <v>8</v>
      </c>
      <c r="AG3751">
        <v>1</v>
      </c>
      <c r="AH3751">
        <v>0</v>
      </c>
      <c r="AI3751">
        <v>0</v>
      </c>
      <c r="AL3751" t="s">
        <v>5011</v>
      </c>
      <c r="AM3751">
        <v>0</v>
      </c>
      <c r="AS3751">
        <v>19.1</v>
      </c>
      <c r="AT3751" t="s">
        <v>580</v>
      </c>
      <c r="AU3751" t="s">
        <v>153</v>
      </c>
      <c r="AV3751" t="s">
        <v>11459</v>
      </c>
      <c r="AW3751" t="s">
        <v>11447</v>
      </c>
    </row>
    <row r="3752" spans="1:49">
      <c r="A3752" s="1">
        <f>HYPERLINK("https://lsnyc.legalserver.org/matter/dynamic-profile/view/1864328","18-1864328")</f>
        <v>0</v>
      </c>
      <c r="B3752" t="s">
        <v>208</v>
      </c>
      <c r="C3752" t="s">
        <v>570</v>
      </c>
      <c r="E3752" t="s">
        <v>2900</v>
      </c>
      <c r="F3752" t="s">
        <v>5535</v>
      </c>
      <c r="G3752" t="s">
        <v>9118</v>
      </c>
      <c r="H3752" t="s">
        <v>10814</v>
      </c>
      <c r="I3752" t="s">
        <v>11386</v>
      </c>
      <c r="J3752">
        <v>10037</v>
      </c>
      <c r="K3752" t="s">
        <v>11448</v>
      </c>
      <c r="L3752" t="s">
        <v>13323</v>
      </c>
      <c r="M3752" t="s">
        <v>14744</v>
      </c>
      <c r="N3752" t="s">
        <v>14781</v>
      </c>
      <c r="P3752" t="s">
        <v>14803</v>
      </c>
      <c r="Q3752" t="s">
        <v>11448</v>
      </c>
      <c r="S3752" t="s">
        <v>14827</v>
      </c>
      <c r="V3752">
        <v>1750</v>
      </c>
      <c r="W3752" t="s">
        <v>14860</v>
      </c>
      <c r="X3752" t="s">
        <v>14755</v>
      </c>
      <c r="Z3752" t="s">
        <v>18007</v>
      </c>
      <c r="AB3752" t="s">
        <v>23100</v>
      </c>
      <c r="AC3752">
        <v>286</v>
      </c>
      <c r="AD3752" t="s">
        <v>11479</v>
      </c>
      <c r="AE3752" t="s">
        <v>11459</v>
      </c>
      <c r="AF3752">
        <v>8</v>
      </c>
      <c r="AG3752">
        <v>1</v>
      </c>
      <c r="AH3752">
        <v>0</v>
      </c>
      <c r="AI3752">
        <v>0</v>
      </c>
      <c r="AL3752" t="s">
        <v>5011</v>
      </c>
      <c r="AM3752">
        <v>0</v>
      </c>
      <c r="AS3752">
        <v>44.55</v>
      </c>
      <c r="AT3752" t="s">
        <v>619</v>
      </c>
      <c r="AU3752" t="s">
        <v>25280</v>
      </c>
      <c r="AW3752" t="s">
        <v>11447</v>
      </c>
    </row>
    <row r="3753" spans="1:49">
      <c r="A3753" s="1">
        <f>HYPERLINK("https://lsnyc.legalserver.org/matter/dynamic-profile/view/1870194","18-1870194")</f>
        <v>0</v>
      </c>
      <c r="B3753" t="s">
        <v>218</v>
      </c>
      <c r="C3753" t="s">
        <v>536</v>
      </c>
      <c r="E3753" t="s">
        <v>2901</v>
      </c>
      <c r="F3753" t="s">
        <v>5536</v>
      </c>
      <c r="G3753" t="s">
        <v>9119</v>
      </c>
      <c r="I3753" t="s">
        <v>11386</v>
      </c>
      <c r="J3753">
        <v>10032</v>
      </c>
      <c r="K3753" t="s">
        <v>11448</v>
      </c>
      <c r="L3753" t="s">
        <v>13324</v>
      </c>
      <c r="M3753" t="s">
        <v>14744</v>
      </c>
      <c r="N3753" t="s">
        <v>14781</v>
      </c>
      <c r="P3753" t="s">
        <v>14803</v>
      </c>
      <c r="Q3753" t="s">
        <v>11448</v>
      </c>
      <c r="S3753" t="s">
        <v>14827</v>
      </c>
      <c r="V3753">
        <v>175</v>
      </c>
      <c r="W3753" t="s">
        <v>14860</v>
      </c>
      <c r="X3753" t="s">
        <v>14868</v>
      </c>
      <c r="Z3753" t="s">
        <v>18008</v>
      </c>
      <c r="AB3753" t="s">
        <v>23101</v>
      </c>
      <c r="AC3753">
        <v>7</v>
      </c>
      <c r="AD3753" t="s">
        <v>24603</v>
      </c>
      <c r="AE3753" t="s">
        <v>11459</v>
      </c>
      <c r="AF3753">
        <v>4</v>
      </c>
      <c r="AG3753">
        <v>1</v>
      </c>
      <c r="AH3753">
        <v>0</v>
      </c>
      <c r="AI3753">
        <v>0</v>
      </c>
      <c r="AL3753" t="s">
        <v>5011</v>
      </c>
      <c r="AM3753">
        <v>0</v>
      </c>
      <c r="AS3753">
        <v>26.2</v>
      </c>
      <c r="AT3753" t="s">
        <v>574</v>
      </c>
      <c r="AU3753" t="s">
        <v>153</v>
      </c>
      <c r="AW3753" t="s">
        <v>11447</v>
      </c>
    </row>
    <row r="3754" spans="1:49">
      <c r="A3754" s="1">
        <f>HYPERLINK("https://lsnyc.legalserver.org/matter/dynamic-profile/view/1908225","19-1908225")</f>
        <v>0</v>
      </c>
      <c r="B3754" t="s">
        <v>208</v>
      </c>
      <c r="C3754" t="s">
        <v>372</v>
      </c>
      <c r="E3754" t="s">
        <v>2902</v>
      </c>
      <c r="F3754" t="s">
        <v>3901</v>
      </c>
      <c r="G3754" t="s">
        <v>9120</v>
      </c>
      <c r="H3754">
        <v>31</v>
      </c>
      <c r="I3754" t="s">
        <v>11386</v>
      </c>
      <c r="J3754">
        <v>10031</v>
      </c>
      <c r="K3754" t="s">
        <v>11447</v>
      </c>
      <c r="L3754" t="s">
        <v>13325</v>
      </c>
      <c r="M3754" t="s">
        <v>14744</v>
      </c>
      <c r="N3754" t="s">
        <v>14781</v>
      </c>
      <c r="P3754" t="s">
        <v>14803</v>
      </c>
      <c r="Q3754" t="s">
        <v>11448</v>
      </c>
      <c r="S3754" t="s">
        <v>14827</v>
      </c>
      <c r="V3754">
        <v>1279</v>
      </c>
      <c r="W3754" t="s">
        <v>14860</v>
      </c>
      <c r="Z3754" t="s">
        <v>15465</v>
      </c>
      <c r="AB3754" t="s">
        <v>23102</v>
      </c>
      <c r="AC3754">
        <v>0</v>
      </c>
      <c r="AF3754">
        <v>22</v>
      </c>
      <c r="AG3754">
        <v>1</v>
      </c>
      <c r="AH3754">
        <v>1</v>
      </c>
      <c r="AI3754">
        <v>0</v>
      </c>
      <c r="AL3754" t="s">
        <v>5011</v>
      </c>
      <c r="AM3754">
        <v>0</v>
      </c>
      <c r="AS3754">
        <v>3.15</v>
      </c>
      <c r="AT3754" t="s">
        <v>592</v>
      </c>
      <c r="AU3754" t="s">
        <v>25278</v>
      </c>
      <c r="AW3754" t="s">
        <v>11447</v>
      </c>
    </row>
    <row r="3755" spans="1:49">
      <c r="A3755" s="1">
        <f>HYPERLINK("https://lsnyc.legalserver.org/matter/dynamic-profile/view/1844281","17-1844281")</f>
        <v>0</v>
      </c>
      <c r="B3755" t="s">
        <v>242</v>
      </c>
      <c r="C3755" t="s">
        <v>840</v>
      </c>
      <c r="E3755" t="s">
        <v>2903</v>
      </c>
      <c r="F3755" t="s">
        <v>5537</v>
      </c>
      <c r="G3755" t="s">
        <v>9121</v>
      </c>
      <c r="H3755" t="s">
        <v>11180</v>
      </c>
      <c r="I3755" t="s">
        <v>11386</v>
      </c>
      <c r="J3755">
        <v>10031</v>
      </c>
      <c r="K3755" t="s">
        <v>11447</v>
      </c>
      <c r="L3755" t="s">
        <v>13326</v>
      </c>
      <c r="M3755" t="s">
        <v>14753</v>
      </c>
      <c r="N3755" t="s">
        <v>14781</v>
      </c>
      <c r="P3755" t="s">
        <v>14803</v>
      </c>
      <c r="Q3755" t="s">
        <v>11448</v>
      </c>
      <c r="S3755" t="s">
        <v>14827</v>
      </c>
      <c r="V3755">
        <v>0</v>
      </c>
      <c r="W3755" t="s">
        <v>14860</v>
      </c>
      <c r="Z3755" t="s">
        <v>16030</v>
      </c>
      <c r="AB3755" t="s">
        <v>23103</v>
      </c>
      <c r="AC3755">
        <v>1200</v>
      </c>
      <c r="AF3755">
        <v>0</v>
      </c>
      <c r="AG3755">
        <v>2</v>
      </c>
      <c r="AH3755">
        <v>0</v>
      </c>
      <c r="AI3755">
        <v>3.1</v>
      </c>
      <c r="AL3755" t="s">
        <v>5011</v>
      </c>
      <c r="AM3755">
        <v>503.04</v>
      </c>
      <c r="AS3755">
        <v>37.25</v>
      </c>
      <c r="AT3755" t="s">
        <v>445</v>
      </c>
      <c r="AU3755" t="s">
        <v>25286</v>
      </c>
      <c r="AW3755" t="s">
        <v>11447</v>
      </c>
    </row>
    <row r="3756" spans="1:49">
      <c r="A3756" s="1">
        <f>HYPERLINK("https://lsnyc.legalserver.org/matter/dynamic-profile/view/1915228","19-1915228")</f>
        <v>0</v>
      </c>
      <c r="B3756" t="s">
        <v>194</v>
      </c>
      <c r="C3756" t="s">
        <v>509</v>
      </c>
      <c r="E3756" t="s">
        <v>2904</v>
      </c>
      <c r="F3756" t="s">
        <v>3562</v>
      </c>
      <c r="G3756" t="s">
        <v>9122</v>
      </c>
      <c r="H3756">
        <v>4</v>
      </c>
      <c r="I3756" t="s">
        <v>11386</v>
      </c>
      <c r="J3756">
        <v>10002</v>
      </c>
      <c r="K3756" t="s">
        <v>11446</v>
      </c>
      <c r="L3756" t="s">
        <v>13327</v>
      </c>
      <c r="M3756" t="s">
        <v>14743</v>
      </c>
      <c r="N3756" t="s">
        <v>14782</v>
      </c>
      <c r="P3756" t="s">
        <v>14803</v>
      </c>
      <c r="Q3756" t="s">
        <v>11448</v>
      </c>
      <c r="S3756" t="s">
        <v>14827</v>
      </c>
      <c r="V3756">
        <v>500</v>
      </c>
      <c r="W3756" t="s">
        <v>14860</v>
      </c>
      <c r="X3756" t="s">
        <v>14876</v>
      </c>
      <c r="Z3756" t="s">
        <v>18009</v>
      </c>
      <c r="AB3756" t="s">
        <v>23104</v>
      </c>
      <c r="AC3756">
        <v>0</v>
      </c>
      <c r="AD3756" t="s">
        <v>11479</v>
      </c>
      <c r="AE3756" t="s">
        <v>11459</v>
      </c>
      <c r="AF3756">
        <v>1</v>
      </c>
      <c r="AG3756">
        <v>2</v>
      </c>
      <c r="AH3756">
        <v>0</v>
      </c>
      <c r="AI3756">
        <v>8.16</v>
      </c>
      <c r="AL3756" t="s">
        <v>24633</v>
      </c>
      <c r="AM3756">
        <v>1380</v>
      </c>
      <c r="AS3756">
        <v>1.5</v>
      </c>
      <c r="AT3756" t="s">
        <v>537</v>
      </c>
      <c r="AU3756" t="s">
        <v>153</v>
      </c>
      <c r="AV3756" t="s">
        <v>25335</v>
      </c>
      <c r="AW3756" t="s">
        <v>11447</v>
      </c>
    </row>
    <row r="3757" spans="1:49">
      <c r="A3757" s="1">
        <f>HYPERLINK("https://lsnyc.legalserver.org/matter/dynamic-profile/view/0769734","15-0769734")</f>
        <v>0</v>
      </c>
      <c r="B3757" t="s">
        <v>208</v>
      </c>
      <c r="C3757" t="s">
        <v>841</v>
      </c>
      <c r="E3757" t="s">
        <v>2905</v>
      </c>
      <c r="F3757" t="s">
        <v>5538</v>
      </c>
      <c r="G3757" t="s">
        <v>9123</v>
      </c>
      <c r="I3757" t="s">
        <v>11386</v>
      </c>
      <c r="J3757">
        <v>10031</v>
      </c>
      <c r="K3757" t="s">
        <v>11447</v>
      </c>
      <c r="P3757" t="s">
        <v>14803</v>
      </c>
      <c r="S3757" t="s">
        <v>14827</v>
      </c>
      <c r="V3757">
        <v>0</v>
      </c>
      <c r="W3757" t="s">
        <v>14860</v>
      </c>
      <c r="Z3757" t="s">
        <v>18010</v>
      </c>
      <c r="AB3757" t="s">
        <v>23105</v>
      </c>
      <c r="AC3757">
        <v>0</v>
      </c>
      <c r="AF3757">
        <v>0</v>
      </c>
      <c r="AG3757">
        <v>4</v>
      </c>
      <c r="AH3757">
        <v>4</v>
      </c>
      <c r="AI3757">
        <v>8.98</v>
      </c>
      <c r="AL3757" t="s">
        <v>24632</v>
      </c>
      <c r="AM3757">
        <v>3600</v>
      </c>
      <c r="AS3757">
        <v>0</v>
      </c>
      <c r="AU3757" t="s">
        <v>25313</v>
      </c>
      <c r="AW3757" t="s">
        <v>11447</v>
      </c>
    </row>
    <row r="3758" spans="1:49">
      <c r="A3758" s="1">
        <f>HYPERLINK("https://lsnyc.legalserver.org/matter/dynamic-profile/view/1911873","19-1911873")</f>
        <v>0</v>
      </c>
      <c r="B3758" t="s">
        <v>207</v>
      </c>
      <c r="C3758" t="s">
        <v>645</v>
      </c>
      <c r="E3758" t="s">
        <v>2906</v>
      </c>
      <c r="F3758" t="s">
        <v>5539</v>
      </c>
      <c r="G3758" t="s">
        <v>9124</v>
      </c>
      <c r="H3758" t="s">
        <v>11181</v>
      </c>
      <c r="I3758" t="s">
        <v>11386</v>
      </c>
      <c r="J3758">
        <v>10007</v>
      </c>
      <c r="K3758" t="s">
        <v>11446</v>
      </c>
      <c r="N3758" t="s">
        <v>14782</v>
      </c>
      <c r="P3758" t="s">
        <v>14803</v>
      </c>
      <c r="Q3758" t="s">
        <v>11448</v>
      </c>
      <c r="S3758" t="s">
        <v>14827</v>
      </c>
      <c r="V3758">
        <v>0</v>
      </c>
      <c r="W3758" t="s">
        <v>14860</v>
      </c>
      <c r="X3758" t="s">
        <v>14868</v>
      </c>
      <c r="Z3758" t="s">
        <v>18011</v>
      </c>
      <c r="AA3758" t="s">
        <v>19799</v>
      </c>
      <c r="AB3758" t="s">
        <v>23106</v>
      </c>
      <c r="AC3758">
        <v>0</v>
      </c>
      <c r="AF3758">
        <v>16</v>
      </c>
      <c r="AG3758">
        <v>1</v>
      </c>
      <c r="AH3758">
        <v>0</v>
      </c>
      <c r="AI3758">
        <v>11.53</v>
      </c>
      <c r="AL3758" t="s">
        <v>5011</v>
      </c>
      <c r="AM3758">
        <v>1440</v>
      </c>
      <c r="AS3758">
        <v>2</v>
      </c>
      <c r="AT3758" t="s">
        <v>495</v>
      </c>
      <c r="AU3758" t="s">
        <v>153</v>
      </c>
      <c r="AV3758" t="s">
        <v>25334</v>
      </c>
      <c r="AW3758" t="s">
        <v>11447</v>
      </c>
    </row>
    <row r="3759" spans="1:49">
      <c r="A3759" s="1">
        <f>HYPERLINK("https://lsnyc.legalserver.org/matter/dynamic-profile/view/1876483","18-1876483")</f>
        <v>0</v>
      </c>
      <c r="B3759" t="s">
        <v>218</v>
      </c>
      <c r="C3759" t="s">
        <v>842</v>
      </c>
      <c r="E3759" t="s">
        <v>1297</v>
      </c>
      <c r="F3759" t="s">
        <v>5540</v>
      </c>
      <c r="G3759" t="s">
        <v>9125</v>
      </c>
      <c r="H3759" t="s">
        <v>10595</v>
      </c>
      <c r="I3759" t="s">
        <v>11386</v>
      </c>
      <c r="J3759">
        <v>10031</v>
      </c>
      <c r="K3759" t="s">
        <v>11447</v>
      </c>
      <c r="L3759" t="s">
        <v>13328</v>
      </c>
      <c r="M3759" t="s">
        <v>14743</v>
      </c>
      <c r="N3759" t="s">
        <v>14781</v>
      </c>
      <c r="P3759" t="s">
        <v>14803</v>
      </c>
      <c r="Q3759" t="s">
        <v>11448</v>
      </c>
      <c r="S3759" t="s">
        <v>14827</v>
      </c>
      <c r="V3759">
        <v>1211</v>
      </c>
      <c r="W3759" t="s">
        <v>14860</v>
      </c>
      <c r="X3759" t="s">
        <v>14870</v>
      </c>
      <c r="Z3759" t="s">
        <v>18012</v>
      </c>
      <c r="AB3759" t="s">
        <v>23107</v>
      </c>
      <c r="AC3759">
        <v>44</v>
      </c>
      <c r="AF3759">
        <v>17</v>
      </c>
      <c r="AG3759">
        <v>2</v>
      </c>
      <c r="AH3759">
        <v>0</v>
      </c>
      <c r="AI3759">
        <v>14.53</v>
      </c>
      <c r="AL3759" t="s">
        <v>24632</v>
      </c>
      <c r="AM3759">
        <v>2392</v>
      </c>
      <c r="AS3759">
        <v>32.5</v>
      </c>
      <c r="AT3759" t="s">
        <v>526</v>
      </c>
      <c r="AU3759" t="s">
        <v>25278</v>
      </c>
      <c r="AW3759" t="s">
        <v>11447</v>
      </c>
    </row>
    <row r="3760" spans="1:49">
      <c r="A3760" s="1">
        <f>HYPERLINK("https://lsnyc.legalserver.org/matter/dynamic-profile/view/0774678","15-0774678")</f>
        <v>0</v>
      </c>
      <c r="B3760" t="s">
        <v>208</v>
      </c>
      <c r="C3760" t="s">
        <v>843</v>
      </c>
      <c r="E3760" t="s">
        <v>2482</v>
      </c>
      <c r="F3760" t="s">
        <v>3975</v>
      </c>
      <c r="G3760" t="s">
        <v>9126</v>
      </c>
      <c r="H3760" t="s">
        <v>10646</v>
      </c>
      <c r="I3760" t="s">
        <v>11386</v>
      </c>
      <c r="J3760">
        <v>10027</v>
      </c>
      <c r="K3760" t="s">
        <v>11447</v>
      </c>
      <c r="M3760" t="s">
        <v>14746</v>
      </c>
      <c r="N3760" t="s">
        <v>14781</v>
      </c>
      <c r="P3760" t="s">
        <v>14803</v>
      </c>
      <c r="S3760" t="s">
        <v>14827</v>
      </c>
      <c r="V3760">
        <v>0</v>
      </c>
      <c r="W3760" t="s">
        <v>14860</v>
      </c>
      <c r="Z3760" t="s">
        <v>18013</v>
      </c>
      <c r="AB3760" t="s">
        <v>23108</v>
      </c>
      <c r="AC3760">
        <v>0</v>
      </c>
      <c r="AF3760">
        <v>0</v>
      </c>
      <c r="AG3760">
        <v>1</v>
      </c>
      <c r="AH3760">
        <v>0</v>
      </c>
      <c r="AI3760">
        <v>15.29</v>
      </c>
      <c r="AL3760" t="s">
        <v>5011</v>
      </c>
      <c r="AM3760">
        <v>1800</v>
      </c>
      <c r="AS3760">
        <v>6.2</v>
      </c>
      <c r="AT3760" t="s">
        <v>25172</v>
      </c>
      <c r="AU3760" t="s">
        <v>25266</v>
      </c>
      <c r="AW3760" t="s">
        <v>11447</v>
      </c>
    </row>
    <row r="3761" spans="1:49">
      <c r="A3761" s="1">
        <f>HYPERLINK("https://lsnyc.legalserver.org/matter/dynamic-profile/view/1908214","19-1908214")</f>
        <v>0</v>
      </c>
      <c r="B3761" t="s">
        <v>249</v>
      </c>
      <c r="C3761" t="s">
        <v>372</v>
      </c>
      <c r="E3761" t="s">
        <v>2907</v>
      </c>
      <c r="F3761" t="s">
        <v>5541</v>
      </c>
      <c r="G3761" t="s">
        <v>9127</v>
      </c>
      <c r="H3761" t="s">
        <v>10542</v>
      </c>
      <c r="I3761" t="s">
        <v>11386</v>
      </c>
      <c r="J3761">
        <v>10027</v>
      </c>
      <c r="K3761" t="s">
        <v>11447</v>
      </c>
      <c r="L3761" t="s">
        <v>13329</v>
      </c>
      <c r="M3761" t="s">
        <v>14744</v>
      </c>
      <c r="N3761" t="s">
        <v>14781</v>
      </c>
      <c r="P3761" t="s">
        <v>14803</v>
      </c>
      <c r="Q3761" t="s">
        <v>11448</v>
      </c>
      <c r="S3761" t="s">
        <v>14827</v>
      </c>
      <c r="V3761">
        <v>962</v>
      </c>
      <c r="W3761" t="s">
        <v>14860</v>
      </c>
      <c r="Z3761" t="s">
        <v>18014</v>
      </c>
      <c r="AB3761" t="s">
        <v>23109</v>
      </c>
      <c r="AC3761">
        <v>22</v>
      </c>
      <c r="AF3761">
        <v>9</v>
      </c>
      <c r="AG3761">
        <v>1</v>
      </c>
      <c r="AH3761">
        <v>4</v>
      </c>
      <c r="AI3761">
        <v>15.67</v>
      </c>
      <c r="AL3761" t="s">
        <v>5011</v>
      </c>
      <c r="AM3761">
        <v>4728</v>
      </c>
      <c r="AS3761">
        <v>3.5</v>
      </c>
      <c r="AT3761" t="s">
        <v>641</v>
      </c>
      <c r="AU3761" t="s">
        <v>25278</v>
      </c>
      <c r="AW3761" t="s">
        <v>11447</v>
      </c>
    </row>
    <row r="3762" spans="1:49">
      <c r="A3762" s="1">
        <f>HYPERLINK("https://lsnyc.legalserver.org/matter/dynamic-profile/view/1880047","18-1880047")</f>
        <v>0</v>
      </c>
      <c r="B3762" t="s">
        <v>182</v>
      </c>
      <c r="C3762" t="s">
        <v>403</v>
      </c>
      <c r="E3762" t="s">
        <v>2908</v>
      </c>
      <c r="F3762" t="s">
        <v>5542</v>
      </c>
      <c r="G3762" t="s">
        <v>9128</v>
      </c>
      <c r="H3762">
        <v>65</v>
      </c>
      <c r="I3762" t="s">
        <v>11386</v>
      </c>
      <c r="J3762">
        <v>10031</v>
      </c>
      <c r="K3762" t="s">
        <v>11447</v>
      </c>
      <c r="L3762" t="s">
        <v>13330</v>
      </c>
      <c r="M3762" t="s">
        <v>14743</v>
      </c>
      <c r="N3762" t="s">
        <v>14782</v>
      </c>
      <c r="P3762" t="s">
        <v>14803</v>
      </c>
      <c r="Q3762" t="s">
        <v>11448</v>
      </c>
      <c r="S3762" t="s">
        <v>14827</v>
      </c>
      <c r="V3762">
        <v>751</v>
      </c>
      <c r="W3762" t="s">
        <v>14860</v>
      </c>
      <c r="Z3762" t="s">
        <v>18015</v>
      </c>
      <c r="AB3762" t="s">
        <v>23110</v>
      </c>
      <c r="AC3762">
        <v>56</v>
      </c>
      <c r="AF3762">
        <v>22</v>
      </c>
      <c r="AG3762">
        <v>3</v>
      </c>
      <c r="AH3762">
        <v>1</v>
      </c>
      <c r="AI3762">
        <v>29.42</v>
      </c>
      <c r="AL3762" t="s">
        <v>24632</v>
      </c>
      <c r="AM3762">
        <v>7384</v>
      </c>
      <c r="AS3762">
        <v>0.75</v>
      </c>
      <c r="AT3762" t="s">
        <v>446</v>
      </c>
      <c r="AU3762" t="s">
        <v>25278</v>
      </c>
      <c r="AW3762" t="s">
        <v>11447</v>
      </c>
    </row>
    <row r="3763" spans="1:49">
      <c r="A3763" s="1">
        <f>HYPERLINK("https://lsnyc.legalserver.org/matter/dynamic-profile/view/1891473","19-1891473")</f>
        <v>0</v>
      </c>
      <c r="B3763" t="s">
        <v>249</v>
      </c>
      <c r="C3763" t="s">
        <v>575</v>
      </c>
      <c r="E3763" t="s">
        <v>2909</v>
      </c>
      <c r="F3763" t="s">
        <v>4755</v>
      </c>
      <c r="G3763" t="s">
        <v>9129</v>
      </c>
      <c r="H3763">
        <v>601</v>
      </c>
      <c r="I3763" t="s">
        <v>11386</v>
      </c>
      <c r="J3763">
        <v>10001</v>
      </c>
      <c r="K3763" t="s">
        <v>11446</v>
      </c>
      <c r="L3763" t="s">
        <v>13331</v>
      </c>
      <c r="M3763" t="s">
        <v>14764</v>
      </c>
      <c r="N3763" t="s">
        <v>14781</v>
      </c>
      <c r="P3763" t="s">
        <v>14803</v>
      </c>
      <c r="Q3763" t="s">
        <v>11448</v>
      </c>
      <c r="S3763" t="s">
        <v>14827</v>
      </c>
      <c r="V3763">
        <v>526.13</v>
      </c>
      <c r="W3763" t="s">
        <v>14860</v>
      </c>
      <c r="X3763" t="s">
        <v>14868</v>
      </c>
      <c r="Z3763" t="s">
        <v>18016</v>
      </c>
      <c r="AB3763" t="s">
        <v>23111</v>
      </c>
      <c r="AC3763">
        <v>0</v>
      </c>
      <c r="AD3763" t="s">
        <v>24599</v>
      </c>
      <c r="AE3763" t="s">
        <v>11459</v>
      </c>
      <c r="AF3763">
        <v>10</v>
      </c>
      <c r="AG3763">
        <v>3</v>
      </c>
      <c r="AH3763">
        <v>0</v>
      </c>
      <c r="AI3763">
        <v>29.61</v>
      </c>
      <c r="AL3763" t="s">
        <v>24633</v>
      </c>
      <c r="AM3763">
        <v>6315.84</v>
      </c>
      <c r="AS3763">
        <v>59.9</v>
      </c>
      <c r="AT3763" t="s">
        <v>553</v>
      </c>
      <c r="AU3763" t="s">
        <v>153</v>
      </c>
      <c r="AW3763" t="s">
        <v>11446</v>
      </c>
    </row>
    <row r="3764" spans="1:49">
      <c r="A3764" s="1">
        <f>HYPERLINK("https://lsnyc.legalserver.org/matter/dynamic-profile/view/1890906","19-1890906")</f>
        <v>0</v>
      </c>
      <c r="B3764" t="s">
        <v>105</v>
      </c>
      <c r="C3764" t="s">
        <v>534</v>
      </c>
      <c r="E3764" t="s">
        <v>1024</v>
      </c>
      <c r="F3764" t="s">
        <v>5543</v>
      </c>
      <c r="G3764" t="s">
        <v>9130</v>
      </c>
      <c r="H3764" t="s">
        <v>10673</v>
      </c>
      <c r="I3764" t="s">
        <v>11386</v>
      </c>
      <c r="J3764">
        <v>10025</v>
      </c>
      <c r="K3764" t="s">
        <v>11448</v>
      </c>
      <c r="M3764" t="s">
        <v>11601</v>
      </c>
      <c r="N3764" t="s">
        <v>14778</v>
      </c>
      <c r="P3764" t="s">
        <v>14803</v>
      </c>
      <c r="Q3764" t="s">
        <v>11448</v>
      </c>
      <c r="S3764" t="s">
        <v>14828</v>
      </c>
      <c r="V3764">
        <v>250</v>
      </c>
      <c r="W3764" t="s">
        <v>14860</v>
      </c>
      <c r="X3764" t="s">
        <v>14871</v>
      </c>
      <c r="Z3764" t="s">
        <v>18017</v>
      </c>
      <c r="AC3764">
        <v>0</v>
      </c>
      <c r="AD3764" t="s">
        <v>24602</v>
      </c>
      <c r="AE3764" t="s">
        <v>11459</v>
      </c>
      <c r="AF3764">
        <v>45</v>
      </c>
      <c r="AG3764">
        <v>2</v>
      </c>
      <c r="AH3764">
        <v>2</v>
      </c>
      <c r="AI3764">
        <v>34.72</v>
      </c>
      <c r="AL3764" t="s">
        <v>5011</v>
      </c>
      <c r="AM3764">
        <v>8940</v>
      </c>
      <c r="AS3764">
        <v>0.35</v>
      </c>
      <c r="AT3764" t="s">
        <v>629</v>
      </c>
      <c r="AU3764" t="s">
        <v>153</v>
      </c>
      <c r="AW3764" t="s">
        <v>11448</v>
      </c>
    </row>
    <row r="3765" spans="1:49">
      <c r="A3765" s="1">
        <f>HYPERLINK("https://lsnyc.legalserver.org/matter/dynamic-profile/view/1843156","17-1843156")</f>
        <v>0</v>
      </c>
      <c r="B3765" t="s">
        <v>156</v>
      </c>
      <c r="C3765" t="s">
        <v>697</v>
      </c>
      <c r="E3765" t="s">
        <v>2910</v>
      </c>
      <c r="F3765" t="s">
        <v>5544</v>
      </c>
      <c r="G3765" t="s">
        <v>7711</v>
      </c>
      <c r="H3765">
        <v>3</v>
      </c>
      <c r="I3765" t="s">
        <v>11386</v>
      </c>
      <c r="J3765">
        <v>10002</v>
      </c>
      <c r="K3765" t="s">
        <v>11447</v>
      </c>
      <c r="M3765" t="s">
        <v>11601</v>
      </c>
      <c r="N3765" t="s">
        <v>14781</v>
      </c>
      <c r="P3765" t="s">
        <v>14803</v>
      </c>
      <c r="S3765" t="s">
        <v>14827</v>
      </c>
      <c r="V3765">
        <v>0</v>
      </c>
      <c r="W3765" t="s">
        <v>14860</v>
      </c>
      <c r="Z3765" t="s">
        <v>18018</v>
      </c>
      <c r="AB3765" t="s">
        <v>23112</v>
      </c>
      <c r="AC3765">
        <v>0</v>
      </c>
      <c r="AF3765">
        <v>0</v>
      </c>
      <c r="AG3765">
        <v>3</v>
      </c>
      <c r="AH3765">
        <v>2</v>
      </c>
      <c r="AI3765">
        <v>34.75</v>
      </c>
      <c r="AL3765" t="s">
        <v>24662</v>
      </c>
      <c r="AM3765">
        <v>15000</v>
      </c>
      <c r="AS3765">
        <v>20.7</v>
      </c>
      <c r="AT3765" t="s">
        <v>534</v>
      </c>
      <c r="AU3765" t="s">
        <v>25282</v>
      </c>
      <c r="AW3765" t="s">
        <v>11447</v>
      </c>
    </row>
    <row r="3766" spans="1:49">
      <c r="A3766" s="1">
        <f>HYPERLINK("https://lsnyc.legalserver.org/matter/dynamic-profile/view/3017416","M08E-63017416")</f>
        <v>0</v>
      </c>
      <c r="B3766" t="s">
        <v>182</v>
      </c>
      <c r="C3766" t="s">
        <v>844</v>
      </c>
      <c r="E3766" t="s">
        <v>2911</v>
      </c>
      <c r="F3766" t="s">
        <v>3843</v>
      </c>
      <c r="G3766" t="s">
        <v>9131</v>
      </c>
      <c r="H3766" t="s">
        <v>11182</v>
      </c>
      <c r="I3766" t="s">
        <v>11386</v>
      </c>
      <c r="J3766">
        <v>10032</v>
      </c>
      <c r="K3766" t="s">
        <v>11447</v>
      </c>
      <c r="L3766" t="s">
        <v>13332</v>
      </c>
      <c r="M3766" t="s">
        <v>14743</v>
      </c>
      <c r="N3766" t="s">
        <v>14781</v>
      </c>
      <c r="P3766" t="s">
        <v>14803</v>
      </c>
      <c r="Q3766" t="s">
        <v>11448</v>
      </c>
      <c r="R3766" t="s">
        <v>14825</v>
      </c>
      <c r="S3766" t="s">
        <v>14827</v>
      </c>
      <c r="V3766">
        <v>0</v>
      </c>
      <c r="W3766" t="s">
        <v>14860</v>
      </c>
      <c r="Y3766" t="s">
        <v>14884</v>
      </c>
      <c r="Z3766" t="s">
        <v>18019</v>
      </c>
      <c r="AC3766">
        <v>50</v>
      </c>
      <c r="AF3766">
        <v>0</v>
      </c>
      <c r="AG3766">
        <v>3</v>
      </c>
      <c r="AH3766">
        <v>0</v>
      </c>
      <c r="AI3766">
        <v>36.93</v>
      </c>
      <c r="AL3766" t="s">
        <v>24632</v>
      </c>
      <c r="AM3766">
        <v>6500</v>
      </c>
      <c r="AS3766">
        <v>586.95</v>
      </c>
      <c r="AT3766" t="s">
        <v>521</v>
      </c>
      <c r="AU3766" t="s">
        <v>118</v>
      </c>
      <c r="AW3766" t="s">
        <v>11447</v>
      </c>
    </row>
    <row r="3767" spans="1:49">
      <c r="A3767" s="1">
        <f>HYPERLINK("https://lsnyc.legalserver.org/matter/dynamic-profile/view/1897976","19-1897976")</f>
        <v>0</v>
      </c>
      <c r="B3767" t="s">
        <v>182</v>
      </c>
      <c r="C3767" t="s">
        <v>503</v>
      </c>
      <c r="E3767" t="s">
        <v>1633</v>
      </c>
      <c r="F3767" t="s">
        <v>4551</v>
      </c>
      <c r="G3767" t="s">
        <v>9132</v>
      </c>
      <c r="H3767" t="s">
        <v>10936</v>
      </c>
      <c r="I3767" t="s">
        <v>11386</v>
      </c>
      <c r="J3767">
        <v>10025</v>
      </c>
      <c r="K3767" t="s">
        <v>11448</v>
      </c>
      <c r="M3767" t="s">
        <v>14761</v>
      </c>
      <c r="N3767" t="s">
        <v>14783</v>
      </c>
      <c r="P3767" t="s">
        <v>14803</v>
      </c>
      <c r="Q3767" t="s">
        <v>11448</v>
      </c>
      <c r="S3767" t="s">
        <v>14828</v>
      </c>
      <c r="T3767" t="s">
        <v>14832</v>
      </c>
      <c r="V3767">
        <v>383</v>
      </c>
      <c r="W3767" t="s">
        <v>14860</v>
      </c>
      <c r="X3767" t="s">
        <v>14868</v>
      </c>
      <c r="Z3767" t="s">
        <v>17332</v>
      </c>
      <c r="AB3767" t="s">
        <v>23113</v>
      </c>
      <c r="AC3767">
        <v>1162</v>
      </c>
      <c r="AD3767" t="s">
        <v>24602</v>
      </c>
      <c r="AE3767" t="s">
        <v>11459</v>
      </c>
      <c r="AF3767">
        <v>46</v>
      </c>
      <c r="AG3767">
        <v>1</v>
      </c>
      <c r="AH3767">
        <v>0</v>
      </c>
      <c r="AI3767">
        <v>41.63</v>
      </c>
      <c r="AL3767" t="s">
        <v>5011</v>
      </c>
      <c r="AM3767">
        <v>5200</v>
      </c>
      <c r="AS3767">
        <v>51.5</v>
      </c>
      <c r="AT3767" t="s">
        <v>521</v>
      </c>
      <c r="AU3767" t="s">
        <v>153</v>
      </c>
      <c r="AW3767" t="s">
        <v>11448</v>
      </c>
    </row>
    <row r="3768" spans="1:49">
      <c r="A3768" s="1">
        <f>HYPERLINK("https://lsnyc.legalserver.org/matter/dynamic-profile/view/1908999","19-1908999")</f>
        <v>0</v>
      </c>
      <c r="B3768" t="s">
        <v>188</v>
      </c>
      <c r="C3768" t="s">
        <v>641</v>
      </c>
      <c r="E3768" t="s">
        <v>2912</v>
      </c>
      <c r="F3768" t="s">
        <v>3965</v>
      </c>
      <c r="G3768" t="s">
        <v>9046</v>
      </c>
      <c r="H3768" t="s">
        <v>10559</v>
      </c>
      <c r="I3768" t="s">
        <v>11386</v>
      </c>
      <c r="J3768">
        <v>10035</v>
      </c>
      <c r="K3768" t="s">
        <v>11446</v>
      </c>
      <c r="L3768" t="s">
        <v>13333</v>
      </c>
      <c r="M3768" t="s">
        <v>14743</v>
      </c>
      <c r="N3768" t="s">
        <v>14778</v>
      </c>
      <c r="P3768" t="s">
        <v>14803</v>
      </c>
      <c r="Q3768" t="s">
        <v>11448</v>
      </c>
      <c r="S3768" t="s">
        <v>14828</v>
      </c>
      <c r="V3768">
        <v>193</v>
      </c>
      <c r="W3768" t="s">
        <v>14860</v>
      </c>
      <c r="X3768" t="s">
        <v>14864</v>
      </c>
      <c r="Z3768" t="s">
        <v>18020</v>
      </c>
      <c r="AB3768" t="s">
        <v>23114</v>
      </c>
      <c r="AC3768">
        <v>55</v>
      </c>
      <c r="AD3768" t="s">
        <v>24597</v>
      </c>
      <c r="AF3768">
        <v>4</v>
      </c>
      <c r="AG3768">
        <v>2</v>
      </c>
      <c r="AH3768">
        <v>0</v>
      </c>
      <c r="AI3768">
        <v>45.84</v>
      </c>
      <c r="AL3768" t="s">
        <v>5011</v>
      </c>
      <c r="AM3768">
        <v>7752</v>
      </c>
      <c r="AS3768">
        <v>0.1</v>
      </c>
      <c r="AT3768" t="s">
        <v>641</v>
      </c>
      <c r="AU3768" t="s">
        <v>25276</v>
      </c>
      <c r="AV3768" t="s">
        <v>25335</v>
      </c>
      <c r="AW3768" t="s">
        <v>11447</v>
      </c>
    </row>
    <row r="3769" spans="1:49">
      <c r="A3769" s="1">
        <f>HYPERLINK("https://lsnyc.legalserver.org/matter/dynamic-profile/view/1915206","19-1915206")</f>
        <v>0</v>
      </c>
      <c r="B3769" t="s">
        <v>194</v>
      </c>
      <c r="C3769" t="s">
        <v>509</v>
      </c>
      <c r="E3769" t="s">
        <v>2913</v>
      </c>
      <c r="F3769" t="s">
        <v>4105</v>
      </c>
      <c r="G3769" t="s">
        <v>7771</v>
      </c>
      <c r="H3769" t="s">
        <v>11024</v>
      </c>
      <c r="I3769" t="s">
        <v>11386</v>
      </c>
      <c r="J3769">
        <v>10013</v>
      </c>
      <c r="K3769" t="s">
        <v>11446</v>
      </c>
      <c r="L3769" t="s">
        <v>13334</v>
      </c>
      <c r="M3769" t="s">
        <v>14743</v>
      </c>
      <c r="N3769" t="s">
        <v>14782</v>
      </c>
      <c r="P3769" t="s">
        <v>14803</v>
      </c>
      <c r="Q3769" t="s">
        <v>11448</v>
      </c>
      <c r="S3769" t="s">
        <v>14827</v>
      </c>
      <c r="V3769">
        <v>0</v>
      </c>
      <c r="W3769" t="s">
        <v>14860</v>
      </c>
      <c r="X3769" t="s">
        <v>14864</v>
      </c>
      <c r="Z3769" t="s">
        <v>18021</v>
      </c>
      <c r="AB3769" t="s">
        <v>23115</v>
      </c>
      <c r="AC3769">
        <v>0</v>
      </c>
      <c r="AD3769" t="s">
        <v>11479</v>
      </c>
      <c r="AE3769" t="s">
        <v>11459</v>
      </c>
      <c r="AF3769">
        <v>3</v>
      </c>
      <c r="AG3769">
        <v>1</v>
      </c>
      <c r="AH3769">
        <v>0</v>
      </c>
      <c r="AI3769">
        <v>49.48</v>
      </c>
      <c r="AL3769" t="s">
        <v>24650</v>
      </c>
      <c r="AM3769">
        <v>6180</v>
      </c>
      <c r="AS3769">
        <v>5.5</v>
      </c>
      <c r="AT3769" t="s">
        <v>495</v>
      </c>
      <c r="AU3769" t="s">
        <v>153</v>
      </c>
      <c r="AV3769" t="s">
        <v>25335</v>
      </c>
      <c r="AW3769" t="s">
        <v>11447</v>
      </c>
    </row>
    <row r="3770" spans="1:49">
      <c r="A3770" s="1">
        <f>HYPERLINK("https://lsnyc.legalserver.org/matter/dynamic-profile/view/1889138","19-1889138")</f>
        <v>0</v>
      </c>
      <c r="B3770" t="s">
        <v>242</v>
      </c>
      <c r="C3770" t="s">
        <v>588</v>
      </c>
      <c r="E3770" t="s">
        <v>2914</v>
      </c>
      <c r="F3770" t="s">
        <v>5545</v>
      </c>
      <c r="G3770" t="s">
        <v>9133</v>
      </c>
      <c r="H3770">
        <v>31</v>
      </c>
      <c r="I3770" t="s">
        <v>11386</v>
      </c>
      <c r="J3770">
        <v>10032</v>
      </c>
      <c r="K3770" t="s">
        <v>11448</v>
      </c>
      <c r="L3770" t="s">
        <v>13335</v>
      </c>
      <c r="M3770" t="s">
        <v>14743</v>
      </c>
      <c r="N3770" t="s">
        <v>14780</v>
      </c>
      <c r="P3770" t="s">
        <v>14803</v>
      </c>
      <c r="Q3770" t="s">
        <v>11448</v>
      </c>
      <c r="S3770" t="s">
        <v>14827</v>
      </c>
      <c r="V3770">
        <v>825</v>
      </c>
      <c r="W3770" t="s">
        <v>14860</v>
      </c>
      <c r="X3770" t="s">
        <v>14868</v>
      </c>
      <c r="Z3770" t="s">
        <v>18022</v>
      </c>
      <c r="AB3770" t="s">
        <v>23116</v>
      </c>
      <c r="AC3770">
        <v>0</v>
      </c>
      <c r="AD3770" t="s">
        <v>24606</v>
      </c>
      <c r="AE3770" t="s">
        <v>11459</v>
      </c>
      <c r="AF3770">
        <v>15</v>
      </c>
      <c r="AG3770">
        <v>1</v>
      </c>
      <c r="AH3770">
        <v>1</v>
      </c>
      <c r="AI3770">
        <v>49.67</v>
      </c>
      <c r="AL3770" t="s">
        <v>5011</v>
      </c>
      <c r="AM3770">
        <v>8400</v>
      </c>
      <c r="AS3770">
        <v>7.3</v>
      </c>
      <c r="AT3770" t="s">
        <v>603</v>
      </c>
      <c r="AU3770" t="s">
        <v>153</v>
      </c>
      <c r="AW3770" t="s">
        <v>11448</v>
      </c>
    </row>
    <row r="3771" spans="1:49">
      <c r="A3771" s="1">
        <f>HYPERLINK("https://lsnyc.legalserver.org/matter/dynamic-profile/view/1882073","18-1882073")</f>
        <v>0</v>
      </c>
      <c r="B3771" t="s">
        <v>253</v>
      </c>
      <c r="C3771" t="s">
        <v>439</v>
      </c>
      <c r="E3771" t="s">
        <v>2915</v>
      </c>
      <c r="F3771" t="s">
        <v>1114</v>
      </c>
      <c r="G3771" t="s">
        <v>9134</v>
      </c>
      <c r="I3771" t="s">
        <v>11386</v>
      </c>
      <c r="J3771">
        <v>10031</v>
      </c>
      <c r="K3771" t="s">
        <v>11447</v>
      </c>
      <c r="L3771" t="s">
        <v>13336</v>
      </c>
      <c r="M3771" t="s">
        <v>14744</v>
      </c>
      <c r="N3771" t="s">
        <v>14781</v>
      </c>
      <c r="P3771" t="s">
        <v>14803</v>
      </c>
      <c r="Q3771" t="s">
        <v>11448</v>
      </c>
      <c r="S3771" t="s">
        <v>14827</v>
      </c>
      <c r="V3771">
        <v>967.6</v>
      </c>
      <c r="W3771" t="s">
        <v>14860</v>
      </c>
      <c r="X3771" t="s">
        <v>14865</v>
      </c>
      <c r="Z3771" t="s">
        <v>16718</v>
      </c>
      <c r="AB3771" t="s">
        <v>23117</v>
      </c>
      <c r="AC3771">
        <v>24</v>
      </c>
      <c r="AD3771" t="s">
        <v>24595</v>
      </c>
      <c r="AF3771">
        <v>0</v>
      </c>
      <c r="AG3771">
        <v>1</v>
      </c>
      <c r="AH3771">
        <v>1</v>
      </c>
      <c r="AI3771">
        <v>51.03</v>
      </c>
      <c r="AL3771" t="s">
        <v>5011</v>
      </c>
      <c r="AM3771">
        <v>8400</v>
      </c>
      <c r="AS3771">
        <v>9.5</v>
      </c>
      <c r="AT3771" t="s">
        <v>360</v>
      </c>
      <c r="AU3771" t="s">
        <v>25282</v>
      </c>
      <c r="AW3771" t="s">
        <v>11447</v>
      </c>
    </row>
    <row r="3772" spans="1:49">
      <c r="A3772" s="1">
        <f>HYPERLINK("https://lsnyc.legalserver.org/matter/dynamic-profile/view/0761474","14-0761474")</f>
        <v>0</v>
      </c>
      <c r="B3772" t="s">
        <v>208</v>
      </c>
      <c r="C3772" t="s">
        <v>845</v>
      </c>
      <c r="E3772" t="s">
        <v>1144</v>
      </c>
      <c r="F3772" t="s">
        <v>3552</v>
      </c>
      <c r="G3772" t="s">
        <v>9123</v>
      </c>
      <c r="H3772">
        <v>12</v>
      </c>
      <c r="I3772" t="s">
        <v>11386</v>
      </c>
      <c r="J3772">
        <v>10031</v>
      </c>
      <c r="K3772" t="s">
        <v>11447</v>
      </c>
      <c r="P3772" t="s">
        <v>14803</v>
      </c>
      <c r="R3772" t="s">
        <v>14825</v>
      </c>
      <c r="S3772" t="s">
        <v>14827</v>
      </c>
      <c r="V3772">
        <v>0</v>
      </c>
      <c r="W3772" t="s">
        <v>14860</v>
      </c>
      <c r="Z3772" t="s">
        <v>18023</v>
      </c>
      <c r="AB3772" t="s">
        <v>23118</v>
      </c>
      <c r="AC3772">
        <v>0</v>
      </c>
      <c r="AF3772">
        <v>0</v>
      </c>
      <c r="AG3772">
        <v>1</v>
      </c>
      <c r="AH3772">
        <v>3</v>
      </c>
      <c r="AI3772">
        <v>52.04</v>
      </c>
      <c r="AL3772" t="s">
        <v>24632</v>
      </c>
      <c r="AM3772">
        <v>12412</v>
      </c>
      <c r="AS3772">
        <v>0</v>
      </c>
      <c r="AT3772" t="s">
        <v>763</v>
      </c>
      <c r="AU3772" t="s">
        <v>25266</v>
      </c>
      <c r="AW3772" t="s">
        <v>11447</v>
      </c>
    </row>
    <row r="3773" spans="1:49">
      <c r="A3773" s="1">
        <f>HYPERLINK("https://lsnyc.legalserver.org/matter/dynamic-profile/view/1855649","18-1855649")</f>
        <v>0</v>
      </c>
      <c r="B3773" t="s">
        <v>242</v>
      </c>
      <c r="C3773" t="s">
        <v>846</v>
      </c>
      <c r="E3773" t="s">
        <v>2916</v>
      </c>
      <c r="F3773" t="s">
        <v>5546</v>
      </c>
      <c r="G3773" t="s">
        <v>9135</v>
      </c>
      <c r="H3773" t="s">
        <v>11151</v>
      </c>
      <c r="I3773" t="s">
        <v>11386</v>
      </c>
      <c r="J3773">
        <v>10029</v>
      </c>
      <c r="K3773" t="s">
        <v>11447</v>
      </c>
      <c r="M3773" t="s">
        <v>14764</v>
      </c>
      <c r="N3773" t="s">
        <v>14780</v>
      </c>
      <c r="P3773" t="s">
        <v>14803</v>
      </c>
      <c r="S3773" t="s">
        <v>14828</v>
      </c>
      <c r="V3773">
        <v>608.48</v>
      </c>
      <c r="W3773" t="s">
        <v>14860</v>
      </c>
      <c r="Z3773" t="s">
        <v>18024</v>
      </c>
      <c r="AB3773" t="s">
        <v>23119</v>
      </c>
      <c r="AC3773">
        <v>794</v>
      </c>
      <c r="AF3773">
        <v>16</v>
      </c>
      <c r="AG3773">
        <v>2</v>
      </c>
      <c r="AH3773">
        <v>0</v>
      </c>
      <c r="AI3773">
        <v>59.11</v>
      </c>
      <c r="AL3773" t="s">
        <v>24637</v>
      </c>
      <c r="AM3773">
        <v>9600</v>
      </c>
      <c r="AS3773">
        <v>8.35</v>
      </c>
      <c r="AT3773" t="s">
        <v>757</v>
      </c>
      <c r="AU3773" t="s">
        <v>25278</v>
      </c>
      <c r="AW3773" t="s">
        <v>11447</v>
      </c>
    </row>
    <row r="3774" spans="1:49">
      <c r="A3774" s="1">
        <f>HYPERLINK("https://lsnyc.legalserver.org/matter/dynamic-profile/view/1913931","19-1913931")</f>
        <v>0</v>
      </c>
      <c r="B3774" t="s">
        <v>311</v>
      </c>
      <c r="C3774" t="s">
        <v>490</v>
      </c>
      <c r="E3774" t="s">
        <v>2917</v>
      </c>
      <c r="F3774" t="s">
        <v>3623</v>
      </c>
      <c r="G3774" t="s">
        <v>9136</v>
      </c>
      <c r="H3774">
        <v>2</v>
      </c>
      <c r="I3774" t="s">
        <v>11386</v>
      </c>
      <c r="J3774">
        <v>10003</v>
      </c>
      <c r="K3774" t="s">
        <v>11446</v>
      </c>
      <c r="L3774" t="s">
        <v>13337</v>
      </c>
      <c r="M3774" t="s">
        <v>14744</v>
      </c>
      <c r="N3774" t="s">
        <v>14781</v>
      </c>
      <c r="P3774" t="s">
        <v>14803</v>
      </c>
      <c r="Q3774" t="s">
        <v>11448</v>
      </c>
      <c r="S3774" t="s">
        <v>14827</v>
      </c>
      <c r="T3774" t="s">
        <v>14832</v>
      </c>
      <c r="V3774">
        <v>511.81</v>
      </c>
      <c r="W3774" t="s">
        <v>14860</v>
      </c>
      <c r="X3774" t="s">
        <v>14865</v>
      </c>
      <c r="Z3774" t="s">
        <v>18025</v>
      </c>
      <c r="AA3774" t="s">
        <v>19800</v>
      </c>
      <c r="AB3774" t="s">
        <v>23120</v>
      </c>
      <c r="AC3774">
        <v>0</v>
      </c>
      <c r="AD3774" t="s">
        <v>24599</v>
      </c>
      <c r="AE3774" t="s">
        <v>14755</v>
      </c>
      <c r="AF3774">
        <v>57</v>
      </c>
      <c r="AG3774">
        <v>2</v>
      </c>
      <c r="AH3774">
        <v>0</v>
      </c>
      <c r="AI3774">
        <v>67.17</v>
      </c>
      <c r="AL3774" t="s">
        <v>5011</v>
      </c>
      <c r="AM3774">
        <v>11358</v>
      </c>
      <c r="AS3774">
        <v>3</v>
      </c>
      <c r="AT3774" t="s">
        <v>491</v>
      </c>
      <c r="AU3774" t="s">
        <v>153</v>
      </c>
      <c r="AV3774" t="s">
        <v>25334</v>
      </c>
      <c r="AW3774" t="s">
        <v>11447</v>
      </c>
    </row>
    <row r="3775" spans="1:49">
      <c r="A3775" s="1">
        <f>HYPERLINK("https://lsnyc.legalserver.org/matter/dynamic-profile/view/1905335","19-1905335")</f>
        <v>0</v>
      </c>
      <c r="B3775" t="s">
        <v>188</v>
      </c>
      <c r="C3775" t="s">
        <v>520</v>
      </c>
      <c r="E3775" t="s">
        <v>2918</v>
      </c>
      <c r="F3775" t="s">
        <v>5547</v>
      </c>
      <c r="G3775" t="s">
        <v>9137</v>
      </c>
      <c r="H3775">
        <v>1</v>
      </c>
      <c r="I3775" t="s">
        <v>11386</v>
      </c>
      <c r="J3775">
        <v>10031</v>
      </c>
      <c r="K3775" t="s">
        <v>11448</v>
      </c>
      <c r="L3775" t="s">
        <v>13338</v>
      </c>
      <c r="N3775" t="s">
        <v>14784</v>
      </c>
      <c r="P3775" t="s">
        <v>14803</v>
      </c>
      <c r="Q3775" t="s">
        <v>11448</v>
      </c>
      <c r="S3775" t="s">
        <v>14827</v>
      </c>
      <c r="V3775">
        <v>300</v>
      </c>
      <c r="W3775" t="s">
        <v>14860</v>
      </c>
      <c r="X3775" t="s">
        <v>14868</v>
      </c>
      <c r="Z3775" t="s">
        <v>18026</v>
      </c>
      <c r="AB3775" t="s">
        <v>19344</v>
      </c>
      <c r="AC3775">
        <v>0</v>
      </c>
      <c r="AD3775" t="s">
        <v>11479</v>
      </c>
      <c r="AE3775" t="s">
        <v>11459</v>
      </c>
      <c r="AF3775">
        <v>30</v>
      </c>
      <c r="AG3775">
        <v>1</v>
      </c>
      <c r="AH3775">
        <v>0</v>
      </c>
      <c r="AI3775">
        <v>72.06</v>
      </c>
      <c r="AL3775" t="s">
        <v>5011</v>
      </c>
      <c r="AM3775">
        <v>9000</v>
      </c>
      <c r="AS3775">
        <v>23.5</v>
      </c>
      <c r="AT3775" t="s">
        <v>509</v>
      </c>
      <c r="AU3775" t="s">
        <v>153</v>
      </c>
      <c r="AW3775" t="s">
        <v>11447</v>
      </c>
    </row>
    <row r="3776" spans="1:49">
      <c r="A3776" s="1">
        <f>HYPERLINK("https://lsnyc.legalserver.org/matter/dynamic-profile/view/1881384","18-1881384")</f>
        <v>0</v>
      </c>
      <c r="B3776" t="s">
        <v>223</v>
      </c>
      <c r="C3776" t="s">
        <v>812</v>
      </c>
      <c r="E3776" t="s">
        <v>2919</v>
      </c>
      <c r="F3776" t="s">
        <v>5548</v>
      </c>
      <c r="G3776" t="s">
        <v>9138</v>
      </c>
      <c r="I3776" t="s">
        <v>11386</v>
      </c>
      <c r="J3776">
        <v>10027</v>
      </c>
      <c r="K3776" t="s">
        <v>11447</v>
      </c>
      <c r="L3776" t="s">
        <v>13339</v>
      </c>
      <c r="M3776" t="s">
        <v>14744</v>
      </c>
      <c r="N3776" t="s">
        <v>14781</v>
      </c>
      <c r="P3776" t="s">
        <v>14803</v>
      </c>
      <c r="Q3776" t="s">
        <v>11448</v>
      </c>
      <c r="S3776" t="s">
        <v>14827</v>
      </c>
      <c r="V3776">
        <v>634</v>
      </c>
      <c r="W3776" t="s">
        <v>14860</v>
      </c>
      <c r="Z3776" t="s">
        <v>18027</v>
      </c>
      <c r="AB3776" t="s">
        <v>23121</v>
      </c>
      <c r="AC3776">
        <v>32</v>
      </c>
      <c r="AE3776" t="s">
        <v>14755</v>
      </c>
      <c r="AF3776">
        <v>0</v>
      </c>
      <c r="AG3776">
        <v>2</v>
      </c>
      <c r="AH3776">
        <v>1</v>
      </c>
      <c r="AI3776">
        <v>73.56999999999999</v>
      </c>
      <c r="AL3776" t="s">
        <v>14755</v>
      </c>
      <c r="AM3776">
        <v>15288</v>
      </c>
      <c r="AS3776">
        <v>39.25</v>
      </c>
      <c r="AT3776" t="s">
        <v>547</v>
      </c>
      <c r="AU3776" t="s">
        <v>25282</v>
      </c>
      <c r="AW3776" t="s">
        <v>11447</v>
      </c>
    </row>
    <row r="3777" spans="1:49">
      <c r="A3777" s="1">
        <f>HYPERLINK("https://lsnyc.legalserver.org/matter/dynamic-profile/view/1904482","19-1904482")</f>
        <v>0</v>
      </c>
      <c r="B3777" t="s">
        <v>314</v>
      </c>
      <c r="C3777" t="s">
        <v>493</v>
      </c>
      <c r="E3777" t="s">
        <v>1043</v>
      </c>
      <c r="F3777" t="s">
        <v>3579</v>
      </c>
      <c r="G3777" t="s">
        <v>9139</v>
      </c>
      <c r="H3777" t="s">
        <v>10552</v>
      </c>
      <c r="I3777" t="s">
        <v>11386</v>
      </c>
      <c r="J3777">
        <v>10002</v>
      </c>
      <c r="K3777" t="s">
        <v>11447</v>
      </c>
      <c r="M3777" t="s">
        <v>14746</v>
      </c>
      <c r="N3777" t="s">
        <v>14782</v>
      </c>
      <c r="P3777" t="s">
        <v>14803</v>
      </c>
      <c r="Q3777" t="s">
        <v>11448</v>
      </c>
      <c r="S3777" t="s">
        <v>14828</v>
      </c>
      <c r="V3777">
        <v>197.3</v>
      </c>
      <c r="W3777" t="s">
        <v>14860</v>
      </c>
      <c r="X3777" t="s">
        <v>14864</v>
      </c>
      <c r="Z3777" t="s">
        <v>18028</v>
      </c>
      <c r="AB3777" t="s">
        <v>23122</v>
      </c>
      <c r="AC3777">
        <v>2391</v>
      </c>
      <c r="AF3777">
        <v>51</v>
      </c>
      <c r="AG3777">
        <v>1</v>
      </c>
      <c r="AH3777">
        <v>0</v>
      </c>
      <c r="AI3777">
        <v>74.08</v>
      </c>
      <c r="AL3777" t="s">
        <v>24632</v>
      </c>
      <c r="AM3777">
        <v>9252</v>
      </c>
      <c r="AS3777">
        <v>1.75</v>
      </c>
      <c r="AT3777" t="s">
        <v>465</v>
      </c>
      <c r="AU3777" t="s">
        <v>25279</v>
      </c>
      <c r="AW3777" t="s">
        <v>11447</v>
      </c>
    </row>
    <row r="3778" spans="1:49">
      <c r="A3778" s="1">
        <f>HYPERLINK("https://lsnyc.legalserver.org/matter/dynamic-profile/view/1909776","19-1909776")</f>
        <v>0</v>
      </c>
      <c r="B3778" t="s">
        <v>215</v>
      </c>
      <c r="C3778" t="s">
        <v>519</v>
      </c>
      <c r="E3778" t="s">
        <v>1579</v>
      </c>
      <c r="F3778" t="s">
        <v>3974</v>
      </c>
      <c r="G3778" t="s">
        <v>9047</v>
      </c>
      <c r="H3778" t="s">
        <v>10906</v>
      </c>
      <c r="I3778" t="s">
        <v>11386</v>
      </c>
      <c r="J3778">
        <v>10038</v>
      </c>
      <c r="K3778" t="s">
        <v>11447</v>
      </c>
      <c r="L3778" t="s">
        <v>13340</v>
      </c>
      <c r="M3778" t="s">
        <v>14750</v>
      </c>
      <c r="N3778" t="s">
        <v>14783</v>
      </c>
      <c r="P3778" t="s">
        <v>14803</v>
      </c>
      <c r="Q3778" t="s">
        <v>11448</v>
      </c>
      <c r="S3778" t="s">
        <v>14828</v>
      </c>
      <c r="V3778">
        <v>0</v>
      </c>
      <c r="W3778" t="s">
        <v>14860</v>
      </c>
      <c r="Z3778" t="s">
        <v>16824</v>
      </c>
      <c r="AC3778">
        <v>0</v>
      </c>
      <c r="AF3778">
        <v>0</v>
      </c>
      <c r="AG3778">
        <v>1</v>
      </c>
      <c r="AH3778">
        <v>0</v>
      </c>
      <c r="AI3778">
        <v>76.86</v>
      </c>
      <c r="AL3778" t="s">
        <v>5011</v>
      </c>
      <c r="AM3778">
        <v>9600</v>
      </c>
      <c r="AS3778">
        <v>8.800000000000001</v>
      </c>
      <c r="AT3778" t="s">
        <v>551</v>
      </c>
      <c r="AU3778" t="s">
        <v>25286</v>
      </c>
      <c r="AW3778" t="s">
        <v>11447</v>
      </c>
    </row>
    <row r="3779" spans="1:49">
      <c r="A3779" s="1">
        <f>HYPERLINK("https://lsnyc.legalserver.org/matter/dynamic-profile/view/1864360","18-1864360")</f>
        <v>0</v>
      </c>
      <c r="B3779" t="s">
        <v>188</v>
      </c>
      <c r="C3779" t="s">
        <v>570</v>
      </c>
      <c r="E3779" t="s">
        <v>2920</v>
      </c>
      <c r="F3779" t="s">
        <v>5549</v>
      </c>
      <c r="G3779" t="s">
        <v>9140</v>
      </c>
      <c r="H3779" t="s">
        <v>10581</v>
      </c>
      <c r="I3779" t="s">
        <v>11386</v>
      </c>
      <c r="J3779">
        <v>10027</v>
      </c>
      <c r="K3779" t="s">
        <v>11446</v>
      </c>
      <c r="M3779" t="s">
        <v>14749</v>
      </c>
      <c r="N3779" t="s">
        <v>14778</v>
      </c>
      <c r="P3779" t="s">
        <v>14803</v>
      </c>
      <c r="S3779" t="s">
        <v>14827</v>
      </c>
      <c r="V3779">
        <v>950</v>
      </c>
      <c r="W3779" t="s">
        <v>14860</v>
      </c>
      <c r="Z3779" t="s">
        <v>18029</v>
      </c>
      <c r="AC3779">
        <v>0</v>
      </c>
      <c r="AF3779">
        <v>14</v>
      </c>
      <c r="AG3779">
        <v>2</v>
      </c>
      <c r="AH3779">
        <v>0</v>
      </c>
      <c r="AI3779">
        <v>78.98</v>
      </c>
      <c r="AL3779" t="s">
        <v>24632</v>
      </c>
      <c r="AM3779">
        <v>13000</v>
      </c>
      <c r="AS3779">
        <v>5.38</v>
      </c>
      <c r="AT3779" t="s">
        <v>25173</v>
      </c>
      <c r="AU3779" t="s">
        <v>25314</v>
      </c>
      <c r="AV3779" t="s">
        <v>25335</v>
      </c>
      <c r="AW3779" t="s">
        <v>11447</v>
      </c>
    </row>
    <row r="3780" spans="1:49">
      <c r="A3780" s="1">
        <f>HYPERLINK("https://lsnyc.legalserver.org/matter/dynamic-profile/view/0760455","14-0760455")</f>
        <v>0</v>
      </c>
      <c r="B3780" t="s">
        <v>208</v>
      </c>
      <c r="C3780" t="s">
        <v>847</v>
      </c>
      <c r="E3780" t="s">
        <v>2921</v>
      </c>
      <c r="F3780" t="s">
        <v>3815</v>
      </c>
      <c r="G3780" t="s">
        <v>9141</v>
      </c>
      <c r="H3780">
        <v>3</v>
      </c>
      <c r="I3780" t="s">
        <v>11386</v>
      </c>
      <c r="J3780">
        <v>10033</v>
      </c>
      <c r="K3780" t="s">
        <v>11447</v>
      </c>
      <c r="P3780" t="s">
        <v>14803</v>
      </c>
      <c r="S3780" t="s">
        <v>14827</v>
      </c>
      <c r="V3780">
        <v>0</v>
      </c>
      <c r="W3780" t="s">
        <v>14860</v>
      </c>
      <c r="Z3780" t="s">
        <v>18030</v>
      </c>
      <c r="AB3780" t="s">
        <v>23123</v>
      </c>
      <c r="AC3780">
        <v>0</v>
      </c>
      <c r="AF3780">
        <v>0</v>
      </c>
      <c r="AG3780">
        <v>1</v>
      </c>
      <c r="AH3780">
        <v>1</v>
      </c>
      <c r="AI3780">
        <v>80.05</v>
      </c>
      <c r="AL3780" t="s">
        <v>5011</v>
      </c>
      <c r="AM3780">
        <v>12592</v>
      </c>
      <c r="AS3780">
        <v>89.84999999999999</v>
      </c>
      <c r="AT3780" t="s">
        <v>580</v>
      </c>
      <c r="AU3780" t="s">
        <v>25266</v>
      </c>
      <c r="AW3780" t="s">
        <v>11447</v>
      </c>
    </row>
    <row r="3781" spans="1:49">
      <c r="A3781" s="1">
        <f>HYPERLINK("https://lsnyc.legalserver.org/matter/dynamic-profile/view/1872798","18-1872798")</f>
        <v>0</v>
      </c>
      <c r="B3781" t="s">
        <v>208</v>
      </c>
      <c r="C3781" t="s">
        <v>590</v>
      </c>
      <c r="E3781" t="s">
        <v>2922</v>
      </c>
      <c r="F3781" t="s">
        <v>5550</v>
      </c>
      <c r="G3781" t="s">
        <v>9142</v>
      </c>
      <c r="H3781" t="s">
        <v>10569</v>
      </c>
      <c r="I3781" t="s">
        <v>11386</v>
      </c>
      <c r="J3781">
        <v>10032</v>
      </c>
      <c r="K3781" t="s">
        <v>11446</v>
      </c>
      <c r="L3781" t="s">
        <v>13341</v>
      </c>
      <c r="M3781" t="s">
        <v>14743</v>
      </c>
      <c r="N3781" t="s">
        <v>14781</v>
      </c>
      <c r="P3781" t="s">
        <v>14803</v>
      </c>
      <c r="Q3781" t="s">
        <v>11448</v>
      </c>
      <c r="S3781" t="s">
        <v>14827</v>
      </c>
      <c r="V3781">
        <v>420</v>
      </c>
      <c r="W3781" t="s">
        <v>14860</v>
      </c>
      <c r="X3781" t="s">
        <v>14865</v>
      </c>
      <c r="Z3781" t="s">
        <v>18031</v>
      </c>
      <c r="AB3781" t="s">
        <v>23124</v>
      </c>
      <c r="AC3781">
        <v>0</v>
      </c>
      <c r="AD3781" t="s">
        <v>11479</v>
      </c>
      <c r="AE3781" t="s">
        <v>11459</v>
      </c>
      <c r="AF3781">
        <v>18</v>
      </c>
      <c r="AG3781">
        <v>1</v>
      </c>
      <c r="AH3781">
        <v>0</v>
      </c>
      <c r="AI3781">
        <v>81.05</v>
      </c>
      <c r="AM3781">
        <v>9840</v>
      </c>
      <c r="AS3781">
        <v>23.2</v>
      </c>
      <c r="AT3781" t="s">
        <v>529</v>
      </c>
      <c r="AU3781" t="s">
        <v>25280</v>
      </c>
      <c r="AW3781" t="s">
        <v>11447</v>
      </c>
    </row>
    <row r="3782" spans="1:49">
      <c r="A3782" s="1">
        <f>HYPERLINK("https://lsnyc.legalserver.org/matter/dynamic-profile/view/1879585","18-1879585")</f>
        <v>0</v>
      </c>
      <c r="B3782" t="s">
        <v>217</v>
      </c>
      <c r="C3782" t="s">
        <v>815</v>
      </c>
      <c r="E3782" t="s">
        <v>2069</v>
      </c>
      <c r="F3782" t="s">
        <v>3799</v>
      </c>
      <c r="G3782" t="s">
        <v>9143</v>
      </c>
      <c r="H3782" t="s">
        <v>11111</v>
      </c>
      <c r="I3782" t="s">
        <v>11386</v>
      </c>
      <c r="J3782">
        <v>10023</v>
      </c>
      <c r="K3782" t="s">
        <v>11446</v>
      </c>
      <c r="L3782" t="s">
        <v>13342</v>
      </c>
      <c r="M3782" t="s">
        <v>14744</v>
      </c>
      <c r="N3782" t="s">
        <v>14781</v>
      </c>
      <c r="P3782" t="s">
        <v>14803</v>
      </c>
      <c r="S3782" t="s">
        <v>14828</v>
      </c>
      <c r="T3782" t="s">
        <v>14836</v>
      </c>
      <c r="V3782">
        <v>241</v>
      </c>
      <c r="W3782" t="s">
        <v>14860</v>
      </c>
      <c r="X3782" t="s">
        <v>14865</v>
      </c>
      <c r="Z3782" t="s">
        <v>16671</v>
      </c>
      <c r="AB3782" t="s">
        <v>23125</v>
      </c>
      <c r="AC3782">
        <v>0</v>
      </c>
      <c r="AD3782" t="s">
        <v>24597</v>
      </c>
      <c r="AF3782">
        <v>35</v>
      </c>
      <c r="AG3782">
        <v>1</v>
      </c>
      <c r="AH3782">
        <v>0</v>
      </c>
      <c r="AI3782">
        <v>82.73</v>
      </c>
      <c r="AL3782" t="s">
        <v>24632</v>
      </c>
      <c r="AM3782">
        <v>10044</v>
      </c>
      <c r="AS3782">
        <v>31.85</v>
      </c>
      <c r="AT3782" t="s">
        <v>501</v>
      </c>
      <c r="AU3782" t="s">
        <v>153</v>
      </c>
      <c r="AW3782" t="s">
        <v>11446</v>
      </c>
    </row>
    <row r="3783" spans="1:49">
      <c r="A3783" s="1">
        <f>HYPERLINK("https://lsnyc.legalserver.org/matter/dynamic-profile/view/1906324","19-1906324")</f>
        <v>0</v>
      </c>
      <c r="B3783" t="s">
        <v>182</v>
      </c>
      <c r="C3783" t="s">
        <v>355</v>
      </c>
      <c r="E3783" t="s">
        <v>1506</v>
      </c>
      <c r="F3783" t="s">
        <v>5551</v>
      </c>
      <c r="G3783" t="s">
        <v>9144</v>
      </c>
      <c r="H3783" t="s">
        <v>10460</v>
      </c>
      <c r="I3783" t="s">
        <v>11386</v>
      </c>
      <c r="J3783">
        <v>10027</v>
      </c>
      <c r="K3783" t="s">
        <v>11447</v>
      </c>
      <c r="L3783" t="s">
        <v>13343</v>
      </c>
      <c r="M3783" t="s">
        <v>14744</v>
      </c>
      <c r="N3783" t="s">
        <v>14781</v>
      </c>
      <c r="P3783" t="s">
        <v>14803</v>
      </c>
      <c r="Q3783" t="s">
        <v>11448</v>
      </c>
      <c r="S3783" t="s">
        <v>14828</v>
      </c>
      <c r="V3783">
        <v>728.4</v>
      </c>
      <c r="W3783" t="s">
        <v>14860</v>
      </c>
      <c r="X3783" t="s">
        <v>14863</v>
      </c>
      <c r="Z3783" t="s">
        <v>18032</v>
      </c>
      <c r="AB3783" t="s">
        <v>23126</v>
      </c>
      <c r="AC3783">
        <v>10</v>
      </c>
      <c r="AF3783">
        <v>0</v>
      </c>
      <c r="AG3783">
        <v>1</v>
      </c>
      <c r="AH3783">
        <v>2</v>
      </c>
      <c r="AI3783">
        <v>84.39</v>
      </c>
      <c r="AL3783" t="s">
        <v>5011</v>
      </c>
      <c r="AM3783">
        <v>18000</v>
      </c>
      <c r="AS3783">
        <v>13.5</v>
      </c>
      <c r="AT3783" t="s">
        <v>506</v>
      </c>
      <c r="AU3783" t="s">
        <v>25278</v>
      </c>
      <c r="AW3783" t="s">
        <v>11447</v>
      </c>
    </row>
    <row r="3784" spans="1:49">
      <c r="A3784" s="1">
        <f>HYPERLINK("https://lsnyc.legalserver.org/matter/dynamic-profile/view/1843593","17-1843593")</f>
        <v>0</v>
      </c>
      <c r="B3784" t="s">
        <v>253</v>
      </c>
      <c r="C3784" t="s">
        <v>679</v>
      </c>
      <c r="E3784" t="s">
        <v>2923</v>
      </c>
      <c r="F3784" t="s">
        <v>5552</v>
      </c>
      <c r="G3784" t="s">
        <v>9145</v>
      </c>
      <c r="H3784" t="s">
        <v>11183</v>
      </c>
      <c r="I3784" t="s">
        <v>11386</v>
      </c>
      <c r="J3784">
        <v>10036</v>
      </c>
      <c r="K3784" t="s">
        <v>11447</v>
      </c>
      <c r="L3784" t="s">
        <v>13344</v>
      </c>
      <c r="M3784" t="s">
        <v>14743</v>
      </c>
      <c r="N3784" t="s">
        <v>14781</v>
      </c>
      <c r="P3784" t="s">
        <v>14803</v>
      </c>
      <c r="S3784" t="s">
        <v>14827</v>
      </c>
      <c r="V3784">
        <v>895</v>
      </c>
      <c r="W3784" t="s">
        <v>14860</v>
      </c>
      <c r="X3784" t="s">
        <v>14865</v>
      </c>
      <c r="Z3784" t="s">
        <v>18033</v>
      </c>
      <c r="AA3784" t="s">
        <v>19801</v>
      </c>
      <c r="AB3784" t="s">
        <v>23127</v>
      </c>
      <c r="AC3784">
        <v>0</v>
      </c>
      <c r="AD3784" t="s">
        <v>24595</v>
      </c>
      <c r="AE3784" t="s">
        <v>24617</v>
      </c>
      <c r="AF3784">
        <v>1</v>
      </c>
      <c r="AG3784">
        <v>1</v>
      </c>
      <c r="AH3784">
        <v>0</v>
      </c>
      <c r="AI3784">
        <v>86.06999999999999</v>
      </c>
      <c r="AM3784">
        <v>10380</v>
      </c>
      <c r="AS3784">
        <v>248.45</v>
      </c>
      <c r="AT3784" t="s">
        <v>683</v>
      </c>
      <c r="AU3784" t="s">
        <v>153</v>
      </c>
      <c r="AW3784" t="s">
        <v>11447</v>
      </c>
    </row>
    <row r="3785" spans="1:49">
      <c r="A3785" s="1">
        <f>HYPERLINK("https://lsnyc.legalserver.org/matter/dynamic-profile/view/0744571","13-0744571")</f>
        <v>0</v>
      </c>
      <c r="B3785" t="s">
        <v>206</v>
      </c>
      <c r="C3785" t="s">
        <v>848</v>
      </c>
      <c r="E3785" t="s">
        <v>2102</v>
      </c>
      <c r="F3785" t="s">
        <v>4305</v>
      </c>
      <c r="G3785" t="s">
        <v>7679</v>
      </c>
      <c r="H3785" t="s">
        <v>10481</v>
      </c>
      <c r="I3785" t="s">
        <v>11428</v>
      </c>
      <c r="J3785">
        <v>10030</v>
      </c>
      <c r="K3785" t="s">
        <v>11447</v>
      </c>
      <c r="P3785" t="s">
        <v>14803</v>
      </c>
      <c r="S3785" t="s">
        <v>14827</v>
      </c>
      <c r="V3785">
        <v>0</v>
      </c>
      <c r="W3785" t="s">
        <v>14860</v>
      </c>
      <c r="Z3785" t="s">
        <v>16544</v>
      </c>
      <c r="AB3785" t="s">
        <v>21583</v>
      </c>
      <c r="AC3785">
        <v>0</v>
      </c>
      <c r="AF3785">
        <v>0</v>
      </c>
      <c r="AG3785">
        <v>2</v>
      </c>
      <c r="AH3785">
        <v>2</v>
      </c>
      <c r="AI3785">
        <v>90.06</v>
      </c>
      <c r="AL3785" t="s">
        <v>5011</v>
      </c>
      <c r="AM3785">
        <v>21208</v>
      </c>
      <c r="AS3785">
        <v>74.34999999999999</v>
      </c>
      <c r="AT3785" t="s">
        <v>830</v>
      </c>
      <c r="AU3785" t="s">
        <v>25266</v>
      </c>
      <c r="AW3785" t="s">
        <v>11447</v>
      </c>
    </row>
    <row r="3786" spans="1:49">
      <c r="A3786" s="1">
        <f>HYPERLINK("https://lsnyc.legalserver.org/matter/dynamic-profile/view/3002627","M11E-63002627")</f>
        <v>0</v>
      </c>
      <c r="B3786" t="s">
        <v>247</v>
      </c>
      <c r="C3786" t="s">
        <v>849</v>
      </c>
      <c r="E3786" t="s">
        <v>2924</v>
      </c>
      <c r="F3786" t="s">
        <v>3662</v>
      </c>
      <c r="G3786" t="s">
        <v>9146</v>
      </c>
      <c r="I3786" t="s">
        <v>11386</v>
      </c>
      <c r="J3786">
        <v>10031</v>
      </c>
      <c r="K3786" t="s">
        <v>11447</v>
      </c>
      <c r="N3786" t="s">
        <v>14781</v>
      </c>
      <c r="P3786" t="s">
        <v>14803</v>
      </c>
      <c r="S3786" t="s">
        <v>14827</v>
      </c>
      <c r="V3786">
        <v>0</v>
      </c>
      <c r="W3786" t="s">
        <v>14860</v>
      </c>
      <c r="Y3786" t="s">
        <v>14896</v>
      </c>
      <c r="Z3786" t="s">
        <v>18034</v>
      </c>
      <c r="AC3786">
        <v>0</v>
      </c>
      <c r="AF3786">
        <v>0</v>
      </c>
      <c r="AG3786">
        <v>1</v>
      </c>
      <c r="AH3786">
        <v>0</v>
      </c>
      <c r="AI3786">
        <v>91.31999999999999</v>
      </c>
      <c r="AL3786" t="s">
        <v>24632</v>
      </c>
      <c r="AM3786">
        <v>9132</v>
      </c>
      <c r="AS3786">
        <v>2.55</v>
      </c>
      <c r="AT3786" t="s">
        <v>521</v>
      </c>
      <c r="AU3786" t="s">
        <v>118</v>
      </c>
      <c r="AW3786" t="s">
        <v>11447</v>
      </c>
    </row>
    <row r="3787" spans="1:49">
      <c r="A3787" s="1">
        <f>HYPERLINK("https://lsnyc.legalserver.org/matter/dynamic-profile/view/1867613","18-1867613")</f>
        <v>0</v>
      </c>
      <c r="B3787" t="s">
        <v>208</v>
      </c>
      <c r="C3787" t="s">
        <v>850</v>
      </c>
      <c r="E3787" t="s">
        <v>2008</v>
      </c>
      <c r="F3787" t="s">
        <v>5553</v>
      </c>
      <c r="G3787" t="s">
        <v>9147</v>
      </c>
      <c r="H3787" t="s">
        <v>10471</v>
      </c>
      <c r="I3787" t="s">
        <v>11386</v>
      </c>
      <c r="J3787">
        <v>10032</v>
      </c>
      <c r="K3787" t="s">
        <v>11446</v>
      </c>
      <c r="L3787" t="s">
        <v>13345</v>
      </c>
      <c r="M3787" t="s">
        <v>14743</v>
      </c>
      <c r="N3787" t="s">
        <v>14778</v>
      </c>
      <c r="P3787" t="s">
        <v>14803</v>
      </c>
      <c r="Q3787" t="s">
        <v>11448</v>
      </c>
      <c r="S3787" t="s">
        <v>14827</v>
      </c>
      <c r="V3787">
        <v>680</v>
      </c>
      <c r="W3787" t="s">
        <v>14860</v>
      </c>
      <c r="X3787" t="s">
        <v>14867</v>
      </c>
      <c r="Z3787" t="s">
        <v>18035</v>
      </c>
      <c r="AB3787" t="s">
        <v>23128</v>
      </c>
      <c r="AC3787">
        <v>45</v>
      </c>
      <c r="AD3787" t="s">
        <v>24595</v>
      </c>
      <c r="AE3787" t="s">
        <v>11459</v>
      </c>
      <c r="AF3787">
        <v>20</v>
      </c>
      <c r="AG3787">
        <v>2</v>
      </c>
      <c r="AH3787">
        <v>0</v>
      </c>
      <c r="AI3787">
        <v>94.78</v>
      </c>
      <c r="AL3787" t="s">
        <v>24632</v>
      </c>
      <c r="AM3787">
        <v>15600</v>
      </c>
      <c r="AS3787">
        <v>1.9</v>
      </c>
      <c r="AT3787" t="s">
        <v>25174</v>
      </c>
      <c r="AU3787" t="s">
        <v>25280</v>
      </c>
      <c r="AW3787" t="s">
        <v>11447</v>
      </c>
    </row>
    <row r="3788" spans="1:49">
      <c r="A3788" s="1">
        <f>HYPERLINK("https://lsnyc.legalserver.org/matter/dynamic-profile/view/1873578","18-1873578")</f>
        <v>0</v>
      </c>
      <c r="B3788" t="s">
        <v>208</v>
      </c>
      <c r="C3788" t="s">
        <v>851</v>
      </c>
      <c r="E3788" t="s">
        <v>1032</v>
      </c>
      <c r="F3788" t="s">
        <v>3709</v>
      </c>
      <c r="G3788" t="s">
        <v>9148</v>
      </c>
      <c r="H3788" t="s">
        <v>10476</v>
      </c>
      <c r="I3788" t="s">
        <v>11386</v>
      </c>
      <c r="J3788">
        <v>10030</v>
      </c>
      <c r="K3788" t="s">
        <v>11446</v>
      </c>
      <c r="L3788" t="s">
        <v>13346</v>
      </c>
      <c r="M3788" t="s">
        <v>14744</v>
      </c>
      <c r="N3788" t="s">
        <v>14782</v>
      </c>
      <c r="P3788" t="s">
        <v>14803</v>
      </c>
      <c r="Q3788" t="s">
        <v>11448</v>
      </c>
      <c r="S3788" t="s">
        <v>14830</v>
      </c>
      <c r="V3788">
        <v>747</v>
      </c>
      <c r="W3788" t="s">
        <v>14860</v>
      </c>
      <c r="X3788" t="s">
        <v>14865</v>
      </c>
      <c r="Z3788" t="s">
        <v>18020</v>
      </c>
      <c r="AB3788" t="s">
        <v>23129</v>
      </c>
      <c r="AC3788">
        <v>15</v>
      </c>
      <c r="AD3788" t="s">
        <v>24605</v>
      </c>
      <c r="AE3788" t="s">
        <v>24610</v>
      </c>
      <c r="AF3788">
        <v>8</v>
      </c>
      <c r="AG3788">
        <v>2</v>
      </c>
      <c r="AH3788">
        <v>0</v>
      </c>
      <c r="AI3788">
        <v>95.09</v>
      </c>
      <c r="AL3788" t="s">
        <v>5011</v>
      </c>
      <c r="AM3788">
        <v>15652</v>
      </c>
      <c r="AS3788">
        <v>0.2</v>
      </c>
      <c r="AT3788" t="s">
        <v>383</v>
      </c>
      <c r="AU3788" t="s">
        <v>153</v>
      </c>
      <c r="AV3788" t="s">
        <v>25335</v>
      </c>
      <c r="AW3788" t="s">
        <v>11447</v>
      </c>
    </row>
    <row r="3789" spans="1:49">
      <c r="A3789" s="1">
        <f>HYPERLINK("https://lsnyc.legalserver.org/matter/dynamic-profile/view/0774747","15-0774747")</f>
        <v>0</v>
      </c>
      <c r="B3789" t="s">
        <v>208</v>
      </c>
      <c r="C3789" t="s">
        <v>852</v>
      </c>
      <c r="E3789" t="s">
        <v>2925</v>
      </c>
      <c r="F3789" t="s">
        <v>1395</v>
      </c>
      <c r="G3789" t="s">
        <v>9149</v>
      </c>
      <c r="H3789" t="s">
        <v>10484</v>
      </c>
      <c r="I3789" t="s">
        <v>11386</v>
      </c>
      <c r="J3789">
        <v>10031</v>
      </c>
      <c r="K3789" t="s">
        <v>11447</v>
      </c>
      <c r="N3789" t="s">
        <v>14781</v>
      </c>
      <c r="P3789" t="s">
        <v>14803</v>
      </c>
      <c r="S3789" t="s">
        <v>14827</v>
      </c>
      <c r="V3789">
        <v>0</v>
      </c>
      <c r="W3789" t="s">
        <v>14860</v>
      </c>
      <c r="Z3789" t="s">
        <v>18036</v>
      </c>
      <c r="AB3789" t="s">
        <v>23130</v>
      </c>
      <c r="AC3789">
        <v>0</v>
      </c>
      <c r="AF3789">
        <v>0</v>
      </c>
      <c r="AG3789">
        <v>3</v>
      </c>
      <c r="AH3789">
        <v>1</v>
      </c>
      <c r="AI3789">
        <v>100.32</v>
      </c>
      <c r="AL3789" t="s">
        <v>5011</v>
      </c>
      <c r="AM3789">
        <v>24328</v>
      </c>
      <c r="AS3789">
        <v>13.65</v>
      </c>
      <c r="AT3789" t="s">
        <v>502</v>
      </c>
      <c r="AU3789" t="s">
        <v>25266</v>
      </c>
      <c r="AW3789" t="s">
        <v>11447</v>
      </c>
    </row>
    <row r="3790" spans="1:49">
      <c r="A3790" s="1">
        <f>HYPERLINK("https://lsnyc.legalserver.org/matter/dynamic-profile/view/1910237","19-1910237")</f>
        <v>0</v>
      </c>
      <c r="B3790" t="s">
        <v>182</v>
      </c>
      <c r="C3790" t="s">
        <v>528</v>
      </c>
      <c r="E3790" t="s">
        <v>2926</v>
      </c>
      <c r="F3790" t="s">
        <v>5554</v>
      </c>
      <c r="G3790" t="s">
        <v>9150</v>
      </c>
      <c r="H3790" t="s">
        <v>10627</v>
      </c>
      <c r="I3790" t="s">
        <v>11386</v>
      </c>
      <c r="J3790">
        <v>10029</v>
      </c>
      <c r="K3790" t="s">
        <v>11446</v>
      </c>
      <c r="L3790" t="s">
        <v>13347</v>
      </c>
      <c r="M3790" t="s">
        <v>14743</v>
      </c>
      <c r="N3790" t="s">
        <v>14782</v>
      </c>
      <c r="P3790" t="s">
        <v>14803</v>
      </c>
      <c r="Q3790" t="s">
        <v>11448</v>
      </c>
      <c r="S3790" t="s">
        <v>14828</v>
      </c>
      <c r="T3790" t="s">
        <v>14832</v>
      </c>
      <c r="V3790">
        <v>248.6</v>
      </c>
      <c r="W3790" t="s">
        <v>14860</v>
      </c>
      <c r="X3790" t="s">
        <v>14863</v>
      </c>
      <c r="Z3790" t="s">
        <v>18037</v>
      </c>
      <c r="AB3790" t="s">
        <v>23131</v>
      </c>
      <c r="AC3790">
        <v>98</v>
      </c>
      <c r="AD3790" t="s">
        <v>24597</v>
      </c>
      <c r="AE3790" t="s">
        <v>11459</v>
      </c>
      <c r="AF3790">
        <v>0</v>
      </c>
      <c r="AG3790">
        <v>1</v>
      </c>
      <c r="AH3790">
        <v>0</v>
      </c>
      <c r="AI3790">
        <v>101.04</v>
      </c>
      <c r="AL3790" t="s">
        <v>24632</v>
      </c>
      <c r="AM3790">
        <v>12620.52</v>
      </c>
      <c r="AS3790">
        <v>0.5</v>
      </c>
      <c r="AT3790" t="s">
        <v>528</v>
      </c>
      <c r="AU3790" t="s">
        <v>153</v>
      </c>
      <c r="AV3790" t="s">
        <v>25335</v>
      </c>
      <c r="AW3790" t="s">
        <v>11447</v>
      </c>
    </row>
    <row r="3791" spans="1:49">
      <c r="A3791" s="1">
        <f>HYPERLINK("https://lsnyc.legalserver.org/matter/dynamic-profile/view/1847092","17-1847092")</f>
        <v>0</v>
      </c>
      <c r="B3791" t="s">
        <v>188</v>
      </c>
      <c r="C3791" t="s">
        <v>853</v>
      </c>
      <c r="E3791" t="s">
        <v>2927</v>
      </c>
      <c r="F3791" t="s">
        <v>3706</v>
      </c>
      <c r="G3791" t="s">
        <v>9140</v>
      </c>
      <c r="H3791" t="s">
        <v>10481</v>
      </c>
      <c r="I3791" t="s">
        <v>11386</v>
      </c>
      <c r="J3791">
        <v>10027</v>
      </c>
      <c r="K3791" t="s">
        <v>11447</v>
      </c>
      <c r="L3791" t="s">
        <v>13348</v>
      </c>
      <c r="M3791" t="s">
        <v>14749</v>
      </c>
      <c r="N3791" t="s">
        <v>14781</v>
      </c>
      <c r="P3791" t="s">
        <v>14803</v>
      </c>
      <c r="Q3791" t="s">
        <v>11446</v>
      </c>
      <c r="S3791" t="s">
        <v>14827</v>
      </c>
      <c r="V3791">
        <v>0</v>
      </c>
      <c r="W3791" t="s">
        <v>14860</v>
      </c>
      <c r="Z3791" t="s">
        <v>15404</v>
      </c>
      <c r="AC3791">
        <v>0</v>
      </c>
      <c r="AF3791">
        <v>2</v>
      </c>
      <c r="AG3791">
        <v>2</v>
      </c>
      <c r="AH3791">
        <v>2</v>
      </c>
      <c r="AI3791">
        <v>101.46</v>
      </c>
      <c r="AL3791" t="s">
        <v>5011</v>
      </c>
      <c r="AM3791">
        <v>24960</v>
      </c>
      <c r="AS3791">
        <v>5.4</v>
      </c>
      <c r="AT3791" t="s">
        <v>585</v>
      </c>
      <c r="AU3791" t="s">
        <v>25314</v>
      </c>
      <c r="AW3791" t="s">
        <v>11447</v>
      </c>
    </row>
    <row r="3792" spans="1:49">
      <c r="A3792" s="1">
        <f>HYPERLINK("https://lsnyc.legalserver.org/matter/dynamic-profile/view/0818947","16-0818947")</f>
        <v>0</v>
      </c>
      <c r="B3792" t="s">
        <v>247</v>
      </c>
      <c r="C3792" t="s">
        <v>854</v>
      </c>
      <c r="E3792" t="s">
        <v>2928</v>
      </c>
      <c r="F3792" t="s">
        <v>5555</v>
      </c>
      <c r="G3792" t="s">
        <v>9151</v>
      </c>
      <c r="H3792" t="s">
        <v>10497</v>
      </c>
      <c r="I3792" t="s">
        <v>11386</v>
      </c>
      <c r="J3792">
        <v>10014</v>
      </c>
      <c r="K3792" t="s">
        <v>11447</v>
      </c>
      <c r="L3792" t="s">
        <v>13349</v>
      </c>
      <c r="M3792" t="s">
        <v>14743</v>
      </c>
      <c r="N3792" t="s">
        <v>14781</v>
      </c>
      <c r="P3792" t="s">
        <v>14803</v>
      </c>
      <c r="S3792" t="s">
        <v>14827</v>
      </c>
      <c r="V3792">
        <v>834</v>
      </c>
      <c r="W3792" t="s">
        <v>14860</v>
      </c>
      <c r="X3792" t="s">
        <v>14865</v>
      </c>
      <c r="Z3792" t="s">
        <v>18038</v>
      </c>
      <c r="AB3792" t="s">
        <v>23132</v>
      </c>
      <c r="AC3792">
        <v>0</v>
      </c>
      <c r="AD3792" t="s">
        <v>24595</v>
      </c>
      <c r="AF3792">
        <v>47</v>
      </c>
      <c r="AG3792">
        <v>1</v>
      </c>
      <c r="AH3792">
        <v>0</v>
      </c>
      <c r="AI3792">
        <v>102.22</v>
      </c>
      <c r="AL3792" t="s">
        <v>5011</v>
      </c>
      <c r="AM3792">
        <v>12144</v>
      </c>
      <c r="AS3792">
        <v>237.1</v>
      </c>
      <c r="AT3792" t="s">
        <v>521</v>
      </c>
      <c r="AU3792" t="s">
        <v>25286</v>
      </c>
      <c r="AW3792" t="s">
        <v>11447</v>
      </c>
    </row>
    <row r="3793" spans="1:49">
      <c r="A3793" s="1">
        <f>HYPERLINK("https://lsnyc.legalserver.org/matter/dynamic-profile/view/0808160","16-0808160")</f>
        <v>0</v>
      </c>
      <c r="B3793" t="s">
        <v>242</v>
      </c>
      <c r="C3793" t="s">
        <v>855</v>
      </c>
      <c r="E3793" t="s">
        <v>2929</v>
      </c>
      <c r="F3793" t="s">
        <v>3758</v>
      </c>
      <c r="G3793" t="s">
        <v>9152</v>
      </c>
      <c r="H3793">
        <v>22</v>
      </c>
      <c r="I3793" t="s">
        <v>11386</v>
      </c>
      <c r="J3793">
        <v>10031</v>
      </c>
      <c r="K3793" t="s">
        <v>11447</v>
      </c>
      <c r="L3793" t="s">
        <v>13350</v>
      </c>
      <c r="N3793" t="s">
        <v>14781</v>
      </c>
      <c r="P3793" t="s">
        <v>14803</v>
      </c>
      <c r="Q3793" t="s">
        <v>11448</v>
      </c>
      <c r="S3793" t="s">
        <v>14827</v>
      </c>
      <c r="V3793">
        <v>0</v>
      </c>
      <c r="W3793" t="s">
        <v>14860</v>
      </c>
      <c r="Z3793" t="s">
        <v>18039</v>
      </c>
      <c r="AB3793" t="s">
        <v>23133</v>
      </c>
      <c r="AC3793">
        <v>30</v>
      </c>
      <c r="AF3793">
        <v>64</v>
      </c>
      <c r="AG3793">
        <v>1</v>
      </c>
      <c r="AH3793">
        <v>0</v>
      </c>
      <c r="AI3793">
        <v>103.03</v>
      </c>
      <c r="AL3793" t="s">
        <v>5011</v>
      </c>
      <c r="AM3793">
        <v>12240</v>
      </c>
      <c r="AS3793">
        <v>6.55</v>
      </c>
      <c r="AT3793" t="s">
        <v>622</v>
      </c>
      <c r="AU3793" t="s">
        <v>25278</v>
      </c>
      <c r="AW3793" t="s">
        <v>11447</v>
      </c>
    </row>
    <row r="3794" spans="1:49">
      <c r="A3794" s="1">
        <f>HYPERLINK("https://lsnyc.legalserver.org/matter/dynamic-profile/view/0750632","14-0750632")</f>
        <v>0</v>
      </c>
      <c r="B3794" t="s">
        <v>207</v>
      </c>
      <c r="C3794" t="s">
        <v>856</v>
      </c>
      <c r="E3794" t="s">
        <v>2930</v>
      </c>
      <c r="F3794" t="s">
        <v>3562</v>
      </c>
      <c r="G3794" t="s">
        <v>9153</v>
      </c>
      <c r="H3794">
        <v>8</v>
      </c>
      <c r="I3794" t="s">
        <v>11386</v>
      </c>
      <c r="J3794">
        <v>10002</v>
      </c>
      <c r="K3794" t="s">
        <v>11447</v>
      </c>
      <c r="L3794" t="s">
        <v>13351</v>
      </c>
      <c r="M3794" t="s">
        <v>14743</v>
      </c>
      <c r="N3794" t="s">
        <v>14781</v>
      </c>
      <c r="P3794" t="s">
        <v>14803</v>
      </c>
      <c r="S3794" t="s">
        <v>14827</v>
      </c>
      <c r="V3794">
        <v>0</v>
      </c>
      <c r="W3794" t="s">
        <v>14860</v>
      </c>
      <c r="Z3794" t="s">
        <v>18040</v>
      </c>
      <c r="AB3794" t="s">
        <v>23134</v>
      </c>
      <c r="AC3794">
        <v>0</v>
      </c>
      <c r="AF3794">
        <v>0</v>
      </c>
      <c r="AG3794">
        <v>3</v>
      </c>
      <c r="AH3794">
        <v>2</v>
      </c>
      <c r="AI3794">
        <v>103.19</v>
      </c>
      <c r="AL3794" t="s">
        <v>24634</v>
      </c>
      <c r="AM3794">
        <v>28800</v>
      </c>
      <c r="AS3794">
        <v>468.47</v>
      </c>
      <c r="AT3794" t="s">
        <v>589</v>
      </c>
      <c r="AU3794" t="s">
        <v>25266</v>
      </c>
      <c r="AW3794" t="s">
        <v>11447</v>
      </c>
    </row>
    <row r="3795" spans="1:49">
      <c r="A3795" s="1">
        <f>HYPERLINK("https://lsnyc.legalserver.org/matter/dynamic-profile/view/0775293","15-0775293")</f>
        <v>0</v>
      </c>
      <c r="B3795" t="s">
        <v>156</v>
      </c>
      <c r="C3795" t="s">
        <v>857</v>
      </c>
      <c r="E3795" t="s">
        <v>2931</v>
      </c>
      <c r="F3795" t="s">
        <v>4383</v>
      </c>
      <c r="G3795" t="s">
        <v>9154</v>
      </c>
      <c r="H3795" t="s">
        <v>10529</v>
      </c>
      <c r="I3795" t="s">
        <v>11386</v>
      </c>
      <c r="J3795">
        <v>10013</v>
      </c>
      <c r="K3795" t="s">
        <v>11447</v>
      </c>
      <c r="N3795" t="s">
        <v>14781</v>
      </c>
      <c r="P3795" t="s">
        <v>14803</v>
      </c>
      <c r="S3795" t="s">
        <v>14827</v>
      </c>
      <c r="V3795">
        <v>0</v>
      </c>
      <c r="W3795" t="s">
        <v>14860</v>
      </c>
      <c r="Z3795" t="s">
        <v>18041</v>
      </c>
      <c r="AB3795" t="s">
        <v>23135</v>
      </c>
      <c r="AC3795">
        <v>0</v>
      </c>
      <c r="AF3795">
        <v>0</v>
      </c>
      <c r="AG3795">
        <v>2</v>
      </c>
      <c r="AH3795">
        <v>0</v>
      </c>
      <c r="AI3795">
        <v>104.21</v>
      </c>
      <c r="AL3795" t="s">
        <v>5011</v>
      </c>
      <c r="AM3795">
        <v>16600</v>
      </c>
      <c r="AS3795">
        <v>118.1</v>
      </c>
      <c r="AT3795" t="s">
        <v>495</v>
      </c>
      <c r="AU3795" t="s">
        <v>25266</v>
      </c>
      <c r="AW3795" t="s">
        <v>11447</v>
      </c>
    </row>
    <row r="3796" spans="1:49">
      <c r="A3796" s="1">
        <f>HYPERLINK("https://lsnyc.legalserver.org/matter/dynamic-profile/view/1914279","19-1914279")</f>
        <v>0</v>
      </c>
      <c r="B3796" t="s">
        <v>218</v>
      </c>
      <c r="C3796" t="s">
        <v>539</v>
      </c>
      <c r="E3796" t="s">
        <v>2932</v>
      </c>
      <c r="F3796" t="s">
        <v>5556</v>
      </c>
      <c r="G3796" t="s">
        <v>9155</v>
      </c>
      <c r="H3796" t="s">
        <v>10522</v>
      </c>
      <c r="I3796" t="s">
        <v>11386</v>
      </c>
      <c r="J3796">
        <v>10026</v>
      </c>
      <c r="K3796" t="s">
        <v>11448</v>
      </c>
      <c r="M3796" t="s">
        <v>14746</v>
      </c>
      <c r="N3796" t="s">
        <v>14781</v>
      </c>
      <c r="P3796" t="s">
        <v>14803</v>
      </c>
      <c r="Q3796" t="s">
        <v>11448</v>
      </c>
      <c r="S3796" t="s">
        <v>14827</v>
      </c>
      <c r="T3796" t="s">
        <v>14832</v>
      </c>
      <c r="V3796">
        <v>877.45</v>
      </c>
      <c r="W3796" t="s">
        <v>14860</v>
      </c>
      <c r="X3796" t="s">
        <v>14871</v>
      </c>
      <c r="Z3796" t="s">
        <v>18042</v>
      </c>
      <c r="AB3796" t="s">
        <v>23136</v>
      </c>
      <c r="AC3796">
        <v>10</v>
      </c>
      <c r="AD3796" t="s">
        <v>24599</v>
      </c>
      <c r="AF3796">
        <v>20</v>
      </c>
      <c r="AG3796">
        <v>2</v>
      </c>
      <c r="AH3796">
        <v>4</v>
      </c>
      <c r="AI3796">
        <v>107.55</v>
      </c>
      <c r="AL3796" t="s">
        <v>5011</v>
      </c>
      <c r="AM3796">
        <v>37200</v>
      </c>
      <c r="AS3796">
        <v>0.2</v>
      </c>
      <c r="AT3796" t="s">
        <v>592</v>
      </c>
      <c r="AU3796" t="s">
        <v>25286</v>
      </c>
      <c r="AW3796" t="s">
        <v>11447</v>
      </c>
    </row>
    <row r="3797" spans="1:49">
      <c r="A3797" s="1">
        <f>HYPERLINK("https://lsnyc.legalserver.org/matter/dynamic-profile/view/1872639","18-1872639")</f>
        <v>0</v>
      </c>
      <c r="B3797" t="s">
        <v>208</v>
      </c>
      <c r="C3797" t="s">
        <v>785</v>
      </c>
      <c r="E3797" t="s">
        <v>1446</v>
      </c>
      <c r="F3797" t="s">
        <v>4519</v>
      </c>
      <c r="G3797" t="s">
        <v>9120</v>
      </c>
      <c r="H3797">
        <v>61</v>
      </c>
      <c r="I3797" t="s">
        <v>11386</v>
      </c>
      <c r="J3797">
        <v>10031</v>
      </c>
      <c r="K3797" t="s">
        <v>11446</v>
      </c>
      <c r="L3797" t="s">
        <v>13352</v>
      </c>
      <c r="M3797" t="s">
        <v>14744</v>
      </c>
      <c r="N3797" t="s">
        <v>14781</v>
      </c>
      <c r="P3797" t="s">
        <v>14803</v>
      </c>
      <c r="Q3797" t="s">
        <v>11448</v>
      </c>
      <c r="S3797" t="s">
        <v>14827</v>
      </c>
      <c r="V3797">
        <v>1162.86</v>
      </c>
      <c r="W3797" t="s">
        <v>14860</v>
      </c>
      <c r="X3797" t="s">
        <v>14865</v>
      </c>
      <c r="Z3797" t="s">
        <v>18043</v>
      </c>
      <c r="AB3797" t="s">
        <v>23137</v>
      </c>
      <c r="AC3797">
        <v>39</v>
      </c>
      <c r="AD3797" t="s">
        <v>11479</v>
      </c>
      <c r="AE3797" t="s">
        <v>11459</v>
      </c>
      <c r="AF3797">
        <v>28</v>
      </c>
      <c r="AG3797">
        <v>3</v>
      </c>
      <c r="AH3797">
        <v>0</v>
      </c>
      <c r="AI3797">
        <v>111.45</v>
      </c>
      <c r="AM3797">
        <v>23160</v>
      </c>
      <c r="AS3797">
        <v>35.8</v>
      </c>
      <c r="AT3797" t="s">
        <v>485</v>
      </c>
      <c r="AU3797" t="s">
        <v>25280</v>
      </c>
      <c r="AW3797" t="s">
        <v>11447</v>
      </c>
    </row>
    <row r="3798" spans="1:49">
      <c r="A3798" s="1">
        <f>HYPERLINK("https://lsnyc.legalserver.org/matter/dynamic-profile/view/1914751","19-1914751")</f>
        <v>0</v>
      </c>
      <c r="B3798" t="s">
        <v>218</v>
      </c>
      <c r="C3798" t="s">
        <v>592</v>
      </c>
      <c r="E3798" t="s">
        <v>1110</v>
      </c>
      <c r="F3798" t="s">
        <v>3709</v>
      </c>
      <c r="G3798" t="s">
        <v>9156</v>
      </c>
      <c r="H3798">
        <v>1006</v>
      </c>
      <c r="I3798" t="s">
        <v>11386</v>
      </c>
      <c r="J3798">
        <v>10027</v>
      </c>
      <c r="K3798" t="s">
        <v>11447</v>
      </c>
      <c r="M3798" t="s">
        <v>14744</v>
      </c>
      <c r="N3798" t="s">
        <v>14781</v>
      </c>
      <c r="P3798" t="s">
        <v>14803</v>
      </c>
      <c r="S3798" t="s">
        <v>14827</v>
      </c>
      <c r="V3798">
        <v>341.54</v>
      </c>
      <c r="W3798" t="s">
        <v>14860</v>
      </c>
      <c r="X3798" t="s">
        <v>14871</v>
      </c>
      <c r="Z3798" t="s">
        <v>18044</v>
      </c>
      <c r="AB3798" t="s">
        <v>23138</v>
      </c>
      <c r="AC3798">
        <v>60</v>
      </c>
      <c r="AD3798" t="s">
        <v>24595</v>
      </c>
      <c r="AF3798">
        <v>1</v>
      </c>
      <c r="AG3798">
        <v>1</v>
      </c>
      <c r="AH3798">
        <v>0</v>
      </c>
      <c r="AI3798">
        <v>116.57</v>
      </c>
      <c r="AL3798" t="s">
        <v>5011</v>
      </c>
      <c r="AM3798">
        <v>14560</v>
      </c>
      <c r="AS3798">
        <v>0.2</v>
      </c>
      <c r="AT3798" t="s">
        <v>509</v>
      </c>
      <c r="AU3798" t="s">
        <v>25286</v>
      </c>
      <c r="AW3798" t="s">
        <v>11447</v>
      </c>
    </row>
    <row r="3799" spans="1:49">
      <c r="A3799" s="1">
        <f>HYPERLINK("https://lsnyc.legalserver.org/matter/dynamic-profile/view/1899175","19-1899175")</f>
        <v>0</v>
      </c>
      <c r="B3799" t="s">
        <v>315</v>
      </c>
      <c r="C3799" t="s">
        <v>363</v>
      </c>
      <c r="E3799" t="s">
        <v>1672</v>
      </c>
      <c r="F3799" t="s">
        <v>4426</v>
      </c>
      <c r="G3799" t="s">
        <v>9157</v>
      </c>
      <c r="H3799">
        <v>55</v>
      </c>
      <c r="I3799" t="s">
        <v>11386</v>
      </c>
      <c r="J3799">
        <v>10040</v>
      </c>
      <c r="K3799" t="s">
        <v>11447</v>
      </c>
      <c r="L3799" t="s">
        <v>13353</v>
      </c>
      <c r="M3799" t="s">
        <v>14777</v>
      </c>
      <c r="N3799" t="s">
        <v>14781</v>
      </c>
      <c r="P3799" t="s">
        <v>14803</v>
      </c>
      <c r="S3799" t="s">
        <v>14827</v>
      </c>
      <c r="V3799">
        <v>1325</v>
      </c>
      <c r="W3799" t="s">
        <v>14860</v>
      </c>
      <c r="X3799" t="s">
        <v>14868</v>
      </c>
      <c r="Z3799" t="s">
        <v>18045</v>
      </c>
      <c r="AB3799" t="s">
        <v>23139</v>
      </c>
      <c r="AC3799">
        <v>0</v>
      </c>
      <c r="AD3799" t="s">
        <v>24595</v>
      </c>
      <c r="AE3799" t="s">
        <v>11459</v>
      </c>
      <c r="AF3799">
        <v>4</v>
      </c>
      <c r="AG3799">
        <v>1</v>
      </c>
      <c r="AH3799">
        <v>2</v>
      </c>
      <c r="AI3799">
        <v>117.21</v>
      </c>
      <c r="AL3799" t="s">
        <v>24632</v>
      </c>
      <c r="AM3799">
        <v>25000</v>
      </c>
      <c r="AS3799">
        <v>102.1</v>
      </c>
      <c r="AT3799" t="s">
        <v>477</v>
      </c>
      <c r="AU3799" t="s">
        <v>153</v>
      </c>
      <c r="AW3799" t="s">
        <v>11447</v>
      </c>
    </row>
    <row r="3800" spans="1:49">
      <c r="A3800" s="1">
        <f>HYPERLINK("https://lsnyc.legalserver.org/matter/dynamic-profile/view/1890383","19-1890383")</f>
        <v>0</v>
      </c>
      <c r="B3800" t="s">
        <v>223</v>
      </c>
      <c r="C3800" t="s">
        <v>676</v>
      </c>
      <c r="E3800" t="s">
        <v>1753</v>
      </c>
      <c r="F3800" t="s">
        <v>5355</v>
      </c>
      <c r="G3800" t="s">
        <v>9056</v>
      </c>
      <c r="H3800" t="s">
        <v>10451</v>
      </c>
      <c r="I3800" t="s">
        <v>11386</v>
      </c>
      <c r="J3800">
        <v>10029</v>
      </c>
      <c r="K3800" t="s">
        <v>11446</v>
      </c>
      <c r="L3800" t="s">
        <v>13354</v>
      </c>
      <c r="M3800" t="s">
        <v>14743</v>
      </c>
      <c r="N3800" t="s">
        <v>14781</v>
      </c>
      <c r="P3800" t="s">
        <v>14803</v>
      </c>
      <c r="Q3800" t="s">
        <v>11448</v>
      </c>
      <c r="S3800" t="s">
        <v>14827</v>
      </c>
      <c r="T3800" t="s">
        <v>14832</v>
      </c>
      <c r="V3800">
        <v>1547</v>
      </c>
      <c r="W3800" t="s">
        <v>14860</v>
      </c>
      <c r="X3800" t="s">
        <v>14865</v>
      </c>
      <c r="Z3800" t="s">
        <v>18046</v>
      </c>
      <c r="AA3800" t="s">
        <v>19802</v>
      </c>
      <c r="AB3800" t="s">
        <v>23140</v>
      </c>
      <c r="AC3800">
        <v>0</v>
      </c>
      <c r="AD3800" t="s">
        <v>11479</v>
      </c>
      <c r="AE3800" t="s">
        <v>24610</v>
      </c>
      <c r="AF3800">
        <v>8</v>
      </c>
      <c r="AG3800">
        <v>1</v>
      </c>
      <c r="AH3800">
        <v>2</v>
      </c>
      <c r="AI3800">
        <v>118.99</v>
      </c>
      <c r="AL3800" t="s">
        <v>5011</v>
      </c>
      <c r="AM3800">
        <v>25380</v>
      </c>
      <c r="AS3800">
        <v>24.15</v>
      </c>
      <c r="AT3800" t="s">
        <v>586</v>
      </c>
      <c r="AU3800" t="s">
        <v>25276</v>
      </c>
      <c r="AW3800" t="s">
        <v>11446</v>
      </c>
    </row>
    <row r="3801" spans="1:49">
      <c r="A3801" s="1">
        <f>HYPERLINK("https://lsnyc.legalserver.org/matter/dynamic-profile/view/1880815","18-1880815")</f>
        <v>0</v>
      </c>
      <c r="B3801" t="s">
        <v>249</v>
      </c>
      <c r="C3801" t="s">
        <v>820</v>
      </c>
      <c r="E3801" t="s">
        <v>1224</v>
      </c>
      <c r="F3801" t="s">
        <v>4344</v>
      </c>
      <c r="G3801" t="s">
        <v>9158</v>
      </c>
      <c r="H3801" t="s">
        <v>10510</v>
      </c>
      <c r="I3801" t="s">
        <v>11386</v>
      </c>
      <c r="J3801">
        <v>10030</v>
      </c>
      <c r="K3801" t="s">
        <v>11446</v>
      </c>
      <c r="M3801" t="s">
        <v>14744</v>
      </c>
      <c r="P3801" t="s">
        <v>14803</v>
      </c>
      <c r="Q3801" t="s">
        <v>11448</v>
      </c>
      <c r="S3801" t="s">
        <v>14827</v>
      </c>
      <c r="V3801">
        <v>1501</v>
      </c>
      <c r="W3801" t="s">
        <v>14860</v>
      </c>
      <c r="X3801" t="s">
        <v>14865</v>
      </c>
      <c r="Z3801" t="s">
        <v>16423</v>
      </c>
      <c r="AB3801" t="s">
        <v>23141</v>
      </c>
      <c r="AC3801">
        <v>0</v>
      </c>
      <c r="AF3801">
        <v>5</v>
      </c>
      <c r="AG3801">
        <v>2</v>
      </c>
      <c r="AH3801">
        <v>1</v>
      </c>
      <c r="AI3801">
        <v>120.31</v>
      </c>
      <c r="AK3801" t="s">
        <v>24629</v>
      </c>
      <c r="AM3801">
        <v>25000</v>
      </c>
      <c r="AS3801">
        <v>1.3</v>
      </c>
      <c r="AT3801" t="s">
        <v>556</v>
      </c>
      <c r="AU3801" t="s">
        <v>118</v>
      </c>
      <c r="AW3801" t="s">
        <v>11447</v>
      </c>
    </row>
    <row r="3802" spans="1:49">
      <c r="A3802" s="1">
        <f>HYPERLINK("https://lsnyc.legalserver.org/matter/dynamic-profile/view/1881901","18-1881901")</f>
        <v>0</v>
      </c>
      <c r="B3802" t="s">
        <v>207</v>
      </c>
      <c r="C3802" t="s">
        <v>813</v>
      </c>
      <c r="E3802" t="s">
        <v>1399</v>
      </c>
      <c r="F3802" t="s">
        <v>2317</v>
      </c>
      <c r="G3802" t="s">
        <v>9159</v>
      </c>
      <c r="H3802">
        <v>63</v>
      </c>
      <c r="I3802" t="s">
        <v>11386</v>
      </c>
      <c r="J3802">
        <v>10026</v>
      </c>
      <c r="K3802" t="s">
        <v>11447</v>
      </c>
      <c r="M3802" t="s">
        <v>14746</v>
      </c>
      <c r="N3802" t="s">
        <v>14781</v>
      </c>
      <c r="P3802" t="s">
        <v>14803</v>
      </c>
      <c r="S3802" t="s">
        <v>14827</v>
      </c>
      <c r="V3802">
        <v>1645</v>
      </c>
      <c r="W3802" t="s">
        <v>14860</v>
      </c>
      <c r="X3802" t="s">
        <v>14868</v>
      </c>
      <c r="Z3802" t="s">
        <v>15845</v>
      </c>
      <c r="AB3802" t="s">
        <v>23142</v>
      </c>
      <c r="AC3802">
        <v>41</v>
      </c>
      <c r="AD3802" t="s">
        <v>24595</v>
      </c>
      <c r="AE3802" t="s">
        <v>24616</v>
      </c>
      <c r="AF3802">
        <v>18</v>
      </c>
      <c r="AG3802">
        <v>2</v>
      </c>
      <c r="AH3802">
        <v>0</v>
      </c>
      <c r="AI3802">
        <v>124.8</v>
      </c>
      <c r="AL3802" t="s">
        <v>5011</v>
      </c>
      <c r="AM3802">
        <v>20541.6</v>
      </c>
      <c r="AS3802">
        <v>2.5</v>
      </c>
      <c r="AT3802" t="s">
        <v>537</v>
      </c>
      <c r="AU3802" t="s">
        <v>153</v>
      </c>
      <c r="AW3802" t="s">
        <v>11447</v>
      </c>
    </row>
    <row r="3803" spans="1:49">
      <c r="A3803" s="1">
        <f>HYPERLINK("https://lsnyc.legalserver.org/matter/dynamic-profile/view/1908041","19-1908041")</f>
        <v>0</v>
      </c>
      <c r="B3803" t="s">
        <v>223</v>
      </c>
      <c r="C3803" t="s">
        <v>455</v>
      </c>
      <c r="E3803" t="s">
        <v>1404</v>
      </c>
      <c r="F3803" t="s">
        <v>5349</v>
      </c>
      <c r="G3803" t="s">
        <v>9160</v>
      </c>
      <c r="H3803">
        <v>6</v>
      </c>
      <c r="I3803" t="s">
        <v>11386</v>
      </c>
      <c r="J3803">
        <v>10009</v>
      </c>
      <c r="K3803" t="s">
        <v>11446</v>
      </c>
      <c r="L3803" t="s">
        <v>13355</v>
      </c>
      <c r="M3803" t="s">
        <v>14744</v>
      </c>
      <c r="N3803" t="s">
        <v>14778</v>
      </c>
      <c r="P3803" t="s">
        <v>14803</v>
      </c>
      <c r="Q3803" t="s">
        <v>11448</v>
      </c>
      <c r="S3803" t="s">
        <v>14827</v>
      </c>
      <c r="T3803" t="s">
        <v>14837</v>
      </c>
      <c r="V3803">
        <v>0</v>
      </c>
      <c r="W3803" t="s">
        <v>14860</v>
      </c>
      <c r="X3803" t="s">
        <v>14865</v>
      </c>
      <c r="Z3803" t="s">
        <v>18047</v>
      </c>
      <c r="AB3803" t="s">
        <v>23143</v>
      </c>
      <c r="AC3803">
        <v>19</v>
      </c>
      <c r="AD3803" t="s">
        <v>24606</v>
      </c>
      <c r="AE3803" t="s">
        <v>11459</v>
      </c>
      <c r="AF3803">
        <v>30</v>
      </c>
      <c r="AG3803">
        <v>3</v>
      </c>
      <c r="AH3803">
        <v>0</v>
      </c>
      <c r="AI3803">
        <v>129.92</v>
      </c>
      <c r="AL3803" t="s">
        <v>5011</v>
      </c>
      <c r="AM3803">
        <v>27711</v>
      </c>
      <c r="AS3803">
        <v>1</v>
      </c>
      <c r="AT3803" t="s">
        <v>455</v>
      </c>
      <c r="AU3803" t="s">
        <v>153</v>
      </c>
      <c r="AV3803" t="s">
        <v>25335</v>
      </c>
      <c r="AW3803" t="s">
        <v>11447</v>
      </c>
    </row>
    <row r="3804" spans="1:49">
      <c r="A3804" s="1">
        <f>HYPERLINK("https://lsnyc.legalserver.org/matter/dynamic-profile/view/1909363","19-1909363")</f>
        <v>0</v>
      </c>
      <c r="B3804" t="s">
        <v>218</v>
      </c>
      <c r="C3804" t="s">
        <v>589</v>
      </c>
      <c r="E3804" t="s">
        <v>1104</v>
      </c>
      <c r="F3804" t="s">
        <v>4413</v>
      </c>
      <c r="G3804" t="s">
        <v>9161</v>
      </c>
      <c r="H3804">
        <v>38</v>
      </c>
      <c r="I3804" t="s">
        <v>11386</v>
      </c>
      <c r="J3804">
        <v>10030</v>
      </c>
      <c r="K3804" t="s">
        <v>11447</v>
      </c>
      <c r="L3804" t="s">
        <v>13356</v>
      </c>
      <c r="M3804" t="s">
        <v>14744</v>
      </c>
      <c r="N3804" t="s">
        <v>14781</v>
      </c>
      <c r="P3804" t="s">
        <v>14803</v>
      </c>
      <c r="Q3804" t="s">
        <v>11448</v>
      </c>
      <c r="S3804" t="s">
        <v>14827</v>
      </c>
      <c r="V3804">
        <v>350.77</v>
      </c>
      <c r="W3804" t="s">
        <v>14860</v>
      </c>
      <c r="X3804" t="s">
        <v>14871</v>
      </c>
      <c r="Z3804" t="s">
        <v>18048</v>
      </c>
      <c r="AB3804" t="s">
        <v>23144</v>
      </c>
      <c r="AC3804">
        <v>72</v>
      </c>
      <c r="AD3804" t="s">
        <v>24599</v>
      </c>
      <c r="AF3804">
        <v>8</v>
      </c>
      <c r="AG3804">
        <v>1</v>
      </c>
      <c r="AH3804">
        <v>0</v>
      </c>
      <c r="AI3804">
        <v>134.51</v>
      </c>
      <c r="AM3804">
        <v>16800</v>
      </c>
      <c r="AS3804">
        <v>4</v>
      </c>
      <c r="AT3804" t="s">
        <v>483</v>
      </c>
      <c r="AU3804" t="s">
        <v>25286</v>
      </c>
      <c r="AW3804" t="s">
        <v>11447</v>
      </c>
    </row>
    <row r="3805" spans="1:49">
      <c r="A3805" s="1">
        <f>HYPERLINK("https://lsnyc.legalserver.org/matter/dynamic-profile/view/1913500","19-1913500")</f>
        <v>0</v>
      </c>
      <c r="B3805" t="s">
        <v>161</v>
      </c>
      <c r="C3805" t="s">
        <v>484</v>
      </c>
      <c r="E3805" t="s">
        <v>1264</v>
      </c>
      <c r="F3805" t="s">
        <v>2111</v>
      </c>
      <c r="G3805" t="s">
        <v>9162</v>
      </c>
      <c r="H3805" t="s">
        <v>10559</v>
      </c>
      <c r="I3805" t="s">
        <v>11386</v>
      </c>
      <c r="J3805">
        <v>10025</v>
      </c>
      <c r="K3805" t="s">
        <v>11446</v>
      </c>
      <c r="M3805" t="s">
        <v>14754</v>
      </c>
      <c r="N3805" t="s">
        <v>14782</v>
      </c>
      <c r="P3805" t="s">
        <v>14803</v>
      </c>
      <c r="Q3805" t="s">
        <v>11448</v>
      </c>
      <c r="R3805" t="s">
        <v>14825</v>
      </c>
      <c r="S3805" t="s">
        <v>14830</v>
      </c>
      <c r="V3805">
        <v>915.6799999999999</v>
      </c>
      <c r="W3805" t="s">
        <v>14860</v>
      </c>
      <c r="X3805" t="s">
        <v>14871</v>
      </c>
      <c r="Z3805" t="s">
        <v>18049</v>
      </c>
      <c r="AB3805" t="s">
        <v>23145</v>
      </c>
      <c r="AC3805">
        <v>0</v>
      </c>
      <c r="AD3805" t="s">
        <v>24605</v>
      </c>
      <c r="AE3805" t="s">
        <v>11459</v>
      </c>
      <c r="AF3805">
        <v>10</v>
      </c>
      <c r="AG3805">
        <v>1</v>
      </c>
      <c r="AH3805">
        <v>0</v>
      </c>
      <c r="AI3805">
        <v>136.11</v>
      </c>
      <c r="AL3805" t="s">
        <v>5011</v>
      </c>
      <c r="AM3805">
        <v>17000</v>
      </c>
      <c r="AS3805">
        <v>0.6</v>
      </c>
      <c r="AT3805" t="s">
        <v>539</v>
      </c>
      <c r="AU3805" t="s">
        <v>153</v>
      </c>
      <c r="AV3805" t="s">
        <v>25335</v>
      </c>
      <c r="AW3805" t="s">
        <v>11447</v>
      </c>
    </row>
    <row r="3806" spans="1:49">
      <c r="A3806" s="1">
        <f>HYPERLINK("https://lsnyc.legalserver.org/matter/dynamic-profile/view/1872619","18-1872619")</f>
        <v>0</v>
      </c>
      <c r="B3806" t="s">
        <v>208</v>
      </c>
      <c r="C3806" t="s">
        <v>785</v>
      </c>
      <c r="E3806" t="s">
        <v>2933</v>
      </c>
      <c r="F3806" t="s">
        <v>1035</v>
      </c>
      <c r="G3806" t="s">
        <v>9025</v>
      </c>
      <c r="H3806" t="s">
        <v>11184</v>
      </c>
      <c r="I3806" t="s">
        <v>11386</v>
      </c>
      <c r="J3806">
        <v>10030</v>
      </c>
      <c r="K3806" t="s">
        <v>11446</v>
      </c>
      <c r="L3806" t="s">
        <v>13357</v>
      </c>
      <c r="M3806" t="s">
        <v>14744</v>
      </c>
      <c r="N3806" t="s">
        <v>14778</v>
      </c>
      <c r="P3806" t="s">
        <v>14803</v>
      </c>
      <c r="S3806" t="s">
        <v>14828</v>
      </c>
      <c r="V3806">
        <v>519</v>
      </c>
      <c r="W3806" t="s">
        <v>14860</v>
      </c>
      <c r="X3806" t="s">
        <v>14865</v>
      </c>
      <c r="Z3806" t="s">
        <v>18050</v>
      </c>
      <c r="AB3806" t="s">
        <v>23146</v>
      </c>
      <c r="AC3806">
        <v>246</v>
      </c>
      <c r="AD3806" t="s">
        <v>24597</v>
      </c>
      <c r="AE3806" t="s">
        <v>11459</v>
      </c>
      <c r="AF3806">
        <v>10</v>
      </c>
      <c r="AG3806">
        <v>2</v>
      </c>
      <c r="AH3806">
        <v>3</v>
      </c>
      <c r="AI3806">
        <v>136.64</v>
      </c>
      <c r="AL3806" t="s">
        <v>5011</v>
      </c>
      <c r="AM3806">
        <v>40200</v>
      </c>
      <c r="AS3806">
        <v>6.35</v>
      </c>
      <c r="AT3806" t="s">
        <v>710</v>
      </c>
      <c r="AU3806" t="s">
        <v>25280</v>
      </c>
      <c r="AW3806" t="s">
        <v>11447</v>
      </c>
    </row>
    <row r="3807" spans="1:49">
      <c r="A3807" s="1">
        <f>HYPERLINK("https://lsnyc.legalserver.org/matter/dynamic-profile/view/1872629","18-1872629")</f>
        <v>0</v>
      </c>
      <c r="B3807" t="s">
        <v>194</v>
      </c>
      <c r="C3807" t="s">
        <v>785</v>
      </c>
      <c r="E3807" t="s">
        <v>1354</v>
      </c>
      <c r="F3807" t="s">
        <v>3683</v>
      </c>
      <c r="G3807" t="s">
        <v>9163</v>
      </c>
      <c r="H3807" t="s">
        <v>10448</v>
      </c>
      <c r="I3807" t="s">
        <v>11386</v>
      </c>
      <c r="J3807">
        <v>10032</v>
      </c>
      <c r="K3807" t="s">
        <v>11446</v>
      </c>
      <c r="L3807" t="s">
        <v>13358</v>
      </c>
      <c r="M3807" t="s">
        <v>14743</v>
      </c>
      <c r="N3807" t="s">
        <v>14781</v>
      </c>
      <c r="P3807" t="s">
        <v>14803</v>
      </c>
      <c r="Q3807" t="s">
        <v>11448</v>
      </c>
      <c r="S3807" t="s">
        <v>14827</v>
      </c>
      <c r="V3807">
        <v>2167</v>
      </c>
      <c r="W3807" t="s">
        <v>14860</v>
      </c>
      <c r="X3807" t="s">
        <v>14865</v>
      </c>
      <c r="Z3807" t="s">
        <v>18051</v>
      </c>
      <c r="AB3807" t="s">
        <v>23147</v>
      </c>
      <c r="AC3807">
        <v>0</v>
      </c>
      <c r="AD3807" t="s">
        <v>24600</v>
      </c>
      <c r="AE3807" t="s">
        <v>11459</v>
      </c>
      <c r="AF3807">
        <v>14</v>
      </c>
      <c r="AG3807">
        <v>3</v>
      </c>
      <c r="AH3807">
        <v>4</v>
      </c>
      <c r="AI3807">
        <v>144.51</v>
      </c>
      <c r="AL3807" t="s">
        <v>5011</v>
      </c>
      <c r="AM3807">
        <v>55000</v>
      </c>
      <c r="AS3807">
        <v>31.65</v>
      </c>
      <c r="AT3807" t="s">
        <v>604</v>
      </c>
      <c r="AU3807" t="s">
        <v>25280</v>
      </c>
      <c r="AW3807" t="s">
        <v>11447</v>
      </c>
    </row>
    <row r="3808" spans="1:49">
      <c r="A3808" s="1">
        <f>HYPERLINK("https://lsnyc.legalserver.org/matter/dynamic-profile/view/1867751","18-1867751")</f>
        <v>0</v>
      </c>
      <c r="B3808" t="s">
        <v>315</v>
      </c>
      <c r="C3808" t="s">
        <v>650</v>
      </c>
      <c r="E3808" t="s">
        <v>2050</v>
      </c>
      <c r="F3808" t="s">
        <v>4188</v>
      </c>
      <c r="G3808" t="s">
        <v>9164</v>
      </c>
      <c r="H3808">
        <v>2</v>
      </c>
      <c r="I3808" t="s">
        <v>11386</v>
      </c>
      <c r="J3808">
        <v>10032</v>
      </c>
      <c r="K3808" t="s">
        <v>11448</v>
      </c>
      <c r="L3808" t="s">
        <v>13359</v>
      </c>
      <c r="M3808" t="s">
        <v>14743</v>
      </c>
      <c r="N3808" t="s">
        <v>14781</v>
      </c>
      <c r="P3808" t="s">
        <v>14803</v>
      </c>
      <c r="S3808" t="s">
        <v>14827</v>
      </c>
      <c r="T3808" t="s">
        <v>14832</v>
      </c>
      <c r="V3808">
        <v>1050</v>
      </c>
      <c r="W3808" t="s">
        <v>14860</v>
      </c>
      <c r="X3808" t="s">
        <v>14867</v>
      </c>
      <c r="Z3808" t="s">
        <v>18052</v>
      </c>
      <c r="AB3808" t="s">
        <v>23148</v>
      </c>
      <c r="AC3808">
        <v>0</v>
      </c>
      <c r="AD3808" t="s">
        <v>11479</v>
      </c>
      <c r="AE3808" t="s">
        <v>11459</v>
      </c>
      <c r="AF3808">
        <v>21</v>
      </c>
      <c r="AG3808">
        <v>2</v>
      </c>
      <c r="AH3808">
        <v>1</v>
      </c>
      <c r="AI3808">
        <v>145.14</v>
      </c>
      <c r="AM3808">
        <v>30160</v>
      </c>
      <c r="AS3808">
        <v>128</v>
      </c>
      <c r="AT3808" t="s">
        <v>645</v>
      </c>
      <c r="AU3808" t="s">
        <v>25280</v>
      </c>
      <c r="AW3808" t="s">
        <v>11447</v>
      </c>
    </row>
    <row r="3809" spans="1:49">
      <c r="A3809" s="1">
        <f>HYPERLINK("https://lsnyc.legalserver.org/matter/dynamic-profile/view/1883214","18-1883214")</f>
        <v>0</v>
      </c>
      <c r="B3809" t="s">
        <v>242</v>
      </c>
      <c r="C3809" t="s">
        <v>623</v>
      </c>
      <c r="E3809" t="s">
        <v>2934</v>
      </c>
      <c r="F3809" t="s">
        <v>4012</v>
      </c>
      <c r="G3809" t="s">
        <v>9165</v>
      </c>
      <c r="H3809" t="s">
        <v>11185</v>
      </c>
      <c r="I3809" t="s">
        <v>11386</v>
      </c>
      <c r="J3809">
        <v>10001</v>
      </c>
      <c r="K3809" t="s">
        <v>11447</v>
      </c>
      <c r="N3809" t="s">
        <v>14781</v>
      </c>
      <c r="P3809" t="s">
        <v>14803</v>
      </c>
      <c r="Q3809" t="s">
        <v>11448</v>
      </c>
      <c r="S3809" t="s">
        <v>14830</v>
      </c>
      <c r="V3809">
        <v>740</v>
      </c>
      <c r="W3809" t="s">
        <v>14860</v>
      </c>
      <c r="Z3809" t="s">
        <v>18053</v>
      </c>
      <c r="AB3809" t="s">
        <v>23149</v>
      </c>
      <c r="AC3809">
        <v>390</v>
      </c>
      <c r="AF3809">
        <v>0</v>
      </c>
      <c r="AG3809">
        <v>1</v>
      </c>
      <c r="AH3809">
        <v>1</v>
      </c>
      <c r="AI3809">
        <v>145.81</v>
      </c>
      <c r="AL3809" t="s">
        <v>5011</v>
      </c>
      <c r="AM3809">
        <v>24000</v>
      </c>
      <c r="AS3809">
        <v>6.15</v>
      </c>
      <c r="AT3809" t="s">
        <v>601</v>
      </c>
      <c r="AU3809" t="s">
        <v>25278</v>
      </c>
      <c r="AW3809" t="s">
        <v>11447</v>
      </c>
    </row>
    <row r="3810" spans="1:49">
      <c r="A3810" s="1">
        <f>HYPERLINK("https://lsnyc.legalserver.org/matter/dynamic-profile/view/1847104","17-1847104")</f>
        <v>0</v>
      </c>
      <c r="B3810" t="s">
        <v>188</v>
      </c>
      <c r="C3810" t="s">
        <v>853</v>
      </c>
      <c r="E3810" t="s">
        <v>2935</v>
      </c>
      <c r="F3810" t="s">
        <v>5557</v>
      </c>
      <c r="G3810" t="s">
        <v>9140</v>
      </c>
      <c r="H3810" t="s">
        <v>10476</v>
      </c>
      <c r="I3810" t="s">
        <v>11386</v>
      </c>
      <c r="J3810">
        <v>10027</v>
      </c>
      <c r="K3810" t="s">
        <v>11447</v>
      </c>
      <c r="L3810" t="s">
        <v>13348</v>
      </c>
      <c r="M3810" t="s">
        <v>14749</v>
      </c>
      <c r="N3810" t="s">
        <v>14781</v>
      </c>
      <c r="P3810" t="s">
        <v>14803</v>
      </c>
      <c r="S3810" t="s">
        <v>14827</v>
      </c>
      <c r="V3810">
        <v>0</v>
      </c>
      <c r="W3810" t="s">
        <v>14860</v>
      </c>
      <c r="Z3810" t="s">
        <v>16135</v>
      </c>
      <c r="AB3810" t="s">
        <v>23150</v>
      </c>
      <c r="AC3810">
        <v>0</v>
      </c>
      <c r="AF3810">
        <v>0</v>
      </c>
      <c r="AG3810">
        <v>1</v>
      </c>
      <c r="AH3810">
        <v>0</v>
      </c>
      <c r="AI3810">
        <v>149.25</v>
      </c>
      <c r="AL3810" t="s">
        <v>5011</v>
      </c>
      <c r="AM3810">
        <v>18000</v>
      </c>
      <c r="AS3810">
        <v>31.07</v>
      </c>
      <c r="AT3810" t="s">
        <v>539</v>
      </c>
      <c r="AU3810" t="s">
        <v>25314</v>
      </c>
      <c r="AW3810" t="s">
        <v>11447</v>
      </c>
    </row>
    <row r="3811" spans="1:49">
      <c r="A3811" s="1">
        <f>HYPERLINK("https://lsnyc.legalserver.org/matter/dynamic-profile/view/1903989","19-1903989")</f>
        <v>0</v>
      </c>
      <c r="B3811" t="s">
        <v>253</v>
      </c>
      <c r="C3811" t="s">
        <v>474</v>
      </c>
      <c r="E3811" t="s">
        <v>1861</v>
      </c>
      <c r="F3811" t="s">
        <v>5558</v>
      </c>
      <c r="G3811" t="s">
        <v>9166</v>
      </c>
      <c r="H3811" t="s">
        <v>10476</v>
      </c>
      <c r="I3811" t="s">
        <v>11386</v>
      </c>
      <c r="J3811">
        <v>10025</v>
      </c>
      <c r="K3811" t="s">
        <v>11447</v>
      </c>
      <c r="L3811" t="s">
        <v>13360</v>
      </c>
      <c r="M3811" t="s">
        <v>14744</v>
      </c>
      <c r="N3811" t="s">
        <v>14781</v>
      </c>
      <c r="P3811" t="s">
        <v>14803</v>
      </c>
      <c r="Q3811" t="s">
        <v>11448</v>
      </c>
      <c r="S3811" t="s">
        <v>14827</v>
      </c>
      <c r="V3811">
        <v>2045.07</v>
      </c>
      <c r="W3811" t="s">
        <v>14860</v>
      </c>
      <c r="X3811" t="s">
        <v>14863</v>
      </c>
      <c r="Z3811" t="s">
        <v>16745</v>
      </c>
      <c r="AB3811" t="s">
        <v>23151</v>
      </c>
      <c r="AC3811">
        <v>181</v>
      </c>
      <c r="AD3811" t="s">
        <v>24595</v>
      </c>
      <c r="AF3811">
        <v>20</v>
      </c>
      <c r="AG3811">
        <v>1</v>
      </c>
      <c r="AH3811">
        <v>0</v>
      </c>
      <c r="AI3811">
        <v>149.88</v>
      </c>
      <c r="AL3811" t="s">
        <v>5011</v>
      </c>
      <c r="AM3811">
        <v>18720</v>
      </c>
      <c r="AS3811">
        <v>7.55</v>
      </c>
      <c r="AT3811" t="s">
        <v>467</v>
      </c>
      <c r="AU3811" t="s">
        <v>25278</v>
      </c>
      <c r="AW3811" t="s">
        <v>11447</v>
      </c>
    </row>
    <row r="3812" spans="1:49">
      <c r="A3812" s="1">
        <f>HYPERLINK("https://lsnyc.legalserver.org/matter/dynamic-profile/view/1843151","17-1843151")</f>
        <v>0</v>
      </c>
      <c r="B3812" t="s">
        <v>156</v>
      </c>
      <c r="C3812" t="s">
        <v>697</v>
      </c>
      <c r="E3812" t="s">
        <v>2936</v>
      </c>
      <c r="F3812" t="s">
        <v>5559</v>
      </c>
      <c r="G3812" t="s">
        <v>7711</v>
      </c>
      <c r="H3812">
        <v>4</v>
      </c>
      <c r="I3812" t="s">
        <v>11386</v>
      </c>
      <c r="J3812">
        <v>10002</v>
      </c>
      <c r="K3812" t="s">
        <v>11447</v>
      </c>
      <c r="M3812" t="s">
        <v>11601</v>
      </c>
      <c r="N3812" t="s">
        <v>14781</v>
      </c>
      <c r="P3812" t="s">
        <v>14803</v>
      </c>
      <c r="S3812" t="s">
        <v>14827</v>
      </c>
      <c r="V3812">
        <v>0</v>
      </c>
      <c r="W3812" t="s">
        <v>14860</v>
      </c>
      <c r="Z3812" t="s">
        <v>18054</v>
      </c>
      <c r="AB3812" t="s">
        <v>23152</v>
      </c>
      <c r="AC3812">
        <v>0</v>
      </c>
      <c r="AF3812">
        <v>8</v>
      </c>
      <c r="AG3812">
        <v>2</v>
      </c>
      <c r="AH3812">
        <v>2</v>
      </c>
      <c r="AI3812">
        <v>151.22</v>
      </c>
      <c r="AL3812" t="s">
        <v>24662</v>
      </c>
      <c r="AM3812">
        <v>55200</v>
      </c>
      <c r="AS3812">
        <v>2.1</v>
      </c>
      <c r="AT3812" t="s">
        <v>361</v>
      </c>
      <c r="AU3812" t="s">
        <v>25282</v>
      </c>
      <c r="AW3812" t="s">
        <v>11447</v>
      </c>
    </row>
    <row r="3813" spans="1:49">
      <c r="A3813" s="1">
        <f>HYPERLINK("https://lsnyc.legalserver.org/matter/dynamic-profile/view/1891712","19-1891712")</f>
        <v>0</v>
      </c>
      <c r="B3813" t="s">
        <v>188</v>
      </c>
      <c r="C3813" t="s">
        <v>596</v>
      </c>
      <c r="E3813" t="s">
        <v>1230</v>
      </c>
      <c r="F3813" t="s">
        <v>5560</v>
      </c>
      <c r="G3813" t="s">
        <v>9167</v>
      </c>
      <c r="H3813">
        <v>18</v>
      </c>
      <c r="I3813" t="s">
        <v>11386</v>
      </c>
      <c r="J3813">
        <v>10027</v>
      </c>
      <c r="K3813" t="s">
        <v>11446</v>
      </c>
      <c r="L3813" t="s">
        <v>13361</v>
      </c>
      <c r="M3813" t="s">
        <v>14743</v>
      </c>
      <c r="N3813" t="s">
        <v>14781</v>
      </c>
      <c r="P3813" t="s">
        <v>14803</v>
      </c>
      <c r="Q3813" t="s">
        <v>11448</v>
      </c>
      <c r="S3813" t="s">
        <v>14827</v>
      </c>
      <c r="V3813">
        <v>1537.32</v>
      </c>
      <c r="W3813" t="s">
        <v>14860</v>
      </c>
      <c r="X3813" t="s">
        <v>14868</v>
      </c>
      <c r="Z3813" t="s">
        <v>18055</v>
      </c>
      <c r="AB3813" t="s">
        <v>23153</v>
      </c>
      <c r="AC3813">
        <v>0</v>
      </c>
      <c r="AD3813" t="s">
        <v>24595</v>
      </c>
      <c r="AE3813" t="s">
        <v>11459</v>
      </c>
      <c r="AF3813">
        <v>14</v>
      </c>
      <c r="AG3813">
        <v>1</v>
      </c>
      <c r="AH3813">
        <v>0</v>
      </c>
      <c r="AI3813">
        <v>160.13</v>
      </c>
      <c r="AL3813" t="s">
        <v>5011</v>
      </c>
      <c r="AM3813">
        <v>20000</v>
      </c>
      <c r="AS3813">
        <v>58.3</v>
      </c>
      <c r="AT3813" t="s">
        <v>521</v>
      </c>
      <c r="AU3813" t="s">
        <v>153</v>
      </c>
      <c r="AW3813" t="s">
        <v>11446</v>
      </c>
    </row>
    <row r="3814" spans="1:49">
      <c r="A3814" s="1">
        <f>HYPERLINK("https://lsnyc.legalserver.org/matter/dynamic-profile/view/1847105","17-1847105")</f>
        <v>0</v>
      </c>
      <c r="B3814" t="s">
        <v>188</v>
      </c>
      <c r="C3814" t="s">
        <v>853</v>
      </c>
      <c r="E3814" t="s">
        <v>2937</v>
      </c>
      <c r="F3814" t="s">
        <v>1035</v>
      </c>
      <c r="G3814" t="s">
        <v>9140</v>
      </c>
      <c r="H3814" t="s">
        <v>10467</v>
      </c>
      <c r="I3814" t="s">
        <v>11386</v>
      </c>
      <c r="J3814">
        <v>10027</v>
      </c>
      <c r="K3814" t="s">
        <v>11447</v>
      </c>
      <c r="L3814" t="s">
        <v>13348</v>
      </c>
      <c r="M3814" t="s">
        <v>14749</v>
      </c>
      <c r="N3814" t="s">
        <v>14781</v>
      </c>
      <c r="P3814" t="s">
        <v>14803</v>
      </c>
      <c r="S3814" t="s">
        <v>14827</v>
      </c>
      <c r="V3814">
        <v>0</v>
      </c>
      <c r="W3814" t="s">
        <v>14860</v>
      </c>
      <c r="Z3814" t="s">
        <v>16070</v>
      </c>
      <c r="AB3814" t="s">
        <v>23154</v>
      </c>
      <c r="AC3814">
        <v>0</v>
      </c>
      <c r="AF3814">
        <v>0</v>
      </c>
      <c r="AG3814">
        <v>2</v>
      </c>
      <c r="AH3814">
        <v>1</v>
      </c>
      <c r="AI3814">
        <v>161.61</v>
      </c>
      <c r="AL3814" t="s">
        <v>5011</v>
      </c>
      <c r="AM3814">
        <v>33000</v>
      </c>
      <c r="AS3814">
        <v>4.86</v>
      </c>
      <c r="AT3814" t="s">
        <v>484</v>
      </c>
      <c r="AU3814" t="s">
        <v>25314</v>
      </c>
      <c r="AW3814" t="s">
        <v>11447</v>
      </c>
    </row>
    <row r="3815" spans="1:49">
      <c r="A3815" s="1">
        <f>HYPERLINK("https://lsnyc.legalserver.org/matter/dynamic-profile/view/1872718","18-1872718")</f>
        <v>0</v>
      </c>
      <c r="B3815" t="s">
        <v>208</v>
      </c>
      <c r="C3815" t="s">
        <v>785</v>
      </c>
      <c r="E3815" t="s">
        <v>2938</v>
      </c>
      <c r="F3815" t="s">
        <v>5561</v>
      </c>
      <c r="G3815" t="s">
        <v>9168</v>
      </c>
      <c r="H3815" t="s">
        <v>10450</v>
      </c>
      <c r="I3815" t="s">
        <v>11386</v>
      </c>
      <c r="J3815">
        <v>10128</v>
      </c>
      <c r="K3815" t="s">
        <v>11446</v>
      </c>
      <c r="L3815" t="s">
        <v>13362</v>
      </c>
      <c r="M3815" t="s">
        <v>14744</v>
      </c>
      <c r="N3815" t="s">
        <v>14778</v>
      </c>
      <c r="P3815" t="s">
        <v>14803</v>
      </c>
      <c r="S3815" t="s">
        <v>14827</v>
      </c>
      <c r="V3815">
        <v>2650</v>
      </c>
      <c r="W3815" t="s">
        <v>14860</v>
      </c>
      <c r="X3815" t="s">
        <v>14865</v>
      </c>
      <c r="Z3815" t="s">
        <v>18056</v>
      </c>
      <c r="AB3815" t="s">
        <v>23155</v>
      </c>
      <c r="AC3815">
        <v>18</v>
      </c>
      <c r="AE3815" t="s">
        <v>11459</v>
      </c>
      <c r="AF3815">
        <v>1</v>
      </c>
      <c r="AG3815">
        <v>1</v>
      </c>
      <c r="AH3815">
        <v>0</v>
      </c>
      <c r="AI3815">
        <v>164.74</v>
      </c>
      <c r="AM3815">
        <v>20000</v>
      </c>
      <c r="AS3815">
        <v>1.25</v>
      </c>
      <c r="AT3815" t="s">
        <v>25175</v>
      </c>
      <c r="AU3815" t="s">
        <v>25280</v>
      </c>
      <c r="AW3815" t="s">
        <v>11447</v>
      </c>
    </row>
    <row r="3816" spans="1:49">
      <c r="A3816" s="1">
        <f>HYPERLINK("https://lsnyc.legalserver.org/matter/dynamic-profile/view/1881316","18-1881316")</f>
        <v>0</v>
      </c>
      <c r="B3816" t="s">
        <v>208</v>
      </c>
      <c r="C3816" t="s">
        <v>812</v>
      </c>
      <c r="E3816" t="s">
        <v>1182</v>
      </c>
      <c r="F3816" t="s">
        <v>5562</v>
      </c>
      <c r="G3816" t="s">
        <v>9169</v>
      </c>
      <c r="I3816" t="s">
        <v>11386</v>
      </c>
      <c r="J3816">
        <v>10025</v>
      </c>
      <c r="K3816" t="s">
        <v>11447</v>
      </c>
      <c r="N3816" t="s">
        <v>14781</v>
      </c>
      <c r="P3816" t="s">
        <v>14803</v>
      </c>
      <c r="Q3816" t="s">
        <v>11448</v>
      </c>
      <c r="S3816" t="s">
        <v>14830</v>
      </c>
      <c r="V3816">
        <v>0</v>
      </c>
      <c r="W3816" t="s">
        <v>14860</v>
      </c>
      <c r="Z3816" t="s">
        <v>16459</v>
      </c>
      <c r="AB3816" t="s">
        <v>23156</v>
      </c>
      <c r="AC3816">
        <v>0</v>
      </c>
      <c r="AF3816">
        <v>20</v>
      </c>
      <c r="AG3816">
        <v>1</v>
      </c>
      <c r="AH3816">
        <v>0</v>
      </c>
      <c r="AI3816">
        <v>164.74</v>
      </c>
      <c r="AL3816" t="s">
        <v>5011</v>
      </c>
      <c r="AM3816">
        <v>20000</v>
      </c>
      <c r="AS3816">
        <v>11.45</v>
      </c>
      <c r="AT3816" t="s">
        <v>589</v>
      </c>
      <c r="AU3816" t="s">
        <v>25282</v>
      </c>
      <c r="AW3816" t="s">
        <v>11447</v>
      </c>
    </row>
    <row r="3817" spans="1:49">
      <c r="A3817" s="1">
        <f>HYPERLINK("https://lsnyc.legalserver.org/matter/dynamic-profile/view/1875124","18-1875124")</f>
        <v>0</v>
      </c>
      <c r="B3817" t="s">
        <v>218</v>
      </c>
      <c r="C3817" t="s">
        <v>780</v>
      </c>
      <c r="E3817" t="s">
        <v>2939</v>
      </c>
      <c r="F3817" t="s">
        <v>5563</v>
      </c>
      <c r="G3817" t="s">
        <v>9170</v>
      </c>
      <c r="H3817">
        <v>11</v>
      </c>
      <c r="I3817" t="s">
        <v>11386</v>
      </c>
      <c r="J3817">
        <v>10039</v>
      </c>
      <c r="K3817" t="s">
        <v>11446</v>
      </c>
      <c r="L3817" t="s">
        <v>13363</v>
      </c>
      <c r="M3817" t="s">
        <v>14743</v>
      </c>
      <c r="N3817" t="s">
        <v>14781</v>
      </c>
      <c r="P3817" t="s">
        <v>14803</v>
      </c>
      <c r="Q3817" t="s">
        <v>11448</v>
      </c>
      <c r="S3817" t="s">
        <v>14827</v>
      </c>
      <c r="V3817">
        <v>1180</v>
      </c>
      <c r="W3817" t="s">
        <v>14860</v>
      </c>
      <c r="X3817" t="s">
        <v>14865</v>
      </c>
      <c r="Z3817" t="s">
        <v>18057</v>
      </c>
      <c r="AB3817" t="s">
        <v>23157</v>
      </c>
      <c r="AC3817">
        <v>22</v>
      </c>
      <c r="AD3817" t="s">
        <v>11479</v>
      </c>
      <c r="AE3817" t="s">
        <v>11459</v>
      </c>
      <c r="AF3817">
        <v>19</v>
      </c>
      <c r="AG3817">
        <v>3</v>
      </c>
      <c r="AH3817">
        <v>1</v>
      </c>
      <c r="AI3817">
        <v>165.74</v>
      </c>
      <c r="AL3817" t="s">
        <v>5011</v>
      </c>
      <c r="AM3817">
        <v>41600</v>
      </c>
      <c r="AS3817">
        <v>93</v>
      </c>
      <c r="AT3817" t="s">
        <v>516</v>
      </c>
      <c r="AU3817" t="s">
        <v>153</v>
      </c>
      <c r="AW3817" t="s">
        <v>11447</v>
      </c>
    </row>
    <row r="3818" spans="1:49">
      <c r="A3818" s="1">
        <f>HYPERLINK("https://lsnyc.legalserver.org/matter/dynamic-profile/view/1897092","19-1897092")</f>
        <v>0</v>
      </c>
      <c r="B3818" t="s">
        <v>242</v>
      </c>
      <c r="C3818" t="s">
        <v>360</v>
      </c>
      <c r="E3818" t="s">
        <v>2940</v>
      </c>
      <c r="F3818" t="s">
        <v>5564</v>
      </c>
      <c r="G3818" t="s">
        <v>9171</v>
      </c>
      <c r="H3818" t="s">
        <v>11186</v>
      </c>
      <c r="I3818" t="s">
        <v>11386</v>
      </c>
      <c r="J3818">
        <v>10039</v>
      </c>
      <c r="K3818" t="s">
        <v>11448</v>
      </c>
      <c r="N3818" t="s">
        <v>14782</v>
      </c>
      <c r="P3818" t="s">
        <v>14803</v>
      </c>
      <c r="S3818" t="s">
        <v>14827</v>
      </c>
      <c r="V3818">
        <v>1064</v>
      </c>
      <c r="W3818" t="s">
        <v>14860</v>
      </c>
      <c r="X3818" t="s">
        <v>14871</v>
      </c>
      <c r="Z3818" t="s">
        <v>18058</v>
      </c>
      <c r="AB3818" t="s">
        <v>23158</v>
      </c>
      <c r="AC3818">
        <v>0</v>
      </c>
      <c r="AD3818" t="s">
        <v>24595</v>
      </c>
      <c r="AE3818" t="s">
        <v>24615</v>
      </c>
      <c r="AF3818">
        <v>10</v>
      </c>
      <c r="AG3818">
        <v>1</v>
      </c>
      <c r="AH3818">
        <v>3</v>
      </c>
      <c r="AI3818">
        <v>170.1</v>
      </c>
      <c r="AL3818" t="s">
        <v>5011</v>
      </c>
      <c r="AM3818">
        <v>43800</v>
      </c>
      <c r="AS3818">
        <v>0.5</v>
      </c>
      <c r="AT3818" t="s">
        <v>369</v>
      </c>
      <c r="AU3818" t="s">
        <v>153</v>
      </c>
      <c r="AW3818" t="s">
        <v>11448</v>
      </c>
    </row>
    <row r="3819" spans="1:49">
      <c r="A3819" s="1">
        <f>HYPERLINK("https://lsnyc.legalserver.org/matter/dynamic-profile/view/1898241","19-1898241")</f>
        <v>0</v>
      </c>
      <c r="B3819" t="s">
        <v>252</v>
      </c>
      <c r="C3819" t="s">
        <v>510</v>
      </c>
      <c r="E3819" t="s">
        <v>2941</v>
      </c>
      <c r="F3819" t="s">
        <v>5565</v>
      </c>
      <c r="G3819" t="s">
        <v>9172</v>
      </c>
      <c r="H3819">
        <v>409</v>
      </c>
      <c r="I3819" t="s">
        <v>11386</v>
      </c>
      <c r="J3819">
        <v>10026</v>
      </c>
      <c r="K3819" t="s">
        <v>11447</v>
      </c>
      <c r="L3819" t="s">
        <v>13364</v>
      </c>
      <c r="M3819" t="s">
        <v>14744</v>
      </c>
      <c r="N3819" t="s">
        <v>14781</v>
      </c>
      <c r="P3819" t="s">
        <v>14803</v>
      </c>
      <c r="Q3819" t="s">
        <v>11448</v>
      </c>
      <c r="S3819" t="s">
        <v>14827</v>
      </c>
      <c r="V3819">
        <v>1777</v>
      </c>
      <c r="W3819" t="s">
        <v>14860</v>
      </c>
      <c r="Z3819" t="s">
        <v>18059</v>
      </c>
      <c r="AB3819" t="s">
        <v>23159</v>
      </c>
      <c r="AC3819">
        <v>254</v>
      </c>
      <c r="AD3819" t="s">
        <v>24606</v>
      </c>
      <c r="AE3819" t="s">
        <v>11459</v>
      </c>
      <c r="AF3819">
        <v>17</v>
      </c>
      <c r="AG3819">
        <v>1</v>
      </c>
      <c r="AH3819">
        <v>0</v>
      </c>
      <c r="AI3819">
        <v>173.86</v>
      </c>
      <c r="AL3819" t="s">
        <v>5011</v>
      </c>
      <c r="AM3819">
        <v>21715.72</v>
      </c>
      <c r="AS3819">
        <v>25.85</v>
      </c>
      <c r="AT3819" t="s">
        <v>521</v>
      </c>
      <c r="AU3819" t="s">
        <v>25278</v>
      </c>
      <c r="AW3819" t="s">
        <v>11447</v>
      </c>
    </row>
    <row r="3820" spans="1:49">
      <c r="A3820" s="1">
        <f>HYPERLINK("https://lsnyc.legalserver.org/matter/dynamic-profile/view/1876501","18-1876501")</f>
        <v>0</v>
      </c>
      <c r="B3820" t="s">
        <v>218</v>
      </c>
      <c r="C3820" t="s">
        <v>842</v>
      </c>
      <c r="E3820" t="s">
        <v>2048</v>
      </c>
      <c r="F3820" t="s">
        <v>5566</v>
      </c>
      <c r="G3820" t="s">
        <v>9173</v>
      </c>
      <c r="H3820">
        <v>18</v>
      </c>
      <c r="I3820" t="s">
        <v>11386</v>
      </c>
      <c r="J3820">
        <v>10039</v>
      </c>
      <c r="K3820" t="s">
        <v>11447</v>
      </c>
      <c r="M3820" t="s">
        <v>14743</v>
      </c>
      <c r="N3820" t="s">
        <v>14781</v>
      </c>
      <c r="P3820" t="s">
        <v>14803</v>
      </c>
      <c r="S3820" t="s">
        <v>14827</v>
      </c>
      <c r="V3820">
        <v>860</v>
      </c>
      <c r="W3820" t="s">
        <v>14860</v>
      </c>
      <c r="Z3820" t="s">
        <v>17981</v>
      </c>
      <c r="AB3820" t="s">
        <v>23160</v>
      </c>
      <c r="AC3820">
        <v>24</v>
      </c>
      <c r="AF3820">
        <v>21</v>
      </c>
      <c r="AG3820">
        <v>3</v>
      </c>
      <c r="AH3820">
        <v>0</v>
      </c>
      <c r="AI3820">
        <v>175.17</v>
      </c>
      <c r="AL3820" t="s">
        <v>5011</v>
      </c>
      <c r="AM3820">
        <v>36400</v>
      </c>
      <c r="AS3820">
        <v>94.8</v>
      </c>
      <c r="AT3820" t="s">
        <v>509</v>
      </c>
      <c r="AU3820" t="s">
        <v>25278</v>
      </c>
      <c r="AW3820" t="s">
        <v>11447</v>
      </c>
    </row>
    <row r="3821" spans="1:49">
      <c r="A3821" s="1">
        <f>HYPERLINK("https://lsnyc.legalserver.org/matter/dynamic-profile/view/1911840","19-1911840")</f>
        <v>0</v>
      </c>
      <c r="B3821" t="s">
        <v>217</v>
      </c>
      <c r="C3821" t="s">
        <v>645</v>
      </c>
      <c r="E3821" t="s">
        <v>1879</v>
      </c>
      <c r="F3821" t="s">
        <v>4423</v>
      </c>
      <c r="G3821" t="s">
        <v>9174</v>
      </c>
      <c r="H3821" t="s">
        <v>10448</v>
      </c>
      <c r="I3821" t="s">
        <v>11386</v>
      </c>
      <c r="J3821">
        <v>10039</v>
      </c>
      <c r="K3821" t="s">
        <v>11446</v>
      </c>
      <c r="M3821" t="s">
        <v>14744</v>
      </c>
      <c r="N3821" t="s">
        <v>14782</v>
      </c>
      <c r="P3821" t="s">
        <v>14803</v>
      </c>
      <c r="Q3821" t="s">
        <v>11448</v>
      </c>
      <c r="S3821" t="s">
        <v>14827</v>
      </c>
      <c r="V3821">
        <v>795.1900000000001</v>
      </c>
      <c r="W3821" t="s">
        <v>14860</v>
      </c>
      <c r="X3821" t="s">
        <v>14864</v>
      </c>
      <c r="Z3821" t="s">
        <v>18060</v>
      </c>
      <c r="AB3821" t="s">
        <v>23161</v>
      </c>
      <c r="AC3821">
        <v>0</v>
      </c>
      <c r="AD3821" t="s">
        <v>24595</v>
      </c>
      <c r="AF3821">
        <v>7</v>
      </c>
      <c r="AG3821">
        <v>1</v>
      </c>
      <c r="AH3821">
        <v>2</v>
      </c>
      <c r="AI3821">
        <v>175.53</v>
      </c>
      <c r="AL3821" t="s">
        <v>5011</v>
      </c>
      <c r="AM3821">
        <v>37440</v>
      </c>
      <c r="AS3821">
        <v>0</v>
      </c>
      <c r="AU3821" t="s">
        <v>25286</v>
      </c>
      <c r="AW3821" t="s">
        <v>11447</v>
      </c>
    </row>
    <row r="3822" spans="1:49">
      <c r="A3822" s="1">
        <f>HYPERLINK("https://lsnyc.legalserver.org/matter/dynamic-profile/view/1853209","17-1853209")</f>
        <v>0</v>
      </c>
      <c r="B3822" t="s">
        <v>218</v>
      </c>
      <c r="C3822" t="s">
        <v>808</v>
      </c>
      <c r="E3822" t="s">
        <v>1970</v>
      </c>
      <c r="F3822" t="s">
        <v>5567</v>
      </c>
      <c r="G3822" t="s">
        <v>9175</v>
      </c>
      <c r="H3822">
        <v>54</v>
      </c>
      <c r="I3822" t="s">
        <v>11386</v>
      </c>
      <c r="J3822">
        <v>10031</v>
      </c>
      <c r="K3822" t="s">
        <v>11447</v>
      </c>
      <c r="M3822" t="s">
        <v>14763</v>
      </c>
      <c r="N3822" t="s">
        <v>14781</v>
      </c>
      <c r="P3822" t="s">
        <v>14803</v>
      </c>
      <c r="S3822" t="s">
        <v>14827</v>
      </c>
      <c r="V3822">
        <v>2880</v>
      </c>
      <c r="W3822" t="s">
        <v>14860</v>
      </c>
      <c r="X3822" t="s">
        <v>14868</v>
      </c>
      <c r="Z3822" t="s">
        <v>18061</v>
      </c>
      <c r="AC3822">
        <v>58</v>
      </c>
      <c r="AE3822" t="s">
        <v>11459</v>
      </c>
      <c r="AF3822">
        <v>4</v>
      </c>
      <c r="AG3822">
        <v>2</v>
      </c>
      <c r="AH3822">
        <v>0</v>
      </c>
      <c r="AI3822">
        <v>176.11</v>
      </c>
      <c r="AL3822" t="s">
        <v>24632</v>
      </c>
      <c r="AM3822">
        <v>39000</v>
      </c>
      <c r="AS3822">
        <v>17.35</v>
      </c>
      <c r="AT3822" t="s">
        <v>533</v>
      </c>
      <c r="AU3822" t="s">
        <v>153</v>
      </c>
      <c r="AW3822" t="s">
        <v>11447</v>
      </c>
    </row>
    <row r="3823" spans="1:49">
      <c r="A3823" s="1">
        <f>HYPERLINK("https://lsnyc.legalserver.org/matter/dynamic-profile/view/1847081","17-1847081")</f>
        <v>0</v>
      </c>
      <c r="B3823" t="s">
        <v>188</v>
      </c>
      <c r="C3823" t="s">
        <v>853</v>
      </c>
      <c r="E3823" t="s">
        <v>2942</v>
      </c>
      <c r="F3823" t="s">
        <v>3709</v>
      </c>
      <c r="G3823" t="s">
        <v>9140</v>
      </c>
      <c r="H3823" t="s">
        <v>10448</v>
      </c>
      <c r="I3823" t="s">
        <v>11386</v>
      </c>
      <c r="J3823">
        <v>10027</v>
      </c>
      <c r="K3823" t="s">
        <v>11447</v>
      </c>
      <c r="L3823" t="s">
        <v>13348</v>
      </c>
      <c r="M3823" t="s">
        <v>14749</v>
      </c>
      <c r="N3823" t="s">
        <v>14781</v>
      </c>
      <c r="P3823" t="s">
        <v>14803</v>
      </c>
      <c r="Q3823" t="s">
        <v>11446</v>
      </c>
      <c r="S3823" t="s">
        <v>14827</v>
      </c>
      <c r="V3823">
        <v>0</v>
      </c>
      <c r="W3823" t="s">
        <v>14860</v>
      </c>
      <c r="X3823" t="s">
        <v>14868</v>
      </c>
      <c r="Z3823" t="s">
        <v>18062</v>
      </c>
      <c r="AB3823" t="s">
        <v>23162</v>
      </c>
      <c r="AC3823">
        <v>0</v>
      </c>
      <c r="AF3823">
        <v>0</v>
      </c>
      <c r="AG3823">
        <v>2</v>
      </c>
      <c r="AH3823">
        <v>0</v>
      </c>
      <c r="AI3823">
        <v>190.89</v>
      </c>
      <c r="AL3823" t="s">
        <v>5011</v>
      </c>
      <c r="AM3823">
        <v>31000</v>
      </c>
      <c r="AS3823">
        <v>19.42</v>
      </c>
      <c r="AT3823" t="s">
        <v>505</v>
      </c>
      <c r="AU3823" t="s">
        <v>25314</v>
      </c>
      <c r="AW3823" t="s">
        <v>11447</v>
      </c>
    </row>
    <row r="3824" spans="1:49">
      <c r="A3824" s="1">
        <f>HYPERLINK("https://lsnyc.legalserver.org/matter/dynamic-profile/view/1893155","19-1893155")</f>
        <v>0</v>
      </c>
      <c r="B3824" t="s">
        <v>223</v>
      </c>
      <c r="C3824" t="s">
        <v>629</v>
      </c>
      <c r="E3824" t="s">
        <v>2943</v>
      </c>
      <c r="F3824" t="s">
        <v>3877</v>
      </c>
      <c r="G3824" t="s">
        <v>9176</v>
      </c>
      <c r="H3824">
        <v>54</v>
      </c>
      <c r="I3824" t="s">
        <v>11386</v>
      </c>
      <c r="J3824">
        <v>10034</v>
      </c>
      <c r="K3824" t="s">
        <v>11446</v>
      </c>
      <c r="L3824" t="s">
        <v>13365</v>
      </c>
      <c r="M3824" t="s">
        <v>14744</v>
      </c>
      <c r="N3824" t="s">
        <v>14781</v>
      </c>
      <c r="P3824" t="s">
        <v>14803</v>
      </c>
      <c r="Q3824" t="s">
        <v>11448</v>
      </c>
      <c r="S3824" t="s">
        <v>14827</v>
      </c>
      <c r="V3824">
        <v>922</v>
      </c>
      <c r="W3824" t="s">
        <v>14860</v>
      </c>
      <c r="X3824" t="s">
        <v>14865</v>
      </c>
      <c r="Z3824" t="s">
        <v>18063</v>
      </c>
      <c r="AB3824" t="s">
        <v>23163</v>
      </c>
      <c r="AC3824">
        <v>0</v>
      </c>
      <c r="AD3824" t="s">
        <v>11479</v>
      </c>
      <c r="AE3824" t="s">
        <v>14755</v>
      </c>
      <c r="AF3824">
        <v>24</v>
      </c>
      <c r="AG3824">
        <v>2</v>
      </c>
      <c r="AH3824">
        <v>0</v>
      </c>
      <c r="AI3824">
        <v>191.56</v>
      </c>
      <c r="AL3824" t="s">
        <v>24632</v>
      </c>
      <c r="AM3824">
        <v>32392</v>
      </c>
      <c r="AS3824">
        <v>0.2</v>
      </c>
      <c r="AT3824" t="s">
        <v>340</v>
      </c>
      <c r="AU3824" t="s">
        <v>153</v>
      </c>
      <c r="AW3824" t="s">
        <v>11446</v>
      </c>
    </row>
    <row r="3825" spans="1:49">
      <c r="A3825" s="1">
        <f>HYPERLINK("https://lsnyc.legalserver.org/matter/dynamic-profile/view/1880004","18-1880004")</f>
        <v>0</v>
      </c>
      <c r="B3825" t="s">
        <v>188</v>
      </c>
      <c r="C3825" t="s">
        <v>403</v>
      </c>
      <c r="E3825" t="s">
        <v>1320</v>
      </c>
      <c r="F3825" t="s">
        <v>3662</v>
      </c>
      <c r="G3825" t="s">
        <v>9177</v>
      </c>
      <c r="H3825" t="s">
        <v>10589</v>
      </c>
      <c r="I3825" t="s">
        <v>11386</v>
      </c>
      <c r="J3825">
        <v>10033</v>
      </c>
      <c r="K3825" t="s">
        <v>11447</v>
      </c>
      <c r="L3825">
        <v>73727</v>
      </c>
      <c r="M3825" t="s">
        <v>14743</v>
      </c>
      <c r="P3825" t="s">
        <v>14803</v>
      </c>
      <c r="S3825" t="s">
        <v>14827</v>
      </c>
      <c r="V3825">
        <v>841.77</v>
      </c>
      <c r="W3825" t="s">
        <v>14860</v>
      </c>
      <c r="Z3825" t="s">
        <v>18064</v>
      </c>
      <c r="AB3825" t="s">
        <v>23164</v>
      </c>
      <c r="AC3825">
        <v>41</v>
      </c>
      <c r="AF3825">
        <v>26</v>
      </c>
      <c r="AG3825">
        <v>2</v>
      </c>
      <c r="AH3825">
        <v>0</v>
      </c>
      <c r="AI3825">
        <v>251.52</v>
      </c>
      <c r="AL3825" t="s">
        <v>24632</v>
      </c>
      <c r="AM3825">
        <v>41400</v>
      </c>
      <c r="AS3825">
        <v>0</v>
      </c>
      <c r="AU3825" t="s">
        <v>153</v>
      </c>
      <c r="AW3825" t="s">
        <v>11447</v>
      </c>
    </row>
    <row r="3826" spans="1:49">
      <c r="A3826" s="1">
        <f>HYPERLINK("https://lsnyc.legalserver.org/matter/dynamic-profile/view/1899322","19-1899322")</f>
        <v>0</v>
      </c>
      <c r="B3826" t="s">
        <v>315</v>
      </c>
      <c r="C3826" t="s">
        <v>369</v>
      </c>
      <c r="E3826" t="s">
        <v>2686</v>
      </c>
      <c r="F3826" t="s">
        <v>5568</v>
      </c>
      <c r="G3826" t="s">
        <v>9178</v>
      </c>
      <c r="H3826">
        <v>41</v>
      </c>
      <c r="I3826" t="s">
        <v>11386</v>
      </c>
      <c r="J3826">
        <v>10031</v>
      </c>
      <c r="K3826" t="s">
        <v>11447</v>
      </c>
      <c r="N3826" t="s">
        <v>14778</v>
      </c>
      <c r="P3826" t="s">
        <v>14803</v>
      </c>
      <c r="Q3826" t="s">
        <v>11448</v>
      </c>
      <c r="S3826" t="s">
        <v>14827</v>
      </c>
      <c r="T3826" t="s">
        <v>14835</v>
      </c>
      <c r="V3826">
        <v>2088</v>
      </c>
      <c r="W3826" t="s">
        <v>14860</v>
      </c>
      <c r="X3826" t="s">
        <v>14868</v>
      </c>
      <c r="Z3826" t="s">
        <v>18065</v>
      </c>
      <c r="AB3826" t="s">
        <v>23165</v>
      </c>
      <c r="AC3826">
        <v>0</v>
      </c>
      <c r="AD3826" t="s">
        <v>24595</v>
      </c>
      <c r="AE3826" t="s">
        <v>11459</v>
      </c>
      <c r="AF3826">
        <v>6</v>
      </c>
      <c r="AG3826">
        <v>1</v>
      </c>
      <c r="AH3826">
        <v>0</v>
      </c>
      <c r="AI3826">
        <v>270.55</v>
      </c>
      <c r="AL3826" t="s">
        <v>5011</v>
      </c>
      <c r="AM3826">
        <v>33792</v>
      </c>
      <c r="AS3826">
        <v>1.1</v>
      </c>
      <c r="AT3826" t="s">
        <v>540</v>
      </c>
      <c r="AU3826" t="s">
        <v>153</v>
      </c>
      <c r="AW3826" t="s">
        <v>11447</v>
      </c>
    </row>
    <row r="3827" spans="1:49">
      <c r="A3827" s="1">
        <f>HYPERLINK("https://lsnyc.legalserver.org/matter/dynamic-profile/view/1847095","17-1847095")</f>
        <v>0</v>
      </c>
      <c r="B3827" t="s">
        <v>188</v>
      </c>
      <c r="C3827" t="s">
        <v>853</v>
      </c>
      <c r="E3827" t="s">
        <v>1210</v>
      </c>
      <c r="F3827" t="s">
        <v>1588</v>
      </c>
      <c r="G3827" t="s">
        <v>9140</v>
      </c>
      <c r="H3827" t="s">
        <v>10542</v>
      </c>
      <c r="I3827" t="s">
        <v>11386</v>
      </c>
      <c r="J3827">
        <v>10027</v>
      </c>
      <c r="K3827" t="s">
        <v>11447</v>
      </c>
      <c r="L3827" t="s">
        <v>13348</v>
      </c>
      <c r="M3827" t="s">
        <v>14749</v>
      </c>
      <c r="N3827" t="s">
        <v>14781</v>
      </c>
      <c r="P3827" t="s">
        <v>14803</v>
      </c>
      <c r="Q3827" t="s">
        <v>11446</v>
      </c>
      <c r="S3827" t="s">
        <v>14827</v>
      </c>
      <c r="V3827">
        <v>0</v>
      </c>
      <c r="W3827" t="s">
        <v>14860</v>
      </c>
      <c r="Z3827" t="s">
        <v>18066</v>
      </c>
      <c r="AB3827" t="s">
        <v>23166</v>
      </c>
      <c r="AC3827">
        <v>0</v>
      </c>
      <c r="AF3827">
        <v>0</v>
      </c>
      <c r="AG3827">
        <v>1</v>
      </c>
      <c r="AH3827">
        <v>0</v>
      </c>
      <c r="AI3827">
        <v>290.22</v>
      </c>
      <c r="AL3827" t="s">
        <v>5011</v>
      </c>
      <c r="AM3827">
        <v>35000</v>
      </c>
      <c r="AS3827">
        <v>9.1</v>
      </c>
      <c r="AT3827" t="s">
        <v>455</v>
      </c>
      <c r="AU3827" t="s">
        <v>25314</v>
      </c>
      <c r="AW3827" t="s">
        <v>11447</v>
      </c>
    </row>
    <row r="3828" spans="1:49">
      <c r="A3828" s="1">
        <f>HYPERLINK("https://lsnyc.legalserver.org/matter/dynamic-profile/view/1873472","18-1873472")</f>
        <v>0</v>
      </c>
      <c r="B3828" t="s">
        <v>313</v>
      </c>
      <c r="C3828" t="s">
        <v>858</v>
      </c>
      <c r="E3828" t="s">
        <v>1241</v>
      </c>
      <c r="F3828" t="s">
        <v>4152</v>
      </c>
      <c r="G3828" t="s">
        <v>9032</v>
      </c>
      <c r="H3828" t="s">
        <v>11187</v>
      </c>
      <c r="I3828" t="s">
        <v>11386</v>
      </c>
      <c r="J3828">
        <v>10033</v>
      </c>
      <c r="K3828" t="s">
        <v>11448</v>
      </c>
      <c r="L3828" t="s">
        <v>13366</v>
      </c>
      <c r="M3828" t="s">
        <v>14743</v>
      </c>
      <c r="N3828" t="s">
        <v>14781</v>
      </c>
      <c r="P3828" t="s">
        <v>14803</v>
      </c>
      <c r="Q3828" t="s">
        <v>11448</v>
      </c>
      <c r="S3828" t="s">
        <v>14827</v>
      </c>
      <c r="T3828" t="s">
        <v>14832</v>
      </c>
      <c r="V3828">
        <v>925</v>
      </c>
      <c r="W3828" t="s">
        <v>14860</v>
      </c>
      <c r="Z3828" t="s">
        <v>18067</v>
      </c>
      <c r="AB3828" t="s">
        <v>23167</v>
      </c>
      <c r="AC3828">
        <v>480</v>
      </c>
      <c r="AD3828" t="s">
        <v>24600</v>
      </c>
      <c r="AF3828">
        <v>6</v>
      </c>
      <c r="AG3828">
        <v>1</v>
      </c>
      <c r="AH3828">
        <v>0</v>
      </c>
      <c r="AI3828">
        <v>299.84</v>
      </c>
      <c r="AL3828" t="s">
        <v>5011</v>
      </c>
      <c r="AM3828">
        <v>36400</v>
      </c>
      <c r="AS3828">
        <v>78.8</v>
      </c>
      <c r="AT3828" t="s">
        <v>472</v>
      </c>
      <c r="AU3828" t="s">
        <v>25278</v>
      </c>
      <c r="AW3828" t="s">
        <v>11447</v>
      </c>
    </row>
    <row r="3829" spans="1:49">
      <c r="A3829" s="1">
        <f>HYPERLINK("https://lsnyc.legalserver.org/matter/dynamic-profile/view/1901840","19-1901840")</f>
        <v>0</v>
      </c>
      <c r="B3829" t="s">
        <v>50</v>
      </c>
      <c r="C3829" t="s">
        <v>347</v>
      </c>
      <c r="D3829" t="s">
        <v>338</v>
      </c>
      <c r="E3829" t="s">
        <v>1233</v>
      </c>
      <c r="F3829" t="s">
        <v>3806</v>
      </c>
      <c r="G3829" t="s">
        <v>9179</v>
      </c>
      <c r="H3829" t="s">
        <v>11188</v>
      </c>
      <c r="I3829" t="s">
        <v>11385</v>
      </c>
      <c r="J3829">
        <v>11226</v>
      </c>
      <c r="K3829" t="s">
        <v>11446</v>
      </c>
      <c r="L3829" t="s">
        <v>13367</v>
      </c>
      <c r="M3829" t="s">
        <v>14744</v>
      </c>
      <c r="N3829" t="s">
        <v>14781</v>
      </c>
      <c r="O3829" t="s">
        <v>14788</v>
      </c>
      <c r="P3829" t="s">
        <v>14804</v>
      </c>
      <c r="Q3829" t="s">
        <v>11448</v>
      </c>
      <c r="S3829" t="s">
        <v>14827</v>
      </c>
      <c r="T3829" t="s">
        <v>14832</v>
      </c>
      <c r="U3829" t="s">
        <v>338</v>
      </c>
      <c r="V3829">
        <v>1809.23</v>
      </c>
      <c r="W3829" t="s">
        <v>14859</v>
      </c>
      <c r="X3829" t="s">
        <v>14881</v>
      </c>
      <c r="Y3829" t="s">
        <v>14887</v>
      </c>
      <c r="Z3829" t="s">
        <v>17515</v>
      </c>
      <c r="AB3829" t="s">
        <v>23168</v>
      </c>
      <c r="AC3829">
        <v>60</v>
      </c>
      <c r="AD3829" t="s">
        <v>11479</v>
      </c>
      <c r="AE3829" t="s">
        <v>24613</v>
      </c>
      <c r="AF3829">
        <v>10</v>
      </c>
      <c r="AG3829">
        <v>4</v>
      </c>
      <c r="AH3829">
        <v>3</v>
      </c>
      <c r="AI3829">
        <v>165.56</v>
      </c>
      <c r="AL3829" t="s">
        <v>5011</v>
      </c>
      <c r="AM3829">
        <v>64584</v>
      </c>
      <c r="AO3829" t="s">
        <v>24932</v>
      </c>
      <c r="AP3829" t="s">
        <v>24942</v>
      </c>
      <c r="AQ3829" t="s">
        <v>24986</v>
      </c>
      <c r="AR3829" t="s">
        <v>25083</v>
      </c>
      <c r="AS3829">
        <v>1.7</v>
      </c>
      <c r="AT3829" t="s">
        <v>338</v>
      </c>
      <c r="AU3829" t="s">
        <v>25275</v>
      </c>
      <c r="AV3829" t="s">
        <v>25335</v>
      </c>
      <c r="AW3829" t="s">
        <v>11447</v>
      </c>
    </row>
    <row r="3830" spans="1:49">
      <c r="A3830" s="1">
        <f>HYPERLINK("https://lsnyc.legalserver.org/matter/dynamic-profile/view/1878776","18-1878776")</f>
        <v>0</v>
      </c>
      <c r="B3830" t="s">
        <v>150</v>
      </c>
      <c r="C3830" t="s">
        <v>839</v>
      </c>
      <c r="D3830" t="s">
        <v>456</v>
      </c>
      <c r="E3830" t="s">
        <v>1584</v>
      </c>
      <c r="F3830" t="s">
        <v>5569</v>
      </c>
      <c r="G3830" t="s">
        <v>9180</v>
      </c>
      <c r="H3830" t="s">
        <v>10553</v>
      </c>
      <c r="I3830" t="s">
        <v>11385</v>
      </c>
      <c r="J3830">
        <v>11225</v>
      </c>
      <c r="K3830" t="s">
        <v>11447</v>
      </c>
      <c r="L3830" t="s">
        <v>13368</v>
      </c>
      <c r="M3830" t="s">
        <v>14744</v>
      </c>
      <c r="N3830" t="s">
        <v>14781</v>
      </c>
      <c r="O3830" t="s">
        <v>14788</v>
      </c>
      <c r="P3830" t="s">
        <v>14804</v>
      </c>
      <c r="Q3830" t="s">
        <v>11448</v>
      </c>
      <c r="S3830" t="s">
        <v>14827</v>
      </c>
      <c r="T3830" t="s">
        <v>14832</v>
      </c>
      <c r="V3830">
        <v>1074</v>
      </c>
      <c r="W3830" t="s">
        <v>14859</v>
      </c>
      <c r="X3830" t="s">
        <v>14868</v>
      </c>
      <c r="Y3830" t="s">
        <v>14887</v>
      </c>
      <c r="Z3830" t="s">
        <v>18068</v>
      </c>
      <c r="AB3830" t="s">
        <v>23169</v>
      </c>
      <c r="AC3830">
        <v>55</v>
      </c>
      <c r="AD3830" t="s">
        <v>24595</v>
      </c>
      <c r="AE3830" t="s">
        <v>11459</v>
      </c>
      <c r="AF3830">
        <v>22</v>
      </c>
      <c r="AG3830">
        <v>2</v>
      </c>
      <c r="AH3830">
        <v>0</v>
      </c>
      <c r="AI3830">
        <v>241.8</v>
      </c>
      <c r="AJ3830" t="s">
        <v>440</v>
      </c>
      <c r="AL3830" t="s">
        <v>5011</v>
      </c>
      <c r="AM3830">
        <v>39800</v>
      </c>
      <c r="AO3830" t="s">
        <v>24930</v>
      </c>
      <c r="AP3830" t="s">
        <v>24959</v>
      </c>
      <c r="AQ3830" t="s">
        <v>24986</v>
      </c>
      <c r="AR3830" t="s">
        <v>25084</v>
      </c>
      <c r="AS3830">
        <v>24.7</v>
      </c>
      <c r="AT3830" t="s">
        <v>456</v>
      </c>
      <c r="AU3830" t="s">
        <v>25275</v>
      </c>
      <c r="AW3830" t="s">
        <v>11447</v>
      </c>
    </row>
    <row r="3831" spans="1:49">
      <c r="A3831" s="1">
        <f>HYPERLINK("https://lsnyc.legalserver.org/matter/dynamic-profile/view/1895622","19-1895622")</f>
        <v>0</v>
      </c>
      <c r="B3831" t="s">
        <v>189</v>
      </c>
      <c r="C3831" t="s">
        <v>859</v>
      </c>
      <c r="D3831" t="s">
        <v>500</v>
      </c>
      <c r="E3831" t="s">
        <v>1025</v>
      </c>
      <c r="F3831" t="s">
        <v>4162</v>
      </c>
      <c r="G3831" t="s">
        <v>7961</v>
      </c>
      <c r="H3831" t="s">
        <v>10713</v>
      </c>
      <c r="I3831" t="s">
        <v>11385</v>
      </c>
      <c r="J3831">
        <v>11225</v>
      </c>
      <c r="K3831" t="s">
        <v>11447</v>
      </c>
      <c r="L3831" t="s">
        <v>13369</v>
      </c>
      <c r="M3831" t="s">
        <v>14744</v>
      </c>
      <c r="N3831" t="s">
        <v>14781</v>
      </c>
      <c r="O3831" t="s">
        <v>14788</v>
      </c>
      <c r="P3831" t="s">
        <v>14804</v>
      </c>
      <c r="S3831" t="s">
        <v>14827</v>
      </c>
      <c r="T3831" t="s">
        <v>14832</v>
      </c>
      <c r="V3831">
        <v>1058.31</v>
      </c>
      <c r="W3831" t="s">
        <v>14859</v>
      </c>
      <c r="X3831" t="s">
        <v>14881</v>
      </c>
      <c r="Y3831" t="s">
        <v>14887</v>
      </c>
      <c r="Z3831" t="s">
        <v>18069</v>
      </c>
      <c r="AA3831" t="s">
        <v>19803</v>
      </c>
      <c r="AC3831">
        <v>124</v>
      </c>
      <c r="AD3831" t="s">
        <v>24595</v>
      </c>
      <c r="AE3831" t="s">
        <v>24612</v>
      </c>
      <c r="AF3831">
        <v>35</v>
      </c>
      <c r="AG3831">
        <v>1</v>
      </c>
      <c r="AH3831">
        <v>0</v>
      </c>
      <c r="AI3831">
        <v>0</v>
      </c>
      <c r="AM3831">
        <v>0</v>
      </c>
      <c r="AS3831">
        <v>13.5</v>
      </c>
      <c r="AT3831" t="s">
        <v>500</v>
      </c>
      <c r="AU3831" t="s">
        <v>25235</v>
      </c>
      <c r="AW3831" t="s">
        <v>11447</v>
      </c>
    </row>
    <row r="3832" spans="1:49">
      <c r="A3832" s="1">
        <f>HYPERLINK("https://lsnyc.legalserver.org/matter/dynamic-profile/view/1866656","18-1866656")</f>
        <v>0</v>
      </c>
      <c r="B3832" t="s">
        <v>246</v>
      </c>
      <c r="C3832" t="s">
        <v>807</v>
      </c>
      <c r="D3832" t="s">
        <v>355</v>
      </c>
      <c r="E3832" t="s">
        <v>1874</v>
      </c>
      <c r="F3832" t="s">
        <v>4697</v>
      </c>
      <c r="G3832" t="s">
        <v>9181</v>
      </c>
      <c r="H3832" t="s">
        <v>11189</v>
      </c>
      <c r="I3832" t="s">
        <v>11385</v>
      </c>
      <c r="J3832">
        <v>11225</v>
      </c>
      <c r="K3832" t="s">
        <v>11447</v>
      </c>
      <c r="L3832" t="s">
        <v>13370</v>
      </c>
      <c r="M3832" t="s">
        <v>14743</v>
      </c>
      <c r="N3832" t="s">
        <v>14781</v>
      </c>
      <c r="O3832" t="s">
        <v>14788</v>
      </c>
      <c r="P3832" t="s">
        <v>14804</v>
      </c>
      <c r="Q3832" t="s">
        <v>11448</v>
      </c>
      <c r="S3832" t="s">
        <v>14827</v>
      </c>
      <c r="V3832">
        <v>904.96</v>
      </c>
      <c r="W3832" t="s">
        <v>14859</v>
      </c>
      <c r="X3832" t="s">
        <v>14868</v>
      </c>
      <c r="Y3832" t="s">
        <v>14887</v>
      </c>
      <c r="Z3832" t="s">
        <v>18070</v>
      </c>
      <c r="AC3832">
        <v>96</v>
      </c>
      <c r="AD3832" t="s">
        <v>24595</v>
      </c>
      <c r="AE3832" t="s">
        <v>11459</v>
      </c>
      <c r="AF3832">
        <v>4</v>
      </c>
      <c r="AG3832">
        <v>1</v>
      </c>
      <c r="AH3832">
        <v>0</v>
      </c>
      <c r="AI3832">
        <v>238.88</v>
      </c>
      <c r="AJ3832" t="s">
        <v>609</v>
      </c>
      <c r="AL3832" t="s">
        <v>5011</v>
      </c>
      <c r="AM3832">
        <v>29000</v>
      </c>
      <c r="AS3832">
        <v>199.2</v>
      </c>
      <c r="AT3832" t="s">
        <v>332</v>
      </c>
      <c r="AU3832" t="s">
        <v>246</v>
      </c>
      <c r="AW3832" t="s">
        <v>11447</v>
      </c>
    </row>
    <row r="3833" spans="1:49">
      <c r="A3833" s="1">
        <f>HYPERLINK("https://lsnyc.legalserver.org/matter/dynamic-profile/view/1905173","19-1905173")</f>
        <v>0</v>
      </c>
      <c r="B3833" t="s">
        <v>281</v>
      </c>
      <c r="C3833" t="s">
        <v>480</v>
      </c>
      <c r="D3833" t="s">
        <v>485</v>
      </c>
      <c r="E3833" t="s">
        <v>2400</v>
      </c>
      <c r="F3833" t="s">
        <v>5570</v>
      </c>
      <c r="G3833" t="s">
        <v>9182</v>
      </c>
      <c r="H3833" t="s">
        <v>11190</v>
      </c>
      <c r="I3833" t="s">
        <v>11385</v>
      </c>
      <c r="J3833">
        <v>11216</v>
      </c>
      <c r="K3833" t="s">
        <v>11446</v>
      </c>
      <c r="L3833" t="s">
        <v>13371</v>
      </c>
      <c r="M3833" t="s">
        <v>14744</v>
      </c>
      <c r="N3833" t="s">
        <v>14781</v>
      </c>
      <c r="O3833" t="s">
        <v>14789</v>
      </c>
      <c r="P3833" t="s">
        <v>14804</v>
      </c>
      <c r="Q3833" t="s">
        <v>11448</v>
      </c>
      <c r="S3833" t="s">
        <v>14827</v>
      </c>
      <c r="U3833" t="s">
        <v>480</v>
      </c>
      <c r="V3833">
        <v>705</v>
      </c>
      <c r="W3833" t="s">
        <v>14859</v>
      </c>
      <c r="X3833" t="s">
        <v>14881</v>
      </c>
      <c r="Y3833" t="s">
        <v>14887</v>
      </c>
      <c r="Z3833" t="s">
        <v>18071</v>
      </c>
      <c r="AA3833" t="s">
        <v>19804</v>
      </c>
      <c r="AB3833" t="s">
        <v>23170</v>
      </c>
      <c r="AC3833">
        <v>0</v>
      </c>
      <c r="AF3833">
        <v>40</v>
      </c>
      <c r="AG3833">
        <v>1</v>
      </c>
      <c r="AH3833">
        <v>0</v>
      </c>
      <c r="AI3833">
        <v>19.22</v>
      </c>
      <c r="AL3833" t="s">
        <v>5011</v>
      </c>
      <c r="AM3833">
        <v>2400</v>
      </c>
      <c r="AS3833">
        <v>3</v>
      </c>
      <c r="AT3833" t="s">
        <v>485</v>
      </c>
      <c r="AU3833" t="s">
        <v>25285</v>
      </c>
      <c r="AV3833" t="s">
        <v>25335</v>
      </c>
      <c r="AW3833" t="s">
        <v>11447</v>
      </c>
    </row>
    <row r="3834" spans="1:49">
      <c r="A3834" s="1">
        <f>HYPERLINK("https://lsnyc.legalserver.org/matter/dynamic-profile/view/1894248","19-1894248")</f>
        <v>0</v>
      </c>
      <c r="B3834" t="s">
        <v>240</v>
      </c>
      <c r="C3834" t="s">
        <v>356</v>
      </c>
      <c r="D3834" t="s">
        <v>620</v>
      </c>
      <c r="E3834" t="s">
        <v>1103</v>
      </c>
      <c r="F3834" t="s">
        <v>5571</v>
      </c>
      <c r="G3834" t="s">
        <v>9183</v>
      </c>
      <c r="H3834">
        <v>4</v>
      </c>
      <c r="I3834" t="s">
        <v>11385</v>
      </c>
      <c r="J3834">
        <v>11226</v>
      </c>
      <c r="K3834" t="s">
        <v>11448</v>
      </c>
      <c r="L3834" t="s">
        <v>13372</v>
      </c>
      <c r="M3834" t="s">
        <v>14744</v>
      </c>
      <c r="N3834" t="s">
        <v>14782</v>
      </c>
      <c r="O3834" t="s">
        <v>14789</v>
      </c>
      <c r="P3834" t="s">
        <v>14804</v>
      </c>
      <c r="S3834" t="s">
        <v>14827</v>
      </c>
      <c r="V3834">
        <v>705.87</v>
      </c>
      <c r="W3834" t="s">
        <v>14859</v>
      </c>
      <c r="X3834" t="s">
        <v>14865</v>
      </c>
      <c r="Y3834" t="s">
        <v>14887</v>
      </c>
      <c r="Z3834" t="s">
        <v>18072</v>
      </c>
      <c r="AC3834">
        <v>16</v>
      </c>
      <c r="AE3834" t="s">
        <v>11459</v>
      </c>
      <c r="AF3834">
        <v>40</v>
      </c>
      <c r="AG3834">
        <v>1</v>
      </c>
      <c r="AH3834">
        <v>0</v>
      </c>
      <c r="AI3834">
        <v>160.13</v>
      </c>
      <c r="AL3834" t="s">
        <v>5011</v>
      </c>
      <c r="AM3834">
        <v>20000</v>
      </c>
      <c r="AS3834">
        <v>10.3</v>
      </c>
      <c r="AT3834" t="s">
        <v>620</v>
      </c>
      <c r="AU3834" t="s">
        <v>25235</v>
      </c>
      <c r="AW3834" t="s">
        <v>11446</v>
      </c>
    </row>
    <row r="3835" spans="1:49">
      <c r="A3835" s="1">
        <f>HYPERLINK("https://lsnyc.legalserver.org/matter/dynamic-profile/view/1903741","19-1903741")</f>
        <v>0</v>
      </c>
      <c r="B3835" t="s">
        <v>133</v>
      </c>
      <c r="C3835" t="s">
        <v>545</v>
      </c>
      <c r="D3835" t="s">
        <v>366</v>
      </c>
      <c r="E3835" t="s">
        <v>2944</v>
      </c>
      <c r="F3835" t="s">
        <v>5572</v>
      </c>
      <c r="G3835" t="s">
        <v>9184</v>
      </c>
      <c r="H3835" t="s">
        <v>10524</v>
      </c>
      <c r="I3835" t="s">
        <v>11385</v>
      </c>
      <c r="J3835">
        <v>11226</v>
      </c>
      <c r="K3835" t="s">
        <v>11446</v>
      </c>
      <c r="L3835" t="s">
        <v>13373</v>
      </c>
      <c r="M3835" t="s">
        <v>14744</v>
      </c>
      <c r="N3835" t="s">
        <v>14778</v>
      </c>
      <c r="O3835" t="s">
        <v>14786</v>
      </c>
      <c r="P3835" t="s">
        <v>14804</v>
      </c>
      <c r="Q3835" t="s">
        <v>11448</v>
      </c>
      <c r="S3835" t="s">
        <v>14827</v>
      </c>
      <c r="T3835" t="s">
        <v>14832</v>
      </c>
      <c r="U3835" t="s">
        <v>545</v>
      </c>
      <c r="V3835">
        <v>922.83</v>
      </c>
      <c r="W3835" t="s">
        <v>14859</v>
      </c>
      <c r="X3835" t="s">
        <v>14865</v>
      </c>
      <c r="Y3835" t="s">
        <v>14883</v>
      </c>
      <c r="Z3835" t="s">
        <v>18073</v>
      </c>
      <c r="AC3835">
        <v>36</v>
      </c>
      <c r="AD3835" t="s">
        <v>24595</v>
      </c>
      <c r="AF3835">
        <v>1</v>
      </c>
      <c r="AG3835">
        <v>2</v>
      </c>
      <c r="AH3835">
        <v>2</v>
      </c>
      <c r="AI3835">
        <v>104.85</v>
      </c>
      <c r="AL3835" t="s">
        <v>5011</v>
      </c>
      <c r="AM3835">
        <v>27000</v>
      </c>
      <c r="AQ3835" t="s">
        <v>24986</v>
      </c>
      <c r="AR3835" t="s">
        <v>25085</v>
      </c>
      <c r="AS3835">
        <v>4</v>
      </c>
      <c r="AT3835" t="s">
        <v>366</v>
      </c>
      <c r="AU3835" t="s">
        <v>25235</v>
      </c>
      <c r="AV3835" t="s">
        <v>25335</v>
      </c>
      <c r="AW3835" t="s">
        <v>11447</v>
      </c>
    </row>
    <row r="3836" spans="1:49">
      <c r="A3836" s="1">
        <f>HYPERLINK("https://lsnyc.legalserver.org/matter/dynamic-profile/view/1890826","19-1890826")</f>
        <v>0</v>
      </c>
      <c r="B3836" t="s">
        <v>77</v>
      </c>
      <c r="C3836" t="s">
        <v>353</v>
      </c>
      <c r="D3836" t="s">
        <v>455</v>
      </c>
      <c r="E3836" t="s">
        <v>2926</v>
      </c>
      <c r="F3836" t="s">
        <v>3555</v>
      </c>
      <c r="G3836" t="s">
        <v>9185</v>
      </c>
      <c r="H3836" t="s">
        <v>10911</v>
      </c>
      <c r="I3836" t="s">
        <v>11385</v>
      </c>
      <c r="J3836">
        <v>11216</v>
      </c>
      <c r="K3836" t="s">
        <v>11447</v>
      </c>
      <c r="M3836" t="s">
        <v>11601</v>
      </c>
      <c r="N3836" t="s">
        <v>14781</v>
      </c>
      <c r="O3836" t="s">
        <v>14788</v>
      </c>
      <c r="P3836" t="s">
        <v>14804</v>
      </c>
      <c r="Q3836" t="s">
        <v>11448</v>
      </c>
      <c r="S3836" t="s">
        <v>14827</v>
      </c>
      <c r="V3836">
        <v>1314.12</v>
      </c>
      <c r="W3836" t="s">
        <v>14859</v>
      </c>
      <c r="X3836" t="s">
        <v>14868</v>
      </c>
      <c r="Y3836" t="s">
        <v>14887</v>
      </c>
      <c r="Z3836" t="s">
        <v>18074</v>
      </c>
      <c r="AB3836" t="s">
        <v>23171</v>
      </c>
      <c r="AC3836">
        <v>8</v>
      </c>
      <c r="AD3836" t="s">
        <v>24595</v>
      </c>
      <c r="AF3836">
        <v>16</v>
      </c>
      <c r="AG3836">
        <v>1</v>
      </c>
      <c r="AH3836">
        <v>0</v>
      </c>
      <c r="AI3836">
        <v>37.47</v>
      </c>
      <c r="AL3836" t="s">
        <v>5011</v>
      </c>
      <c r="AM3836">
        <v>4680</v>
      </c>
      <c r="AS3836">
        <v>16.25</v>
      </c>
      <c r="AT3836" t="s">
        <v>455</v>
      </c>
      <c r="AU3836" t="s">
        <v>25273</v>
      </c>
      <c r="AW3836" t="s">
        <v>11447</v>
      </c>
    </row>
    <row r="3837" spans="1:49">
      <c r="A3837" s="1">
        <f>HYPERLINK("https://lsnyc.legalserver.org/matter/dynamic-profile/view/1907699","19-1907699")</f>
        <v>0</v>
      </c>
      <c r="B3837" t="s">
        <v>281</v>
      </c>
      <c r="C3837" t="s">
        <v>633</v>
      </c>
      <c r="D3837" t="s">
        <v>375</v>
      </c>
      <c r="E3837" t="s">
        <v>2945</v>
      </c>
      <c r="F3837" t="s">
        <v>5573</v>
      </c>
      <c r="G3837" t="s">
        <v>9186</v>
      </c>
      <c r="H3837" t="s">
        <v>10559</v>
      </c>
      <c r="I3837" t="s">
        <v>11385</v>
      </c>
      <c r="J3837">
        <v>11226</v>
      </c>
      <c r="K3837" t="s">
        <v>11446</v>
      </c>
      <c r="L3837" t="s">
        <v>13374</v>
      </c>
      <c r="M3837" t="s">
        <v>14744</v>
      </c>
      <c r="N3837" t="s">
        <v>14778</v>
      </c>
      <c r="O3837" t="s">
        <v>14786</v>
      </c>
      <c r="P3837" t="s">
        <v>14804</v>
      </c>
      <c r="S3837" t="s">
        <v>14827</v>
      </c>
      <c r="U3837" t="s">
        <v>633</v>
      </c>
      <c r="V3837">
        <v>1720</v>
      </c>
      <c r="W3837" t="s">
        <v>14859</v>
      </c>
      <c r="X3837" t="s">
        <v>14865</v>
      </c>
      <c r="Y3837" t="s">
        <v>14883</v>
      </c>
      <c r="Z3837" t="s">
        <v>18075</v>
      </c>
      <c r="AB3837" t="s">
        <v>23172</v>
      </c>
      <c r="AC3837">
        <v>0</v>
      </c>
      <c r="AD3837" t="s">
        <v>11479</v>
      </c>
      <c r="AE3837" t="s">
        <v>11459</v>
      </c>
      <c r="AF3837">
        <v>0</v>
      </c>
      <c r="AG3837">
        <v>1</v>
      </c>
      <c r="AH3837">
        <v>0</v>
      </c>
      <c r="AI3837">
        <v>0</v>
      </c>
      <c r="AL3837" t="s">
        <v>5011</v>
      </c>
      <c r="AM3837">
        <v>0</v>
      </c>
      <c r="AS3837">
        <v>1.5</v>
      </c>
      <c r="AT3837" t="s">
        <v>375</v>
      </c>
      <c r="AU3837" t="s">
        <v>25277</v>
      </c>
      <c r="AV3837" t="s">
        <v>25335</v>
      </c>
      <c r="AW3837" t="s">
        <v>11447</v>
      </c>
    </row>
    <row r="3838" spans="1:49">
      <c r="A3838" s="1">
        <f>HYPERLINK("https://lsnyc.legalserver.org/matter/dynamic-profile/view/1902955","19-1902955")</f>
        <v>0</v>
      </c>
      <c r="B3838" t="s">
        <v>281</v>
      </c>
      <c r="C3838" t="s">
        <v>659</v>
      </c>
      <c r="D3838" t="s">
        <v>497</v>
      </c>
      <c r="E3838" t="s">
        <v>1847</v>
      </c>
      <c r="F3838" t="s">
        <v>5574</v>
      </c>
      <c r="G3838" t="s">
        <v>9187</v>
      </c>
      <c r="H3838" t="s">
        <v>10732</v>
      </c>
      <c r="I3838" t="s">
        <v>11385</v>
      </c>
      <c r="J3838">
        <v>11225</v>
      </c>
      <c r="K3838" t="s">
        <v>11446</v>
      </c>
      <c r="L3838" t="s">
        <v>13375</v>
      </c>
      <c r="M3838" t="s">
        <v>14743</v>
      </c>
      <c r="N3838" t="s">
        <v>14781</v>
      </c>
      <c r="O3838" t="s">
        <v>14788</v>
      </c>
      <c r="P3838" t="s">
        <v>14804</v>
      </c>
      <c r="Q3838" t="s">
        <v>11448</v>
      </c>
      <c r="S3838" t="s">
        <v>14827</v>
      </c>
      <c r="T3838" t="s">
        <v>14832</v>
      </c>
      <c r="U3838" t="s">
        <v>545</v>
      </c>
      <c r="V3838">
        <v>859.65</v>
      </c>
      <c r="W3838" t="s">
        <v>14859</v>
      </c>
      <c r="X3838" t="s">
        <v>14881</v>
      </c>
      <c r="Y3838" t="s">
        <v>14887</v>
      </c>
      <c r="Z3838" t="s">
        <v>18076</v>
      </c>
      <c r="AB3838" t="s">
        <v>23173</v>
      </c>
      <c r="AC3838">
        <v>94</v>
      </c>
      <c r="AD3838" t="s">
        <v>11479</v>
      </c>
      <c r="AE3838" t="s">
        <v>11459</v>
      </c>
      <c r="AF3838">
        <v>42</v>
      </c>
      <c r="AG3838">
        <v>1</v>
      </c>
      <c r="AH3838">
        <v>0</v>
      </c>
      <c r="AI3838">
        <v>160.13</v>
      </c>
      <c r="AL3838" t="s">
        <v>5011</v>
      </c>
      <c r="AM3838">
        <v>20000</v>
      </c>
      <c r="AO3838" t="s">
        <v>24937</v>
      </c>
      <c r="AP3838" t="s">
        <v>24942</v>
      </c>
      <c r="AQ3838" t="s">
        <v>24986</v>
      </c>
      <c r="AR3838" t="s">
        <v>25010</v>
      </c>
      <c r="AS3838">
        <v>14.9</v>
      </c>
      <c r="AT3838" t="s">
        <v>497</v>
      </c>
      <c r="AU3838" t="s">
        <v>25285</v>
      </c>
      <c r="AV3838" t="s">
        <v>25335</v>
      </c>
      <c r="AW3838" t="s">
        <v>11447</v>
      </c>
    </row>
    <row r="3839" spans="1:49">
      <c r="A3839" s="1">
        <f>HYPERLINK("https://lsnyc.legalserver.org/matter/dynamic-profile/view/1903093","19-1903093")</f>
        <v>0</v>
      </c>
      <c r="B3839" t="s">
        <v>281</v>
      </c>
      <c r="C3839" t="s">
        <v>346</v>
      </c>
      <c r="D3839" t="s">
        <v>497</v>
      </c>
      <c r="E3839" t="s">
        <v>2946</v>
      </c>
      <c r="F3839" t="s">
        <v>5575</v>
      </c>
      <c r="G3839" t="s">
        <v>9188</v>
      </c>
      <c r="H3839">
        <v>403</v>
      </c>
      <c r="I3839" t="s">
        <v>11385</v>
      </c>
      <c r="J3839">
        <v>11216</v>
      </c>
      <c r="K3839" t="s">
        <v>11446</v>
      </c>
      <c r="L3839" t="s">
        <v>13376</v>
      </c>
      <c r="M3839" t="s">
        <v>14744</v>
      </c>
      <c r="N3839" t="s">
        <v>14781</v>
      </c>
      <c r="O3839" t="s">
        <v>14789</v>
      </c>
      <c r="P3839" t="s">
        <v>14804</v>
      </c>
      <c r="Q3839" t="s">
        <v>11448</v>
      </c>
      <c r="S3839" t="s">
        <v>14827</v>
      </c>
      <c r="T3839" t="s">
        <v>14832</v>
      </c>
      <c r="U3839" t="s">
        <v>545</v>
      </c>
      <c r="V3839">
        <v>2350</v>
      </c>
      <c r="W3839" t="s">
        <v>14859</v>
      </c>
      <c r="X3839" t="s">
        <v>14881</v>
      </c>
      <c r="Y3839" t="s">
        <v>14887</v>
      </c>
      <c r="Z3839" t="s">
        <v>18077</v>
      </c>
      <c r="AB3839" t="s">
        <v>23174</v>
      </c>
      <c r="AC3839">
        <v>1</v>
      </c>
      <c r="AD3839" t="s">
        <v>11479</v>
      </c>
      <c r="AE3839" t="s">
        <v>11459</v>
      </c>
      <c r="AF3839">
        <v>4</v>
      </c>
      <c r="AG3839">
        <v>1</v>
      </c>
      <c r="AH3839">
        <v>0</v>
      </c>
      <c r="AI3839">
        <v>192.15</v>
      </c>
      <c r="AL3839" t="s">
        <v>5011</v>
      </c>
      <c r="AM3839">
        <v>24000</v>
      </c>
      <c r="AO3839" t="s">
        <v>24932</v>
      </c>
      <c r="AP3839" t="s">
        <v>24943</v>
      </c>
      <c r="AQ3839" t="s">
        <v>24986</v>
      </c>
      <c r="AR3839" t="s">
        <v>25042</v>
      </c>
      <c r="AS3839">
        <v>6.8</v>
      </c>
      <c r="AT3839" t="s">
        <v>497</v>
      </c>
      <c r="AU3839" t="s">
        <v>25285</v>
      </c>
      <c r="AV3839" t="s">
        <v>25335</v>
      </c>
      <c r="AW3839" t="s">
        <v>11447</v>
      </c>
    </row>
    <row r="3840" spans="1:49">
      <c r="A3840" s="1">
        <f>HYPERLINK("https://lsnyc.legalserver.org/matter/dynamic-profile/view/1905262","19-1905262")</f>
        <v>0</v>
      </c>
      <c r="B3840" t="s">
        <v>281</v>
      </c>
      <c r="C3840" t="s">
        <v>480</v>
      </c>
      <c r="D3840" t="s">
        <v>589</v>
      </c>
      <c r="E3840" t="s">
        <v>1847</v>
      </c>
      <c r="F3840" t="s">
        <v>5576</v>
      </c>
      <c r="G3840" t="s">
        <v>9189</v>
      </c>
      <c r="H3840" t="s">
        <v>10557</v>
      </c>
      <c r="I3840" t="s">
        <v>11385</v>
      </c>
      <c r="J3840">
        <v>11221</v>
      </c>
      <c r="K3840" t="s">
        <v>11446</v>
      </c>
      <c r="L3840" t="s">
        <v>13377</v>
      </c>
      <c r="M3840" t="s">
        <v>14744</v>
      </c>
      <c r="N3840" t="s">
        <v>14781</v>
      </c>
      <c r="O3840" t="s">
        <v>14789</v>
      </c>
      <c r="P3840" t="s">
        <v>14804</v>
      </c>
      <c r="Q3840" t="s">
        <v>11448</v>
      </c>
      <c r="S3840" t="s">
        <v>14827</v>
      </c>
      <c r="U3840" t="s">
        <v>480</v>
      </c>
      <c r="V3840">
        <v>1240</v>
      </c>
      <c r="W3840" t="s">
        <v>14859</v>
      </c>
      <c r="X3840" t="s">
        <v>14881</v>
      </c>
      <c r="Y3840" t="s">
        <v>14887</v>
      </c>
      <c r="Z3840" t="s">
        <v>18078</v>
      </c>
      <c r="AB3840" t="s">
        <v>23175</v>
      </c>
      <c r="AC3840">
        <v>0</v>
      </c>
      <c r="AE3840" t="s">
        <v>24614</v>
      </c>
      <c r="AF3840">
        <v>9</v>
      </c>
      <c r="AG3840">
        <v>1</v>
      </c>
      <c r="AH3840">
        <v>1</v>
      </c>
      <c r="AI3840">
        <v>70.95999999999999</v>
      </c>
      <c r="AL3840" t="s">
        <v>5011</v>
      </c>
      <c r="AM3840">
        <v>12000</v>
      </c>
      <c r="AS3840">
        <v>6.6</v>
      </c>
      <c r="AT3840" t="s">
        <v>589</v>
      </c>
      <c r="AU3840" t="s">
        <v>25285</v>
      </c>
      <c r="AV3840" t="s">
        <v>25335</v>
      </c>
      <c r="AW3840" t="s">
        <v>11447</v>
      </c>
    </row>
    <row r="3841" spans="1:49">
      <c r="A3841" s="1">
        <f>HYPERLINK("https://lsnyc.legalserver.org/matter/dynamic-profile/view/1885133","18-1885133")</f>
        <v>0</v>
      </c>
      <c r="B3841" t="s">
        <v>150</v>
      </c>
      <c r="C3841" t="s">
        <v>794</v>
      </c>
      <c r="D3841" t="s">
        <v>519</v>
      </c>
      <c r="E3841" t="s">
        <v>2947</v>
      </c>
      <c r="F3841" t="s">
        <v>5577</v>
      </c>
      <c r="G3841" t="s">
        <v>9190</v>
      </c>
      <c r="H3841" t="s">
        <v>10579</v>
      </c>
      <c r="I3841" t="s">
        <v>11385</v>
      </c>
      <c r="J3841">
        <v>11226</v>
      </c>
      <c r="K3841" t="s">
        <v>11448</v>
      </c>
      <c r="L3841" t="s">
        <v>13378</v>
      </c>
      <c r="M3841" t="s">
        <v>14744</v>
      </c>
      <c r="N3841" t="s">
        <v>14781</v>
      </c>
      <c r="O3841" t="s">
        <v>14788</v>
      </c>
      <c r="P3841" t="s">
        <v>14804</v>
      </c>
      <c r="Q3841" t="s">
        <v>11448</v>
      </c>
      <c r="S3841" t="s">
        <v>14827</v>
      </c>
      <c r="T3841" t="s">
        <v>14832</v>
      </c>
      <c r="V3841">
        <v>475.2</v>
      </c>
      <c r="W3841" t="s">
        <v>14859</v>
      </c>
      <c r="X3841" t="s">
        <v>14865</v>
      </c>
      <c r="Y3841" t="s">
        <v>14887</v>
      </c>
      <c r="Z3841" t="s">
        <v>18079</v>
      </c>
      <c r="AB3841" t="s">
        <v>23176</v>
      </c>
      <c r="AC3841">
        <v>40</v>
      </c>
      <c r="AD3841" t="s">
        <v>24595</v>
      </c>
      <c r="AE3841" t="s">
        <v>24613</v>
      </c>
      <c r="AF3841">
        <v>33</v>
      </c>
      <c r="AG3841">
        <v>2</v>
      </c>
      <c r="AH3841">
        <v>0</v>
      </c>
      <c r="AI3841">
        <v>122.48</v>
      </c>
      <c r="AL3841" t="s">
        <v>5011</v>
      </c>
      <c r="AM3841">
        <v>20160</v>
      </c>
      <c r="AO3841" t="s">
        <v>24930</v>
      </c>
      <c r="AP3841" t="s">
        <v>24959</v>
      </c>
      <c r="AQ3841" t="s">
        <v>24986</v>
      </c>
      <c r="AR3841" t="s">
        <v>25056</v>
      </c>
      <c r="AS3841">
        <v>30.1</v>
      </c>
      <c r="AT3841" t="s">
        <v>519</v>
      </c>
      <c r="AU3841" t="s">
        <v>25235</v>
      </c>
      <c r="AW3841" t="s">
        <v>11447</v>
      </c>
    </row>
    <row r="3842" spans="1:49">
      <c r="A3842" s="1">
        <f>HYPERLINK("https://lsnyc.legalserver.org/matter/dynamic-profile/view/1905525","19-1905525")</f>
        <v>0</v>
      </c>
      <c r="B3842" t="s">
        <v>176</v>
      </c>
      <c r="C3842" t="s">
        <v>555</v>
      </c>
      <c r="D3842" t="s">
        <v>504</v>
      </c>
      <c r="E3842" t="s">
        <v>1056</v>
      </c>
      <c r="F3842" t="s">
        <v>5578</v>
      </c>
      <c r="G3842" t="s">
        <v>8143</v>
      </c>
      <c r="H3842">
        <v>412</v>
      </c>
      <c r="I3842" t="s">
        <v>11385</v>
      </c>
      <c r="J3842">
        <v>11216</v>
      </c>
      <c r="K3842" t="s">
        <v>11446</v>
      </c>
      <c r="L3842" t="s">
        <v>13379</v>
      </c>
      <c r="M3842" t="s">
        <v>14744</v>
      </c>
      <c r="N3842" t="s">
        <v>14781</v>
      </c>
      <c r="O3842" t="s">
        <v>14788</v>
      </c>
      <c r="P3842" t="s">
        <v>14804</v>
      </c>
      <c r="Q3842" t="s">
        <v>11448</v>
      </c>
      <c r="S3842" t="s">
        <v>14827</v>
      </c>
      <c r="U3842" t="s">
        <v>555</v>
      </c>
      <c r="V3842">
        <v>1400</v>
      </c>
      <c r="W3842" t="s">
        <v>14859</v>
      </c>
      <c r="X3842" t="s">
        <v>14868</v>
      </c>
      <c r="Y3842" t="s">
        <v>14887</v>
      </c>
      <c r="Z3842" t="s">
        <v>18080</v>
      </c>
      <c r="AB3842" t="s">
        <v>23177</v>
      </c>
      <c r="AC3842">
        <v>71</v>
      </c>
      <c r="AD3842" t="s">
        <v>24595</v>
      </c>
      <c r="AF3842">
        <v>6</v>
      </c>
      <c r="AG3842">
        <v>1</v>
      </c>
      <c r="AH3842">
        <v>0</v>
      </c>
      <c r="AI3842">
        <v>39.14</v>
      </c>
      <c r="AM3842">
        <v>4888</v>
      </c>
      <c r="AP3842" t="s">
        <v>24941</v>
      </c>
      <c r="AQ3842" t="s">
        <v>24986</v>
      </c>
      <c r="AR3842" t="s">
        <v>25086</v>
      </c>
      <c r="AS3842">
        <v>3.95</v>
      </c>
      <c r="AT3842" t="s">
        <v>601</v>
      </c>
      <c r="AU3842" t="s">
        <v>91</v>
      </c>
      <c r="AV3842" t="s">
        <v>25335</v>
      </c>
      <c r="AW3842" t="s">
        <v>11447</v>
      </c>
    </row>
    <row r="3843" spans="1:49">
      <c r="A3843" s="1">
        <f>HYPERLINK("https://lsnyc.legalserver.org/matter/dynamic-profile/view/1902779","19-1902779")</f>
        <v>0</v>
      </c>
      <c r="B3843" t="s">
        <v>278</v>
      </c>
      <c r="C3843" t="s">
        <v>527</v>
      </c>
      <c r="D3843" t="s">
        <v>528</v>
      </c>
      <c r="E3843" t="s">
        <v>1864</v>
      </c>
      <c r="F3843" t="s">
        <v>3814</v>
      </c>
      <c r="G3843" t="s">
        <v>9191</v>
      </c>
      <c r="H3843" t="s">
        <v>11191</v>
      </c>
      <c r="I3843" t="s">
        <v>11385</v>
      </c>
      <c r="J3843">
        <v>11221</v>
      </c>
      <c r="K3843" t="s">
        <v>11446</v>
      </c>
      <c r="L3843" t="s">
        <v>13380</v>
      </c>
      <c r="M3843" t="s">
        <v>14744</v>
      </c>
      <c r="N3843" t="s">
        <v>14781</v>
      </c>
      <c r="O3843" t="s">
        <v>14792</v>
      </c>
      <c r="P3843" t="s">
        <v>14804</v>
      </c>
      <c r="Q3843" t="s">
        <v>11448</v>
      </c>
      <c r="S3843" t="s">
        <v>14828</v>
      </c>
      <c r="T3843" t="s">
        <v>14832</v>
      </c>
      <c r="U3843" t="s">
        <v>545</v>
      </c>
      <c r="V3843">
        <v>354</v>
      </c>
      <c r="W3843" t="s">
        <v>14859</v>
      </c>
      <c r="X3843" t="s">
        <v>14865</v>
      </c>
      <c r="Y3843" t="s">
        <v>14894</v>
      </c>
      <c r="Z3843" t="s">
        <v>18081</v>
      </c>
      <c r="AA3843" t="s">
        <v>19805</v>
      </c>
      <c r="AB3843" t="s">
        <v>23178</v>
      </c>
      <c r="AC3843">
        <v>48</v>
      </c>
      <c r="AD3843" t="s">
        <v>24597</v>
      </c>
      <c r="AE3843" t="s">
        <v>11459</v>
      </c>
      <c r="AF3843">
        <v>37</v>
      </c>
      <c r="AG3843">
        <v>2</v>
      </c>
      <c r="AH3843">
        <v>2</v>
      </c>
      <c r="AI3843">
        <v>0</v>
      </c>
      <c r="AL3843" t="s">
        <v>5011</v>
      </c>
      <c r="AM3843">
        <v>0</v>
      </c>
      <c r="AO3843" t="s">
        <v>24932</v>
      </c>
      <c r="AP3843" t="s">
        <v>24942</v>
      </c>
      <c r="AQ3843" t="s">
        <v>24986</v>
      </c>
      <c r="AR3843" t="s">
        <v>25087</v>
      </c>
      <c r="AS3843">
        <v>3.85</v>
      </c>
      <c r="AT3843" t="s">
        <v>528</v>
      </c>
      <c r="AU3843" t="s">
        <v>25275</v>
      </c>
      <c r="AV3843" t="s">
        <v>25335</v>
      </c>
      <c r="AW3843" t="s">
        <v>11447</v>
      </c>
    </row>
    <row r="3844" spans="1:49">
      <c r="A3844" s="1">
        <f>HYPERLINK("https://lsnyc.legalserver.org/matter/dynamic-profile/view/1906166","19-1906166")</f>
        <v>0</v>
      </c>
      <c r="B3844" t="s">
        <v>278</v>
      </c>
      <c r="C3844" t="s">
        <v>553</v>
      </c>
      <c r="D3844" t="s">
        <v>528</v>
      </c>
      <c r="E3844" t="s">
        <v>1501</v>
      </c>
      <c r="F3844" t="s">
        <v>1983</v>
      </c>
      <c r="G3844" t="s">
        <v>9192</v>
      </c>
      <c r="H3844" t="s">
        <v>10701</v>
      </c>
      <c r="I3844" t="s">
        <v>11385</v>
      </c>
      <c r="J3844">
        <v>11225</v>
      </c>
      <c r="K3844" t="s">
        <v>11446</v>
      </c>
      <c r="L3844" t="s">
        <v>13381</v>
      </c>
      <c r="M3844" t="s">
        <v>14744</v>
      </c>
      <c r="N3844" t="s">
        <v>14781</v>
      </c>
      <c r="O3844" t="s">
        <v>14788</v>
      </c>
      <c r="P3844" t="s">
        <v>14804</v>
      </c>
      <c r="Q3844" t="s">
        <v>11448</v>
      </c>
      <c r="S3844" t="s">
        <v>14827</v>
      </c>
      <c r="T3844" t="s">
        <v>14834</v>
      </c>
      <c r="U3844" t="s">
        <v>618</v>
      </c>
      <c r="V3844">
        <v>1583</v>
      </c>
      <c r="W3844" t="s">
        <v>14859</v>
      </c>
      <c r="X3844" t="s">
        <v>14881</v>
      </c>
      <c r="Y3844" t="s">
        <v>14883</v>
      </c>
      <c r="Z3844" t="s">
        <v>18082</v>
      </c>
      <c r="AA3844" t="s">
        <v>19806</v>
      </c>
      <c r="AB3844" t="s">
        <v>23179</v>
      </c>
      <c r="AC3844">
        <v>8</v>
      </c>
      <c r="AD3844" t="s">
        <v>11479</v>
      </c>
      <c r="AE3844" t="s">
        <v>11459</v>
      </c>
      <c r="AF3844">
        <v>6</v>
      </c>
      <c r="AG3844">
        <v>3</v>
      </c>
      <c r="AH3844">
        <v>2</v>
      </c>
      <c r="AI3844">
        <v>120.65</v>
      </c>
      <c r="AL3844" t="s">
        <v>5011</v>
      </c>
      <c r="AM3844">
        <v>36400</v>
      </c>
      <c r="AO3844" t="s">
        <v>24932</v>
      </c>
      <c r="AP3844" t="s">
        <v>24942</v>
      </c>
      <c r="AQ3844" t="s">
        <v>24986</v>
      </c>
      <c r="AR3844" t="s">
        <v>25010</v>
      </c>
      <c r="AS3844">
        <v>7.4</v>
      </c>
      <c r="AT3844" t="s">
        <v>528</v>
      </c>
      <c r="AU3844" t="s">
        <v>25275</v>
      </c>
      <c r="AV3844" t="s">
        <v>25335</v>
      </c>
      <c r="AW3844" t="s">
        <v>11447</v>
      </c>
    </row>
    <row r="3845" spans="1:49">
      <c r="A3845" s="1">
        <f>HYPERLINK("https://lsnyc.legalserver.org/matter/dynamic-profile/view/1906147","19-1906147")</f>
        <v>0</v>
      </c>
      <c r="B3845" t="s">
        <v>278</v>
      </c>
      <c r="C3845" t="s">
        <v>553</v>
      </c>
      <c r="D3845" t="s">
        <v>528</v>
      </c>
      <c r="E3845" t="s">
        <v>1395</v>
      </c>
      <c r="F3845" t="s">
        <v>3891</v>
      </c>
      <c r="G3845" t="s">
        <v>6713</v>
      </c>
      <c r="H3845" t="s">
        <v>11192</v>
      </c>
      <c r="I3845" t="s">
        <v>11385</v>
      </c>
      <c r="J3845">
        <v>11225</v>
      </c>
      <c r="K3845" t="s">
        <v>11446</v>
      </c>
      <c r="L3845" t="s">
        <v>13382</v>
      </c>
      <c r="M3845" t="s">
        <v>14744</v>
      </c>
      <c r="N3845" t="s">
        <v>14781</v>
      </c>
      <c r="O3845" t="s">
        <v>14788</v>
      </c>
      <c r="P3845" t="s">
        <v>14804</v>
      </c>
      <c r="Q3845" t="s">
        <v>11448</v>
      </c>
      <c r="S3845" t="s">
        <v>14827</v>
      </c>
      <c r="T3845" t="s">
        <v>14832</v>
      </c>
      <c r="U3845" t="s">
        <v>618</v>
      </c>
      <c r="V3845">
        <v>1129.99</v>
      </c>
      <c r="W3845" t="s">
        <v>14859</v>
      </c>
      <c r="X3845" t="s">
        <v>14881</v>
      </c>
      <c r="Y3845" t="s">
        <v>14887</v>
      </c>
      <c r="Z3845" t="s">
        <v>15343</v>
      </c>
      <c r="AA3845" t="s">
        <v>19807</v>
      </c>
      <c r="AB3845" t="s">
        <v>20489</v>
      </c>
      <c r="AC3845">
        <v>25</v>
      </c>
      <c r="AD3845" t="s">
        <v>24595</v>
      </c>
      <c r="AE3845" t="s">
        <v>11459</v>
      </c>
      <c r="AF3845">
        <v>15</v>
      </c>
      <c r="AG3845">
        <v>1</v>
      </c>
      <c r="AH3845">
        <v>2</v>
      </c>
      <c r="AI3845">
        <v>182.84</v>
      </c>
      <c r="AL3845" t="s">
        <v>5011</v>
      </c>
      <c r="AM3845">
        <v>39000</v>
      </c>
      <c r="AO3845" t="s">
        <v>24930</v>
      </c>
      <c r="AP3845" t="s">
        <v>24941</v>
      </c>
      <c r="AQ3845" t="s">
        <v>24986</v>
      </c>
      <c r="AR3845" t="s">
        <v>25014</v>
      </c>
      <c r="AS3845">
        <v>5.6</v>
      </c>
      <c r="AT3845" t="s">
        <v>528</v>
      </c>
      <c r="AU3845" t="s">
        <v>25275</v>
      </c>
      <c r="AV3845" t="s">
        <v>25335</v>
      </c>
      <c r="AW3845" t="s">
        <v>11447</v>
      </c>
    </row>
    <row r="3846" spans="1:49">
      <c r="A3846" s="1">
        <f>HYPERLINK("https://lsnyc.legalserver.org/matter/dynamic-profile/view/1899154","19-1899154")</f>
        <v>0</v>
      </c>
      <c r="B3846" t="s">
        <v>278</v>
      </c>
      <c r="C3846" t="s">
        <v>363</v>
      </c>
      <c r="D3846" t="s">
        <v>528</v>
      </c>
      <c r="E3846" t="s">
        <v>1554</v>
      </c>
      <c r="F3846" t="s">
        <v>3978</v>
      </c>
      <c r="G3846" t="s">
        <v>9193</v>
      </c>
      <c r="H3846" t="s">
        <v>10581</v>
      </c>
      <c r="I3846" t="s">
        <v>11385</v>
      </c>
      <c r="J3846">
        <v>11216</v>
      </c>
      <c r="K3846" t="s">
        <v>11446</v>
      </c>
      <c r="L3846" t="s">
        <v>13383</v>
      </c>
      <c r="M3846" t="s">
        <v>14744</v>
      </c>
      <c r="N3846" t="s">
        <v>14781</v>
      </c>
      <c r="O3846" t="s">
        <v>14788</v>
      </c>
      <c r="P3846" t="s">
        <v>14804</v>
      </c>
      <c r="Q3846" t="s">
        <v>11446</v>
      </c>
      <c r="S3846" t="s">
        <v>14830</v>
      </c>
      <c r="T3846" t="s">
        <v>14832</v>
      </c>
      <c r="U3846" t="s">
        <v>485</v>
      </c>
      <c r="V3846">
        <v>0</v>
      </c>
      <c r="W3846" t="s">
        <v>14859</v>
      </c>
      <c r="X3846" t="s">
        <v>14864</v>
      </c>
      <c r="Y3846" t="s">
        <v>14887</v>
      </c>
      <c r="Z3846" t="s">
        <v>18083</v>
      </c>
      <c r="AA3846" t="s">
        <v>19808</v>
      </c>
      <c r="AB3846" t="s">
        <v>23180</v>
      </c>
      <c r="AC3846">
        <v>16</v>
      </c>
      <c r="AD3846" t="s">
        <v>24595</v>
      </c>
      <c r="AE3846" t="s">
        <v>11459</v>
      </c>
      <c r="AF3846">
        <v>11</v>
      </c>
      <c r="AG3846">
        <v>1</v>
      </c>
      <c r="AH3846">
        <v>1</v>
      </c>
      <c r="AI3846">
        <v>7.86</v>
      </c>
      <c r="AL3846" t="s">
        <v>5011</v>
      </c>
      <c r="AM3846">
        <v>1328.6</v>
      </c>
      <c r="AO3846" t="s">
        <v>24931</v>
      </c>
      <c r="AP3846" t="s">
        <v>24942</v>
      </c>
      <c r="AQ3846" t="s">
        <v>24986</v>
      </c>
      <c r="AR3846" t="s">
        <v>25010</v>
      </c>
      <c r="AS3846">
        <v>14.5</v>
      </c>
      <c r="AT3846" t="s">
        <v>528</v>
      </c>
      <c r="AU3846" t="s">
        <v>25291</v>
      </c>
      <c r="AV3846" t="s">
        <v>25335</v>
      </c>
      <c r="AW3846" t="s">
        <v>11447</v>
      </c>
    </row>
    <row r="3847" spans="1:49">
      <c r="A3847" s="1">
        <f>HYPERLINK("https://lsnyc.legalserver.org/matter/dynamic-profile/view/1908749","19-1908749")</f>
        <v>0</v>
      </c>
      <c r="B3847" t="s">
        <v>93</v>
      </c>
      <c r="C3847" t="s">
        <v>585</v>
      </c>
      <c r="D3847" t="s">
        <v>508</v>
      </c>
      <c r="E3847" t="s">
        <v>2948</v>
      </c>
      <c r="F3847" t="s">
        <v>1395</v>
      </c>
      <c r="G3847" t="s">
        <v>9194</v>
      </c>
      <c r="H3847" t="s">
        <v>10575</v>
      </c>
      <c r="I3847" t="s">
        <v>11385</v>
      </c>
      <c r="J3847">
        <v>11216</v>
      </c>
      <c r="K3847" t="s">
        <v>11448</v>
      </c>
      <c r="L3847" t="s">
        <v>13384</v>
      </c>
      <c r="M3847" t="s">
        <v>14744</v>
      </c>
      <c r="N3847" t="s">
        <v>14781</v>
      </c>
      <c r="O3847" t="s">
        <v>14788</v>
      </c>
      <c r="P3847" t="s">
        <v>14804</v>
      </c>
      <c r="Q3847" t="s">
        <v>11448</v>
      </c>
      <c r="S3847" t="s">
        <v>14827</v>
      </c>
      <c r="T3847" t="s">
        <v>14832</v>
      </c>
      <c r="U3847" t="s">
        <v>485</v>
      </c>
      <c r="V3847">
        <v>1432.68</v>
      </c>
      <c r="W3847" t="s">
        <v>14859</v>
      </c>
      <c r="X3847" t="s">
        <v>14881</v>
      </c>
      <c r="Y3847" t="s">
        <v>14887</v>
      </c>
      <c r="Z3847" t="s">
        <v>18084</v>
      </c>
      <c r="AA3847" t="s">
        <v>11704</v>
      </c>
      <c r="AC3847">
        <v>16</v>
      </c>
      <c r="AD3847" t="s">
        <v>24595</v>
      </c>
      <c r="AE3847" t="s">
        <v>11459</v>
      </c>
      <c r="AF3847">
        <v>9</v>
      </c>
      <c r="AG3847">
        <v>1</v>
      </c>
      <c r="AH3847">
        <v>0</v>
      </c>
      <c r="AI3847">
        <v>160.13</v>
      </c>
      <c r="AL3847" t="s">
        <v>5011</v>
      </c>
      <c r="AM3847">
        <v>20000</v>
      </c>
      <c r="AO3847" t="s">
        <v>24932</v>
      </c>
      <c r="AP3847" t="s">
        <v>24942</v>
      </c>
      <c r="AQ3847" t="s">
        <v>24986</v>
      </c>
      <c r="AR3847" t="s">
        <v>25010</v>
      </c>
      <c r="AS3847">
        <v>2.55</v>
      </c>
      <c r="AT3847" t="s">
        <v>462</v>
      </c>
      <c r="AU3847" t="s">
        <v>25285</v>
      </c>
      <c r="AV3847" t="s">
        <v>25335</v>
      </c>
      <c r="AW3847" t="s">
        <v>11447</v>
      </c>
    </row>
    <row r="3848" spans="1:49">
      <c r="A3848" s="1">
        <f>HYPERLINK("https://lsnyc.legalserver.org/matter/dynamic-profile/view/1859503","18-1859503")</f>
        <v>0</v>
      </c>
      <c r="B3848" t="s">
        <v>93</v>
      </c>
      <c r="C3848" t="s">
        <v>860</v>
      </c>
      <c r="D3848" t="s">
        <v>602</v>
      </c>
      <c r="E3848" t="s">
        <v>2949</v>
      </c>
      <c r="F3848" t="s">
        <v>4753</v>
      </c>
      <c r="G3848" t="s">
        <v>9195</v>
      </c>
      <c r="H3848" t="s">
        <v>10575</v>
      </c>
      <c r="I3848" t="s">
        <v>11385</v>
      </c>
      <c r="J3848">
        <v>11216</v>
      </c>
      <c r="K3848" t="s">
        <v>11446</v>
      </c>
      <c r="L3848" t="s">
        <v>13385</v>
      </c>
      <c r="M3848" t="s">
        <v>14744</v>
      </c>
      <c r="N3848" t="s">
        <v>14781</v>
      </c>
      <c r="O3848" t="s">
        <v>14788</v>
      </c>
      <c r="P3848" t="s">
        <v>14804</v>
      </c>
      <c r="Q3848" t="s">
        <v>11448</v>
      </c>
      <c r="S3848" t="s">
        <v>14828</v>
      </c>
      <c r="T3848" t="s">
        <v>14832</v>
      </c>
      <c r="U3848" t="s">
        <v>14839</v>
      </c>
      <c r="V3848">
        <v>412</v>
      </c>
      <c r="W3848" t="s">
        <v>14859</v>
      </c>
      <c r="X3848" t="s">
        <v>14879</v>
      </c>
      <c r="Y3848" t="s">
        <v>14891</v>
      </c>
      <c r="Z3848" t="s">
        <v>18085</v>
      </c>
      <c r="AB3848" t="s">
        <v>23181</v>
      </c>
      <c r="AC3848">
        <v>6</v>
      </c>
      <c r="AD3848" t="s">
        <v>24595</v>
      </c>
      <c r="AE3848" t="s">
        <v>11459</v>
      </c>
      <c r="AF3848">
        <v>21</v>
      </c>
      <c r="AG3848">
        <v>2</v>
      </c>
      <c r="AH3848">
        <v>0</v>
      </c>
      <c r="AI3848">
        <v>22.17</v>
      </c>
      <c r="AL3848" t="s">
        <v>5011</v>
      </c>
      <c r="AM3848">
        <v>3600</v>
      </c>
      <c r="AO3848" t="s">
        <v>24932</v>
      </c>
      <c r="AP3848" t="s">
        <v>24943</v>
      </c>
      <c r="AQ3848" t="s">
        <v>24986</v>
      </c>
      <c r="AR3848" t="s">
        <v>25088</v>
      </c>
      <c r="AS3848">
        <v>11.91</v>
      </c>
      <c r="AT3848" t="s">
        <v>629</v>
      </c>
      <c r="AU3848" t="s">
        <v>25246</v>
      </c>
      <c r="AV3848" t="s">
        <v>25335</v>
      </c>
      <c r="AW3848" t="s">
        <v>11447</v>
      </c>
    </row>
    <row r="3849" spans="1:49">
      <c r="A3849" s="1">
        <f>HYPERLINK("https://lsnyc.legalserver.org/matter/dynamic-profile/view/1888658","19-1888658")</f>
        <v>0</v>
      </c>
      <c r="B3849" t="s">
        <v>150</v>
      </c>
      <c r="C3849" t="s">
        <v>542</v>
      </c>
      <c r="D3849" t="s">
        <v>602</v>
      </c>
      <c r="E3849" t="s">
        <v>2950</v>
      </c>
      <c r="F3849" t="s">
        <v>1840</v>
      </c>
      <c r="G3849" t="s">
        <v>8308</v>
      </c>
      <c r="H3849" t="s">
        <v>10794</v>
      </c>
      <c r="I3849" t="s">
        <v>11385</v>
      </c>
      <c r="J3849">
        <v>11221</v>
      </c>
      <c r="K3849" t="s">
        <v>11447</v>
      </c>
      <c r="L3849" t="s">
        <v>13386</v>
      </c>
      <c r="M3849" t="s">
        <v>14744</v>
      </c>
      <c r="N3849" t="s">
        <v>14781</v>
      </c>
      <c r="O3849" t="s">
        <v>14788</v>
      </c>
      <c r="P3849" t="s">
        <v>14804</v>
      </c>
      <c r="Q3849" t="s">
        <v>11448</v>
      </c>
      <c r="S3849" t="s">
        <v>14827</v>
      </c>
      <c r="T3849" t="s">
        <v>14832</v>
      </c>
      <c r="V3849">
        <v>157</v>
      </c>
      <c r="W3849" t="s">
        <v>14859</v>
      </c>
      <c r="X3849" t="s">
        <v>14881</v>
      </c>
      <c r="Y3849" t="s">
        <v>14887</v>
      </c>
      <c r="Z3849" t="s">
        <v>18086</v>
      </c>
      <c r="AA3849" t="s">
        <v>19809</v>
      </c>
      <c r="AB3849" t="s">
        <v>23182</v>
      </c>
      <c r="AC3849">
        <v>64</v>
      </c>
      <c r="AE3849" t="s">
        <v>14755</v>
      </c>
      <c r="AF3849">
        <v>5</v>
      </c>
      <c r="AG3849">
        <v>1</v>
      </c>
      <c r="AH3849">
        <v>0</v>
      </c>
      <c r="AI3849">
        <v>72.06</v>
      </c>
      <c r="AL3849" t="s">
        <v>5011</v>
      </c>
      <c r="AM3849">
        <v>9000</v>
      </c>
      <c r="AO3849" t="s">
        <v>24930</v>
      </c>
      <c r="AP3849" t="s">
        <v>24959</v>
      </c>
      <c r="AQ3849" t="s">
        <v>24986</v>
      </c>
      <c r="AR3849" t="s">
        <v>25089</v>
      </c>
      <c r="AS3849">
        <v>13</v>
      </c>
      <c r="AT3849" t="s">
        <v>602</v>
      </c>
      <c r="AU3849" t="s">
        <v>25235</v>
      </c>
      <c r="AW3849" t="s">
        <v>11447</v>
      </c>
    </row>
    <row r="3850" spans="1:49">
      <c r="A3850" s="1">
        <f>HYPERLINK("https://lsnyc.legalserver.org/matter/dynamic-profile/view/1902968","19-1902968")</f>
        <v>0</v>
      </c>
      <c r="B3850" t="s">
        <v>281</v>
      </c>
      <c r="C3850" t="s">
        <v>659</v>
      </c>
      <c r="D3850" t="s">
        <v>663</v>
      </c>
      <c r="E3850" t="s">
        <v>2951</v>
      </c>
      <c r="F3850" t="s">
        <v>5579</v>
      </c>
      <c r="G3850" t="s">
        <v>9196</v>
      </c>
      <c r="H3850" t="s">
        <v>10581</v>
      </c>
      <c r="I3850" t="s">
        <v>11385</v>
      </c>
      <c r="J3850">
        <v>11226</v>
      </c>
      <c r="K3850" t="s">
        <v>11446</v>
      </c>
      <c r="L3850" t="s">
        <v>13387</v>
      </c>
      <c r="M3850" t="s">
        <v>14744</v>
      </c>
      <c r="N3850" t="s">
        <v>14781</v>
      </c>
      <c r="O3850" t="s">
        <v>14788</v>
      </c>
      <c r="P3850" t="s">
        <v>14804</v>
      </c>
      <c r="S3850" t="s">
        <v>14827</v>
      </c>
      <c r="U3850" t="s">
        <v>545</v>
      </c>
      <c r="V3850">
        <v>0</v>
      </c>
      <c r="W3850" t="s">
        <v>14859</v>
      </c>
      <c r="X3850" t="s">
        <v>14865</v>
      </c>
      <c r="Y3850" t="s">
        <v>14887</v>
      </c>
      <c r="Z3850" t="s">
        <v>18087</v>
      </c>
      <c r="AB3850" t="s">
        <v>23183</v>
      </c>
      <c r="AC3850">
        <v>25</v>
      </c>
      <c r="AF3850">
        <v>0</v>
      </c>
      <c r="AG3850">
        <v>7</v>
      </c>
      <c r="AH3850">
        <v>1</v>
      </c>
      <c r="AI3850">
        <v>127.76</v>
      </c>
      <c r="AL3850" t="s">
        <v>5011</v>
      </c>
      <c r="AM3850">
        <v>55488</v>
      </c>
      <c r="AS3850">
        <v>26.2</v>
      </c>
      <c r="AT3850" t="s">
        <v>663</v>
      </c>
      <c r="AU3850" t="s">
        <v>25235</v>
      </c>
      <c r="AV3850" t="s">
        <v>25335</v>
      </c>
      <c r="AW3850" t="s">
        <v>11447</v>
      </c>
    </row>
    <row r="3851" spans="1:49">
      <c r="A3851" s="1">
        <f>HYPERLINK("https://lsnyc.legalserver.org/matter/dynamic-profile/view/1876674","18-1876674")</f>
        <v>0</v>
      </c>
      <c r="B3851" t="s">
        <v>106</v>
      </c>
      <c r="C3851" t="s">
        <v>861</v>
      </c>
      <c r="D3851" t="s">
        <v>1018</v>
      </c>
      <c r="E3851" t="s">
        <v>2482</v>
      </c>
      <c r="F3851" t="s">
        <v>4356</v>
      </c>
      <c r="G3851" t="s">
        <v>9197</v>
      </c>
      <c r="H3851" t="s">
        <v>10461</v>
      </c>
      <c r="I3851" t="s">
        <v>11385</v>
      </c>
      <c r="J3851">
        <v>11225</v>
      </c>
      <c r="K3851" t="s">
        <v>11448</v>
      </c>
      <c r="L3851" t="s">
        <v>13388</v>
      </c>
      <c r="M3851" t="s">
        <v>14744</v>
      </c>
      <c r="N3851" t="s">
        <v>14781</v>
      </c>
      <c r="O3851" t="s">
        <v>14791</v>
      </c>
      <c r="P3851" t="s">
        <v>14804</v>
      </c>
      <c r="S3851" t="s">
        <v>14827</v>
      </c>
      <c r="V3851">
        <v>0</v>
      </c>
      <c r="W3851" t="s">
        <v>14859</v>
      </c>
      <c r="Y3851" t="s">
        <v>14888</v>
      </c>
      <c r="Z3851" t="s">
        <v>15337</v>
      </c>
      <c r="AC3851">
        <v>0</v>
      </c>
      <c r="AF3851">
        <v>0</v>
      </c>
      <c r="AG3851">
        <v>1</v>
      </c>
      <c r="AH3851">
        <v>0</v>
      </c>
      <c r="AI3851">
        <v>0</v>
      </c>
      <c r="AL3851" t="s">
        <v>5011</v>
      </c>
      <c r="AM3851">
        <v>0</v>
      </c>
      <c r="AS3851">
        <v>17.9</v>
      </c>
      <c r="AT3851" t="s">
        <v>612</v>
      </c>
      <c r="AU3851" t="s">
        <v>25235</v>
      </c>
      <c r="AW3851" t="s">
        <v>11447</v>
      </c>
    </row>
    <row r="3852" spans="1:49">
      <c r="A3852" s="1">
        <f>HYPERLINK("https://lsnyc.legalserver.org/matter/dynamic-profile/view/1902739","19-1902739")</f>
        <v>0</v>
      </c>
      <c r="B3852" t="s">
        <v>93</v>
      </c>
      <c r="C3852" t="s">
        <v>527</v>
      </c>
      <c r="D3852" t="s">
        <v>604</v>
      </c>
      <c r="E3852" t="s">
        <v>2952</v>
      </c>
      <c r="F3852" t="s">
        <v>5580</v>
      </c>
      <c r="G3852" t="s">
        <v>9198</v>
      </c>
      <c r="H3852" t="s">
        <v>11021</v>
      </c>
      <c r="I3852" t="s">
        <v>11385</v>
      </c>
      <c r="J3852">
        <v>11221</v>
      </c>
      <c r="K3852" t="s">
        <v>11446</v>
      </c>
      <c r="L3852" t="s">
        <v>13389</v>
      </c>
      <c r="M3852" t="s">
        <v>14744</v>
      </c>
      <c r="N3852" t="s">
        <v>14781</v>
      </c>
      <c r="O3852" t="s">
        <v>14788</v>
      </c>
      <c r="P3852" t="s">
        <v>14804</v>
      </c>
      <c r="Q3852" t="s">
        <v>11448</v>
      </c>
      <c r="S3852" t="s">
        <v>14828</v>
      </c>
      <c r="T3852" t="s">
        <v>14832</v>
      </c>
      <c r="U3852" t="s">
        <v>545</v>
      </c>
      <c r="V3852">
        <v>408.6</v>
      </c>
      <c r="W3852" t="s">
        <v>14859</v>
      </c>
      <c r="X3852" t="s">
        <v>14865</v>
      </c>
      <c r="Y3852" t="s">
        <v>14894</v>
      </c>
      <c r="Z3852" t="s">
        <v>18088</v>
      </c>
      <c r="AA3852" t="s">
        <v>11459</v>
      </c>
      <c r="AB3852" t="s">
        <v>23184</v>
      </c>
      <c r="AC3852">
        <v>50</v>
      </c>
      <c r="AD3852" t="s">
        <v>24597</v>
      </c>
      <c r="AE3852" t="s">
        <v>11459</v>
      </c>
      <c r="AF3852">
        <v>1</v>
      </c>
      <c r="AG3852">
        <v>2</v>
      </c>
      <c r="AH3852">
        <v>1</v>
      </c>
      <c r="AI3852">
        <v>68.06999999999999</v>
      </c>
      <c r="AL3852" t="s">
        <v>5011</v>
      </c>
      <c r="AM3852">
        <v>14520</v>
      </c>
      <c r="AO3852" t="s">
        <v>24930</v>
      </c>
      <c r="AP3852" t="s">
        <v>24942</v>
      </c>
      <c r="AQ3852" t="s">
        <v>24986</v>
      </c>
      <c r="AR3852" t="s">
        <v>25087</v>
      </c>
      <c r="AS3852">
        <v>7.45</v>
      </c>
      <c r="AT3852" t="s">
        <v>472</v>
      </c>
      <c r="AU3852" t="s">
        <v>25275</v>
      </c>
      <c r="AV3852" t="s">
        <v>25335</v>
      </c>
      <c r="AW3852" t="s">
        <v>11447</v>
      </c>
    </row>
    <row r="3853" spans="1:49">
      <c r="A3853" s="1">
        <f>HYPERLINK("https://lsnyc.legalserver.org/matter/dynamic-profile/view/1905284","19-1905284")</f>
        <v>0</v>
      </c>
      <c r="B3853" t="s">
        <v>281</v>
      </c>
      <c r="C3853" t="s">
        <v>480</v>
      </c>
      <c r="D3853" t="s">
        <v>604</v>
      </c>
      <c r="E3853" t="s">
        <v>2953</v>
      </c>
      <c r="F3853" t="s">
        <v>4988</v>
      </c>
      <c r="G3853" t="s">
        <v>9199</v>
      </c>
      <c r="H3853" t="s">
        <v>10522</v>
      </c>
      <c r="I3853" t="s">
        <v>11385</v>
      </c>
      <c r="J3853">
        <v>11226</v>
      </c>
      <c r="K3853" t="s">
        <v>11446</v>
      </c>
      <c r="L3853" t="s">
        <v>13390</v>
      </c>
      <c r="M3853" t="s">
        <v>14744</v>
      </c>
      <c r="N3853" t="s">
        <v>14781</v>
      </c>
      <c r="O3853" t="s">
        <v>14789</v>
      </c>
      <c r="P3853" t="s">
        <v>14804</v>
      </c>
      <c r="S3853" t="s">
        <v>14827</v>
      </c>
      <c r="V3853">
        <v>1617.84</v>
      </c>
      <c r="W3853" t="s">
        <v>14859</v>
      </c>
      <c r="X3853" t="s">
        <v>14755</v>
      </c>
      <c r="Y3853" t="s">
        <v>14887</v>
      </c>
      <c r="Z3853" t="s">
        <v>18089</v>
      </c>
      <c r="AA3853" t="s">
        <v>19810</v>
      </c>
      <c r="AB3853" t="s">
        <v>23185</v>
      </c>
      <c r="AC3853">
        <v>36</v>
      </c>
      <c r="AF3853">
        <v>8</v>
      </c>
      <c r="AG3853">
        <v>2</v>
      </c>
      <c r="AH3853">
        <v>1</v>
      </c>
      <c r="AI3853">
        <v>199.83</v>
      </c>
      <c r="AL3853" t="s">
        <v>5011</v>
      </c>
      <c r="AM3853">
        <v>42623.1</v>
      </c>
      <c r="AS3853">
        <v>8.300000000000001</v>
      </c>
      <c r="AT3853" t="s">
        <v>604</v>
      </c>
      <c r="AU3853" t="s">
        <v>25275</v>
      </c>
      <c r="AV3853" t="s">
        <v>25335</v>
      </c>
      <c r="AW3853" t="s">
        <v>11447</v>
      </c>
    </row>
    <row r="3854" spans="1:49">
      <c r="A3854" s="1">
        <f>HYPERLINK("https://lsnyc.legalserver.org/matter/dynamic-profile/view/1904359","19-1904359")</f>
        <v>0</v>
      </c>
      <c r="B3854" t="s">
        <v>93</v>
      </c>
      <c r="C3854" t="s">
        <v>332</v>
      </c>
      <c r="D3854" t="s">
        <v>475</v>
      </c>
      <c r="E3854" t="s">
        <v>2954</v>
      </c>
      <c r="F3854" t="s">
        <v>5581</v>
      </c>
      <c r="G3854" t="s">
        <v>9200</v>
      </c>
      <c r="H3854" t="s">
        <v>10450</v>
      </c>
      <c r="I3854" t="s">
        <v>11385</v>
      </c>
      <c r="J3854">
        <v>11216</v>
      </c>
      <c r="K3854" t="s">
        <v>11446</v>
      </c>
      <c r="L3854" t="s">
        <v>13391</v>
      </c>
      <c r="M3854" t="s">
        <v>14744</v>
      </c>
      <c r="N3854" t="s">
        <v>14781</v>
      </c>
      <c r="O3854" t="s">
        <v>14788</v>
      </c>
      <c r="P3854" t="s">
        <v>14804</v>
      </c>
      <c r="Q3854" t="s">
        <v>11448</v>
      </c>
      <c r="S3854" t="s">
        <v>14827</v>
      </c>
      <c r="T3854" t="s">
        <v>14832</v>
      </c>
      <c r="U3854" t="s">
        <v>545</v>
      </c>
      <c r="V3854">
        <v>849.38</v>
      </c>
      <c r="W3854" t="s">
        <v>14859</v>
      </c>
      <c r="X3854" t="s">
        <v>14868</v>
      </c>
      <c r="Y3854" t="s">
        <v>14887</v>
      </c>
      <c r="Z3854" t="s">
        <v>18090</v>
      </c>
      <c r="AA3854" t="s">
        <v>11459</v>
      </c>
      <c r="AB3854" t="s">
        <v>23186</v>
      </c>
      <c r="AC3854">
        <v>6</v>
      </c>
      <c r="AD3854" t="s">
        <v>24595</v>
      </c>
      <c r="AE3854" t="s">
        <v>11459</v>
      </c>
      <c r="AF3854">
        <v>8</v>
      </c>
      <c r="AG3854">
        <v>1</v>
      </c>
      <c r="AH3854">
        <v>0</v>
      </c>
      <c r="AI3854">
        <v>249.8</v>
      </c>
      <c r="AJ3854" t="s">
        <v>455</v>
      </c>
      <c r="AK3854" t="s">
        <v>24629</v>
      </c>
      <c r="AL3854" t="s">
        <v>5011</v>
      </c>
      <c r="AM3854">
        <v>31200</v>
      </c>
      <c r="AO3854" t="s">
        <v>24931</v>
      </c>
      <c r="AP3854" t="s">
        <v>24942</v>
      </c>
      <c r="AQ3854" t="s">
        <v>24986</v>
      </c>
      <c r="AR3854" t="s">
        <v>25034</v>
      </c>
      <c r="AS3854">
        <v>5.7</v>
      </c>
      <c r="AT3854" t="s">
        <v>475</v>
      </c>
      <c r="AU3854" t="s">
        <v>93</v>
      </c>
      <c r="AV3854" t="s">
        <v>25335</v>
      </c>
      <c r="AW3854" t="s">
        <v>11447</v>
      </c>
    </row>
    <row r="3855" spans="1:49">
      <c r="A3855" s="1">
        <f>HYPERLINK("https://lsnyc.legalserver.org/matter/dynamic-profile/view/1909695","19-1909695")</f>
        <v>0</v>
      </c>
      <c r="B3855" t="s">
        <v>281</v>
      </c>
      <c r="C3855" t="s">
        <v>519</v>
      </c>
      <c r="D3855" t="s">
        <v>475</v>
      </c>
      <c r="E3855" t="s">
        <v>2955</v>
      </c>
      <c r="F3855" t="s">
        <v>1395</v>
      </c>
      <c r="G3855" t="s">
        <v>9201</v>
      </c>
      <c r="H3855">
        <v>2</v>
      </c>
      <c r="I3855" t="s">
        <v>11385</v>
      </c>
      <c r="J3855">
        <v>11216</v>
      </c>
      <c r="K3855" t="s">
        <v>11446</v>
      </c>
      <c r="L3855" t="s">
        <v>13392</v>
      </c>
      <c r="M3855" t="s">
        <v>14744</v>
      </c>
      <c r="N3855" t="s">
        <v>14781</v>
      </c>
      <c r="O3855" t="s">
        <v>14792</v>
      </c>
      <c r="P3855" t="s">
        <v>14804</v>
      </c>
      <c r="Q3855" t="s">
        <v>11448</v>
      </c>
      <c r="S3855" t="s">
        <v>14827</v>
      </c>
      <c r="U3855" t="s">
        <v>504</v>
      </c>
      <c r="V3855">
        <v>0</v>
      </c>
      <c r="W3855" t="s">
        <v>14859</v>
      </c>
      <c r="X3855" t="s">
        <v>14881</v>
      </c>
      <c r="Y3855" t="s">
        <v>14887</v>
      </c>
      <c r="Z3855" t="s">
        <v>18091</v>
      </c>
      <c r="AB3855" t="s">
        <v>23187</v>
      </c>
      <c r="AC3855">
        <v>0</v>
      </c>
      <c r="AF3855">
        <v>0</v>
      </c>
      <c r="AG3855">
        <v>1</v>
      </c>
      <c r="AH3855">
        <v>1</v>
      </c>
      <c r="AI3855">
        <v>170.31</v>
      </c>
      <c r="AL3855" t="s">
        <v>5011</v>
      </c>
      <c r="AM3855">
        <v>28800</v>
      </c>
      <c r="AS3855">
        <v>3.1</v>
      </c>
      <c r="AT3855" t="s">
        <v>460</v>
      </c>
      <c r="AU3855" t="s">
        <v>25285</v>
      </c>
      <c r="AV3855" t="s">
        <v>25335</v>
      </c>
      <c r="AW3855" t="s">
        <v>11447</v>
      </c>
    </row>
    <row r="3856" spans="1:49">
      <c r="A3856" s="1">
        <f>HYPERLINK("https://lsnyc.legalserver.org/matter/dynamic-profile/view/1901625","19-1901625")</f>
        <v>0</v>
      </c>
      <c r="B3856" t="s">
        <v>281</v>
      </c>
      <c r="C3856" t="s">
        <v>459</v>
      </c>
      <c r="D3856" t="s">
        <v>475</v>
      </c>
      <c r="E3856" t="s">
        <v>1584</v>
      </c>
      <c r="F3856" t="s">
        <v>5582</v>
      </c>
      <c r="G3856" t="s">
        <v>9202</v>
      </c>
      <c r="H3856" t="s">
        <v>11193</v>
      </c>
      <c r="I3856" t="s">
        <v>11385</v>
      </c>
      <c r="J3856">
        <v>11225</v>
      </c>
      <c r="K3856" t="s">
        <v>11447</v>
      </c>
      <c r="L3856" t="s">
        <v>13393</v>
      </c>
      <c r="M3856" t="s">
        <v>14744</v>
      </c>
      <c r="N3856" t="s">
        <v>14781</v>
      </c>
      <c r="O3856" t="s">
        <v>14789</v>
      </c>
      <c r="P3856" t="s">
        <v>14804</v>
      </c>
      <c r="S3856" t="s">
        <v>14827</v>
      </c>
      <c r="V3856">
        <v>399.28</v>
      </c>
      <c r="W3856" t="s">
        <v>14859</v>
      </c>
      <c r="X3856" t="s">
        <v>14863</v>
      </c>
      <c r="Y3856" t="s">
        <v>14887</v>
      </c>
      <c r="Z3856" t="s">
        <v>18092</v>
      </c>
      <c r="AC3856">
        <v>77</v>
      </c>
      <c r="AF3856">
        <v>0</v>
      </c>
      <c r="AG3856">
        <v>1</v>
      </c>
      <c r="AH3856">
        <v>0</v>
      </c>
      <c r="AI3856">
        <v>0</v>
      </c>
      <c r="AM3856">
        <v>0</v>
      </c>
      <c r="AS3856">
        <v>12.7</v>
      </c>
      <c r="AT3856" t="s">
        <v>475</v>
      </c>
      <c r="AU3856" t="s">
        <v>25235</v>
      </c>
      <c r="AW3856" t="s">
        <v>11447</v>
      </c>
    </row>
    <row r="3857" spans="1:49">
      <c r="A3857" s="1">
        <f>HYPERLINK("https://lsnyc.legalserver.org/matter/dynamic-profile/view/1903705","19-1903705")</f>
        <v>0</v>
      </c>
      <c r="B3857" t="s">
        <v>150</v>
      </c>
      <c r="C3857" t="s">
        <v>545</v>
      </c>
      <c r="D3857" t="s">
        <v>551</v>
      </c>
      <c r="E3857" t="s">
        <v>1872</v>
      </c>
      <c r="F3857" t="s">
        <v>3716</v>
      </c>
      <c r="G3857" t="s">
        <v>9203</v>
      </c>
      <c r="H3857" t="s">
        <v>10478</v>
      </c>
      <c r="I3857" t="s">
        <v>11385</v>
      </c>
      <c r="J3857">
        <v>11221</v>
      </c>
      <c r="K3857" t="s">
        <v>11446</v>
      </c>
      <c r="L3857" t="s">
        <v>13394</v>
      </c>
      <c r="M3857" t="s">
        <v>14744</v>
      </c>
      <c r="N3857" t="s">
        <v>14781</v>
      </c>
      <c r="O3857" t="s">
        <v>14788</v>
      </c>
      <c r="P3857" t="s">
        <v>14804</v>
      </c>
      <c r="Q3857" t="s">
        <v>11448</v>
      </c>
      <c r="S3857" t="s">
        <v>14827</v>
      </c>
      <c r="T3857" t="s">
        <v>14837</v>
      </c>
      <c r="U3857" t="s">
        <v>545</v>
      </c>
      <c r="V3857">
        <v>1700</v>
      </c>
      <c r="W3857" t="s">
        <v>14859</v>
      </c>
      <c r="X3857" t="s">
        <v>14881</v>
      </c>
      <c r="Y3857" t="s">
        <v>14887</v>
      </c>
      <c r="Z3857" t="s">
        <v>18093</v>
      </c>
      <c r="AA3857" t="s">
        <v>19811</v>
      </c>
      <c r="AB3857" t="s">
        <v>20997</v>
      </c>
      <c r="AC3857">
        <v>38</v>
      </c>
      <c r="AD3857" t="s">
        <v>24595</v>
      </c>
      <c r="AF3857">
        <v>8</v>
      </c>
      <c r="AG3857">
        <v>3</v>
      </c>
      <c r="AH3857">
        <v>0</v>
      </c>
      <c r="AI3857">
        <v>69.93000000000001</v>
      </c>
      <c r="AL3857" t="s">
        <v>5011</v>
      </c>
      <c r="AM3857">
        <v>14916</v>
      </c>
      <c r="AP3857" t="s">
        <v>24942</v>
      </c>
      <c r="AQ3857" t="s">
        <v>24986</v>
      </c>
      <c r="AR3857" t="s">
        <v>25034</v>
      </c>
      <c r="AS3857">
        <v>6.8</v>
      </c>
      <c r="AT3857" t="s">
        <v>551</v>
      </c>
      <c r="AU3857" t="s">
        <v>25285</v>
      </c>
      <c r="AV3857" t="s">
        <v>25335</v>
      </c>
      <c r="AW3857" t="s">
        <v>11447</v>
      </c>
    </row>
    <row r="3858" spans="1:49">
      <c r="A3858" s="1">
        <f>HYPERLINK("https://lsnyc.legalserver.org/matter/dynamic-profile/view/1902763","19-1902763")</f>
        <v>0</v>
      </c>
      <c r="B3858" t="s">
        <v>278</v>
      </c>
      <c r="C3858" t="s">
        <v>527</v>
      </c>
      <c r="D3858" t="s">
        <v>551</v>
      </c>
      <c r="E3858" t="s">
        <v>1249</v>
      </c>
      <c r="F3858" t="s">
        <v>2719</v>
      </c>
      <c r="G3858" t="s">
        <v>9204</v>
      </c>
      <c r="H3858" t="s">
        <v>11194</v>
      </c>
      <c r="I3858" t="s">
        <v>11385</v>
      </c>
      <c r="J3858">
        <v>11216</v>
      </c>
      <c r="K3858" t="s">
        <v>11446</v>
      </c>
      <c r="L3858" t="s">
        <v>13395</v>
      </c>
      <c r="M3858" t="s">
        <v>14744</v>
      </c>
      <c r="N3858" t="s">
        <v>14781</v>
      </c>
      <c r="O3858" t="s">
        <v>14788</v>
      </c>
      <c r="P3858" t="s">
        <v>14804</v>
      </c>
      <c r="Q3858" t="s">
        <v>11448</v>
      </c>
      <c r="S3858" t="s">
        <v>14828</v>
      </c>
      <c r="T3858" t="s">
        <v>14832</v>
      </c>
      <c r="U3858" t="s">
        <v>545</v>
      </c>
      <c r="V3858">
        <v>742</v>
      </c>
      <c r="W3858" t="s">
        <v>14859</v>
      </c>
      <c r="X3858" t="s">
        <v>14865</v>
      </c>
      <c r="Y3858" t="s">
        <v>14894</v>
      </c>
      <c r="Z3858" t="s">
        <v>18094</v>
      </c>
      <c r="AA3858">
        <v>38125323</v>
      </c>
      <c r="AB3858" t="s">
        <v>23188</v>
      </c>
      <c r="AC3858">
        <v>48</v>
      </c>
      <c r="AD3858" t="s">
        <v>24597</v>
      </c>
      <c r="AE3858" t="s">
        <v>11459</v>
      </c>
      <c r="AF3858">
        <v>-1</v>
      </c>
      <c r="AG3858">
        <v>2</v>
      </c>
      <c r="AH3858">
        <v>1</v>
      </c>
      <c r="AI3858">
        <v>121.89</v>
      </c>
      <c r="AL3858" t="s">
        <v>5011</v>
      </c>
      <c r="AM3858">
        <v>26000</v>
      </c>
      <c r="AO3858" t="s">
        <v>24932</v>
      </c>
      <c r="AP3858" t="s">
        <v>24942</v>
      </c>
      <c r="AQ3858" t="s">
        <v>24986</v>
      </c>
      <c r="AR3858" t="s">
        <v>25020</v>
      </c>
      <c r="AS3858">
        <v>7.35</v>
      </c>
      <c r="AT3858" t="s">
        <v>551</v>
      </c>
      <c r="AU3858" t="s">
        <v>25275</v>
      </c>
      <c r="AV3858" t="s">
        <v>25335</v>
      </c>
      <c r="AW3858" t="s">
        <v>11447</v>
      </c>
    </row>
    <row r="3859" spans="1:49">
      <c r="A3859" s="1">
        <f>HYPERLINK("https://lsnyc.legalserver.org/matter/dynamic-profile/view/1906155","19-1906155")</f>
        <v>0</v>
      </c>
      <c r="B3859" t="s">
        <v>191</v>
      </c>
      <c r="C3859" t="s">
        <v>553</v>
      </c>
      <c r="D3859" t="s">
        <v>559</v>
      </c>
      <c r="E3859" t="s">
        <v>2417</v>
      </c>
      <c r="F3859" t="s">
        <v>5583</v>
      </c>
      <c r="G3859" t="s">
        <v>9205</v>
      </c>
      <c r="H3859" t="s">
        <v>10637</v>
      </c>
      <c r="I3859" t="s">
        <v>11385</v>
      </c>
      <c r="J3859">
        <v>11221</v>
      </c>
      <c r="K3859" t="s">
        <v>11446</v>
      </c>
      <c r="L3859" t="s">
        <v>13396</v>
      </c>
      <c r="M3859" t="s">
        <v>14743</v>
      </c>
      <c r="N3859" t="s">
        <v>14781</v>
      </c>
      <c r="O3859" t="s">
        <v>14787</v>
      </c>
      <c r="P3859" t="s">
        <v>14804</v>
      </c>
      <c r="Q3859" t="s">
        <v>11448</v>
      </c>
      <c r="S3859" t="s">
        <v>14827</v>
      </c>
      <c r="U3859" t="s">
        <v>553</v>
      </c>
      <c r="V3859">
        <v>1500</v>
      </c>
      <c r="W3859" t="s">
        <v>14859</v>
      </c>
      <c r="X3859" t="s">
        <v>14881</v>
      </c>
      <c r="Y3859" t="s">
        <v>14885</v>
      </c>
      <c r="Z3859" t="s">
        <v>18095</v>
      </c>
      <c r="AB3859" t="s">
        <v>23189</v>
      </c>
      <c r="AC3859">
        <v>4</v>
      </c>
      <c r="AD3859" t="s">
        <v>24600</v>
      </c>
      <c r="AF3859">
        <v>9</v>
      </c>
      <c r="AG3859">
        <v>1</v>
      </c>
      <c r="AH3859">
        <v>1</v>
      </c>
      <c r="AI3859">
        <v>153.76</v>
      </c>
      <c r="AL3859" t="s">
        <v>5011</v>
      </c>
      <c r="AM3859">
        <v>26000</v>
      </c>
      <c r="AO3859" t="s">
        <v>24937</v>
      </c>
      <c r="AP3859" t="s">
        <v>14755</v>
      </c>
      <c r="AQ3859" t="s">
        <v>24988</v>
      </c>
      <c r="AR3859" t="s">
        <v>25064</v>
      </c>
      <c r="AS3859">
        <v>10.4</v>
      </c>
      <c r="AT3859" t="s">
        <v>559</v>
      </c>
      <c r="AU3859" t="s">
        <v>25275</v>
      </c>
      <c r="AV3859" t="s">
        <v>25335</v>
      </c>
      <c r="AW3859" t="s">
        <v>11447</v>
      </c>
    </row>
    <row r="3860" spans="1:49">
      <c r="A3860" s="1">
        <f>HYPERLINK("https://lsnyc.legalserver.org/matter/dynamic-profile/view/1908125","19-1908125")</f>
        <v>0</v>
      </c>
      <c r="B3860" t="s">
        <v>316</v>
      </c>
      <c r="C3860" t="s">
        <v>372</v>
      </c>
      <c r="D3860" t="s">
        <v>473</v>
      </c>
      <c r="E3860" t="s">
        <v>2887</v>
      </c>
      <c r="F3860" t="s">
        <v>5584</v>
      </c>
      <c r="G3860" t="s">
        <v>9206</v>
      </c>
      <c r="H3860" t="s">
        <v>10460</v>
      </c>
      <c r="I3860" t="s">
        <v>11385</v>
      </c>
      <c r="J3860">
        <v>11225</v>
      </c>
      <c r="K3860" t="s">
        <v>11446</v>
      </c>
      <c r="L3860" t="s">
        <v>13397</v>
      </c>
      <c r="M3860" t="s">
        <v>14744</v>
      </c>
      <c r="N3860" t="s">
        <v>14781</v>
      </c>
      <c r="O3860" t="s">
        <v>14788</v>
      </c>
      <c r="P3860" t="s">
        <v>14804</v>
      </c>
      <c r="Q3860" t="s">
        <v>11448</v>
      </c>
      <c r="S3860" t="s">
        <v>14827</v>
      </c>
      <c r="U3860" t="s">
        <v>485</v>
      </c>
      <c r="V3860">
        <v>0</v>
      </c>
      <c r="W3860" t="s">
        <v>14859</v>
      </c>
      <c r="X3860" t="s">
        <v>14881</v>
      </c>
      <c r="Y3860" t="s">
        <v>14887</v>
      </c>
      <c r="Z3860" t="s">
        <v>18096</v>
      </c>
      <c r="AB3860" t="s">
        <v>23190</v>
      </c>
      <c r="AC3860">
        <v>0</v>
      </c>
      <c r="AF3860">
        <v>0</v>
      </c>
      <c r="AG3860">
        <v>1</v>
      </c>
      <c r="AH3860">
        <v>0</v>
      </c>
      <c r="AI3860">
        <v>0</v>
      </c>
      <c r="AL3860" t="s">
        <v>5011</v>
      </c>
      <c r="AM3860">
        <v>0</v>
      </c>
      <c r="AS3860">
        <v>5</v>
      </c>
      <c r="AT3860" t="s">
        <v>473</v>
      </c>
      <c r="AU3860" t="s">
        <v>25285</v>
      </c>
      <c r="AV3860" t="s">
        <v>25335</v>
      </c>
      <c r="AW3860" t="s">
        <v>11447</v>
      </c>
    </row>
    <row r="3861" spans="1:49">
      <c r="A3861" s="1">
        <f>HYPERLINK("https://lsnyc.legalserver.org/matter/dynamic-profile/view/1906334","19-1906334")</f>
        <v>0</v>
      </c>
      <c r="B3861" t="s">
        <v>316</v>
      </c>
      <c r="C3861" t="s">
        <v>355</v>
      </c>
      <c r="D3861" t="s">
        <v>473</v>
      </c>
      <c r="E3861" t="s">
        <v>2439</v>
      </c>
      <c r="F3861" t="s">
        <v>2218</v>
      </c>
      <c r="G3861" t="s">
        <v>9207</v>
      </c>
      <c r="H3861" t="s">
        <v>10581</v>
      </c>
      <c r="I3861" t="s">
        <v>11385</v>
      </c>
      <c r="J3861">
        <v>11225</v>
      </c>
      <c r="K3861" t="s">
        <v>11446</v>
      </c>
      <c r="L3861" t="s">
        <v>13398</v>
      </c>
      <c r="M3861" t="s">
        <v>14744</v>
      </c>
      <c r="N3861" t="s">
        <v>14781</v>
      </c>
      <c r="O3861" t="s">
        <v>14788</v>
      </c>
      <c r="P3861" t="s">
        <v>14804</v>
      </c>
      <c r="Q3861" t="s">
        <v>11448</v>
      </c>
      <c r="S3861" t="s">
        <v>14827</v>
      </c>
      <c r="U3861" t="s">
        <v>485</v>
      </c>
      <c r="V3861">
        <v>852</v>
      </c>
      <c r="W3861" t="s">
        <v>14859</v>
      </c>
      <c r="X3861" t="s">
        <v>14881</v>
      </c>
      <c r="Y3861" t="s">
        <v>14887</v>
      </c>
      <c r="Z3861" t="s">
        <v>18097</v>
      </c>
      <c r="AB3861" t="s">
        <v>23191</v>
      </c>
      <c r="AC3861">
        <v>20</v>
      </c>
      <c r="AE3861" t="s">
        <v>11459</v>
      </c>
      <c r="AF3861">
        <v>35</v>
      </c>
      <c r="AG3861">
        <v>1</v>
      </c>
      <c r="AH3861">
        <v>0</v>
      </c>
      <c r="AI3861">
        <v>208.17</v>
      </c>
      <c r="AJ3861" t="s">
        <v>455</v>
      </c>
      <c r="AK3861" t="s">
        <v>24629</v>
      </c>
      <c r="AL3861" t="s">
        <v>5011</v>
      </c>
      <c r="AM3861">
        <v>26000</v>
      </c>
      <c r="AS3861">
        <v>8.25</v>
      </c>
      <c r="AT3861" t="s">
        <v>473</v>
      </c>
      <c r="AU3861" t="s">
        <v>25235</v>
      </c>
      <c r="AV3861" t="s">
        <v>25335</v>
      </c>
      <c r="AW3861" t="s">
        <v>11447</v>
      </c>
    </row>
    <row r="3862" spans="1:49">
      <c r="A3862" s="1">
        <f>HYPERLINK("https://lsnyc.legalserver.org/matter/dynamic-profile/view/1908748","19-1908748")</f>
        <v>0</v>
      </c>
      <c r="B3862" t="s">
        <v>93</v>
      </c>
      <c r="C3862" t="s">
        <v>585</v>
      </c>
      <c r="D3862" t="s">
        <v>473</v>
      </c>
      <c r="E3862" t="s">
        <v>1796</v>
      </c>
      <c r="F3862" t="s">
        <v>3262</v>
      </c>
      <c r="G3862" t="s">
        <v>9208</v>
      </c>
      <c r="H3862" t="s">
        <v>10527</v>
      </c>
      <c r="I3862" t="s">
        <v>11385</v>
      </c>
      <c r="J3862">
        <v>11225</v>
      </c>
      <c r="K3862" t="s">
        <v>11446</v>
      </c>
      <c r="L3862" t="s">
        <v>13399</v>
      </c>
      <c r="M3862" t="s">
        <v>14744</v>
      </c>
      <c r="N3862" t="s">
        <v>14781</v>
      </c>
      <c r="O3862" t="s">
        <v>14788</v>
      </c>
      <c r="P3862" t="s">
        <v>14804</v>
      </c>
      <c r="Q3862" t="s">
        <v>11448</v>
      </c>
      <c r="S3862" t="s">
        <v>14827</v>
      </c>
      <c r="T3862" t="s">
        <v>14834</v>
      </c>
      <c r="U3862" t="s">
        <v>14839</v>
      </c>
      <c r="V3862">
        <v>859</v>
      </c>
      <c r="W3862" t="s">
        <v>14859</v>
      </c>
      <c r="X3862" t="s">
        <v>14881</v>
      </c>
      <c r="Y3862" t="s">
        <v>14887</v>
      </c>
      <c r="Z3862" t="s">
        <v>18098</v>
      </c>
      <c r="AA3862" t="s">
        <v>11465</v>
      </c>
      <c r="AB3862" t="s">
        <v>23192</v>
      </c>
      <c r="AC3862">
        <v>8</v>
      </c>
      <c r="AD3862" t="s">
        <v>24595</v>
      </c>
      <c r="AE3862" t="s">
        <v>11459</v>
      </c>
      <c r="AF3862">
        <v>10</v>
      </c>
      <c r="AG3862">
        <v>2</v>
      </c>
      <c r="AH3862">
        <v>0</v>
      </c>
      <c r="AI3862">
        <v>189.24</v>
      </c>
      <c r="AL3862" t="s">
        <v>5011</v>
      </c>
      <c r="AM3862">
        <v>32000</v>
      </c>
      <c r="AO3862" t="s">
        <v>24932</v>
      </c>
      <c r="AP3862" t="s">
        <v>24942</v>
      </c>
      <c r="AQ3862" t="s">
        <v>24986</v>
      </c>
      <c r="AR3862" t="s">
        <v>25020</v>
      </c>
      <c r="AS3862">
        <v>9.5</v>
      </c>
      <c r="AT3862" t="s">
        <v>645</v>
      </c>
      <c r="AU3862" t="s">
        <v>25285</v>
      </c>
      <c r="AV3862" t="s">
        <v>25335</v>
      </c>
      <c r="AW3862" t="s">
        <v>11447</v>
      </c>
    </row>
    <row r="3863" spans="1:49">
      <c r="A3863" s="1">
        <f>HYPERLINK("https://lsnyc.legalserver.org/matter/dynamic-profile/view/1903224","19-1903224")</f>
        <v>0</v>
      </c>
      <c r="B3863" t="s">
        <v>93</v>
      </c>
      <c r="C3863" t="s">
        <v>469</v>
      </c>
      <c r="D3863" t="s">
        <v>733</v>
      </c>
      <c r="E3863" t="s">
        <v>2315</v>
      </c>
      <c r="F3863" t="s">
        <v>5585</v>
      </c>
      <c r="G3863" t="s">
        <v>7800</v>
      </c>
      <c r="H3863" t="s">
        <v>10509</v>
      </c>
      <c r="I3863" t="s">
        <v>11385</v>
      </c>
      <c r="J3863">
        <v>11226</v>
      </c>
      <c r="K3863" t="s">
        <v>11446</v>
      </c>
      <c r="L3863" t="s">
        <v>13400</v>
      </c>
      <c r="M3863" t="s">
        <v>14744</v>
      </c>
      <c r="N3863" t="s">
        <v>14779</v>
      </c>
      <c r="O3863" t="s">
        <v>14787</v>
      </c>
      <c r="P3863" t="s">
        <v>14804</v>
      </c>
      <c r="Q3863" t="s">
        <v>11448</v>
      </c>
      <c r="S3863" t="s">
        <v>14827</v>
      </c>
      <c r="T3863" t="s">
        <v>14832</v>
      </c>
      <c r="U3863" t="s">
        <v>545</v>
      </c>
      <c r="V3863">
        <v>1367</v>
      </c>
      <c r="W3863" t="s">
        <v>14859</v>
      </c>
      <c r="X3863" t="s">
        <v>14865</v>
      </c>
      <c r="Y3863" t="s">
        <v>14887</v>
      </c>
      <c r="Z3863" t="s">
        <v>18099</v>
      </c>
      <c r="AA3863" t="s">
        <v>19812</v>
      </c>
      <c r="AB3863" t="s">
        <v>23193</v>
      </c>
      <c r="AC3863">
        <v>32</v>
      </c>
      <c r="AD3863" t="s">
        <v>24595</v>
      </c>
      <c r="AE3863" t="s">
        <v>11459</v>
      </c>
      <c r="AF3863">
        <v>5</v>
      </c>
      <c r="AG3863">
        <v>1</v>
      </c>
      <c r="AH3863">
        <v>0</v>
      </c>
      <c r="AI3863">
        <v>20.66</v>
      </c>
      <c r="AL3863" t="s">
        <v>5011</v>
      </c>
      <c r="AM3863">
        <v>2580</v>
      </c>
      <c r="AO3863" t="s">
        <v>24932</v>
      </c>
      <c r="AP3863" t="s">
        <v>24943</v>
      </c>
      <c r="AQ3863" t="s">
        <v>24986</v>
      </c>
      <c r="AR3863" t="s">
        <v>25090</v>
      </c>
      <c r="AS3863">
        <v>1</v>
      </c>
      <c r="AT3863" t="s">
        <v>469</v>
      </c>
      <c r="AU3863" t="s">
        <v>25235</v>
      </c>
      <c r="AV3863" t="s">
        <v>25335</v>
      </c>
      <c r="AW3863" t="s">
        <v>11447</v>
      </c>
    </row>
    <row r="3864" spans="1:49">
      <c r="A3864" s="1">
        <f>HYPERLINK("https://lsnyc.legalserver.org/matter/dynamic-profile/view/1911236","19-1911236")</f>
        <v>0</v>
      </c>
      <c r="B3864" t="s">
        <v>151</v>
      </c>
      <c r="C3864" t="s">
        <v>511</v>
      </c>
      <c r="D3864" t="s">
        <v>472</v>
      </c>
      <c r="E3864" t="s">
        <v>1048</v>
      </c>
      <c r="F3864" t="s">
        <v>4061</v>
      </c>
      <c r="G3864" t="s">
        <v>9209</v>
      </c>
      <c r="H3864" t="s">
        <v>10918</v>
      </c>
      <c r="I3864" t="s">
        <v>11385</v>
      </c>
      <c r="J3864">
        <v>11209</v>
      </c>
      <c r="K3864" t="s">
        <v>11446</v>
      </c>
      <c r="L3864" t="s">
        <v>13401</v>
      </c>
      <c r="M3864" t="s">
        <v>14743</v>
      </c>
      <c r="N3864" t="s">
        <v>14782</v>
      </c>
      <c r="O3864" t="s">
        <v>14786</v>
      </c>
      <c r="P3864" t="s">
        <v>14804</v>
      </c>
      <c r="Q3864" t="s">
        <v>11448</v>
      </c>
      <c r="S3864" t="s">
        <v>14827</v>
      </c>
      <c r="U3864" t="s">
        <v>511</v>
      </c>
      <c r="V3864">
        <v>0</v>
      </c>
      <c r="W3864" t="s">
        <v>14859</v>
      </c>
      <c r="X3864" t="s">
        <v>14865</v>
      </c>
      <c r="Y3864" t="s">
        <v>14883</v>
      </c>
      <c r="Z3864" t="s">
        <v>18100</v>
      </c>
      <c r="AB3864" t="s">
        <v>23194</v>
      </c>
      <c r="AC3864">
        <v>0</v>
      </c>
      <c r="AD3864" t="s">
        <v>24600</v>
      </c>
      <c r="AF3864">
        <v>0</v>
      </c>
      <c r="AG3864">
        <v>1</v>
      </c>
      <c r="AH3864">
        <v>0</v>
      </c>
      <c r="AI3864">
        <v>72.86</v>
      </c>
      <c r="AL3864" t="s">
        <v>5011</v>
      </c>
      <c r="AM3864">
        <v>9100</v>
      </c>
      <c r="AS3864">
        <v>0.2</v>
      </c>
      <c r="AT3864" t="s">
        <v>473</v>
      </c>
      <c r="AU3864" t="s">
        <v>25246</v>
      </c>
      <c r="AV3864" t="s">
        <v>25335</v>
      </c>
      <c r="AW3864" t="s">
        <v>11447</v>
      </c>
    </row>
    <row r="3865" spans="1:49">
      <c r="A3865" s="1">
        <f>HYPERLINK("https://lsnyc.legalserver.org/matter/dynamic-profile/view/1911275","19-1911275")</f>
        <v>0</v>
      </c>
      <c r="B3865" t="s">
        <v>151</v>
      </c>
      <c r="C3865" t="s">
        <v>511</v>
      </c>
      <c r="D3865" t="s">
        <v>472</v>
      </c>
      <c r="E3865" t="s">
        <v>1906</v>
      </c>
      <c r="F3865" t="s">
        <v>4697</v>
      </c>
      <c r="G3865" t="s">
        <v>9210</v>
      </c>
      <c r="H3865" t="s">
        <v>10527</v>
      </c>
      <c r="I3865" t="s">
        <v>11385</v>
      </c>
      <c r="J3865">
        <v>11226</v>
      </c>
      <c r="K3865" t="s">
        <v>11446</v>
      </c>
      <c r="L3865" t="s">
        <v>13402</v>
      </c>
      <c r="M3865" t="s">
        <v>14743</v>
      </c>
      <c r="N3865" t="s">
        <v>14778</v>
      </c>
      <c r="O3865" t="s">
        <v>14786</v>
      </c>
      <c r="P3865" t="s">
        <v>14804</v>
      </c>
      <c r="S3865" t="s">
        <v>14827</v>
      </c>
      <c r="U3865" t="s">
        <v>511</v>
      </c>
      <c r="V3865">
        <v>0</v>
      </c>
      <c r="W3865" t="s">
        <v>14859</v>
      </c>
      <c r="X3865" t="s">
        <v>14865</v>
      </c>
      <c r="Y3865" t="s">
        <v>14883</v>
      </c>
      <c r="Z3865" t="s">
        <v>18101</v>
      </c>
      <c r="AB3865" t="s">
        <v>23195</v>
      </c>
      <c r="AC3865">
        <v>0</v>
      </c>
      <c r="AF3865">
        <v>0</v>
      </c>
      <c r="AG3865">
        <v>2</v>
      </c>
      <c r="AH3865">
        <v>0</v>
      </c>
      <c r="AI3865">
        <v>461.27</v>
      </c>
      <c r="AL3865" t="s">
        <v>5011</v>
      </c>
      <c r="AM3865">
        <v>78000</v>
      </c>
      <c r="AS3865">
        <v>0.4</v>
      </c>
      <c r="AT3865" t="s">
        <v>586</v>
      </c>
      <c r="AU3865" t="s">
        <v>25235</v>
      </c>
      <c r="AV3865" t="s">
        <v>25335</v>
      </c>
      <c r="AW3865" t="s">
        <v>11447</v>
      </c>
    </row>
    <row r="3866" spans="1:49">
      <c r="A3866" s="1">
        <f>HYPERLINK("https://lsnyc.legalserver.org/matter/dynamic-profile/view/1902954","19-1902954")</f>
        <v>0</v>
      </c>
      <c r="B3866" t="s">
        <v>191</v>
      </c>
      <c r="C3866" t="s">
        <v>659</v>
      </c>
      <c r="D3866" t="s">
        <v>578</v>
      </c>
      <c r="E3866" t="s">
        <v>1736</v>
      </c>
      <c r="F3866" t="s">
        <v>3649</v>
      </c>
      <c r="G3866" t="s">
        <v>9211</v>
      </c>
      <c r="H3866" t="s">
        <v>10598</v>
      </c>
      <c r="I3866" t="s">
        <v>11385</v>
      </c>
      <c r="J3866">
        <v>11225</v>
      </c>
      <c r="K3866" t="s">
        <v>11446</v>
      </c>
      <c r="L3866" t="s">
        <v>13403</v>
      </c>
      <c r="M3866" t="s">
        <v>14744</v>
      </c>
      <c r="N3866" t="s">
        <v>14781</v>
      </c>
      <c r="O3866" t="s">
        <v>14788</v>
      </c>
      <c r="P3866" t="s">
        <v>14804</v>
      </c>
      <c r="Q3866" t="s">
        <v>11448</v>
      </c>
      <c r="S3866" t="s">
        <v>14827</v>
      </c>
      <c r="U3866" t="s">
        <v>545</v>
      </c>
      <c r="V3866">
        <v>579.01</v>
      </c>
      <c r="W3866" t="s">
        <v>14859</v>
      </c>
      <c r="X3866" t="s">
        <v>14881</v>
      </c>
      <c r="Y3866" t="s">
        <v>14887</v>
      </c>
      <c r="Z3866" t="s">
        <v>18102</v>
      </c>
      <c r="AB3866" t="s">
        <v>23196</v>
      </c>
      <c r="AC3866">
        <v>53</v>
      </c>
      <c r="AD3866" t="s">
        <v>24595</v>
      </c>
      <c r="AF3866">
        <v>25</v>
      </c>
      <c r="AG3866">
        <v>1</v>
      </c>
      <c r="AH3866">
        <v>0</v>
      </c>
      <c r="AI3866">
        <v>57.65</v>
      </c>
      <c r="AL3866" t="s">
        <v>5011</v>
      </c>
      <c r="AM3866">
        <v>7200</v>
      </c>
      <c r="AO3866" t="s">
        <v>24931</v>
      </c>
      <c r="AP3866" t="s">
        <v>24964</v>
      </c>
      <c r="AQ3866" t="s">
        <v>24986</v>
      </c>
      <c r="AR3866" t="s">
        <v>25091</v>
      </c>
      <c r="AS3866">
        <v>9.9</v>
      </c>
      <c r="AT3866" t="s">
        <v>472</v>
      </c>
      <c r="AU3866" t="s">
        <v>25285</v>
      </c>
      <c r="AV3866" t="s">
        <v>25335</v>
      </c>
      <c r="AW3866" t="s">
        <v>11447</v>
      </c>
    </row>
    <row r="3867" spans="1:49">
      <c r="A3867" s="1">
        <f>HYPERLINK("https://lsnyc.legalserver.org/matter/dynamic-profile/view/1904521","19-1904521")</f>
        <v>0</v>
      </c>
      <c r="B3867" t="s">
        <v>238</v>
      </c>
      <c r="C3867" t="s">
        <v>493</v>
      </c>
      <c r="D3867" t="s">
        <v>578</v>
      </c>
      <c r="E3867" t="s">
        <v>2956</v>
      </c>
      <c r="F3867" t="s">
        <v>3718</v>
      </c>
      <c r="G3867" t="s">
        <v>9212</v>
      </c>
      <c r="H3867" t="s">
        <v>10598</v>
      </c>
      <c r="I3867" t="s">
        <v>11385</v>
      </c>
      <c r="J3867">
        <v>11221</v>
      </c>
      <c r="K3867" t="s">
        <v>11446</v>
      </c>
      <c r="L3867" t="s">
        <v>13404</v>
      </c>
      <c r="M3867" t="s">
        <v>14744</v>
      </c>
      <c r="N3867" t="s">
        <v>14781</v>
      </c>
      <c r="O3867" t="s">
        <v>14788</v>
      </c>
      <c r="P3867" t="s">
        <v>14804</v>
      </c>
      <c r="Q3867" t="s">
        <v>11448</v>
      </c>
      <c r="S3867" t="s">
        <v>14827</v>
      </c>
      <c r="U3867" t="s">
        <v>493</v>
      </c>
      <c r="V3867">
        <v>1230</v>
      </c>
      <c r="W3867" t="s">
        <v>14859</v>
      </c>
      <c r="X3867" t="s">
        <v>14881</v>
      </c>
      <c r="Y3867" t="s">
        <v>14887</v>
      </c>
      <c r="Z3867" t="s">
        <v>18103</v>
      </c>
      <c r="AA3867" t="s">
        <v>19813</v>
      </c>
      <c r="AB3867" t="s">
        <v>23197</v>
      </c>
      <c r="AC3867">
        <v>0</v>
      </c>
      <c r="AF3867">
        <v>4</v>
      </c>
      <c r="AG3867">
        <v>1</v>
      </c>
      <c r="AH3867">
        <v>2</v>
      </c>
      <c r="AI3867">
        <v>18.89</v>
      </c>
      <c r="AL3867" t="s">
        <v>5011</v>
      </c>
      <c r="AM3867">
        <v>4030</v>
      </c>
      <c r="AO3867" t="s">
        <v>24931</v>
      </c>
      <c r="AP3867" t="s">
        <v>24942</v>
      </c>
      <c r="AQ3867" t="s">
        <v>24986</v>
      </c>
      <c r="AR3867" t="s">
        <v>25019</v>
      </c>
      <c r="AS3867">
        <v>18.05</v>
      </c>
      <c r="AT3867" t="s">
        <v>645</v>
      </c>
      <c r="AU3867" t="s">
        <v>25285</v>
      </c>
      <c r="AV3867" t="s">
        <v>25335</v>
      </c>
      <c r="AW3867" t="s">
        <v>11447</v>
      </c>
    </row>
    <row r="3868" spans="1:49">
      <c r="A3868" s="1">
        <f>HYPERLINK("https://lsnyc.legalserver.org/matter/dynamic-profile/view/1907770","19-1907770")</f>
        <v>0</v>
      </c>
      <c r="B3868" t="s">
        <v>281</v>
      </c>
      <c r="C3868" t="s">
        <v>377</v>
      </c>
      <c r="D3868" t="s">
        <v>578</v>
      </c>
      <c r="E3868" t="s">
        <v>2516</v>
      </c>
      <c r="F3868" t="s">
        <v>5586</v>
      </c>
      <c r="G3868" t="s">
        <v>9213</v>
      </c>
      <c r="H3868" t="s">
        <v>10450</v>
      </c>
      <c r="I3868" t="s">
        <v>11385</v>
      </c>
      <c r="J3868">
        <v>11216</v>
      </c>
      <c r="K3868" t="s">
        <v>11446</v>
      </c>
      <c r="L3868" t="s">
        <v>13405</v>
      </c>
      <c r="M3868" t="s">
        <v>14744</v>
      </c>
      <c r="N3868" t="s">
        <v>14781</v>
      </c>
      <c r="O3868" t="s">
        <v>14789</v>
      </c>
      <c r="P3868" t="s">
        <v>14804</v>
      </c>
      <c r="Q3868" t="s">
        <v>11448</v>
      </c>
      <c r="S3868" t="s">
        <v>14827</v>
      </c>
      <c r="U3868" t="s">
        <v>377</v>
      </c>
      <c r="V3868">
        <v>1331</v>
      </c>
      <c r="W3868" t="s">
        <v>14859</v>
      </c>
      <c r="X3868" t="s">
        <v>14881</v>
      </c>
      <c r="Y3868" t="s">
        <v>14887</v>
      </c>
      <c r="Z3868" t="s">
        <v>18104</v>
      </c>
      <c r="AB3868" t="s">
        <v>23198</v>
      </c>
      <c r="AC3868">
        <v>0</v>
      </c>
      <c r="AF3868">
        <v>0</v>
      </c>
      <c r="AG3868">
        <v>2</v>
      </c>
      <c r="AH3868">
        <v>1</v>
      </c>
      <c r="AI3868">
        <v>179.9</v>
      </c>
      <c r="AL3868" t="s">
        <v>5011</v>
      </c>
      <c r="AM3868">
        <v>38372</v>
      </c>
      <c r="AS3868">
        <v>9.699999999999999</v>
      </c>
      <c r="AT3868" t="s">
        <v>578</v>
      </c>
      <c r="AU3868" t="s">
        <v>25285</v>
      </c>
      <c r="AV3868" t="s">
        <v>25335</v>
      </c>
      <c r="AW3868" t="s">
        <v>11447</v>
      </c>
    </row>
    <row r="3869" spans="1:49">
      <c r="A3869" s="1">
        <f>HYPERLINK("https://lsnyc.legalserver.org/matter/dynamic-profile/view/1898911","19-1898911")</f>
        <v>0</v>
      </c>
      <c r="B3869" t="s">
        <v>238</v>
      </c>
      <c r="C3869" t="s">
        <v>342</v>
      </c>
      <c r="D3869" t="s">
        <v>578</v>
      </c>
      <c r="E3869" t="s">
        <v>2957</v>
      </c>
      <c r="F3869" t="s">
        <v>5587</v>
      </c>
      <c r="G3869" t="s">
        <v>9214</v>
      </c>
      <c r="H3869" t="s">
        <v>11027</v>
      </c>
      <c r="I3869" t="s">
        <v>11385</v>
      </c>
      <c r="J3869">
        <v>11225</v>
      </c>
      <c r="K3869" t="s">
        <v>11448</v>
      </c>
      <c r="L3869" t="s">
        <v>13406</v>
      </c>
      <c r="M3869" t="s">
        <v>14743</v>
      </c>
      <c r="N3869" t="s">
        <v>14781</v>
      </c>
      <c r="O3869" t="s">
        <v>14788</v>
      </c>
      <c r="P3869" t="s">
        <v>14804</v>
      </c>
      <c r="Q3869" t="s">
        <v>11448</v>
      </c>
      <c r="S3869" t="s">
        <v>14827</v>
      </c>
      <c r="T3869" t="s">
        <v>14832</v>
      </c>
      <c r="V3869">
        <v>0</v>
      </c>
      <c r="W3869" t="s">
        <v>14859</v>
      </c>
      <c r="X3869" t="s">
        <v>14881</v>
      </c>
      <c r="Y3869" t="s">
        <v>14888</v>
      </c>
      <c r="Z3869" t="s">
        <v>18105</v>
      </c>
      <c r="AB3869" t="s">
        <v>23199</v>
      </c>
      <c r="AC3869">
        <v>0</v>
      </c>
      <c r="AF3869">
        <v>0</v>
      </c>
      <c r="AG3869">
        <v>2</v>
      </c>
      <c r="AH3869">
        <v>2</v>
      </c>
      <c r="AI3869">
        <v>0</v>
      </c>
      <c r="AL3869" t="s">
        <v>5011</v>
      </c>
      <c r="AM3869">
        <v>0</v>
      </c>
      <c r="AO3869" t="s">
        <v>24930</v>
      </c>
      <c r="AP3869" t="s">
        <v>24941</v>
      </c>
      <c r="AQ3869" t="s">
        <v>24987</v>
      </c>
      <c r="AR3869" t="s">
        <v>25040</v>
      </c>
      <c r="AS3869">
        <v>7.05</v>
      </c>
      <c r="AT3869" t="s">
        <v>645</v>
      </c>
      <c r="AU3869" t="s">
        <v>25275</v>
      </c>
      <c r="AW3869" t="s">
        <v>11446</v>
      </c>
    </row>
    <row r="3870" spans="1:49">
      <c r="A3870" s="1">
        <f>HYPERLINK("https://lsnyc.legalserver.org/matter/dynamic-profile/view/1905030","19-1905030")</f>
        <v>0</v>
      </c>
      <c r="B3870" t="s">
        <v>262</v>
      </c>
      <c r="C3870" t="s">
        <v>456</v>
      </c>
      <c r="D3870" t="s">
        <v>578</v>
      </c>
      <c r="E3870" t="s">
        <v>2958</v>
      </c>
      <c r="F3870" t="s">
        <v>1044</v>
      </c>
      <c r="G3870" t="s">
        <v>9215</v>
      </c>
      <c r="H3870">
        <v>11</v>
      </c>
      <c r="I3870" t="s">
        <v>11385</v>
      </c>
      <c r="J3870">
        <v>11225</v>
      </c>
      <c r="K3870" t="s">
        <v>11447</v>
      </c>
      <c r="M3870" t="s">
        <v>14744</v>
      </c>
      <c r="N3870" t="s">
        <v>14781</v>
      </c>
      <c r="O3870" t="s">
        <v>14789</v>
      </c>
      <c r="P3870" t="s">
        <v>14804</v>
      </c>
      <c r="R3870" t="s">
        <v>14804</v>
      </c>
      <c r="S3870" t="s">
        <v>14827</v>
      </c>
      <c r="V3870">
        <v>0</v>
      </c>
      <c r="W3870" t="s">
        <v>14859</v>
      </c>
      <c r="Y3870" t="s">
        <v>14887</v>
      </c>
      <c r="Z3870" t="s">
        <v>18106</v>
      </c>
      <c r="AB3870" t="s">
        <v>23200</v>
      </c>
      <c r="AC3870">
        <v>0</v>
      </c>
      <c r="AF3870">
        <v>0</v>
      </c>
      <c r="AG3870">
        <v>3</v>
      </c>
      <c r="AH3870">
        <v>0</v>
      </c>
      <c r="AI3870">
        <v>0</v>
      </c>
      <c r="AL3870" t="s">
        <v>5011</v>
      </c>
      <c r="AM3870">
        <v>0</v>
      </c>
      <c r="AS3870">
        <v>11.7</v>
      </c>
      <c r="AT3870" t="s">
        <v>585</v>
      </c>
      <c r="AU3870" t="s">
        <v>25277</v>
      </c>
      <c r="AW3870" t="s">
        <v>11447</v>
      </c>
    </row>
    <row r="3871" spans="1:49">
      <c r="A3871" s="1">
        <f>HYPERLINK("https://lsnyc.legalserver.org/matter/dynamic-profile/view/1892047","19-1892047")</f>
        <v>0</v>
      </c>
      <c r="B3871" t="s">
        <v>262</v>
      </c>
      <c r="C3871" t="s">
        <v>358</v>
      </c>
      <c r="D3871" t="s">
        <v>578</v>
      </c>
      <c r="E3871" t="s">
        <v>2958</v>
      </c>
      <c r="F3871" t="s">
        <v>1044</v>
      </c>
      <c r="G3871" t="s">
        <v>9215</v>
      </c>
      <c r="H3871">
        <v>11</v>
      </c>
      <c r="I3871" t="s">
        <v>11385</v>
      </c>
      <c r="J3871">
        <v>11225</v>
      </c>
      <c r="K3871" t="s">
        <v>11447</v>
      </c>
      <c r="L3871" t="s">
        <v>13407</v>
      </c>
      <c r="M3871" t="s">
        <v>14744</v>
      </c>
      <c r="N3871" t="s">
        <v>14781</v>
      </c>
      <c r="O3871" t="s">
        <v>14788</v>
      </c>
      <c r="P3871" t="s">
        <v>14804</v>
      </c>
      <c r="S3871" t="s">
        <v>14827</v>
      </c>
      <c r="V3871">
        <v>713.16</v>
      </c>
      <c r="W3871" t="s">
        <v>14859</v>
      </c>
      <c r="X3871" t="s">
        <v>14881</v>
      </c>
      <c r="Y3871" t="s">
        <v>14887</v>
      </c>
      <c r="Z3871" t="s">
        <v>18106</v>
      </c>
      <c r="AB3871" t="s">
        <v>23200</v>
      </c>
      <c r="AC3871">
        <v>16</v>
      </c>
      <c r="AD3871" t="s">
        <v>24595</v>
      </c>
      <c r="AE3871" t="s">
        <v>11459</v>
      </c>
      <c r="AF3871">
        <v>40</v>
      </c>
      <c r="AG3871">
        <v>3</v>
      </c>
      <c r="AH3871">
        <v>0</v>
      </c>
      <c r="AI3871">
        <v>10.3</v>
      </c>
      <c r="AL3871" t="s">
        <v>5011</v>
      </c>
      <c r="AM3871">
        <v>2196</v>
      </c>
      <c r="AS3871">
        <v>63.4</v>
      </c>
      <c r="AT3871" t="s">
        <v>578</v>
      </c>
      <c r="AU3871" t="s">
        <v>25275</v>
      </c>
      <c r="AW3871" t="s">
        <v>11447</v>
      </c>
    </row>
    <row r="3872" spans="1:49">
      <c r="A3872" s="1">
        <f>HYPERLINK("https://lsnyc.legalserver.org/matter/dynamic-profile/view/1902770","19-1902770")</f>
        <v>0</v>
      </c>
      <c r="B3872" t="s">
        <v>151</v>
      </c>
      <c r="C3872" t="s">
        <v>527</v>
      </c>
      <c r="D3872" t="s">
        <v>470</v>
      </c>
      <c r="E3872" t="s">
        <v>1240</v>
      </c>
      <c r="F3872" t="s">
        <v>5588</v>
      </c>
      <c r="G3872" t="s">
        <v>9216</v>
      </c>
      <c r="H3872" t="s">
        <v>11195</v>
      </c>
      <c r="I3872" t="s">
        <v>11385</v>
      </c>
      <c r="J3872">
        <v>11221</v>
      </c>
      <c r="K3872" t="s">
        <v>11446</v>
      </c>
      <c r="L3872" t="s">
        <v>13408</v>
      </c>
      <c r="M3872" t="s">
        <v>14744</v>
      </c>
      <c r="N3872" t="s">
        <v>14781</v>
      </c>
      <c r="O3872" t="s">
        <v>14788</v>
      </c>
      <c r="P3872" t="s">
        <v>14804</v>
      </c>
      <c r="Q3872" t="s">
        <v>11448</v>
      </c>
      <c r="S3872" t="s">
        <v>14828</v>
      </c>
      <c r="T3872" t="s">
        <v>14832</v>
      </c>
      <c r="U3872" t="s">
        <v>545</v>
      </c>
      <c r="V3872">
        <v>215</v>
      </c>
      <c r="W3872" t="s">
        <v>14859</v>
      </c>
      <c r="X3872" t="s">
        <v>14865</v>
      </c>
      <c r="Y3872" t="s">
        <v>14894</v>
      </c>
      <c r="Z3872" t="s">
        <v>18107</v>
      </c>
      <c r="AA3872" t="s">
        <v>19814</v>
      </c>
      <c r="AB3872" t="s">
        <v>23201</v>
      </c>
      <c r="AC3872">
        <v>1624</v>
      </c>
      <c r="AD3872" t="s">
        <v>24597</v>
      </c>
      <c r="AE3872" t="s">
        <v>14755</v>
      </c>
      <c r="AF3872">
        <v>57</v>
      </c>
      <c r="AG3872">
        <v>1</v>
      </c>
      <c r="AH3872">
        <v>0</v>
      </c>
      <c r="AI3872">
        <v>17.58</v>
      </c>
      <c r="AL3872" t="s">
        <v>5011</v>
      </c>
      <c r="AM3872">
        <v>2196</v>
      </c>
      <c r="AO3872" t="s">
        <v>24930</v>
      </c>
      <c r="AP3872" t="s">
        <v>24970</v>
      </c>
      <c r="AS3872">
        <v>1.4</v>
      </c>
      <c r="AT3872" t="s">
        <v>345</v>
      </c>
      <c r="AU3872" t="s">
        <v>25275</v>
      </c>
      <c r="AV3872" t="s">
        <v>25335</v>
      </c>
      <c r="AW3872" t="s">
        <v>11447</v>
      </c>
    </row>
    <row r="3873" spans="1:49">
      <c r="A3873" s="1">
        <f>HYPERLINK("https://lsnyc.legalserver.org/matter/dynamic-profile/view/1906150","19-1906150")</f>
        <v>0</v>
      </c>
      <c r="B3873" t="s">
        <v>278</v>
      </c>
      <c r="C3873" t="s">
        <v>553</v>
      </c>
      <c r="D3873" t="s">
        <v>470</v>
      </c>
      <c r="E3873" t="s">
        <v>2959</v>
      </c>
      <c r="F3873" t="s">
        <v>3552</v>
      </c>
      <c r="G3873" t="s">
        <v>9217</v>
      </c>
      <c r="H3873" t="s">
        <v>11013</v>
      </c>
      <c r="I3873" t="s">
        <v>11385</v>
      </c>
      <c r="J3873">
        <v>11221</v>
      </c>
      <c r="K3873" t="s">
        <v>11446</v>
      </c>
      <c r="L3873" t="s">
        <v>13409</v>
      </c>
      <c r="M3873" t="s">
        <v>14744</v>
      </c>
      <c r="N3873" t="s">
        <v>14781</v>
      </c>
      <c r="O3873" t="s">
        <v>14788</v>
      </c>
      <c r="P3873" t="s">
        <v>14804</v>
      </c>
      <c r="Q3873" t="s">
        <v>11448</v>
      </c>
      <c r="S3873" t="s">
        <v>14827</v>
      </c>
      <c r="T3873" t="s">
        <v>14832</v>
      </c>
      <c r="U3873" t="s">
        <v>618</v>
      </c>
      <c r="V3873">
        <v>821</v>
      </c>
      <c r="W3873" t="s">
        <v>14859</v>
      </c>
      <c r="X3873" t="s">
        <v>14881</v>
      </c>
      <c r="Y3873" t="s">
        <v>14887</v>
      </c>
      <c r="Z3873" t="s">
        <v>18108</v>
      </c>
      <c r="AA3873" t="s">
        <v>11459</v>
      </c>
      <c r="AB3873" t="s">
        <v>23202</v>
      </c>
      <c r="AC3873">
        <v>6</v>
      </c>
      <c r="AD3873" t="s">
        <v>24595</v>
      </c>
      <c r="AE3873" t="s">
        <v>24610</v>
      </c>
      <c r="AF3873">
        <v>12</v>
      </c>
      <c r="AG3873">
        <v>1</v>
      </c>
      <c r="AH3873">
        <v>0</v>
      </c>
      <c r="AI3873">
        <v>0</v>
      </c>
      <c r="AL3873" t="s">
        <v>5011</v>
      </c>
      <c r="AM3873">
        <v>0</v>
      </c>
      <c r="AP3873" t="s">
        <v>24942</v>
      </c>
      <c r="AQ3873" t="s">
        <v>24986</v>
      </c>
      <c r="AR3873" t="s">
        <v>25077</v>
      </c>
      <c r="AS3873">
        <v>9.800000000000001</v>
      </c>
      <c r="AT3873" t="s">
        <v>470</v>
      </c>
      <c r="AU3873" t="s">
        <v>25275</v>
      </c>
      <c r="AV3873" t="s">
        <v>25335</v>
      </c>
      <c r="AW3873" t="s">
        <v>11447</v>
      </c>
    </row>
    <row r="3874" spans="1:49">
      <c r="A3874" s="1">
        <f>HYPERLINK("https://lsnyc.legalserver.org/matter/dynamic-profile/view/1906144","19-1906144")</f>
        <v>0</v>
      </c>
      <c r="B3874" t="s">
        <v>278</v>
      </c>
      <c r="C3874" t="s">
        <v>553</v>
      </c>
      <c r="D3874" t="s">
        <v>470</v>
      </c>
      <c r="E3874" t="s">
        <v>1249</v>
      </c>
      <c r="F3874" t="s">
        <v>5589</v>
      </c>
      <c r="G3874" t="s">
        <v>9218</v>
      </c>
      <c r="H3874" t="s">
        <v>11192</v>
      </c>
      <c r="I3874" t="s">
        <v>11385</v>
      </c>
      <c r="J3874">
        <v>11216</v>
      </c>
      <c r="K3874" t="s">
        <v>11446</v>
      </c>
      <c r="L3874" t="s">
        <v>13410</v>
      </c>
      <c r="M3874" t="s">
        <v>14744</v>
      </c>
      <c r="N3874" t="s">
        <v>14781</v>
      </c>
      <c r="O3874" t="s">
        <v>14788</v>
      </c>
      <c r="P3874" t="s">
        <v>14804</v>
      </c>
      <c r="Q3874" t="s">
        <v>11448</v>
      </c>
      <c r="S3874" t="s">
        <v>14827</v>
      </c>
      <c r="T3874" t="s">
        <v>14837</v>
      </c>
      <c r="U3874" t="s">
        <v>618</v>
      </c>
      <c r="V3874">
        <v>300</v>
      </c>
      <c r="W3874" t="s">
        <v>14859</v>
      </c>
      <c r="X3874" t="s">
        <v>14881</v>
      </c>
      <c r="Y3874" t="s">
        <v>14887</v>
      </c>
      <c r="Z3874" t="s">
        <v>17618</v>
      </c>
      <c r="AA3874" t="s">
        <v>11459</v>
      </c>
      <c r="AB3874" t="s">
        <v>23203</v>
      </c>
      <c r="AC3874">
        <v>16</v>
      </c>
      <c r="AD3874" t="s">
        <v>24595</v>
      </c>
      <c r="AE3874" t="s">
        <v>24610</v>
      </c>
      <c r="AF3874">
        <v>20</v>
      </c>
      <c r="AG3874">
        <v>1</v>
      </c>
      <c r="AH3874">
        <v>0</v>
      </c>
      <c r="AI3874">
        <v>0</v>
      </c>
      <c r="AL3874" t="s">
        <v>5011</v>
      </c>
      <c r="AM3874">
        <v>0</v>
      </c>
      <c r="AO3874" t="s">
        <v>24931</v>
      </c>
      <c r="AP3874" t="s">
        <v>24942</v>
      </c>
      <c r="AQ3874" t="s">
        <v>24986</v>
      </c>
      <c r="AR3874" t="s">
        <v>25023</v>
      </c>
      <c r="AS3874">
        <v>20.7</v>
      </c>
      <c r="AT3874" t="s">
        <v>470</v>
      </c>
      <c r="AU3874" t="s">
        <v>25275</v>
      </c>
      <c r="AV3874" t="s">
        <v>25335</v>
      </c>
      <c r="AW3874" t="s">
        <v>11447</v>
      </c>
    </row>
    <row r="3875" spans="1:49">
      <c r="A3875" s="1">
        <f>HYPERLINK("https://lsnyc.legalserver.org/matter/dynamic-profile/view/1906169","19-1906169")</f>
        <v>0</v>
      </c>
      <c r="B3875" t="s">
        <v>278</v>
      </c>
      <c r="C3875" t="s">
        <v>553</v>
      </c>
      <c r="D3875" t="s">
        <v>470</v>
      </c>
      <c r="E3875" t="s">
        <v>1426</v>
      </c>
      <c r="F3875" t="s">
        <v>3682</v>
      </c>
      <c r="G3875" t="s">
        <v>9219</v>
      </c>
      <c r="H3875" t="s">
        <v>11196</v>
      </c>
      <c r="I3875" t="s">
        <v>11385</v>
      </c>
      <c r="J3875">
        <v>11221</v>
      </c>
      <c r="K3875" t="s">
        <v>11446</v>
      </c>
      <c r="L3875" t="s">
        <v>13411</v>
      </c>
      <c r="M3875" t="s">
        <v>14744</v>
      </c>
      <c r="N3875" t="s">
        <v>14781</v>
      </c>
      <c r="O3875" t="s">
        <v>14788</v>
      </c>
      <c r="P3875" t="s">
        <v>14804</v>
      </c>
      <c r="Q3875" t="s">
        <v>11448</v>
      </c>
      <c r="S3875" t="s">
        <v>14827</v>
      </c>
      <c r="T3875" t="s">
        <v>14837</v>
      </c>
      <c r="U3875" t="s">
        <v>618</v>
      </c>
      <c r="V3875">
        <v>812</v>
      </c>
      <c r="W3875" t="s">
        <v>14859</v>
      </c>
      <c r="X3875" t="s">
        <v>14881</v>
      </c>
      <c r="Y3875" t="s">
        <v>14885</v>
      </c>
      <c r="Z3875" t="s">
        <v>18109</v>
      </c>
      <c r="AA3875" t="s">
        <v>11459</v>
      </c>
      <c r="AB3875" t="s">
        <v>23204</v>
      </c>
      <c r="AC3875">
        <v>6</v>
      </c>
      <c r="AD3875" t="s">
        <v>11479</v>
      </c>
      <c r="AE3875" t="s">
        <v>11459</v>
      </c>
      <c r="AF3875">
        <v>3</v>
      </c>
      <c r="AG3875">
        <v>1</v>
      </c>
      <c r="AH3875">
        <v>0</v>
      </c>
      <c r="AI3875">
        <v>106.58</v>
      </c>
      <c r="AL3875" t="s">
        <v>5011</v>
      </c>
      <c r="AM3875">
        <v>13312</v>
      </c>
      <c r="AO3875" t="s">
        <v>24931</v>
      </c>
      <c r="AP3875" t="s">
        <v>14755</v>
      </c>
      <c r="AQ3875" t="s">
        <v>24988</v>
      </c>
      <c r="AR3875" t="s">
        <v>25023</v>
      </c>
      <c r="AS3875">
        <v>17.8</v>
      </c>
      <c r="AT3875" t="s">
        <v>470</v>
      </c>
      <c r="AU3875" t="s">
        <v>25275</v>
      </c>
      <c r="AV3875" t="s">
        <v>25335</v>
      </c>
      <c r="AW3875" t="s">
        <v>11447</v>
      </c>
    </row>
    <row r="3876" spans="1:49">
      <c r="A3876" s="1">
        <f>HYPERLINK("https://lsnyc.legalserver.org/matter/dynamic-profile/view/1907731","19-1907731")</f>
        <v>0</v>
      </c>
      <c r="B3876" t="s">
        <v>281</v>
      </c>
      <c r="C3876" t="s">
        <v>377</v>
      </c>
      <c r="D3876" t="s">
        <v>470</v>
      </c>
      <c r="E3876" t="s">
        <v>2960</v>
      </c>
      <c r="F3876" t="s">
        <v>4299</v>
      </c>
      <c r="G3876" t="s">
        <v>9220</v>
      </c>
      <c r="H3876" t="s">
        <v>10594</v>
      </c>
      <c r="I3876" t="s">
        <v>11385</v>
      </c>
      <c r="J3876">
        <v>11221</v>
      </c>
      <c r="K3876" t="s">
        <v>11446</v>
      </c>
      <c r="L3876" t="s">
        <v>13412</v>
      </c>
      <c r="M3876" t="s">
        <v>14744</v>
      </c>
      <c r="N3876" t="s">
        <v>14781</v>
      </c>
      <c r="O3876" t="s">
        <v>14789</v>
      </c>
      <c r="P3876" t="s">
        <v>14804</v>
      </c>
      <c r="Q3876" t="s">
        <v>11448</v>
      </c>
      <c r="S3876" t="s">
        <v>14827</v>
      </c>
      <c r="U3876" t="s">
        <v>377</v>
      </c>
      <c r="V3876">
        <v>0</v>
      </c>
      <c r="W3876" t="s">
        <v>14859</v>
      </c>
      <c r="X3876" t="s">
        <v>14881</v>
      </c>
      <c r="Y3876" t="s">
        <v>14887</v>
      </c>
      <c r="Z3876" t="s">
        <v>18110</v>
      </c>
      <c r="AB3876" t="s">
        <v>23205</v>
      </c>
      <c r="AC3876">
        <v>0</v>
      </c>
      <c r="AF3876">
        <v>0</v>
      </c>
      <c r="AG3876">
        <v>1</v>
      </c>
      <c r="AH3876">
        <v>5</v>
      </c>
      <c r="AI3876">
        <v>49.28</v>
      </c>
      <c r="AL3876" t="s">
        <v>5011</v>
      </c>
      <c r="AM3876">
        <v>17046</v>
      </c>
      <c r="AS3876">
        <v>13.3</v>
      </c>
      <c r="AT3876" t="s">
        <v>470</v>
      </c>
      <c r="AU3876" t="s">
        <v>25285</v>
      </c>
      <c r="AV3876" t="s">
        <v>25335</v>
      </c>
      <c r="AW3876" t="s">
        <v>11447</v>
      </c>
    </row>
    <row r="3877" spans="1:49">
      <c r="A3877" s="1">
        <f>HYPERLINK("https://lsnyc.legalserver.org/matter/dynamic-profile/view/1900932","19-1900932")</f>
        <v>0</v>
      </c>
      <c r="B3877" t="s">
        <v>193</v>
      </c>
      <c r="C3877" t="s">
        <v>351</v>
      </c>
      <c r="D3877" t="s">
        <v>603</v>
      </c>
      <c r="E3877" t="s">
        <v>2961</v>
      </c>
      <c r="F3877" t="s">
        <v>5590</v>
      </c>
      <c r="G3877" t="s">
        <v>9221</v>
      </c>
      <c r="H3877" t="s">
        <v>11197</v>
      </c>
      <c r="I3877" t="s">
        <v>11385</v>
      </c>
      <c r="J3877">
        <v>11226</v>
      </c>
      <c r="K3877" t="s">
        <v>11446</v>
      </c>
      <c r="L3877" t="s">
        <v>13413</v>
      </c>
      <c r="M3877" t="s">
        <v>14744</v>
      </c>
      <c r="N3877" t="s">
        <v>14781</v>
      </c>
      <c r="O3877" t="s">
        <v>14788</v>
      </c>
      <c r="P3877" t="s">
        <v>14804</v>
      </c>
      <c r="Q3877" t="s">
        <v>11448</v>
      </c>
      <c r="S3877" t="s">
        <v>14827</v>
      </c>
      <c r="U3877" t="s">
        <v>545</v>
      </c>
      <c r="V3877">
        <v>1738.4</v>
      </c>
      <c r="W3877" t="s">
        <v>14859</v>
      </c>
      <c r="X3877" t="s">
        <v>14868</v>
      </c>
      <c r="Y3877" t="s">
        <v>14887</v>
      </c>
      <c r="Z3877" t="s">
        <v>18111</v>
      </c>
      <c r="AB3877" t="s">
        <v>23206</v>
      </c>
      <c r="AC3877">
        <v>54</v>
      </c>
      <c r="AD3877" t="s">
        <v>11479</v>
      </c>
      <c r="AF3877">
        <v>11</v>
      </c>
      <c r="AG3877">
        <v>3</v>
      </c>
      <c r="AH3877">
        <v>0</v>
      </c>
      <c r="AI3877">
        <v>196.4</v>
      </c>
      <c r="AL3877" t="s">
        <v>5011</v>
      </c>
      <c r="AM3877">
        <v>41892</v>
      </c>
      <c r="AO3877" t="s">
        <v>24930</v>
      </c>
      <c r="AP3877" t="s">
        <v>24941</v>
      </c>
      <c r="AQ3877" t="s">
        <v>24986</v>
      </c>
      <c r="AR3877" t="s">
        <v>25033</v>
      </c>
      <c r="AS3877">
        <v>8.6</v>
      </c>
      <c r="AT3877" t="s">
        <v>603</v>
      </c>
      <c r="AU3877" t="s">
        <v>91</v>
      </c>
      <c r="AV3877" t="s">
        <v>25335</v>
      </c>
      <c r="AW3877" t="s">
        <v>11447</v>
      </c>
    </row>
    <row r="3878" spans="1:49">
      <c r="A3878" s="1">
        <f>HYPERLINK("https://lsnyc.legalserver.org/matter/dynamic-profile/view/1850804","17-1850804")</f>
        <v>0</v>
      </c>
      <c r="B3878" t="s">
        <v>263</v>
      </c>
      <c r="C3878" t="s">
        <v>741</v>
      </c>
      <c r="D3878" t="s">
        <v>603</v>
      </c>
      <c r="E3878" t="s">
        <v>1416</v>
      </c>
      <c r="F3878" t="s">
        <v>5591</v>
      </c>
      <c r="G3878" t="s">
        <v>9222</v>
      </c>
      <c r="H3878" t="s">
        <v>11198</v>
      </c>
      <c r="I3878" t="s">
        <v>11385</v>
      </c>
      <c r="J3878">
        <v>11226</v>
      </c>
      <c r="K3878" t="s">
        <v>11448</v>
      </c>
      <c r="L3878" t="s">
        <v>13414</v>
      </c>
      <c r="M3878" t="s">
        <v>14744</v>
      </c>
      <c r="N3878" t="s">
        <v>14782</v>
      </c>
      <c r="O3878" t="s">
        <v>14786</v>
      </c>
      <c r="P3878" t="s">
        <v>14804</v>
      </c>
      <c r="S3878" t="s">
        <v>14827</v>
      </c>
      <c r="V3878">
        <v>1085.61</v>
      </c>
      <c r="W3878" t="s">
        <v>14859</v>
      </c>
      <c r="X3878" t="s">
        <v>14870</v>
      </c>
      <c r="Y3878" t="s">
        <v>14883</v>
      </c>
      <c r="Z3878" t="s">
        <v>18112</v>
      </c>
      <c r="AB3878" t="s">
        <v>23207</v>
      </c>
      <c r="AC3878">
        <v>0</v>
      </c>
      <c r="AD3878" t="s">
        <v>24595</v>
      </c>
      <c r="AE3878" t="s">
        <v>11459</v>
      </c>
      <c r="AF3878">
        <v>20</v>
      </c>
      <c r="AG3878">
        <v>1</v>
      </c>
      <c r="AH3878">
        <v>0</v>
      </c>
      <c r="AI3878">
        <v>62.69</v>
      </c>
      <c r="AL3878" t="s">
        <v>5011</v>
      </c>
      <c r="AM3878">
        <v>7560</v>
      </c>
      <c r="AS3878">
        <v>2.1</v>
      </c>
      <c r="AT3878" t="s">
        <v>603</v>
      </c>
      <c r="AU3878" t="s">
        <v>263</v>
      </c>
      <c r="AW3878" t="s">
        <v>11447</v>
      </c>
    </row>
    <row r="3879" spans="1:49">
      <c r="A3879" s="1">
        <f>HYPERLINK("https://lsnyc.legalserver.org/matter/dynamic-profile/view/1906152","19-1906152")</f>
        <v>0</v>
      </c>
      <c r="B3879" t="s">
        <v>278</v>
      </c>
      <c r="C3879" t="s">
        <v>553</v>
      </c>
      <c r="D3879" t="s">
        <v>483</v>
      </c>
      <c r="E3879" t="s">
        <v>2962</v>
      </c>
      <c r="F3879" t="s">
        <v>3985</v>
      </c>
      <c r="G3879" t="s">
        <v>9223</v>
      </c>
      <c r="H3879" t="s">
        <v>11199</v>
      </c>
      <c r="I3879" t="s">
        <v>11385</v>
      </c>
      <c r="J3879">
        <v>11221</v>
      </c>
      <c r="K3879" t="s">
        <v>11446</v>
      </c>
      <c r="L3879" t="s">
        <v>13415</v>
      </c>
      <c r="M3879" t="s">
        <v>14744</v>
      </c>
      <c r="N3879" t="s">
        <v>14781</v>
      </c>
      <c r="O3879" t="s">
        <v>14788</v>
      </c>
      <c r="P3879" t="s">
        <v>14804</v>
      </c>
      <c r="Q3879" t="s">
        <v>11448</v>
      </c>
      <c r="S3879" t="s">
        <v>14827</v>
      </c>
      <c r="T3879" t="s">
        <v>14832</v>
      </c>
      <c r="U3879" t="s">
        <v>618</v>
      </c>
      <c r="V3879">
        <v>1571.21</v>
      </c>
      <c r="W3879" t="s">
        <v>14859</v>
      </c>
      <c r="X3879" t="s">
        <v>14881</v>
      </c>
      <c r="Y3879" t="s">
        <v>14887</v>
      </c>
      <c r="Z3879" t="s">
        <v>18113</v>
      </c>
      <c r="AA3879" t="s">
        <v>19815</v>
      </c>
      <c r="AB3879" t="s">
        <v>23208</v>
      </c>
      <c r="AC3879">
        <v>97</v>
      </c>
      <c r="AD3879" t="s">
        <v>24595</v>
      </c>
      <c r="AE3879" t="s">
        <v>11459</v>
      </c>
      <c r="AF3879">
        <v>3</v>
      </c>
      <c r="AG3879">
        <v>1</v>
      </c>
      <c r="AH3879">
        <v>2</v>
      </c>
      <c r="AI3879">
        <v>0</v>
      </c>
      <c r="AL3879" t="s">
        <v>5011</v>
      </c>
      <c r="AM3879">
        <v>0</v>
      </c>
      <c r="AO3879" t="s">
        <v>24930</v>
      </c>
      <c r="AP3879" t="s">
        <v>24941</v>
      </c>
      <c r="AQ3879" t="s">
        <v>24986</v>
      </c>
      <c r="AR3879" t="s">
        <v>25025</v>
      </c>
      <c r="AS3879">
        <v>8.1</v>
      </c>
      <c r="AT3879" t="s">
        <v>483</v>
      </c>
      <c r="AU3879" t="s">
        <v>25275</v>
      </c>
      <c r="AV3879" t="s">
        <v>25335</v>
      </c>
      <c r="AW3879" t="s">
        <v>11447</v>
      </c>
    </row>
    <row r="3880" spans="1:49">
      <c r="A3880" s="1">
        <f>HYPERLINK("https://lsnyc.legalserver.org/matter/dynamic-profile/view/1906195","19-1906195")</f>
        <v>0</v>
      </c>
      <c r="B3880" t="s">
        <v>280</v>
      </c>
      <c r="C3880" t="s">
        <v>553</v>
      </c>
      <c r="D3880" t="s">
        <v>476</v>
      </c>
      <c r="E3880" t="s">
        <v>2963</v>
      </c>
      <c r="F3880" t="s">
        <v>2338</v>
      </c>
      <c r="G3880" t="s">
        <v>9224</v>
      </c>
      <c r="H3880" t="s">
        <v>11200</v>
      </c>
      <c r="I3880" t="s">
        <v>11385</v>
      </c>
      <c r="J3880">
        <v>11221</v>
      </c>
      <c r="K3880" t="s">
        <v>11446</v>
      </c>
      <c r="L3880" t="s">
        <v>13416</v>
      </c>
      <c r="M3880" t="s">
        <v>14743</v>
      </c>
      <c r="N3880" t="s">
        <v>14781</v>
      </c>
      <c r="O3880" t="s">
        <v>14788</v>
      </c>
      <c r="P3880" t="s">
        <v>14804</v>
      </c>
      <c r="Q3880" t="s">
        <v>11448</v>
      </c>
      <c r="S3880" t="s">
        <v>14827</v>
      </c>
      <c r="U3880" t="s">
        <v>553</v>
      </c>
      <c r="V3880">
        <v>1081</v>
      </c>
      <c r="W3880" t="s">
        <v>14859</v>
      </c>
      <c r="X3880" t="s">
        <v>14881</v>
      </c>
      <c r="Y3880" t="s">
        <v>14887</v>
      </c>
      <c r="Z3880" t="s">
        <v>18114</v>
      </c>
      <c r="AB3880" t="s">
        <v>23209</v>
      </c>
      <c r="AC3880">
        <v>3</v>
      </c>
      <c r="AE3880" t="s">
        <v>11459</v>
      </c>
      <c r="AF3880">
        <v>1</v>
      </c>
      <c r="AG3880">
        <v>1</v>
      </c>
      <c r="AH3880">
        <v>0</v>
      </c>
      <c r="AI3880">
        <v>38.43</v>
      </c>
      <c r="AL3880" t="s">
        <v>5011</v>
      </c>
      <c r="AM3880">
        <v>4800</v>
      </c>
      <c r="AS3880">
        <v>2</v>
      </c>
      <c r="AT3880" t="s">
        <v>476</v>
      </c>
      <c r="AU3880" t="s">
        <v>25235</v>
      </c>
      <c r="AV3880" t="s">
        <v>25335</v>
      </c>
      <c r="AW3880" t="s">
        <v>11447</v>
      </c>
    </row>
    <row r="3881" spans="1:49">
      <c r="A3881" s="1">
        <f>HYPERLINK("https://lsnyc.legalserver.org/matter/dynamic-profile/view/1911844","19-1911844")</f>
        <v>0</v>
      </c>
      <c r="B3881" t="s">
        <v>281</v>
      </c>
      <c r="C3881" t="s">
        <v>645</v>
      </c>
      <c r="D3881" t="s">
        <v>580</v>
      </c>
      <c r="E3881" t="s">
        <v>1416</v>
      </c>
      <c r="F3881" t="s">
        <v>1254</v>
      </c>
      <c r="G3881" t="s">
        <v>9225</v>
      </c>
      <c r="H3881">
        <v>7</v>
      </c>
      <c r="I3881" t="s">
        <v>11385</v>
      </c>
      <c r="J3881">
        <v>11226</v>
      </c>
      <c r="K3881" t="s">
        <v>11446</v>
      </c>
      <c r="L3881" t="s">
        <v>13417</v>
      </c>
      <c r="M3881" t="s">
        <v>14744</v>
      </c>
      <c r="N3881" t="s">
        <v>14781</v>
      </c>
      <c r="O3881" t="s">
        <v>14789</v>
      </c>
      <c r="P3881" t="s">
        <v>14804</v>
      </c>
      <c r="S3881" t="s">
        <v>14827</v>
      </c>
      <c r="U3881" t="s">
        <v>645</v>
      </c>
      <c r="V3881">
        <v>0</v>
      </c>
      <c r="W3881" t="s">
        <v>14859</v>
      </c>
      <c r="X3881" t="s">
        <v>14865</v>
      </c>
      <c r="Y3881" t="s">
        <v>14887</v>
      </c>
      <c r="Z3881" t="s">
        <v>18115</v>
      </c>
      <c r="AB3881" t="s">
        <v>23210</v>
      </c>
      <c r="AC3881">
        <v>0</v>
      </c>
      <c r="AF3881">
        <v>0</v>
      </c>
      <c r="AG3881">
        <v>2</v>
      </c>
      <c r="AH3881">
        <v>1</v>
      </c>
      <c r="AI3881">
        <v>140.65</v>
      </c>
      <c r="AL3881" t="s">
        <v>5011</v>
      </c>
      <c r="AM3881">
        <v>30000</v>
      </c>
      <c r="AS3881">
        <v>4.6</v>
      </c>
      <c r="AT3881" t="s">
        <v>484</v>
      </c>
      <c r="AU3881" t="s">
        <v>25275</v>
      </c>
      <c r="AV3881" t="s">
        <v>25335</v>
      </c>
      <c r="AW3881" t="s">
        <v>11447</v>
      </c>
    </row>
    <row r="3882" spans="1:49">
      <c r="A3882" s="1">
        <f>HYPERLINK("https://lsnyc.legalserver.org/matter/dynamic-profile/view/1910295","19-1910295")</f>
        <v>0</v>
      </c>
      <c r="B3882" t="s">
        <v>133</v>
      </c>
      <c r="C3882" t="s">
        <v>540</v>
      </c>
      <c r="D3882" t="s">
        <v>537</v>
      </c>
      <c r="E3882" t="s">
        <v>2177</v>
      </c>
      <c r="F3882" t="s">
        <v>1983</v>
      </c>
      <c r="G3882" t="s">
        <v>9226</v>
      </c>
      <c r="H3882" t="s">
        <v>11058</v>
      </c>
      <c r="I3882" t="s">
        <v>11385</v>
      </c>
      <c r="J3882">
        <v>11216</v>
      </c>
      <c r="K3882" t="s">
        <v>11446</v>
      </c>
      <c r="L3882" t="s">
        <v>13418</v>
      </c>
      <c r="M3882" t="s">
        <v>14744</v>
      </c>
      <c r="N3882" t="s">
        <v>14781</v>
      </c>
      <c r="O3882" t="s">
        <v>14788</v>
      </c>
      <c r="P3882" t="s">
        <v>14804</v>
      </c>
      <c r="Q3882" t="s">
        <v>11448</v>
      </c>
      <c r="S3882" t="s">
        <v>14827</v>
      </c>
      <c r="T3882" t="s">
        <v>14832</v>
      </c>
      <c r="U3882" t="s">
        <v>540</v>
      </c>
      <c r="V3882">
        <v>1146</v>
      </c>
      <c r="W3882" t="s">
        <v>14859</v>
      </c>
      <c r="X3882" t="s">
        <v>14881</v>
      </c>
      <c r="Y3882" t="s">
        <v>14887</v>
      </c>
      <c r="Z3882" t="s">
        <v>18116</v>
      </c>
      <c r="AB3882" t="s">
        <v>23211</v>
      </c>
      <c r="AC3882">
        <v>28</v>
      </c>
      <c r="AD3882" t="s">
        <v>24596</v>
      </c>
      <c r="AF3882">
        <v>20</v>
      </c>
      <c r="AG3882">
        <v>2</v>
      </c>
      <c r="AH3882">
        <v>0</v>
      </c>
      <c r="AI3882">
        <v>217.34</v>
      </c>
      <c r="AJ3882" t="s">
        <v>551</v>
      </c>
      <c r="AK3882" t="s">
        <v>24629</v>
      </c>
      <c r="AL3882" t="s">
        <v>5011</v>
      </c>
      <c r="AM3882">
        <v>36752</v>
      </c>
      <c r="AO3882" t="s">
        <v>24930</v>
      </c>
      <c r="AP3882" t="s">
        <v>24942</v>
      </c>
      <c r="AQ3882" t="s">
        <v>24986</v>
      </c>
      <c r="AR3882" t="s">
        <v>25092</v>
      </c>
      <c r="AS3882">
        <v>4.4</v>
      </c>
      <c r="AT3882" t="s">
        <v>537</v>
      </c>
      <c r="AU3882" t="s">
        <v>25277</v>
      </c>
      <c r="AV3882" t="s">
        <v>25335</v>
      </c>
      <c r="AW3882" t="s">
        <v>11447</v>
      </c>
    </row>
    <row r="3883" spans="1:49">
      <c r="A3883" s="1">
        <f>HYPERLINK("https://lsnyc.legalserver.org/matter/dynamic-profile/view/1910174","19-1910174")</f>
        <v>0</v>
      </c>
      <c r="B3883" t="s">
        <v>127</v>
      </c>
      <c r="C3883" t="s">
        <v>528</v>
      </c>
      <c r="D3883" t="s">
        <v>516</v>
      </c>
      <c r="E3883" t="s">
        <v>1114</v>
      </c>
      <c r="F3883" t="s">
        <v>1119</v>
      </c>
      <c r="G3883" t="s">
        <v>9227</v>
      </c>
      <c r="H3883">
        <v>19</v>
      </c>
      <c r="I3883" t="s">
        <v>11385</v>
      </c>
      <c r="J3883">
        <v>11226</v>
      </c>
      <c r="K3883" t="s">
        <v>11446</v>
      </c>
      <c r="L3883" t="s">
        <v>13419</v>
      </c>
      <c r="M3883" t="s">
        <v>14744</v>
      </c>
      <c r="N3883" t="s">
        <v>14781</v>
      </c>
      <c r="O3883" t="s">
        <v>14788</v>
      </c>
      <c r="P3883" t="s">
        <v>14804</v>
      </c>
      <c r="S3883" t="s">
        <v>14827</v>
      </c>
      <c r="U3883" t="s">
        <v>604</v>
      </c>
      <c r="V3883">
        <v>0</v>
      </c>
      <c r="W3883" t="s">
        <v>14859</v>
      </c>
      <c r="X3883" t="s">
        <v>14865</v>
      </c>
      <c r="Y3883" t="s">
        <v>14887</v>
      </c>
      <c r="Z3883" t="s">
        <v>18117</v>
      </c>
      <c r="AB3883" t="s">
        <v>23212</v>
      </c>
      <c r="AC3883">
        <v>20</v>
      </c>
      <c r="AF3883">
        <v>0</v>
      </c>
      <c r="AG3883">
        <v>1</v>
      </c>
      <c r="AH3883">
        <v>0</v>
      </c>
      <c r="AI3883">
        <v>228.18</v>
      </c>
      <c r="AJ3883" t="s">
        <v>551</v>
      </c>
      <c r="AK3883" t="s">
        <v>24629</v>
      </c>
      <c r="AL3883" t="s">
        <v>5011</v>
      </c>
      <c r="AM3883">
        <v>28500</v>
      </c>
      <c r="AS3883">
        <v>7.3</v>
      </c>
      <c r="AT3883" t="s">
        <v>516</v>
      </c>
      <c r="AU3883" t="s">
        <v>25235</v>
      </c>
      <c r="AV3883" t="s">
        <v>25335</v>
      </c>
      <c r="AW3883" t="s">
        <v>11447</v>
      </c>
    </row>
    <row r="3884" spans="1:49">
      <c r="A3884" s="1">
        <f>HYPERLINK("https://lsnyc.legalserver.org/matter/dynamic-profile/view/1909044","19-1909044")</f>
        <v>0</v>
      </c>
      <c r="B3884" t="s">
        <v>233</v>
      </c>
      <c r="C3884" t="s">
        <v>641</v>
      </c>
      <c r="D3884" t="s">
        <v>509</v>
      </c>
      <c r="E3884" t="s">
        <v>1181</v>
      </c>
      <c r="F3884" t="s">
        <v>3667</v>
      </c>
      <c r="G3884" t="s">
        <v>9228</v>
      </c>
      <c r="H3884" t="s">
        <v>10467</v>
      </c>
      <c r="I3884" t="s">
        <v>11385</v>
      </c>
      <c r="J3884">
        <v>11221</v>
      </c>
      <c r="K3884" t="s">
        <v>11446</v>
      </c>
      <c r="L3884" t="s">
        <v>13420</v>
      </c>
      <c r="M3884" t="s">
        <v>14744</v>
      </c>
      <c r="N3884" t="s">
        <v>14781</v>
      </c>
      <c r="O3884" t="s">
        <v>14788</v>
      </c>
      <c r="P3884" t="s">
        <v>14804</v>
      </c>
      <c r="Q3884" t="s">
        <v>11448</v>
      </c>
      <c r="S3884" t="s">
        <v>14827</v>
      </c>
      <c r="U3884" t="s">
        <v>641</v>
      </c>
      <c r="V3884">
        <v>0</v>
      </c>
      <c r="W3884" t="s">
        <v>14859</v>
      </c>
      <c r="X3884" t="s">
        <v>14881</v>
      </c>
      <c r="Y3884" t="s">
        <v>14887</v>
      </c>
      <c r="Z3884" t="s">
        <v>18118</v>
      </c>
      <c r="AB3884" t="s">
        <v>23213</v>
      </c>
      <c r="AC3884">
        <v>0</v>
      </c>
      <c r="AF3884">
        <v>0</v>
      </c>
      <c r="AG3884">
        <v>1</v>
      </c>
      <c r="AH3884">
        <v>0</v>
      </c>
      <c r="AI3884">
        <v>18.94</v>
      </c>
      <c r="AL3884" t="s">
        <v>5011</v>
      </c>
      <c r="AM3884">
        <v>2366</v>
      </c>
      <c r="AS3884">
        <v>6</v>
      </c>
      <c r="AT3884" t="s">
        <v>484</v>
      </c>
      <c r="AU3884" t="s">
        <v>25285</v>
      </c>
      <c r="AV3884" t="s">
        <v>25335</v>
      </c>
      <c r="AW3884" t="s">
        <v>11447</v>
      </c>
    </row>
    <row r="3885" spans="1:49">
      <c r="A3885" s="1">
        <f>HYPERLINK("https://lsnyc.legalserver.org/matter/dynamic-profile/view/1909257","19-1909257")</f>
        <v>0</v>
      </c>
      <c r="B3885" t="s">
        <v>233</v>
      </c>
      <c r="C3885" t="s">
        <v>589</v>
      </c>
      <c r="D3885" t="s">
        <v>509</v>
      </c>
      <c r="E3885" t="s">
        <v>1119</v>
      </c>
      <c r="F3885" t="s">
        <v>5370</v>
      </c>
      <c r="G3885" t="s">
        <v>9229</v>
      </c>
      <c r="H3885" t="s">
        <v>10524</v>
      </c>
      <c r="I3885" t="s">
        <v>11385</v>
      </c>
      <c r="J3885">
        <v>11221</v>
      </c>
      <c r="K3885" t="s">
        <v>11446</v>
      </c>
      <c r="L3885" t="s">
        <v>13421</v>
      </c>
      <c r="M3885" t="s">
        <v>14743</v>
      </c>
      <c r="N3885" t="s">
        <v>14781</v>
      </c>
      <c r="O3885" t="s">
        <v>14788</v>
      </c>
      <c r="P3885" t="s">
        <v>14804</v>
      </c>
      <c r="Q3885" t="s">
        <v>11448</v>
      </c>
      <c r="S3885" t="s">
        <v>14827</v>
      </c>
      <c r="U3885" t="s">
        <v>589</v>
      </c>
      <c r="V3885">
        <v>0</v>
      </c>
      <c r="W3885" t="s">
        <v>14859</v>
      </c>
      <c r="X3885" t="s">
        <v>14881</v>
      </c>
      <c r="Y3885" t="s">
        <v>14887</v>
      </c>
      <c r="Z3885" t="s">
        <v>17535</v>
      </c>
      <c r="AB3885" t="s">
        <v>23214</v>
      </c>
      <c r="AC3885">
        <v>0</v>
      </c>
      <c r="AF3885">
        <v>0</v>
      </c>
      <c r="AG3885">
        <v>1</v>
      </c>
      <c r="AH3885">
        <v>0</v>
      </c>
      <c r="AI3885">
        <v>0</v>
      </c>
      <c r="AL3885" t="s">
        <v>5011</v>
      </c>
      <c r="AM3885">
        <v>0</v>
      </c>
      <c r="AS3885">
        <v>14.6</v>
      </c>
      <c r="AT3885" t="s">
        <v>580</v>
      </c>
      <c r="AU3885" t="s">
        <v>25285</v>
      </c>
      <c r="AV3885" t="s">
        <v>25335</v>
      </c>
      <c r="AW3885" t="s">
        <v>11447</v>
      </c>
    </row>
    <row r="3886" spans="1:49">
      <c r="A3886" s="1">
        <f>HYPERLINK("https://lsnyc.legalserver.org/matter/dynamic-profile/view/1911466","19-1911466")</f>
        <v>0</v>
      </c>
      <c r="B3886" t="s">
        <v>233</v>
      </c>
      <c r="C3886" t="s">
        <v>486</v>
      </c>
      <c r="D3886" t="s">
        <v>509</v>
      </c>
      <c r="E3886" t="s">
        <v>2964</v>
      </c>
      <c r="F3886" t="s">
        <v>2218</v>
      </c>
      <c r="G3886" t="s">
        <v>9230</v>
      </c>
      <c r="H3886" t="s">
        <v>10745</v>
      </c>
      <c r="I3886" t="s">
        <v>11385</v>
      </c>
      <c r="J3886">
        <v>11226</v>
      </c>
      <c r="K3886" t="s">
        <v>11446</v>
      </c>
      <c r="L3886" t="s">
        <v>13422</v>
      </c>
      <c r="M3886" t="s">
        <v>14744</v>
      </c>
      <c r="N3886" t="s">
        <v>14781</v>
      </c>
      <c r="O3886" t="s">
        <v>14788</v>
      </c>
      <c r="P3886" t="s">
        <v>14804</v>
      </c>
      <c r="S3886" t="s">
        <v>14827</v>
      </c>
      <c r="U3886" t="s">
        <v>486</v>
      </c>
      <c r="V3886">
        <v>0</v>
      </c>
      <c r="W3886" t="s">
        <v>14859</v>
      </c>
      <c r="X3886" t="s">
        <v>14865</v>
      </c>
      <c r="Y3886" t="s">
        <v>14887</v>
      </c>
      <c r="Z3886" t="s">
        <v>18119</v>
      </c>
      <c r="AB3886" t="s">
        <v>23215</v>
      </c>
      <c r="AC3886">
        <v>0</v>
      </c>
      <c r="AD3886" t="s">
        <v>24595</v>
      </c>
      <c r="AF3886">
        <v>0</v>
      </c>
      <c r="AG3886">
        <v>1</v>
      </c>
      <c r="AH3886">
        <v>2</v>
      </c>
      <c r="AI3886">
        <v>121.89</v>
      </c>
      <c r="AM3886">
        <v>26000</v>
      </c>
      <c r="AS3886">
        <v>4</v>
      </c>
      <c r="AT3886" t="s">
        <v>484</v>
      </c>
      <c r="AU3886" t="s">
        <v>25275</v>
      </c>
      <c r="AV3886" t="s">
        <v>25335</v>
      </c>
      <c r="AW3886" t="s">
        <v>11447</v>
      </c>
    </row>
    <row r="3887" spans="1:49">
      <c r="A3887" s="1">
        <f>HYPERLINK("https://lsnyc.legalserver.org/matter/dynamic-profile/view/1914388","19-1914388")</f>
        <v>0</v>
      </c>
      <c r="B3887" t="s">
        <v>284</v>
      </c>
      <c r="C3887" t="s">
        <v>506</v>
      </c>
      <c r="D3887" t="s">
        <v>509</v>
      </c>
      <c r="E3887" t="s">
        <v>2965</v>
      </c>
      <c r="F3887" t="s">
        <v>5592</v>
      </c>
      <c r="G3887" t="s">
        <v>9231</v>
      </c>
      <c r="H3887" t="s">
        <v>10470</v>
      </c>
      <c r="I3887" t="s">
        <v>11385</v>
      </c>
      <c r="J3887">
        <v>11235</v>
      </c>
      <c r="K3887" t="s">
        <v>11446</v>
      </c>
      <c r="L3887" t="s">
        <v>13423</v>
      </c>
      <c r="M3887" t="s">
        <v>14744</v>
      </c>
      <c r="N3887" t="s">
        <v>14778</v>
      </c>
      <c r="O3887" t="s">
        <v>14786</v>
      </c>
      <c r="P3887" t="s">
        <v>14804</v>
      </c>
      <c r="Q3887" t="s">
        <v>11448</v>
      </c>
      <c r="S3887" t="s">
        <v>14827</v>
      </c>
      <c r="U3887" t="s">
        <v>506</v>
      </c>
      <c r="V3887">
        <v>1325</v>
      </c>
      <c r="W3887" t="s">
        <v>14859</v>
      </c>
      <c r="X3887" t="s">
        <v>14865</v>
      </c>
      <c r="Y3887" t="s">
        <v>14883</v>
      </c>
      <c r="Z3887" t="s">
        <v>18120</v>
      </c>
      <c r="AA3887" t="s">
        <v>19816</v>
      </c>
      <c r="AB3887" t="s">
        <v>23216</v>
      </c>
      <c r="AC3887">
        <v>68</v>
      </c>
      <c r="AD3887" t="s">
        <v>24595</v>
      </c>
      <c r="AF3887">
        <v>11</v>
      </c>
      <c r="AG3887">
        <v>1</v>
      </c>
      <c r="AH3887">
        <v>0</v>
      </c>
      <c r="AI3887">
        <v>82.15000000000001</v>
      </c>
      <c r="AL3887" t="s">
        <v>5011</v>
      </c>
      <c r="AM3887">
        <v>10260</v>
      </c>
      <c r="AS3887">
        <v>10.8</v>
      </c>
      <c r="AT3887" t="s">
        <v>509</v>
      </c>
      <c r="AU3887" t="s">
        <v>25246</v>
      </c>
      <c r="AV3887" t="s">
        <v>25335</v>
      </c>
      <c r="AW3887" t="s">
        <v>11447</v>
      </c>
    </row>
    <row r="3888" spans="1:49">
      <c r="A3888" s="1">
        <f>HYPERLINK("https://lsnyc.legalserver.org/matter/dynamic-profile/view/1907030","19-1907030")</f>
        <v>0</v>
      </c>
      <c r="B3888" t="s">
        <v>233</v>
      </c>
      <c r="C3888" t="s">
        <v>626</v>
      </c>
      <c r="D3888" t="s">
        <v>495</v>
      </c>
      <c r="E3888" t="s">
        <v>2562</v>
      </c>
      <c r="F3888" t="s">
        <v>5529</v>
      </c>
      <c r="G3888" t="s">
        <v>9232</v>
      </c>
      <c r="H3888">
        <v>7</v>
      </c>
      <c r="I3888" t="s">
        <v>11385</v>
      </c>
      <c r="J3888">
        <v>11216</v>
      </c>
      <c r="K3888" t="s">
        <v>11446</v>
      </c>
      <c r="L3888" t="s">
        <v>13424</v>
      </c>
      <c r="M3888" t="s">
        <v>14744</v>
      </c>
      <c r="N3888" t="s">
        <v>14781</v>
      </c>
      <c r="O3888" t="s">
        <v>14788</v>
      </c>
      <c r="P3888" t="s">
        <v>14804</v>
      </c>
      <c r="Q3888" t="s">
        <v>11448</v>
      </c>
      <c r="S3888" t="s">
        <v>14827</v>
      </c>
      <c r="U3888" t="s">
        <v>626</v>
      </c>
      <c r="V3888">
        <v>600</v>
      </c>
      <c r="W3888" t="s">
        <v>14859</v>
      </c>
      <c r="X3888" t="s">
        <v>14881</v>
      </c>
      <c r="Y3888" t="s">
        <v>14887</v>
      </c>
      <c r="Z3888" t="s">
        <v>14933</v>
      </c>
      <c r="AB3888" t="s">
        <v>23217</v>
      </c>
      <c r="AC3888">
        <v>0</v>
      </c>
      <c r="AF3888">
        <v>30</v>
      </c>
      <c r="AG3888">
        <v>1</v>
      </c>
      <c r="AH3888">
        <v>0</v>
      </c>
      <c r="AI3888">
        <v>74.36</v>
      </c>
      <c r="AL3888" t="s">
        <v>5011</v>
      </c>
      <c r="AM3888">
        <v>9288</v>
      </c>
      <c r="AS3888">
        <v>6.8</v>
      </c>
      <c r="AT3888" t="s">
        <v>526</v>
      </c>
      <c r="AU3888" t="s">
        <v>25285</v>
      </c>
      <c r="AV3888" t="s">
        <v>25335</v>
      </c>
      <c r="AW3888" t="s">
        <v>11447</v>
      </c>
    </row>
    <row r="3889" spans="1:49">
      <c r="A3889" s="1">
        <f>HYPERLINK("https://lsnyc.legalserver.org/matter/dynamic-profile/view/1909615","19-1909615")</f>
        <v>0</v>
      </c>
      <c r="B3889" t="s">
        <v>281</v>
      </c>
      <c r="C3889" t="s">
        <v>463</v>
      </c>
      <c r="D3889" t="s">
        <v>495</v>
      </c>
      <c r="E3889" t="s">
        <v>1089</v>
      </c>
      <c r="F3889" t="s">
        <v>5593</v>
      </c>
      <c r="G3889" t="s">
        <v>6405</v>
      </c>
      <c r="H3889" t="s">
        <v>10873</v>
      </c>
      <c r="I3889" t="s">
        <v>11385</v>
      </c>
      <c r="J3889">
        <v>11216</v>
      </c>
      <c r="K3889" t="s">
        <v>11446</v>
      </c>
      <c r="L3889" t="s">
        <v>13425</v>
      </c>
      <c r="M3889" t="s">
        <v>14744</v>
      </c>
      <c r="N3889" t="s">
        <v>14781</v>
      </c>
      <c r="O3889" t="s">
        <v>14789</v>
      </c>
      <c r="P3889" t="s">
        <v>14804</v>
      </c>
      <c r="Q3889" t="s">
        <v>11448</v>
      </c>
      <c r="S3889" t="s">
        <v>14827</v>
      </c>
      <c r="U3889" t="s">
        <v>463</v>
      </c>
      <c r="V3889">
        <v>0</v>
      </c>
      <c r="W3889" t="s">
        <v>14859</v>
      </c>
      <c r="X3889" t="s">
        <v>14881</v>
      </c>
      <c r="Y3889" t="s">
        <v>14887</v>
      </c>
      <c r="Z3889" t="s">
        <v>18121</v>
      </c>
      <c r="AB3889" t="s">
        <v>23218</v>
      </c>
      <c r="AC3889">
        <v>0</v>
      </c>
      <c r="AF3889">
        <v>0</v>
      </c>
      <c r="AG3889">
        <v>1</v>
      </c>
      <c r="AH3889">
        <v>0</v>
      </c>
      <c r="AI3889">
        <v>41.63</v>
      </c>
      <c r="AL3889" t="s">
        <v>5011</v>
      </c>
      <c r="AM3889">
        <v>5200</v>
      </c>
      <c r="AS3889">
        <v>11.5</v>
      </c>
      <c r="AT3889" t="s">
        <v>495</v>
      </c>
      <c r="AU3889" t="s">
        <v>25285</v>
      </c>
      <c r="AV3889" t="s">
        <v>25335</v>
      </c>
      <c r="AW3889" t="s">
        <v>11447</v>
      </c>
    </row>
    <row r="3890" spans="1:49">
      <c r="A3890" s="1">
        <f>HYPERLINK("https://lsnyc.legalserver.org/matter/dynamic-profile/view/1903855","19-1903855")</f>
        <v>0</v>
      </c>
      <c r="B3890" t="s">
        <v>72</v>
      </c>
      <c r="C3890" t="s">
        <v>378</v>
      </c>
      <c r="D3890" t="s">
        <v>495</v>
      </c>
      <c r="E3890" t="s">
        <v>2966</v>
      </c>
      <c r="F3890" t="s">
        <v>3982</v>
      </c>
      <c r="G3890" t="s">
        <v>9233</v>
      </c>
      <c r="H3890" t="s">
        <v>10513</v>
      </c>
      <c r="I3890" t="s">
        <v>11385</v>
      </c>
      <c r="J3890">
        <v>11225</v>
      </c>
      <c r="K3890" t="s">
        <v>11447</v>
      </c>
      <c r="L3890" t="s">
        <v>13426</v>
      </c>
      <c r="M3890" t="s">
        <v>14743</v>
      </c>
      <c r="N3890" t="s">
        <v>14778</v>
      </c>
      <c r="O3890" t="s">
        <v>14793</v>
      </c>
      <c r="P3890" t="s">
        <v>14804</v>
      </c>
      <c r="S3890" t="s">
        <v>14827</v>
      </c>
      <c r="V3890">
        <v>176</v>
      </c>
      <c r="W3890" t="s">
        <v>14859</v>
      </c>
      <c r="Y3890" t="s">
        <v>14888</v>
      </c>
      <c r="Z3890" t="s">
        <v>18122</v>
      </c>
      <c r="AB3890" t="s">
        <v>23219</v>
      </c>
      <c r="AC3890">
        <v>4</v>
      </c>
      <c r="AF3890">
        <v>1</v>
      </c>
      <c r="AG3890">
        <v>1</v>
      </c>
      <c r="AH3890">
        <v>0</v>
      </c>
      <c r="AI3890">
        <v>33.63</v>
      </c>
      <c r="AL3890" t="s">
        <v>5011</v>
      </c>
      <c r="AM3890">
        <v>4200</v>
      </c>
      <c r="AS3890">
        <v>24.15</v>
      </c>
      <c r="AT3890" t="s">
        <v>521</v>
      </c>
      <c r="AU3890" t="s">
        <v>25230</v>
      </c>
      <c r="AW3890" t="s">
        <v>11447</v>
      </c>
    </row>
    <row r="3891" spans="1:49">
      <c r="A3891" s="1">
        <f>HYPERLINK("https://lsnyc.legalserver.org/matter/dynamic-profile/view/1900543","19-1900543")</f>
        <v>0</v>
      </c>
      <c r="B3891" t="s">
        <v>151</v>
      </c>
      <c r="C3891" t="s">
        <v>351</v>
      </c>
      <c r="E3891" t="s">
        <v>1570</v>
      </c>
      <c r="F3891" t="s">
        <v>3542</v>
      </c>
      <c r="G3891" t="s">
        <v>9234</v>
      </c>
      <c r="H3891" t="s">
        <v>10547</v>
      </c>
      <c r="I3891" t="s">
        <v>11385</v>
      </c>
      <c r="J3891">
        <v>11226</v>
      </c>
      <c r="K3891" t="s">
        <v>11446</v>
      </c>
      <c r="L3891" t="s">
        <v>13427</v>
      </c>
      <c r="M3891" t="s">
        <v>14744</v>
      </c>
      <c r="N3891" t="s">
        <v>14781</v>
      </c>
      <c r="P3891" t="s">
        <v>14804</v>
      </c>
      <c r="S3891" t="s">
        <v>14827</v>
      </c>
      <c r="U3891" t="s">
        <v>545</v>
      </c>
      <c r="V3891">
        <v>107</v>
      </c>
      <c r="W3891" t="s">
        <v>14859</v>
      </c>
      <c r="X3891" t="s">
        <v>14865</v>
      </c>
      <c r="Z3891" t="s">
        <v>18123</v>
      </c>
      <c r="AB3891" t="s">
        <v>23220</v>
      </c>
      <c r="AC3891">
        <v>34</v>
      </c>
      <c r="AE3891" t="s">
        <v>24610</v>
      </c>
      <c r="AF3891">
        <v>12</v>
      </c>
      <c r="AG3891">
        <v>1</v>
      </c>
      <c r="AH3891">
        <v>0</v>
      </c>
      <c r="AI3891">
        <v>0</v>
      </c>
      <c r="AL3891" t="s">
        <v>5011</v>
      </c>
      <c r="AM3891">
        <v>0</v>
      </c>
      <c r="AS3891">
        <v>7.2</v>
      </c>
      <c r="AT3891" t="s">
        <v>462</v>
      </c>
      <c r="AU3891" t="s">
        <v>25235</v>
      </c>
      <c r="AV3891" t="s">
        <v>25335</v>
      </c>
      <c r="AW3891" t="s">
        <v>11447</v>
      </c>
    </row>
    <row r="3892" spans="1:49">
      <c r="A3892" s="1">
        <f>HYPERLINK("https://lsnyc.legalserver.org/matter/dynamic-profile/view/1905637","19-1905637")</f>
        <v>0</v>
      </c>
      <c r="B3892" t="s">
        <v>93</v>
      </c>
      <c r="C3892" t="s">
        <v>496</v>
      </c>
      <c r="E3892" t="s">
        <v>2967</v>
      </c>
      <c r="F3892" t="s">
        <v>5594</v>
      </c>
      <c r="G3892" t="s">
        <v>9235</v>
      </c>
      <c r="H3892" t="s">
        <v>11024</v>
      </c>
      <c r="I3892" t="s">
        <v>11385</v>
      </c>
      <c r="J3892">
        <v>11221</v>
      </c>
      <c r="K3892" t="s">
        <v>11446</v>
      </c>
      <c r="L3892" t="s">
        <v>13428</v>
      </c>
      <c r="M3892" t="s">
        <v>14744</v>
      </c>
      <c r="N3892" t="s">
        <v>14781</v>
      </c>
      <c r="P3892" t="s">
        <v>14804</v>
      </c>
      <c r="Q3892" t="s">
        <v>11448</v>
      </c>
      <c r="S3892" t="s">
        <v>14827</v>
      </c>
      <c r="T3892" t="s">
        <v>14832</v>
      </c>
      <c r="U3892" t="s">
        <v>545</v>
      </c>
      <c r="V3892">
        <v>2180</v>
      </c>
      <c r="W3892" t="s">
        <v>14859</v>
      </c>
      <c r="X3892" t="s">
        <v>14863</v>
      </c>
      <c r="Z3892" t="s">
        <v>18124</v>
      </c>
      <c r="AA3892" t="s">
        <v>19817</v>
      </c>
      <c r="AB3892" t="s">
        <v>23221</v>
      </c>
      <c r="AC3892">
        <v>17</v>
      </c>
      <c r="AD3892" t="s">
        <v>24595</v>
      </c>
      <c r="AE3892" t="s">
        <v>24610</v>
      </c>
      <c r="AF3892">
        <v>15</v>
      </c>
      <c r="AG3892">
        <v>1</v>
      </c>
      <c r="AH3892">
        <v>0</v>
      </c>
      <c r="AI3892">
        <v>17.99</v>
      </c>
      <c r="AL3892" t="s">
        <v>5011</v>
      </c>
      <c r="AM3892">
        <v>2247.09</v>
      </c>
      <c r="AO3892" t="s">
        <v>24933</v>
      </c>
      <c r="AS3892">
        <v>45.35</v>
      </c>
      <c r="AT3892" t="s">
        <v>495</v>
      </c>
      <c r="AU3892" t="s">
        <v>25235</v>
      </c>
      <c r="AV3892" t="s">
        <v>25335</v>
      </c>
      <c r="AW3892" t="s">
        <v>11447</v>
      </c>
    </row>
    <row r="3893" spans="1:49">
      <c r="A3893" s="1">
        <f>HYPERLINK("https://lsnyc.legalserver.org/matter/dynamic-profile/view/1902957","19-1902957")</f>
        <v>0</v>
      </c>
      <c r="B3893" t="s">
        <v>150</v>
      </c>
      <c r="C3893" t="s">
        <v>659</v>
      </c>
      <c r="E3893" t="s">
        <v>1251</v>
      </c>
      <c r="F3893" t="s">
        <v>3749</v>
      </c>
      <c r="G3893" t="s">
        <v>6529</v>
      </c>
      <c r="H3893" t="s">
        <v>10481</v>
      </c>
      <c r="I3893" t="s">
        <v>11385</v>
      </c>
      <c r="J3893">
        <v>11226</v>
      </c>
      <c r="K3893" t="s">
        <v>11446</v>
      </c>
      <c r="L3893" t="s">
        <v>11518</v>
      </c>
      <c r="M3893" t="s">
        <v>14744</v>
      </c>
      <c r="N3893" t="s">
        <v>14781</v>
      </c>
      <c r="P3893" t="s">
        <v>14804</v>
      </c>
      <c r="Q3893" t="s">
        <v>11448</v>
      </c>
      <c r="S3893" t="s">
        <v>14827</v>
      </c>
      <c r="T3893" t="s">
        <v>14834</v>
      </c>
      <c r="U3893" t="s">
        <v>545</v>
      </c>
      <c r="V3893">
        <v>1500</v>
      </c>
      <c r="W3893" t="s">
        <v>14859</v>
      </c>
      <c r="X3893" t="s">
        <v>14865</v>
      </c>
      <c r="Z3893" t="s">
        <v>15154</v>
      </c>
      <c r="AA3893">
        <v>7624741</v>
      </c>
      <c r="AB3893" t="s">
        <v>23222</v>
      </c>
      <c r="AC3893">
        <v>9</v>
      </c>
      <c r="AD3893" t="s">
        <v>11479</v>
      </c>
      <c r="AE3893" t="s">
        <v>14755</v>
      </c>
      <c r="AF3893">
        <v>20</v>
      </c>
      <c r="AG3893">
        <v>3</v>
      </c>
      <c r="AH3893">
        <v>2</v>
      </c>
      <c r="AI3893">
        <v>29.15</v>
      </c>
      <c r="AL3893" t="s">
        <v>5011</v>
      </c>
      <c r="AM3893">
        <v>8796</v>
      </c>
      <c r="AO3893" t="s">
        <v>24931</v>
      </c>
      <c r="AS3893">
        <v>52.3</v>
      </c>
      <c r="AT3893" t="s">
        <v>516</v>
      </c>
      <c r="AU3893" t="s">
        <v>25235</v>
      </c>
      <c r="AV3893" t="s">
        <v>25335</v>
      </c>
      <c r="AW3893" t="s">
        <v>11447</v>
      </c>
    </row>
    <row r="3894" spans="1:49">
      <c r="A3894" s="1">
        <f>HYPERLINK("https://lsnyc.legalserver.org/matter/dynamic-profile/view/1902754","19-1902754")</f>
        <v>0</v>
      </c>
      <c r="B3894" t="s">
        <v>151</v>
      </c>
      <c r="C3894" t="s">
        <v>527</v>
      </c>
      <c r="E3894" t="s">
        <v>1170</v>
      </c>
      <c r="F3894" t="s">
        <v>1914</v>
      </c>
      <c r="G3894" t="s">
        <v>9236</v>
      </c>
      <c r="H3894" t="s">
        <v>11191</v>
      </c>
      <c r="I3894" t="s">
        <v>11385</v>
      </c>
      <c r="J3894">
        <v>11221</v>
      </c>
      <c r="K3894" t="s">
        <v>11446</v>
      </c>
      <c r="L3894" t="s">
        <v>13429</v>
      </c>
      <c r="M3894" t="s">
        <v>14744</v>
      </c>
      <c r="N3894" t="s">
        <v>14781</v>
      </c>
      <c r="P3894" t="s">
        <v>14804</v>
      </c>
      <c r="Q3894" t="s">
        <v>11448</v>
      </c>
      <c r="S3894" t="s">
        <v>14828</v>
      </c>
      <c r="T3894" t="s">
        <v>14832</v>
      </c>
      <c r="U3894" t="s">
        <v>545</v>
      </c>
      <c r="V3894">
        <v>161</v>
      </c>
      <c r="W3894" t="s">
        <v>14859</v>
      </c>
      <c r="X3894" t="s">
        <v>14865</v>
      </c>
      <c r="Z3894" t="s">
        <v>18125</v>
      </c>
      <c r="AA3894">
        <v>13228834</v>
      </c>
      <c r="AB3894" t="s">
        <v>21912</v>
      </c>
      <c r="AC3894">
        <v>120</v>
      </c>
      <c r="AD3894" t="s">
        <v>24597</v>
      </c>
      <c r="AE3894" t="s">
        <v>14755</v>
      </c>
      <c r="AF3894">
        <v>8</v>
      </c>
      <c r="AG3894">
        <v>3</v>
      </c>
      <c r="AH3894">
        <v>0</v>
      </c>
      <c r="AI3894">
        <v>41.52</v>
      </c>
      <c r="AL3894" t="s">
        <v>5011</v>
      </c>
      <c r="AM3894">
        <v>8856</v>
      </c>
      <c r="AS3894">
        <v>1.5</v>
      </c>
      <c r="AT3894" t="s">
        <v>338</v>
      </c>
      <c r="AU3894" t="s">
        <v>25275</v>
      </c>
      <c r="AV3894" t="s">
        <v>25335</v>
      </c>
      <c r="AW3894" t="s">
        <v>11447</v>
      </c>
    </row>
    <row r="3895" spans="1:49">
      <c r="A3895" s="1">
        <f>HYPERLINK("https://lsnyc.legalserver.org/matter/dynamic-profile/view/1903048","19-1903048")</f>
        <v>0</v>
      </c>
      <c r="B3895" t="s">
        <v>238</v>
      </c>
      <c r="C3895" t="s">
        <v>659</v>
      </c>
      <c r="E3895" t="s">
        <v>2968</v>
      </c>
      <c r="F3895" t="s">
        <v>5595</v>
      </c>
      <c r="G3895" t="s">
        <v>9237</v>
      </c>
      <c r="H3895" t="s">
        <v>10517</v>
      </c>
      <c r="I3895" t="s">
        <v>11385</v>
      </c>
      <c r="J3895">
        <v>11226</v>
      </c>
      <c r="K3895" t="s">
        <v>11446</v>
      </c>
      <c r="L3895" t="s">
        <v>13430</v>
      </c>
      <c r="M3895" t="s">
        <v>14744</v>
      </c>
      <c r="N3895" t="s">
        <v>14781</v>
      </c>
      <c r="P3895" t="s">
        <v>14804</v>
      </c>
      <c r="Q3895" t="s">
        <v>11448</v>
      </c>
      <c r="S3895" t="s">
        <v>14827</v>
      </c>
      <c r="T3895" t="s">
        <v>14832</v>
      </c>
      <c r="U3895" t="s">
        <v>545</v>
      </c>
      <c r="V3895">
        <v>700</v>
      </c>
      <c r="W3895" t="s">
        <v>14859</v>
      </c>
      <c r="X3895" t="s">
        <v>14865</v>
      </c>
      <c r="Z3895" t="s">
        <v>18126</v>
      </c>
      <c r="AA3895">
        <v>14351987</v>
      </c>
      <c r="AB3895" t="s">
        <v>23223</v>
      </c>
      <c r="AC3895">
        <v>71</v>
      </c>
      <c r="AD3895" t="s">
        <v>11479</v>
      </c>
      <c r="AE3895" t="s">
        <v>11459</v>
      </c>
      <c r="AF3895">
        <v>2</v>
      </c>
      <c r="AG3895">
        <v>3</v>
      </c>
      <c r="AH3895">
        <v>3</v>
      </c>
      <c r="AI3895">
        <v>71.14</v>
      </c>
      <c r="AL3895" t="s">
        <v>24647</v>
      </c>
      <c r="AM3895">
        <v>24607</v>
      </c>
      <c r="AS3895">
        <v>7.25</v>
      </c>
      <c r="AT3895" t="s">
        <v>537</v>
      </c>
      <c r="AU3895" t="s">
        <v>25235</v>
      </c>
      <c r="AV3895" t="s">
        <v>25335</v>
      </c>
      <c r="AW3895" t="s">
        <v>11447</v>
      </c>
    </row>
    <row r="3896" spans="1:49">
      <c r="A3896" s="1">
        <f>HYPERLINK("https://lsnyc.legalserver.org/matter/dynamic-profile/view/1902516","19-1902516")</f>
        <v>0</v>
      </c>
      <c r="B3896" t="s">
        <v>233</v>
      </c>
      <c r="C3896" t="s">
        <v>517</v>
      </c>
      <c r="E3896" t="s">
        <v>1092</v>
      </c>
      <c r="F3896" t="s">
        <v>3834</v>
      </c>
      <c r="G3896" t="s">
        <v>9238</v>
      </c>
      <c r="H3896" t="s">
        <v>10464</v>
      </c>
      <c r="I3896" t="s">
        <v>11385</v>
      </c>
      <c r="J3896">
        <v>11216</v>
      </c>
      <c r="K3896" t="s">
        <v>11446</v>
      </c>
      <c r="L3896" t="s">
        <v>13431</v>
      </c>
      <c r="M3896" t="s">
        <v>14743</v>
      </c>
      <c r="N3896" t="s">
        <v>14781</v>
      </c>
      <c r="P3896" t="s">
        <v>14804</v>
      </c>
      <c r="Q3896" t="s">
        <v>11448</v>
      </c>
      <c r="S3896" t="s">
        <v>14827</v>
      </c>
      <c r="U3896" t="s">
        <v>545</v>
      </c>
      <c r="V3896">
        <v>241</v>
      </c>
      <c r="W3896" t="s">
        <v>14859</v>
      </c>
      <c r="X3896" t="s">
        <v>14881</v>
      </c>
      <c r="Z3896" t="s">
        <v>18127</v>
      </c>
      <c r="AA3896" t="s">
        <v>19818</v>
      </c>
      <c r="AB3896" t="s">
        <v>20213</v>
      </c>
      <c r="AC3896">
        <v>0</v>
      </c>
      <c r="AD3896" t="s">
        <v>24606</v>
      </c>
      <c r="AF3896">
        <v>5</v>
      </c>
      <c r="AG3896">
        <v>1</v>
      </c>
      <c r="AH3896">
        <v>0</v>
      </c>
      <c r="AI3896">
        <v>83.59</v>
      </c>
      <c r="AL3896" t="s">
        <v>5011</v>
      </c>
      <c r="AM3896">
        <v>10440</v>
      </c>
      <c r="AS3896">
        <v>22.9</v>
      </c>
      <c r="AT3896" t="s">
        <v>539</v>
      </c>
      <c r="AU3896" t="s">
        <v>25285</v>
      </c>
      <c r="AV3896" t="s">
        <v>25335</v>
      </c>
      <c r="AW3896" t="s">
        <v>11447</v>
      </c>
    </row>
    <row r="3897" spans="1:49">
      <c r="A3897" s="1">
        <f>HYPERLINK("https://lsnyc.legalserver.org/matter/dynamic-profile/view/1901291","19-1901291")</f>
        <v>0</v>
      </c>
      <c r="B3897" t="s">
        <v>150</v>
      </c>
      <c r="C3897" t="s">
        <v>665</v>
      </c>
      <c r="E3897" t="s">
        <v>1584</v>
      </c>
      <c r="F3897" t="s">
        <v>5596</v>
      </c>
      <c r="G3897" t="s">
        <v>9239</v>
      </c>
      <c r="H3897" t="s">
        <v>10451</v>
      </c>
      <c r="I3897" t="s">
        <v>11385</v>
      </c>
      <c r="J3897">
        <v>11225</v>
      </c>
      <c r="K3897" t="s">
        <v>11446</v>
      </c>
      <c r="L3897" t="s">
        <v>13432</v>
      </c>
      <c r="M3897" t="s">
        <v>14744</v>
      </c>
      <c r="N3897" t="s">
        <v>14781</v>
      </c>
      <c r="P3897" t="s">
        <v>14804</v>
      </c>
      <c r="Q3897" t="s">
        <v>11448</v>
      </c>
      <c r="S3897" t="s">
        <v>14827</v>
      </c>
      <c r="T3897" t="s">
        <v>14837</v>
      </c>
      <c r="U3897" t="s">
        <v>545</v>
      </c>
      <c r="V3897">
        <v>1200</v>
      </c>
      <c r="W3897" t="s">
        <v>14859</v>
      </c>
      <c r="X3897" t="s">
        <v>14865</v>
      </c>
      <c r="Z3897" t="s">
        <v>18128</v>
      </c>
      <c r="AB3897" t="s">
        <v>23224</v>
      </c>
      <c r="AC3897">
        <v>30</v>
      </c>
      <c r="AD3897" t="s">
        <v>24595</v>
      </c>
      <c r="AE3897" t="s">
        <v>11459</v>
      </c>
      <c r="AF3897">
        <v>27</v>
      </c>
      <c r="AG3897">
        <v>2</v>
      </c>
      <c r="AH3897">
        <v>1</v>
      </c>
      <c r="AI3897">
        <v>85.33</v>
      </c>
      <c r="AL3897" t="s">
        <v>5011</v>
      </c>
      <c r="AM3897">
        <v>18200</v>
      </c>
      <c r="AO3897" t="s">
        <v>24931</v>
      </c>
      <c r="AP3897" t="s">
        <v>14755</v>
      </c>
      <c r="AR3897" t="s">
        <v>25093</v>
      </c>
      <c r="AS3897">
        <v>6.1</v>
      </c>
      <c r="AT3897" t="s">
        <v>553</v>
      </c>
      <c r="AU3897" t="s">
        <v>25235</v>
      </c>
      <c r="AV3897" t="s">
        <v>25335</v>
      </c>
      <c r="AW3897" t="s">
        <v>11447</v>
      </c>
    </row>
    <row r="3898" spans="1:49">
      <c r="A3898" s="1">
        <f>HYPERLINK("https://lsnyc.legalserver.org/matter/dynamic-profile/view/1902596","19-1902596")</f>
        <v>0</v>
      </c>
      <c r="B3898" t="s">
        <v>150</v>
      </c>
      <c r="C3898" t="s">
        <v>517</v>
      </c>
      <c r="E3898" t="s">
        <v>1584</v>
      </c>
      <c r="F3898" t="s">
        <v>5596</v>
      </c>
      <c r="G3898" t="s">
        <v>9239</v>
      </c>
      <c r="H3898" t="s">
        <v>10451</v>
      </c>
      <c r="I3898" t="s">
        <v>11385</v>
      </c>
      <c r="J3898">
        <v>11225</v>
      </c>
      <c r="K3898" t="s">
        <v>11446</v>
      </c>
      <c r="L3898" t="s">
        <v>13433</v>
      </c>
      <c r="M3898" t="s">
        <v>14744</v>
      </c>
      <c r="N3898" t="s">
        <v>14781</v>
      </c>
      <c r="P3898" t="s">
        <v>14804</v>
      </c>
      <c r="Q3898" t="s">
        <v>11448</v>
      </c>
      <c r="S3898" t="s">
        <v>14827</v>
      </c>
      <c r="T3898" t="s">
        <v>14837</v>
      </c>
      <c r="U3898" t="s">
        <v>545</v>
      </c>
      <c r="V3898">
        <v>1200</v>
      </c>
      <c r="W3898" t="s">
        <v>14859</v>
      </c>
      <c r="X3898" t="s">
        <v>14868</v>
      </c>
      <c r="Z3898" t="s">
        <v>18128</v>
      </c>
      <c r="AB3898" t="s">
        <v>23224</v>
      </c>
      <c r="AC3898">
        <v>30</v>
      </c>
      <c r="AE3898" t="s">
        <v>11459</v>
      </c>
      <c r="AF3898">
        <v>27</v>
      </c>
      <c r="AG3898">
        <v>2</v>
      </c>
      <c r="AH3898">
        <v>1</v>
      </c>
      <c r="AI3898">
        <v>85.33</v>
      </c>
      <c r="AL3898" t="s">
        <v>5011</v>
      </c>
      <c r="AM3898">
        <v>18200</v>
      </c>
      <c r="AP3898" t="s">
        <v>14755</v>
      </c>
      <c r="AR3898" t="s">
        <v>25093</v>
      </c>
      <c r="AS3898">
        <v>3.4</v>
      </c>
      <c r="AT3898" t="s">
        <v>553</v>
      </c>
      <c r="AU3898" t="s">
        <v>25235</v>
      </c>
      <c r="AV3898" t="s">
        <v>25335</v>
      </c>
      <c r="AW3898" t="s">
        <v>11447</v>
      </c>
    </row>
    <row r="3899" spans="1:49">
      <c r="A3899" s="1">
        <f>HYPERLINK("https://lsnyc.legalserver.org/matter/dynamic-profile/view/1902521","19-1902521")</f>
        <v>0</v>
      </c>
      <c r="B3899" t="s">
        <v>233</v>
      </c>
      <c r="C3899" t="s">
        <v>517</v>
      </c>
      <c r="E3899" t="s">
        <v>2969</v>
      </c>
      <c r="F3899" t="s">
        <v>5597</v>
      </c>
      <c r="G3899" t="s">
        <v>9240</v>
      </c>
      <c r="H3899" t="s">
        <v>10562</v>
      </c>
      <c r="I3899" t="s">
        <v>11385</v>
      </c>
      <c r="J3899">
        <v>11221</v>
      </c>
      <c r="K3899" t="s">
        <v>11446</v>
      </c>
      <c r="L3899" t="s">
        <v>13434</v>
      </c>
      <c r="M3899" t="s">
        <v>14744</v>
      </c>
      <c r="N3899" t="s">
        <v>14781</v>
      </c>
      <c r="P3899" t="s">
        <v>14804</v>
      </c>
      <c r="Q3899" t="s">
        <v>11448</v>
      </c>
      <c r="S3899" t="s">
        <v>14827</v>
      </c>
      <c r="U3899" t="s">
        <v>545</v>
      </c>
      <c r="V3899">
        <v>724</v>
      </c>
      <c r="W3899" t="s">
        <v>14859</v>
      </c>
      <c r="X3899" t="s">
        <v>14881</v>
      </c>
      <c r="Z3899" t="s">
        <v>18129</v>
      </c>
      <c r="AA3899">
        <v>36364467</v>
      </c>
      <c r="AB3899" t="s">
        <v>23225</v>
      </c>
      <c r="AC3899">
        <v>8</v>
      </c>
      <c r="AE3899" t="s">
        <v>24610</v>
      </c>
      <c r="AF3899">
        <v>9</v>
      </c>
      <c r="AG3899">
        <v>1</v>
      </c>
      <c r="AH3899">
        <v>2</v>
      </c>
      <c r="AI3899">
        <v>97.52</v>
      </c>
      <c r="AL3899" t="s">
        <v>5011</v>
      </c>
      <c r="AM3899">
        <v>20800</v>
      </c>
      <c r="AS3899">
        <v>13.7</v>
      </c>
      <c r="AT3899" t="s">
        <v>478</v>
      </c>
      <c r="AU3899" t="s">
        <v>25235</v>
      </c>
      <c r="AV3899" t="s">
        <v>25335</v>
      </c>
      <c r="AW3899" t="s">
        <v>11447</v>
      </c>
    </row>
    <row r="3900" spans="1:49">
      <c r="A3900" s="1">
        <f>HYPERLINK("https://lsnyc.legalserver.org/matter/dynamic-profile/view/1903742","19-1903742")</f>
        <v>0</v>
      </c>
      <c r="B3900" t="s">
        <v>267</v>
      </c>
      <c r="C3900" t="s">
        <v>545</v>
      </c>
      <c r="E3900" t="s">
        <v>1104</v>
      </c>
      <c r="F3900" t="s">
        <v>5598</v>
      </c>
      <c r="G3900" t="s">
        <v>9241</v>
      </c>
      <c r="H3900" t="s">
        <v>10627</v>
      </c>
      <c r="I3900" t="s">
        <v>11385</v>
      </c>
      <c r="J3900">
        <v>11216</v>
      </c>
      <c r="K3900" t="s">
        <v>11446</v>
      </c>
      <c r="L3900" t="s">
        <v>13435</v>
      </c>
      <c r="M3900" t="s">
        <v>14744</v>
      </c>
      <c r="N3900" t="s">
        <v>14781</v>
      </c>
      <c r="P3900" t="s">
        <v>14804</v>
      </c>
      <c r="Q3900" t="s">
        <v>11448</v>
      </c>
      <c r="S3900" t="s">
        <v>14827</v>
      </c>
      <c r="U3900" t="s">
        <v>545</v>
      </c>
      <c r="V3900">
        <v>256</v>
      </c>
      <c r="W3900" t="s">
        <v>14859</v>
      </c>
      <c r="X3900" t="s">
        <v>14881</v>
      </c>
      <c r="Z3900" t="s">
        <v>18130</v>
      </c>
      <c r="AB3900" t="s">
        <v>23226</v>
      </c>
      <c r="AC3900">
        <v>0</v>
      </c>
      <c r="AE3900" t="s">
        <v>24610</v>
      </c>
      <c r="AF3900">
        <v>30</v>
      </c>
      <c r="AG3900">
        <v>1</v>
      </c>
      <c r="AH3900">
        <v>0</v>
      </c>
      <c r="AI3900">
        <v>107.03</v>
      </c>
      <c r="AL3900" t="s">
        <v>5011</v>
      </c>
      <c r="AM3900">
        <v>13368</v>
      </c>
      <c r="AS3900">
        <v>5.7</v>
      </c>
      <c r="AT3900" t="s">
        <v>524</v>
      </c>
      <c r="AU3900" t="s">
        <v>25285</v>
      </c>
      <c r="AV3900" t="s">
        <v>25335</v>
      </c>
      <c r="AW3900" t="s">
        <v>11447</v>
      </c>
    </row>
    <row r="3901" spans="1:49">
      <c r="A3901" s="1">
        <f>HYPERLINK("https://lsnyc.legalserver.org/matter/dynamic-profile/view/1904259","19-1904259")</f>
        <v>0</v>
      </c>
      <c r="B3901" t="s">
        <v>150</v>
      </c>
      <c r="C3901" t="s">
        <v>332</v>
      </c>
      <c r="E3901" t="s">
        <v>1425</v>
      </c>
      <c r="F3901" t="s">
        <v>4562</v>
      </c>
      <c r="G3901" t="s">
        <v>9242</v>
      </c>
      <c r="H3901" t="s">
        <v>10598</v>
      </c>
      <c r="I3901" t="s">
        <v>11385</v>
      </c>
      <c r="J3901">
        <v>11221</v>
      </c>
      <c r="K3901" t="s">
        <v>11446</v>
      </c>
      <c r="M3901" t="s">
        <v>14744</v>
      </c>
      <c r="N3901" t="s">
        <v>14778</v>
      </c>
      <c r="P3901" t="s">
        <v>14804</v>
      </c>
      <c r="Q3901" t="s">
        <v>11448</v>
      </c>
      <c r="S3901" t="s">
        <v>14827</v>
      </c>
      <c r="U3901" t="s">
        <v>545</v>
      </c>
      <c r="V3901">
        <v>1124</v>
      </c>
      <c r="W3901" t="s">
        <v>14859</v>
      </c>
      <c r="X3901" t="s">
        <v>14868</v>
      </c>
      <c r="Z3901" t="s">
        <v>18131</v>
      </c>
      <c r="AB3901" t="s">
        <v>23227</v>
      </c>
      <c r="AC3901">
        <v>20</v>
      </c>
      <c r="AD3901" t="s">
        <v>24595</v>
      </c>
      <c r="AE3901" t="s">
        <v>24610</v>
      </c>
      <c r="AF3901">
        <v>16</v>
      </c>
      <c r="AG3901">
        <v>2</v>
      </c>
      <c r="AH3901">
        <v>1</v>
      </c>
      <c r="AI3901">
        <v>112.14</v>
      </c>
      <c r="AL3901" t="s">
        <v>5011</v>
      </c>
      <c r="AM3901">
        <v>23920</v>
      </c>
      <c r="AP3901" t="s">
        <v>14755</v>
      </c>
      <c r="AR3901" t="s">
        <v>25056</v>
      </c>
      <c r="AS3901">
        <v>0.9</v>
      </c>
      <c r="AT3901" t="s">
        <v>519</v>
      </c>
      <c r="AU3901" t="s">
        <v>25235</v>
      </c>
      <c r="AV3901" t="s">
        <v>25335</v>
      </c>
      <c r="AW3901" t="s">
        <v>11447</v>
      </c>
    </row>
    <row r="3902" spans="1:49">
      <c r="A3902" s="1">
        <f>HYPERLINK("https://lsnyc.legalserver.org/matter/dynamic-profile/view/1903214","19-1903214")</f>
        <v>0</v>
      </c>
      <c r="B3902" t="s">
        <v>267</v>
      </c>
      <c r="C3902" t="s">
        <v>469</v>
      </c>
      <c r="E3902" t="s">
        <v>2970</v>
      </c>
      <c r="F3902" t="s">
        <v>5599</v>
      </c>
      <c r="G3902" t="s">
        <v>9243</v>
      </c>
      <c r="H3902" t="s">
        <v>10493</v>
      </c>
      <c r="I3902" t="s">
        <v>11385</v>
      </c>
      <c r="J3902">
        <v>11216</v>
      </c>
      <c r="K3902" t="s">
        <v>11446</v>
      </c>
      <c r="L3902" t="s">
        <v>13436</v>
      </c>
      <c r="M3902" t="s">
        <v>14744</v>
      </c>
      <c r="N3902" t="s">
        <v>14781</v>
      </c>
      <c r="P3902" t="s">
        <v>14804</v>
      </c>
      <c r="Q3902" t="s">
        <v>11448</v>
      </c>
      <c r="S3902" t="s">
        <v>14827</v>
      </c>
      <c r="U3902" t="s">
        <v>545</v>
      </c>
      <c r="V3902">
        <v>1000</v>
      </c>
      <c r="W3902" t="s">
        <v>14859</v>
      </c>
      <c r="X3902" t="s">
        <v>14881</v>
      </c>
      <c r="Z3902" t="s">
        <v>18132</v>
      </c>
      <c r="AB3902" t="s">
        <v>23228</v>
      </c>
      <c r="AC3902">
        <v>0</v>
      </c>
      <c r="AF3902">
        <v>-1</v>
      </c>
      <c r="AG3902">
        <v>1</v>
      </c>
      <c r="AH3902">
        <v>0</v>
      </c>
      <c r="AI3902">
        <v>115.29</v>
      </c>
      <c r="AL3902" t="s">
        <v>5011</v>
      </c>
      <c r="AM3902">
        <v>14400</v>
      </c>
      <c r="AS3902">
        <v>15.33</v>
      </c>
      <c r="AT3902" t="s">
        <v>377</v>
      </c>
      <c r="AU3902" t="s">
        <v>25285</v>
      </c>
      <c r="AV3902" t="s">
        <v>25335</v>
      </c>
      <c r="AW3902" t="s">
        <v>11447</v>
      </c>
    </row>
    <row r="3903" spans="1:49">
      <c r="A3903" s="1">
        <f>HYPERLINK("https://lsnyc.legalserver.org/matter/dynamic-profile/view/1903686","19-1903686")</f>
        <v>0</v>
      </c>
      <c r="B3903" t="s">
        <v>150</v>
      </c>
      <c r="C3903" t="s">
        <v>522</v>
      </c>
      <c r="E3903" t="s">
        <v>1407</v>
      </c>
      <c r="F3903" t="s">
        <v>3890</v>
      </c>
      <c r="G3903" t="s">
        <v>9244</v>
      </c>
      <c r="H3903" t="s">
        <v>10579</v>
      </c>
      <c r="I3903" t="s">
        <v>11385</v>
      </c>
      <c r="J3903">
        <v>11226</v>
      </c>
      <c r="K3903" t="s">
        <v>11446</v>
      </c>
      <c r="L3903" t="s">
        <v>13437</v>
      </c>
      <c r="M3903" t="s">
        <v>14744</v>
      </c>
      <c r="N3903" t="s">
        <v>14781</v>
      </c>
      <c r="P3903" t="s">
        <v>14804</v>
      </c>
      <c r="Q3903" t="s">
        <v>11448</v>
      </c>
      <c r="S3903" t="s">
        <v>14827</v>
      </c>
      <c r="U3903" t="s">
        <v>545</v>
      </c>
      <c r="V3903">
        <v>2360</v>
      </c>
      <c r="W3903" t="s">
        <v>14859</v>
      </c>
      <c r="X3903" t="s">
        <v>14865</v>
      </c>
      <c r="Z3903" t="s">
        <v>18133</v>
      </c>
      <c r="AB3903" t="s">
        <v>23229</v>
      </c>
      <c r="AC3903">
        <v>64</v>
      </c>
      <c r="AD3903" t="s">
        <v>11479</v>
      </c>
      <c r="AE3903" t="s">
        <v>11459</v>
      </c>
      <c r="AF3903">
        <v>2</v>
      </c>
      <c r="AG3903">
        <v>2</v>
      </c>
      <c r="AH3903">
        <v>0</v>
      </c>
      <c r="AI3903">
        <v>141.93</v>
      </c>
      <c r="AL3903" t="s">
        <v>5011</v>
      </c>
      <c r="AM3903">
        <v>24000</v>
      </c>
      <c r="AO3903" t="s">
        <v>24930</v>
      </c>
      <c r="AP3903" t="s">
        <v>24942</v>
      </c>
      <c r="AQ3903" t="s">
        <v>24987</v>
      </c>
      <c r="AR3903" t="s">
        <v>25026</v>
      </c>
      <c r="AS3903">
        <v>23.3</v>
      </c>
      <c r="AT3903" t="s">
        <v>509</v>
      </c>
      <c r="AU3903" t="s">
        <v>25235</v>
      </c>
      <c r="AV3903" t="s">
        <v>25335</v>
      </c>
      <c r="AW3903" t="s">
        <v>11447</v>
      </c>
    </row>
    <row r="3904" spans="1:49">
      <c r="A3904" s="1">
        <f>HYPERLINK("https://lsnyc.legalserver.org/matter/dynamic-profile/view/1903210","19-1903210")</f>
        <v>0</v>
      </c>
      <c r="B3904" t="s">
        <v>267</v>
      </c>
      <c r="C3904" t="s">
        <v>469</v>
      </c>
      <c r="E3904" t="s">
        <v>2971</v>
      </c>
      <c r="F3904" t="s">
        <v>3659</v>
      </c>
      <c r="G3904" t="s">
        <v>9245</v>
      </c>
      <c r="H3904" t="s">
        <v>10559</v>
      </c>
      <c r="I3904" t="s">
        <v>11385</v>
      </c>
      <c r="J3904">
        <v>11216</v>
      </c>
      <c r="K3904" t="s">
        <v>11446</v>
      </c>
      <c r="L3904" t="s">
        <v>13438</v>
      </c>
      <c r="M3904" t="s">
        <v>14743</v>
      </c>
      <c r="N3904" t="s">
        <v>14781</v>
      </c>
      <c r="P3904" t="s">
        <v>14804</v>
      </c>
      <c r="Q3904" t="s">
        <v>11448</v>
      </c>
      <c r="S3904" t="s">
        <v>14827</v>
      </c>
      <c r="T3904" t="s">
        <v>14832</v>
      </c>
      <c r="U3904" t="s">
        <v>545</v>
      </c>
      <c r="V3904">
        <v>0</v>
      </c>
      <c r="W3904" t="s">
        <v>14859</v>
      </c>
      <c r="X3904" t="s">
        <v>14881</v>
      </c>
      <c r="Z3904" t="s">
        <v>18134</v>
      </c>
      <c r="AC3904">
        <v>0</v>
      </c>
      <c r="AD3904" t="s">
        <v>24595</v>
      </c>
      <c r="AF3904">
        <v>0</v>
      </c>
      <c r="AG3904">
        <v>1</v>
      </c>
      <c r="AH3904">
        <v>0</v>
      </c>
      <c r="AI3904">
        <v>160.13</v>
      </c>
      <c r="AL3904" t="s">
        <v>5011</v>
      </c>
      <c r="AM3904">
        <v>20000</v>
      </c>
      <c r="AS3904">
        <v>16.1</v>
      </c>
      <c r="AT3904" t="s">
        <v>485</v>
      </c>
      <c r="AU3904" t="s">
        <v>25285</v>
      </c>
      <c r="AV3904" t="s">
        <v>25335</v>
      </c>
      <c r="AW3904" t="s">
        <v>11447</v>
      </c>
    </row>
    <row r="3905" spans="1:49">
      <c r="A3905" s="1">
        <f>HYPERLINK("https://lsnyc.legalserver.org/matter/dynamic-profile/view/1903211","19-1903211")</f>
        <v>0</v>
      </c>
      <c r="B3905" t="s">
        <v>281</v>
      </c>
      <c r="C3905" t="s">
        <v>469</v>
      </c>
      <c r="E3905" t="s">
        <v>1690</v>
      </c>
      <c r="F3905" t="s">
        <v>3709</v>
      </c>
      <c r="G3905" t="s">
        <v>8308</v>
      </c>
      <c r="H3905" t="s">
        <v>10638</v>
      </c>
      <c r="I3905" t="s">
        <v>11385</v>
      </c>
      <c r="J3905">
        <v>11221</v>
      </c>
      <c r="K3905" t="s">
        <v>11446</v>
      </c>
      <c r="L3905" t="s">
        <v>13439</v>
      </c>
      <c r="M3905" t="s">
        <v>14743</v>
      </c>
      <c r="N3905" t="s">
        <v>14781</v>
      </c>
      <c r="P3905" t="s">
        <v>14804</v>
      </c>
      <c r="Q3905" t="s">
        <v>11448</v>
      </c>
      <c r="S3905" t="s">
        <v>14827</v>
      </c>
      <c r="U3905" t="s">
        <v>545</v>
      </c>
      <c r="V3905">
        <v>860</v>
      </c>
      <c r="W3905" t="s">
        <v>14859</v>
      </c>
      <c r="X3905" t="s">
        <v>14881</v>
      </c>
      <c r="Z3905" t="s">
        <v>18135</v>
      </c>
      <c r="AB3905" t="s">
        <v>23230</v>
      </c>
      <c r="AC3905">
        <v>0</v>
      </c>
      <c r="AF3905">
        <v>15</v>
      </c>
      <c r="AG3905">
        <v>2</v>
      </c>
      <c r="AH3905">
        <v>0</v>
      </c>
      <c r="AI3905">
        <v>177.41</v>
      </c>
      <c r="AL3905" t="s">
        <v>5011</v>
      </c>
      <c r="AM3905">
        <v>30000</v>
      </c>
      <c r="AS3905">
        <v>26.6</v>
      </c>
      <c r="AT3905" t="s">
        <v>509</v>
      </c>
      <c r="AU3905" t="s">
        <v>25285</v>
      </c>
      <c r="AV3905" t="s">
        <v>25335</v>
      </c>
      <c r="AW3905" t="s">
        <v>11447</v>
      </c>
    </row>
    <row r="3906" spans="1:49">
      <c r="A3906" s="1">
        <f>HYPERLINK("https://lsnyc.legalserver.org/matter/dynamic-profile/view/1902973","19-1902973")</f>
        <v>0</v>
      </c>
      <c r="B3906" t="s">
        <v>281</v>
      </c>
      <c r="C3906" t="s">
        <v>659</v>
      </c>
      <c r="E3906" t="s">
        <v>1425</v>
      </c>
      <c r="F3906" t="s">
        <v>5600</v>
      </c>
      <c r="G3906" t="s">
        <v>9246</v>
      </c>
      <c r="H3906" t="s">
        <v>10559</v>
      </c>
      <c r="I3906" t="s">
        <v>11385</v>
      </c>
      <c r="J3906">
        <v>11221</v>
      </c>
      <c r="K3906" t="s">
        <v>11446</v>
      </c>
      <c r="L3906" t="s">
        <v>13440</v>
      </c>
      <c r="M3906" t="s">
        <v>14744</v>
      </c>
      <c r="N3906" t="s">
        <v>14781</v>
      </c>
      <c r="P3906" t="s">
        <v>14804</v>
      </c>
      <c r="Q3906" t="s">
        <v>11448</v>
      </c>
      <c r="S3906" t="s">
        <v>14827</v>
      </c>
      <c r="U3906" t="s">
        <v>545</v>
      </c>
      <c r="V3906">
        <v>725</v>
      </c>
      <c r="W3906" t="s">
        <v>14859</v>
      </c>
      <c r="X3906" t="s">
        <v>14881</v>
      </c>
      <c r="Z3906" t="s">
        <v>16398</v>
      </c>
      <c r="AA3906" t="s">
        <v>19819</v>
      </c>
      <c r="AB3906" t="s">
        <v>23231</v>
      </c>
      <c r="AC3906">
        <v>0</v>
      </c>
      <c r="AF3906">
        <v>23</v>
      </c>
      <c r="AG3906">
        <v>1</v>
      </c>
      <c r="AH3906">
        <v>1</v>
      </c>
      <c r="AI3906">
        <v>181.13</v>
      </c>
      <c r="AL3906" t="s">
        <v>5011</v>
      </c>
      <c r="AM3906">
        <v>30629.88</v>
      </c>
      <c r="AS3906">
        <v>8.199999999999999</v>
      </c>
      <c r="AT3906" t="s">
        <v>509</v>
      </c>
      <c r="AU3906" t="s">
        <v>25285</v>
      </c>
      <c r="AV3906" t="s">
        <v>25335</v>
      </c>
      <c r="AW3906" t="s">
        <v>11447</v>
      </c>
    </row>
    <row r="3907" spans="1:49">
      <c r="A3907" s="1">
        <f>HYPERLINK("https://lsnyc.legalserver.org/matter/dynamic-profile/view/1902956","19-1902956")</f>
        <v>0</v>
      </c>
      <c r="B3907" t="s">
        <v>50</v>
      </c>
      <c r="C3907" t="s">
        <v>659</v>
      </c>
      <c r="E3907" t="s">
        <v>2259</v>
      </c>
      <c r="F3907" t="s">
        <v>1395</v>
      </c>
      <c r="G3907" t="s">
        <v>9247</v>
      </c>
      <c r="H3907" t="s">
        <v>10513</v>
      </c>
      <c r="I3907" t="s">
        <v>11385</v>
      </c>
      <c r="J3907">
        <v>11221</v>
      </c>
      <c r="K3907" t="s">
        <v>11446</v>
      </c>
      <c r="L3907" t="s">
        <v>13441</v>
      </c>
      <c r="M3907" t="s">
        <v>14743</v>
      </c>
      <c r="N3907" t="s">
        <v>14781</v>
      </c>
      <c r="P3907" t="s">
        <v>14804</v>
      </c>
      <c r="Q3907" t="s">
        <v>11448</v>
      </c>
      <c r="S3907" t="s">
        <v>14827</v>
      </c>
      <c r="U3907" t="s">
        <v>545</v>
      </c>
      <c r="V3907">
        <v>1231</v>
      </c>
      <c r="W3907" t="s">
        <v>14859</v>
      </c>
      <c r="X3907" t="s">
        <v>14881</v>
      </c>
      <c r="Z3907" t="s">
        <v>18136</v>
      </c>
      <c r="AB3907" t="s">
        <v>23232</v>
      </c>
      <c r="AC3907">
        <v>4</v>
      </c>
      <c r="AD3907" t="s">
        <v>11479</v>
      </c>
      <c r="AE3907" t="s">
        <v>24615</v>
      </c>
      <c r="AF3907">
        <v>2</v>
      </c>
      <c r="AG3907">
        <v>1</v>
      </c>
      <c r="AH3907">
        <v>0</v>
      </c>
      <c r="AI3907">
        <v>187.35</v>
      </c>
      <c r="AL3907" t="s">
        <v>5011</v>
      </c>
      <c r="AM3907">
        <v>23400</v>
      </c>
      <c r="AS3907">
        <v>34.6</v>
      </c>
      <c r="AT3907" t="s">
        <v>495</v>
      </c>
      <c r="AU3907" t="s">
        <v>25285</v>
      </c>
      <c r="AV3907" t="s">
        <v>25335</v>
      </c>
      <c r="AW3907" t="s">
        <v>11447</v>
      </c>
    </row>
    <row r="3908" spans="1:49">
      <c r="A3908" s="1">
        <f>HYPERLINK("https://lsnyc.legalserver.org/matter/dynamic-profile/view/1903720","19-1903720")</f>
        <v>0</v>
      </c>
      <c r="B3908" t="s">
        <v>267</v>
      </c>
      <c r="C3908" t="s">
        <v>545</v>
      </c>
      <c r="E3908" t="s">
        <v>1339</v>
      </c>
      <c r="F3908" t="s">
        <v>3623</v>
      </c>
      <c r="G3908" t="s">
        <v>9248</v>
      </c>
      <c r="H3908" t="s">
        <v>10506</v>
      </c>
      <c r="I3908" t="s">
        <v>11385</v>
      </c>
      <c r="J3908">
        <v>11216</v>
      </c>
      <c r="K3908" t="s">
        <v>11446</v>
      </c>
      <c r="L3908" t="s">
        <v>13442</v>
      </c>
      <c r="M3908" t="s">
        <v>14744</v>
      </c>
      <c r="N3908" t="s">
        <v>14781</v>
      </c>
      <c r="P3908" t="s">
        <v>14804</v>
      </c>
      <c r="Q3908" t="s">
        <v>11448</v>
      </c>
      <c r="S3908" t="s">
        <v>14827</v>
      </c>
      <c r="U3908" t="s">
        <v>545</v>
      </c>
      <c r="V3908">
        <v>2350</v>
      </c>
      <c r="W3908" t="s">
        <v>14859</v>
      </c>
      <c r="X3908" t="s">
        <v>14881</v>
      </c>
      <c r="Z3908" t="s">
        <v>18137</v>
      </c>
      <c r="AB3908" t="s">
        <v>23233</v>
      </c>
      <c r="AC3908">
        <v>0</v>
      </c>
      <c r="AF3908">
        <v>2</v>
      </c>
      <c r="AG3908">
        <v>1</v>
      </c>
      <c r="AH3908">
        <v>0</v>
      </c>
      <c r="AI3908">
        <v>192.15</v>
      </c>
      <c r="AL3908" t="s">
        <v>5011</v>
      </c>
      <c r="AM3908">
        <v>24000</v>
      </c>
      <c r="AS3908">
        <v>7</v>
      </c>
      <c r="AT3908" t="s">
        <v>368</v>
      </c>
      <c r="AU3908" t="s">
        <v>25285</v>
      </c>
      <c r="AV3908" t="s">
        <v>25335</v>
      </c>
      <c r="AW3908" t="s">
        <v>11447</v>
      </c>
    </row>
    <row r="3909" spans="1:49">
      <c r="A3909" s="1">
        <f>HYPERLINK("https://lsnyc.legalserver.org/matter/dynamic-profile/view/1900891","19-1900891")</f>
        <v>0</v>
      </c>
      <c r="B3909" t="s">
        <v>189</v>
      </c>
      <c r="C3909" t="s">
        <v>351</v>
      </c>
      <c r="E3909" t="s">
        <v>2122</v>
      </c>
      <c r="F3909" t="s">
        <v>3758</v>
      </c>
      <c r="G3909" t="s">
        <v>9249</v>
      </c>
      <c r="H3909" t="s">
        <v>10482</v>
      </c>
      <c r="I3909" t="s">
        <v>11385</v>
      </c>
      <c r="J3909">
        <v>11226</v>
      </c>
      <c r="K3909" t="s">
        <v>11446</v>
      </c>
      <c r="L3909" t="s">
        <v>13443</v>
      </c>
      <c r="M3909" t="s">
        <v>14744</v>
      </c>
      <c r="N3909" t="s">
        <v>14781</v>
      </c>
      <c r="P3909" t="s">
        <v>14804</v>
      </c>
      <c r="S3909" t="s">
        <v>14827</v>
      </c>
      <c r="U3909" t="s">
        <v>545</v>
      </c>
      <c r="V3909">
        <v>648.53</v>
      </c>
      <c r="W3909" t="s">
        <v>14859</v>
      </c>
      <c r="X3909" t="s">
        <v>14865</v>
      </c>
      <c r="Z3909" t="s">
        <v>18138</v>
      </c>
      <c r="AB3909" t="s">
        <v>23234</v>
      </c>
      <c r="AC3909">
        <v>48</v>
      </c>
      <c r="AE3909" t="s">
        <v>24613</v>
      </c>
      <c r="AF3909">
        <v>20</v>
      </c>
      <c r="AG3909">
        <v>1</v>
      </c>
      <c r="AH3909">
        <v>0</v>
      </c>
      <c r="AI3909">
        <v>200.16</v>
      </c>
      <c r="AJ3909" t="s">
        <v>346</v>
      </c>
      <c r="AL3909" t="s">
        <v>5011</v>
      </c>
      <c r="AM3909">
        <v>25000</v>
      </c>
      <c r="AS3909">
        <v>25.8</v>
      </c>
      <c r="AT3909" t="s">
        <v>495</v>
      </c>
      <c r="AU3909" t="s">
        <v>25235</v>
      </c>
      <c r="AV3909" t="s">
        <v>25335</v>
      </c>
      <c r="AW3909" t="s">
        <v>11447</v>
      </c>
    </row>
    <row r="3910" spans="1:49">
      <c r="A3910" s="1">
        <f>HYPERLINK("https://lsnyc.legalserver.org/matter/dynamic-profile/view/1902728","19-1902728")</f>
        <v>0</v>
      </c>
      <c r="B3910" t="s">
        <v>106</v>
      </c>
      <c r="C3910" t="s">
        <v>527</v>
      </c>
      <c r="E3910" t="s">
        <v>1661</v>
      </c>
      <c r="F3910" t="s">
        <v>2002</v>
      </c>
      <c r="G3910" t="s">
        <v>9216</v>
      </c>
      <c r="H3910" t="s">
        <v>11201</v>
      </c>
      <c r="I3910" t="s">
        <v>11385</v>
      </c>
      <c r="J3910">
        <v>11221</v>
      </c>
      <c r="K3910" t="s">
        <v>11446</v>
      </c>
      <c r="L3910" t="s">
        <v>13444</v>
      </c>
      <c r="M3910" t="s">
        <v>14744</v>
      </c>
      <c r="N3910" t="s">
        <v>14781</v>
      </c>
      <c r="P3910" t="s">
        <v>14804</v>
      </c>
      <c r="S3910" t="s">
        <v>14828</v>
      </c>
      <c r="U3910" t="s">
        <v>545</v>
      </c>
      <c r="V3910">
        <v>624</v>
      </c>
      <c r="W3910" t="s">
        <v>14859</v>
      </c>
      <c r="X3910" t="s">
        <v>14865</v>
      </c>
      <c r="Z3910" t="s">
        <v>18139</v>
      </c>
      <c r="AB3910" t="s">
        <v>23235</v>
      </c>
      <c r="AC3910">
        <v>120</v>
      </c>
      <c r="AD3910" t="s">
        <v>24597</v>
      </c>
      <c r="AE3910" t="s">
        <v>11459</v>
      </c>
      <c r="AF3910">
        <v>2</v>
      </c>
      <c r="AG3910">
        <v>1</v>
      </c>
      <c r="AH3910">
        <v>0</v>
      </c>
      <c r="AI3910">
        <v>208.17</v>
      </c>
      <c r="AL3910" t="s">
        <v>5011</v>
      </c>
      <c r="AM3910">
        <v>26000</v>
      </c>
      <c r="AS3910">
        <v>5.3</v>
      </c>
      <c r="AT3910" t="s">
        <v>490</v>
      </c>
      <c r="AU3910" t="s">
        <v>25275</v>
      </c>
      <c r="AV3910" t="s">
        <v>25335</v>
      </c>
      <c r="AW3910" t="s">
        <v>11447</v>
      </c>
    </row>
    <row r="3911" spans="1:49">
      <c r="A3911" s="1">
        <f>HYPERLINK("https://lsnyc.legalserver.org/matter/dynamic-profile/view/1902800","19-1902800")</f>
        <v>0</v>
      </c>
      <c r="B3911" t="s">
        <v>151</v>
      </c>
      <c r="C3911" t="s">
        <v>527</v>
      </c>
      <c r="E3911" t="s">
        <v>2173</v>
      </c>
      <c r="F3911" t="s">
        <v>4551</v>
      </c>
      <c r="G3911" t="s">
        <v>9198</v>
      </c>
      <c r="H3911" t="s">
        <v>11202</v>
      </c>
      <c r="I3911" t="s">
        <v>11385</v>
      </c>
      <c r="J3911">
        <v>11221</v>
      </c>
      <c r="K3911" t="s">
        <v>11446</v>
      </c>
      <c r="L3911" t="s">
        <v>13445</v>
      </c>
      <c r="M3911" t="s">
        <v>14744</v>
      </c>
      <c r="N3911" t="s">
        <v>14781</v>
      </c>
      <c r="P3911" t="s">
        <v>14804</v>
      </c>
      <c r="Q3911" t="s">
        <v>11448</v>
      </c>
      <c r="S3911" t="s">
        <v>14828</v>
      </c>
      <c r="T3911" t="s">
        <v>14833</v>
      </c>
      <c r="U3911" t="s">
        <v>545</v>
      </c>
      <c r="V3911">
        <v>0</v>
      </c>
      <c r="W3911" t="s">
        <v>14859</v>
      </c>
      <c r="X3911" t="s">
        <v>14865</v>
      </c>
      <c r="Z3911" t="s">
        <v>18140</v>
      </c>
      <c r="AA3911">
        <v>16326393</v>
      </c>
      <c r="AB3911" t="s">
        <v>23236</v>
      </c>
      <c r="AC3911">
        <v>64</v>
      </c>
      <c r="AD3911" t="s">
        <v>24597</v>
      </c>
      <c r="AE3911" t="s">
        <v>11459</v>
      </c>
      <c r="AF3911">
        <v>11</v>
      </c>
      <c r="AG3911">
        <v>2</v>
      </c>
      <c r="AH3911">
        <v>0</v>
      </c>
      <c r="AI3911">
        <v>248.37</v>
      </c>
      <c r="AL3911" t="s">
        <v>5011</v>
      </c>
      <c r="AM3911">
        <v>42000</v>
      </c>
      <c r="AS3911">
        <v>5.6</v>
      </c>
      <c r="AT3911" t="s">
        <v>368</v>
      </c>
      <c r="AU3911" t="s">
        <v>25275</v>
      </c>
      <c r="AV3911" t="s">
        <v>25335</v>
      </c>
      <c r="AW3911" t="s">
        <v>11447</v>
      </c>
    </row>
    <row r="3912" spans="1:49">
      <c r="A3912" s="1">
        <f>HYPERLINK("https://lsnyc.legalserver.org/matter/dynamic-profile/view/1903794","19-1903794")</f>
        <v>0</v>
      </c>
      <c r="B3912" t="s">
        <v>255</v>
      </c>
      <c r="C3912" t="s">
        <v>378</v>
      </c>
      <c r="E3912" t="s">
        <v>1853</v>
      </c>
      <c r="F3912" t="s">
        <v>2826</v>
      </c>
      <c r="G3912" t="s">
        <v>9250</v>
      </c>
      <c r="H3912" t="s">
        <v>10509</v>
      </c>
      <c r="I3912" t="s">
        <v>11385</v>
      </c>
      <c r="J3912">
        <v>11225</v>
      </c>
      <c r="K3912" t="s">
        <v>11446</v>
      </c>
      <c r="L3912" t="s">
        <v>13446</v>
      </c>
      <c r="M3912" t="s">
        <v>14743</v>
      </c>
      <c r="N3912" t="s">
        <v>14781</v>
      </c>
      <c r="P3912" t="s">
        <v>14804</v>
      </c>
      <c r="Q3912" t="s">
        <v>11448</v>
      </c>
      <c r="S3912" t="s">
        <v>14827</v>
      </c>
      <c r="U3912" t="s">
        <v>378</v>
      </c>
      <c r="V3912">
        <v>1036.29</v>
      </c>
      <c r="W3912" t="s">
        <v>14859</v>
      </c>
      <c r="X3912" t="s">
        <v>14881</v>
      </c>
      <c r="Z3912" t="s">
        <v>16574</v>
      </c>
      <c r="AC3912">
        <v>0</v>
      </c>
      <c r="AF3912">
        <v>4</v>
      </c>
      <c r="AG3912">
        <v>1</v>
      </c>
      <c r="AH3912">
        <v>0</v>
      </c>
      <c r="AI3912">
        <v>96.08</v>
      </c>
      <c r="AL3912" t="s">
        <v>5011</v>
      </c>
      <c r="AM3912">
        <v>12000</v>
      </c>
      <c r="AS3912">
        <v>6.75</v>
      </c>
      <c r="AT3912" t="s">
        <v>466</v>
      </c>
      <c r="AU3912" t="s">
        <v>25285</v>
      </c>
      <c r="AV3912" t="s">
        <v>25335</v>
      </c>
      <c r="AW3912" t="s">
        <v>11447</v>
      </c>
    </row>
    <row r="3913" spans="1:49">
      <c r="A3913" s="1">
        <f>HYPERLINK("https://lsnyc.legalserver.org/matter/dynamic-profile/view/1903836","19-1903836")</f>
        <v>0</v>
      </c>
      <c r="B3913" t="s">
        <v>255</v>
      </c>
      <c r="C3913" t="s">
        <v>378</v>
      </c>
      <c r="E3913" t="s">
        <v>1301</v>
      </c>
      <c r="F3913" t="s">
        <v>5601</v>
      </c>
      <c r="G3913" t="s">
        <v>9251</v>
      </c>
      <c r="H3913" t="s">
        <v>10648</v>
      </c>
      <c r="I3913" t="s">
        <v>11385</v>
      </c>
      <c r="J3913">
        <v>11221</v>
      </c>
      <c r="K3913" t="s">
        <v>11446</v>
      </c>
      <c r="L3913" t="s">
        <v>13447</v>
      </c>
      <c r="M3913" t="s">
        <v>14744</v>
      </c>
      <c r="N3913" t="s">
        <v>14781</v>
      </c>
      <c r="P3913" t="s">
        <v>14804</v>
      </c>
      <c r="S3913" t="s">
        <v>14827</v>
      </c>
      <c r="U3913" t="s">
        <v>378</v>
      </c>
      <c r="V3913">
        <v>1575</v>
      </c>
      <c r="W3913" t="s">
        <v>14859</v>
      </c>
      <c r="X3913" t="s">
        <v>14881</v>
      </c>
      <c r="Z3913" t="s">
        <v>17576</v>
      </c>
      <c r="AB3913" t="s">
        <v>23237</v>
      </c>
      <c r="AC3913">
        <v>2</v>
      </c>
      <c r="AF3913">
        <v>11</v>
      </c>
      <c r="AG3913">
        <v>2</v>
      </c>
      <c r="AH3913">
        <v>0</v>
      </c>
      <c r="AI3913">
        <v>171.5</v>
      </c>
      <c r="AL3913" t="s">
        <v>5011</v>
      </c>
      <c r="AM3913">
        <v>29000</v>
      </c>
      <c r="AS3913">
        <v>9.25</v>
      </c>
      <c r="AT3913" t="s">
        <v>354</v>
      </c>
      <c r="AU3913" t="s">
        <v>25235</v>
      </c>
      <c r="AV3913" t="s">
        <v>25335</v>
      </c>
      <c r="AW3913" t="s">
        <v>11447</v>
      </c>
    </row>
    <row r="3914" spans="1:49">
      <c r="A3914" s="1">
        <f>HYPERLINK("https://lsnyc.legalserver.org/matter/dynamic-profile/view/1904130","19-1904130")</f>
        <v>0</v>
      </c>
      <c r="B3914" t="s">
        <v>151</v>
      </c>
      <c r="C3914" t="s">
        <v>338</v>
      </c>
      <c r="E3914" t="s">
        <v>1144</v>
      </c>
      <c r="F3914" t="s">
        <v>5602</v>
      </c>
      <c r="G3914" t="s">
        <v>9241</v>
      </c>
      <c r="H3914" t="s">
        <v>10474</v>
      </c>
      <c r="I3914" t="s">
        <v>11385</v>
      </c>
      <c r="J3914">
        <v>11216</v>
      </c>
      <c r="K3914" t="s">
        <v>11446</v>
      </c>
      <c r="L3914" t="s">
        <v>13448</v>
      </c>
      <c r="M3914" t="s">
        <v>14744</v>
      </c>
      <c r="N3914" t="s">
        <v>14781</v>
      </c>
      <c r="P3914" t="s">
        <v>14804</v>
      </c>
      <c r="Q3914" t="s">
        <v>11448</v>
      </c>
      <c r="S3914" t="s">
        <v>14827</v>
      </c>
      <c r="U3914" t="s">
        <v>338</v>
      </c>
      <c r="V3914">
        <v>202</v>
      </c>
      <c r="W3914" t="s">
        <v>14859</v>
      </c>
      <c r="X3914" t="s">
        <v>14881</v>
      </c>
      <c r="Z3914" t="s">
        <v>18141</v>
      </c>
      <c r="AB3914" t="s">
        <v>23238</v>
      </c>
      <c r="AC3914">
        <v>0</v>
      </c>
      <c r="AF3914">
        <v>11</v>
      </c>
      <c r="AG3914">
        <v>1</v>
      </c>
      <c r="AH3914">
        <v>0</v>
      </c>
      <c r="AI3914">
        <v>81.67</v>
      </c>
      <c r="AL3914" t="s">
        <v>5011</v>
      </c>
      <c r="AM3914">
        <v>10200</v>
      </c>
      <c r="AS3914">
        <v>1.2</v>
      </c>
      <c r="AT3914" t="s">
        <v>633</v>
      </c>
      <c r="AU3914" t="s">
        <v>25285</v>
      </c>
      <c r="AV3914" t="s">
        <v>25335</v>
      </c>
      <c r="AW3914" t="s">
        <v>11447</v>
      </c>
    </row>
    <row r="3915" spans="1:49">
      <c r="A3915" s="1">
        <f>HYPERLINK("https://lsnyc.legalserver.org/matter/dynamic-profile/view/1904127","19-1904127")</f>
        <v>0</v>
      </c>
      <c r="B3915" t="s">
        <v>106</v>
      </c>
      <c r="C3915" t="s">
        <v>338</v>
      </c>
      <c r="E3915" t="s">
        <v>2972</v>
      </c>
      <c r="F3915" t="s">
        <v>5603</v>
      </c>
      <c r="G3915" t="s">
        <v>9252</v>
      </c>
      <c r="I3915" t="s">
        <v>11385</v>
      </c>
      <c r="J3915">
        <v>11216</v>
      </c>
      <c r="K3915" t="s">
        <v>11446</v>
      </c>
      <c r="L3915" t="s">
        <v>13449</v>
      </c>
      <c r="M3915" t="s">
        <v>14743</v>
      </c>
      <c r="N3915" t="s">
        <v>14781</v>
      </c>
      <c r="P3915" t="s">
        <v>14804</v>
      </c>
      <c r="Q3915" t="s">
        <v>11448</v>
      </c>
      <c r="S3915" t="s">
        <v>14827</v>
      </c>
      <c r="U3915" t="s">
        <v>338</v>
      </c>
      <c r="V3915">
        <v>1800</v>
      </c>
      <c r="W3915" t="s">
        <v>14859</v>
      </c>
      <c r="X3915" t="s">
        <v>14881</v>
      </c>
      <c r="Z3915" t="s">
        <v>18142</v>
      </c>
      <c r="AB3915" t="s">
        <v>23239</v>
      </c>
      <c r="AC3915">
        <v>0</v>
      </c>
      <c r="AF3915">
        <v>4</v>
      </c>
      <c r="AG3915">
        <v>1</v>
      </c>
      <c r="AH3915">
        <v>0</v>
      </c>
      <c r="AI3915">
        <v>83.27</v>
      </c>
      <c r="AL3915" t="s">
        <v>5011</v>
      </c>
      <c r="AM3915">
        <v>10400</v>
      </c>
      <c r="AS3915">
        <v>17.1</v>
      </c>
      <c r="AT3915" t="s">
        <v>478</v>
      </c>
      <c r="AU3915" t="s">
        <v>25285</v>
      </c>
      <c r="AV3915" t="s">
        <v>25335</v>
      </c>
      <c r="AW3915" t="s">
        <v>11447</v>
      </c>
    </row>
    <row r="3916" spans="1:49">
      <c r="A3916" s="1">
        <f>HYPERLINK("https://lsnyc.legalserver.org/matter/dynamic-profile/view/1904143","19-1904143")</f>
        <v>0</v>
      </c>
      <c r="B3916" t="s">
        <v>238</v>
      </c>
      <c r="C3916" t="s">
        <v>338</v>
      </c>
      <c r="E3916" t="s">
        <v>1241</v>
      </c>
      <c r="F3916" t="s">
        <v>5604</v>
      </c>
      <c r="G3916" t="s">
        <v>6594</v>
      </c>
      <c r="H3916">
        <v>1</v>
      </c>
      <c r="I3916" t="s">
        <v>11385</v>
      </c>
      <c r="J3916">
        <v>11221</v>
      </c>
      <c r="K3916" t="s">
        <v>11446</v>
      </c>
      <c r="L3916" t="s">
        <v>13450</v>
      </c>
      <c r="M3916" t="s">
        <v>14743</v>
      </c>
      <c r="N3916" t="s">
        <v>14781</v>
      </c>
      <c r="P3916" t="s">
        <v>14804</v>
      </c>
      <c r="S3916" t="s">
        <v>14827</v>
      </c>
      <c r="U3916" t="s">
        <v>338</v>
      </c>
      <c r="V3916">
        <v>1557</v>
      </c>
      <c r="W3916" t="s">
        <v>14859</v>
      </c>
      <c r="X3916" t="s">
        <v>14881</v>
      </c>
      <c r="Z3916" t="s">
        <v>15801</v>
      </c>
      <c r="AB3916" t="s">
        <v>23240</v>
      </c>
      <c r="AC3916">
        <v>0</v>
      </c>
      <c r="AF3916">
        <v>-1</v>
      </c>
      <c r="AG3916">
        <v>3</v>
      </c>
      <c r="AH3916">
        <v>0</v>
      </c>
      <c r="AI3916">
        <v>90.81</v>
      </c>
      <c r="AL3916" t="s">
        <v>5011</v>
      </c>
      <c r="AM3916">
        <v>19370</v>
      </c>
      <c r="AS3916">
        <v>13.7</v>
      </c>
      <c r="AT3916" t="s">
        <v>537</v>
      </c>
      <c r="AU3916" t="s">
        <v>25285</v>
      </c>
      <c r="AV3916" t="s">
        <v>25335</v>
      </c>
      <c r="AW3916" t="s">
        <v>11447</v>
      </c>
    </row>
    <row r="3917" spans="1:49">
      <c r="A3917" s="1">
        <f>HYPERLINK("https://lsnyc.legalserver.org/matter/dynamic-profile/view/1904408","19-1904408")</f>
        <v>0</v>
      </c>
      <c r="B3917" t="s">
        <v>282</v>
      </c>
      <c r="C3917" t="s">
        <v>607</v>
      </c>
      <c r="E3917" t="s">
        <v>1598</v>
      </c>
      <c r="F3917" t="s">
        <v>5414</v>
      </c>
      <c r="G3917" t="s">
        <v>9253</v>
      </c>
      <c r="H3917" t="s">
        <v>10559</v>
      </c>
      <c r="I3917" t="s">
        <v>11385</v>
      </c>
      <c r="J3917">
        <v>11216</v>
      </c>
      <c r="K3917" t="s">
        <v>11446</v>
      </c>
      <c r="L3917" t="s">
        <v>13451</v>
      </c>
      <c r="M3917" t="s">
        <v>14744</v>
      </c>
      <c r="N3917" t="s">
        <v>14781</v>
      </c>
      <c r="P3917" t="s">
        <v>14804</v>
      </c>
      <c r="S3917" t="s">
        <v>14827</v>
      </c>
      <c r="U3917" t="s">
        <v>607</v>
      </c>
      <c r="V3917">
        <v>795</v>
      </c>
      <c r="W3917" t="s">
        <v>14859</v>
      </c>
      <c r="X3917" t="s">
        <v>14881</v>
      </c>
      <c r="Z3917" t="s">
        <v>18143</v>
      </c>
      <c r="AA3917">
        <v>36992633</v>
      </c>
      <c r="AB3917" t="s">
        <v>23241</v>
      </c>
      <c r="AC3917">
        <v>12</v>
      </c>
      <c r="AE3917" t="s">
        <v>24610</v>
      </c>
      <c r="AF3917">
        <v>6</v>
      </c>
      <c r="AG3917">
        <v>1</v>
      </c>
      <c r="AH3917">
        <v>2</v>
      </c>
      <c r="AI3917">
        <v>22.5</v>
      </c>
      <c r="AL3917" t="s">
        <v>5011</v>
      </c>
      <c r="AM3917">
        <v>4800</v>
      </c>
      <c r="AS3917">
        <v>14.2</v>
      </c>
      <c r="AT3917" t="s">
        <v>484</v>
      </c>
      <c r="AU3917" t="s">
        <v>25235</v>
      </c>
      <c r="AV3917" t="s">
        <v>25335</v>
      </c>
      <c r="AW3917" t="s">
        <v>11447</v>
      </c>
    </row>
    <row r="3918" spans="1:49">
      <c r="A3918" s="1">
        <f>HYPERLINK("https://lsnyc.legalserver.org/matter/dynamic-profile/view/1904697","19-1904697")</f>
        <v>0</v>
      </c>
      <c r="B3918" t="s">
        <v>106</v>
      </c>
      <c r="C3918" t="s">
        <v>493</v>
      </c>
      <c r="E3918" t="s">
        <v>2973</v>
      </c>
      <c r="F3918" t="s">
        <v>5605</v>
      </c>
      <c r="G3918" t="s">
        <v>9254</v>
      </c>
      <c r="H3918" t="s">
        <v>10828</v>
      </c>
      <c r="I3918" t="s">
        <v>11385</v>
      </c>
      <c r="J3918">
        <v>11221</v>
      </c>
      <c r="K3918" t="s">
        <v>11446</v>
      </c>
      <c r="L3918" t="s">
        <v>13452</v>
      </c>
      <c r="M3918" t="s">
        <v>14743</v>
      </c>
      <c r="N3918" t="s">
        <v>14781</v>
      </c>
      <c r="P3918" t="s">
        <v>14804</v>
      </c>
      <c r="S3918" t="s">
        <v>14827</v>
      </c>
      <c r="U3918" t="s">
        <v>493</v>
      </c>
      <c r="V3918">
        <v>650</v>
      </c>
      <c r="W3918" t="s">
        <v>14859</v>
      </c>
      <c r="X3918" t="s">
        <v>14865</v>
      </c>
      <c r="Z3918" t="s">
        <v>18144</v>
      </c>
      <c r="AB3918" t="s">
        <v>23242</v>
      </c>
      <c r="AC3918">
        <v>0</v>
      </c>
      <c r="AF3918">
        <v>11</v>
      </c>
      <c r="AG3918">
        <v>1</v>
      </c>
      <c r="AH3918">
        <v>0</v>
      </c>
      <c r="AI3918">
        <v>0</v>
      </c>
      <c r="AL3918" t="s">
        <v>5011</v>
      </c>
      <c r="AM3918">
        <v>0</v>
      </c>
      <c r="AS3918">
        <v>26.5</v>
      </c>
      <c r="AT3918" t="s">
        <v>521</v>
      </c>
      <c r="AU3918" t="s">
        <v>25277</v>
      </c>
      <c r="AV3918" t="s">
        <v>25335</v>
      </c>
      <c r="AW3918" t="s">
        <v>11447</v>
      </c>
    </row>
    <row r="3919" spans="1:49">
      <c r="A3919" s="1">
        <f>HYPERLINK("https://lsnyc.legalserver.org/matter/dynamic-profile/view/1904574","19-1904574")</f>
        <v>0</v>
      </c>
      <c r="B3919" t="s">
        <v>106</v>
      </c>
      <c r="C3919" t="s">
        <v>493</v>
      </c>
      <c r="E3919" t="s">
        <v>2617</v>
      </c>
      <c r="F3919" t="s">
        <v>1983</v>
      </c>
      <c r="G3919" t="s">
        <v>9255</v>
      </c>
      <c r="H3919" t="s">
        <v>10486</v>
      </c>
      <c r="I3919" t="s">
        <v>11385</v>
      </c>
      <c r="J3919">
        <v>11216</v>
      </c>
      <c r="K3919" t="s">
        <v>11446</v>
      </c>
      <c r="L3919" t="s">
        <v>13453</v>
      </c>
      <c r="M3919" t="s">
        <v>14743</v>
      </c>
      <c r="N3919" t="s">
        <v>14781</v>
      </c>
      <c r="P3919" t="s">
        <v>14804</v>
      </c>
      <c r="S3919" t="s">
        <v>14827</v>
      </c>
      <c r="U3919" t="s">
        <v>493</v>
      </c>
      <c r="V3919">
        <v>950</v>
      </c>
      <c r="W3919" t="s">
        <v>14859</v>
      </c>
      <c r="X3919" t="s">
        <v>14881</v>
      </c>
      <c r="Z3919" t="s">
        <v>18145</v>
      </c>
      <c r="AB3919" t="s">
        <v>23243</v>
      </c>
      <c r="AC3919">
        <v>1</v>
      </c>
      <c r="AF3919">
        <v>3</v>
      </c>
      <c r="AG3919">
        <v>1</v>
      </c>
      <c r="AH3919">
        <v>0</v>
      </c>
      <c r="AI3919">
        <v>0</v>
      </c>
      <c r="AL3919" t="s">
        <v>5011</v>
      </c>
      <c r="AM3919">
        <v>0</v>
      </c>
      <c r="AS3919">
        <v>7.2</v>
      </c>
      <c r="AT3919" t="s">
        <v>489</v>
      </c>
      <c r="AU3919" t="s">
        <v>25275</v>
      </c>
      <c r="AV3919" t="s">
        <v>25335</v>
      </c>
      <c r="AW3919" t="s">
        <v>11447</v>
      </c>
    </row>
    <row r="3920" spans="1:49">
      <c r="A3920" s="1">
        <f>HYPERLINK("https://lsnyc.legalserver.org/matter/dynamic-profile/view/1904579","19-1904579")</f>
        <v>0</v>
      </c>
      <c r="B3920" t="s">
        <v>233</v>
      </c>
      <c r="C3920" t="s">
        <v>493</v>
      </c>
      <c r="E3920" t="s">
        <v>1788</v>
      </c>
      <c r="F3920" t="s">
        <v>5606</v>
      </c>
      <c r="G3920" t="s">
        <v>9241</v>
      </c>
      <c r="H3920" t="s">
        <v>10732</v>
      </c>
      <c r="I3920" t="s">
        <v>11385</v>
      </c>
      <c r="J3920">
        <v>11216</v>
      </c>
      <c r="K3920" t="s">
        <v>11446</v>
      </c>
      <c r="L3920" t="s">
        <v>13454</v>
      </c>
      <c r="M3920" t="s">
        <v>14744</v>
      </c>
      <c r="N3920" t="s">
        <v>14782</v>
      </c>
      <c r="P3920" t="s">
        <v>14804</v>
      </c>
      <c r="S3920" t="s">
        <v>14827</v>
      </c>
      <c r="U3920" t="s">
        <v>493</v>
      </c>
      <c r="V3920">
        <v>298</v>
      </c>
      <c r="W3920" t="s">
        <v>14859</v>
      </c>
      <c r="Z3920" t="s">
        <v>18146</v>
      </c>
      <c r="AB3920" t="s">
        <v>23244</v>
      </c>
      <c r="AC3920">
        <v>0</v>
      </c>
      <c r="AE3920" t="s">
        <v>24610</v>
      </c>
      <c r="AF3920">
        <v>6</v>
      </c>
      <c r="AG3920">
        <v>1</v>
      </c>
      <c r="AH3920">
        <v>2</v>
      </c>
      <c r="AI3920">
        <v>97.52</v>
      </c>
      <c r="AM3920">
        <v>20800</v>
      </c>
      <c r="AS3920">
        <v>6.5</v>
      </c>
      <c r="AT3920" t="s">
        <v>618</v>
      </c>
      <c r="AU3920" t="s">
        <v>25235</v>
      </c>
      <c r="AV3920" t="s">
        <v>25335</v>
      </c>
      <c r="AW3920" t="s">
        <v>11447</v>
      </c>
    </row>
    <row r="3921" spans="1:49">
      <c r="A3921" s="1">
        <f>HYPERLINK("https://lsnyc.legalserver.org/matter/dynamic-profile/view/1904626","19-1904626")</f>
        <v>0</v>
      </c>
      <c r="B3921" t="s">
        <v>233</v>
      </c>
      <c r="C3921" t="s">
        <v>365</v>
      </c>
      <c r="E3921" t="s">
        <v>1117</v>
      </c>
      <c r="F3921" t="s">
        <v>3797</v>
      </c>
      <c r="G3921" t="s">
        <v>9256</v>
      </c>
      <c r="H3921" t="s">
        <v>11008</v>
      </c>
      <c r="I3921" t="s">
        <v>11385</v>
      </c>
      <c r="J3921">
        <v>11226</v>
      </c>
      <c r="K3921" t="s">
        <v>11446</v>
      </c>
      <c r="L3921" t="s">
        <v>13455</v>
      </c>
      <c r="M3921" t="s">
        <v>14744</v>
      </c>
      <c r="N3921" t="s">
        <v>14782</v>
      </c>
      <c r="P3921" t="s">
        <v>14804</v>
      </c>
      <c r="S3921" t="s">
        <v>14827</v>
      </c>
      <c r="U3921" t="s">
        <v>365</v>
      </c>
      <c r="V3921">
        <v>1497.5</v>
      </c>
      <c r="W3921" t="s">
        <v>14859</v>
      </c>
      <c r="X3921" t="s">
        <v>14865</v>
      </c>
      <c r="Z3921" t="s">
        <v>17176</v>
      </c>
      <c r="AB3921" t="s">
        <v>23245</v>
      </c>
      <c r="AC3921">
        <v>61</v>
      </c>
      <c r="AF3921">
        <v>4</v>
      </c>
      <c r="AG3921">
        <v>1</v>
      </c>
      <c r="AH3921">
        <v>0</v>
      </c>
      <c r="AI3921">
        <v>0</v>
      </c>
      <c r="AL3921" t="s">
        <v>5011</v>
      </c>
      <c r="AM3921">
        <v>0</v>
      </c>
      <c r="AS3921">
        <v>8.300000000000001</v>
      </c>
      <c r="AT3921" t="s">
        <v>539</v>
      </c>
      <c r="AU3921" t="s">
        <v>25235</v>
      </c>
      <c r="AV3921" t="s">
        <v>25335</v>
      </c>
      <c r="AW3921" t="s">
        <v>11447</v>
      </c>
    </row>
    <row r="3922" spans="1:49">
      <c r="A3922" s="1">
        <f>HYPERLINK("https://lsnyc.legalserver.org/matter/dynamic-profile/view/1904618","19-1904618")</f>
        <v>0</v>
      </c>
      <c r="B3922" t="s">
        <v>280</v>
      </c>
      <c r="C3922" t="s">
        <v>365</v>
      </c>
      <c r="E3922" t="s">
        <v>1334</v>
      </c>
      <c r="F3922" t="s">
        <v>4284</v>
      </c>
      <c r="G3922" t="s">
        <v>9257</v>
      </c>
      <c r="H3922">
        <v>1</v>
      </c>
      <c r="I3922" t="s">
        <v>11385</v>
      </c>
      <c r="J3922">
        <v>11216</v>
      </c>
      <c r="K3922" t="s">
        <v>11446</v>
      </c>
      <c r="L3922" t="s">
        <v>13456</v>
      </c>
      <c r="M3922" t="s">
        <v>14743</v>
      </c>
      <c r="N3922" t="s">
        <v>14781</v>
      </c>
      <c r="P3922" t="s">
        <v>14804</v>
      </c>
      <c r="S3922" t="s">
        <v>14827</v>
      </c>
      <c r="U3922" t="s">
        <v>365</v>
      </c>
      <c r="V3922">
        <v>1200</v>
      </c>
      <c r="W3922" t="s">
        <v>14859</v>
      </c>
      <c r="X3922" t="s">
        <v>14881</v>
      </c>
      <c r="Z3922" t="s">
        <v>16004</v>
      </c>
      <c r="AB3922" t="s">
        <v>23246</v>
      </c>
      <c r="AC3922">
        <v>0</v>
      </c>
      <c r="AF3922">
        <v>2</v>
      </c>
      <c r="AG3922">
        <v>1</v>
      </c>
      <c r="AH3922">
        <v>0</v>
      </c>
      <c r="AI3922">
        <v>184.15</v>
      </c>
      <c r="AL3922" t="s">
        <v>5011</v>
      </c>
      <c r="AM3922">
        <v>23000</v>
      </c>
      <c r="AS3922">
        <v>3.3</v>
      </c>
      <c r="AT3922" t="s">
        <v>495</v>
      </c>
      <c r="AU3922" t="s">
        <v>25285</v>
      </c>
      <c r="AV3922" t="s">
        <v>25335</v>
      </c>
      <c r="AW3922" t="s">
        <v>11447</v>
      </c>
    </row>
    <row r="3923" spans="1:49">
      <c r="A3923" s="1">
        <f>HYPERLINK("https://lsnyc.legalserver.org/matter/dynamic-profile/view/1905078","19-1905078")</f>
        <v>0</v>
      </c>
      <c r="B3923" t="s">
        <v>133</v>
      </c>
      <c r="C3923" t="s">
        <v>456</v>
      </c>
      <c r="E3923" t="s">
        <v>2974</v>
      </c>
      <c r="F3923" t="s">
        <v>1035</v>
      </c>
      <c r="G3923" t="s">
        <v>9258</v>
      </c>
      <c r="H3923" t="s">
        <v>11203</v>
      </c>
      <c r="I3923" t="s">
        <v>11385</v>
      </c>
      <c r="J3923">
        <v>11221</v>
      </c>
      <c r="K3923" t="s">
        <v>11446</v>
      </c>
      <c r="L3923" t="s">
        <v>13457</v>
      </c>
      <c r="M3923" t="s">
        <v>14744</v>
      </c>
      <c r="N3923" t="s">
        <v>14781</v>
      </c>
      <c r="P3923" t="s">
        <v>14804</v>
      </c>
      <c r="S3923" t="s">
        <v>14828</v>
      </c>
      <c r="U3923" t="s">
        <v>456</v>
      </c>
      <c r="V3923">
        <v>663</v>
      </c>
      <c r="W3923" t="s">
        <v>14859</v>
      </c>
      <c r="Z3923" t="s">
        <v>18147</v>
      </c>
      <c r="AB3923" t="s">
        <v>23247</v>
      </c>
      <c r="AC3923">
        <v>180</v>
      </c>
      <c r="AF3923">
        <v>20</v>
      </c>
      <c r="AG3923">
        <v>2</v>
      </c>
      <c r="AH3923">
        <v>3</v>
      </c>
      <c r="AI3923">
        <v>34.37</v>
      </c>
      <c r="AL3923" t="s">
        <v>5011</v>
      </c>
      <c r="AM3923">
        <v>10368</v>
      </c>
      <c r="AS3923">
        <v>1.4</v>
      </c>
      <c r="AT3923" t="s">
        <v>603</v>
      </c>
      <c r="AU3923" t="s">
        <v>25275</v>
      </c>
      <c r="AV3923" t="s">
        <v>25335</v>
      </c>
      <c r="AW3923" t="s">
        <v>11447</v>
      </c>
    </row>
    <row r="3924" spans="1:49">
      <c r="A3924" s="1">
        <f>HYPERLINK("https://lsnyc.legalserver.org/matter/dynamic-profile/view/1905951","19-1905951")</f>
        <v>0</v>
      </c>
      <c r="B3924" t="s">
        <v>133</v>
      </c>
      <c r="C3924" t="s">
        <v>461</v>
      </c>
      <c r="E3924" t="s">
        <v>1140</v>
      </c>
      <c r="F3924" t="s">
        <v>5607</v>
      </c>
      <c r="G3924" t="s">
        <v>9259</v>
      </c>
      <c r="H3924" t="s">
        <v>10648</v>
      </c>
      <c r="I3924" t="s">
        <v>11385</v>
      </c>
      <c r="J3924">
        <v>11226</v>
      </c>
      <c r="K3924" t="s">
        <v>11446</v>
      </c>
      <c r="L3924" t="s">
        <v>13458</v>
      </c>
      <c r="M3924" t="s">
        <v>14743</v>
      </c>
      <c r="N3924" t="s">
        <v>14781</v>
      </c>
      <c r="P3924" t="s">
        <v>14804</v>
      </c>
      <c r="Q3924" t="s">
        <v>11448</v>
      </c>
      <c r="S3924" t="s">
        <v>14827</v>
      </c>
      <c r="T3924" t="s">
        <v>14834</v>
      </c>
      <c r="U3924" t="s">
        <v>461</v>
      </c>
      <c r="V3924">
        <v>550</v>
      </c>
      <c r="W3924" t="s">
        <v>14859</v>
      </c>
      <c r="X3924" t="s">
        <v>14865</v>
      </c>
      <c r="Z3924" t="s">
        <v>18148</v>
      </c>
      <c r="AB3924" t="s">
        <v>23248</v>
      </c>
      <c r="AC3924">
        <v>2</v>
      </c>
      <c r="AD3924" t="s">
        <v>24600</v>
      </c>
      <c r="AF3924">
        <v>34</v>
      </c>
      <c r="AG3924">
        <v>4</v>
      </c>
      <c r="AH3924">
        <v>0</v>
      </c>
      <c r="AI3924">
        <v>202.55</v>
      </c>
      <c r="AJ3924" t="s">
        <v>455</v>
      </c>
      <c r="AK3924" t="s">
        <v>24629</v>
      </c>
      <c r="AL3924" t="s">
        <v>5011</v>
      </c>
      <c r="AM3924">
        <v>52156.08</v>
      </c>
      <c r="AP3924" t="s">
        <v>14755</v>
      </c>
      <c r="AQ3924" t="s">
        <v>24987</v>
      </c>
      <c r="AR3924" t="s">
        <v>25007</v>
      </c>
      <c r="AS3924">
        <v>5.2</v>
      </c>
      <c r="AT3924" t="s">
        <v>654</v>
      </c>
      <c r="AU3924" t="s">
        <v>25235</v>
      </c>
      <c r="AV3924" t="s">
        <v>25335</v>
      </c>
      <c r="AW3924" t="s">
        <v>11447</v>
      </c>
    </row>
    <row r="3925" spans="1:49">
      <c r="A3925" s="1">
        <f>HYPERLINK("https://lsnyc.legalserver.org/matter/dynamic-profile/view/1905939","19-1905939")</f>
        <v>0</v>
      </c>
      <c r="B3925" t="s">
        <v>267</v>
      </c>
      <c r="C3925" t="s">
        <v>461</v>
      </c>
      <c r="E3925" t="s">
        <v>2975</v>
      </c>
      <c r="F3925" t="s">
        <v>4663</v>
      </c>
      <c r="G3925" t="s">
        <v>9260</v>
      </c>
      <c r="H3925" t="s">
        <v>10575</v>
      </c>
      <c r="I3925" t="s">
        <v>11385</v>
      </c>
      <c r="J3925">
        <v>11221</v>
      </c>
      <c r="K3925" t="s">
        <v>11446</v>
      </c>
      <c r="L3925" t="s">
        <v>13459</v>
      </c>
      <c r="M3925" t="s">
        <v>14744</v>
      </c>
      <c r="N3925" t="s">
        <v>14781</v>
      </c>
      <c r="P3925" t="s">
        <v>14804</v>
      </c>
      <c r="Q3925" t="s">
        <v>11448</v>
      </c>
      <c r="S3925" t="s">
        <v>14827</v>
      </c>
      <c r="T3925" t="s">
        <v>14832</v>
      </c>
      <c r="U3925" t="s">
        <v>461</v>
      </c>
      <c r="V3925">
        <v>1619</v>
      </c>
      <c r="W3925" t="s">
        <v>14859</v>
      </c>
      <c r="Z3925" t="s">
        <v>18149</v>
      </c>
      <c r="AB3925" t="s">
        <v>23249</v>
      </c>
      <c r="AC3925">
        <v>0</v>
      </c>
      <c r="AD3925" t="s">
        <v>24601</v>
      </c>
      <c r="AF3925">
        <v>1</v>
      </c>
      <c r="AG3925">
        <v>1</v>
      </c>
      <c r="AH3925">
        <v>3</v>
      </c>
      <c r="AI3925">
        <v>260.97</v>
      </c>
      <c r="AJ3925" t="s">
        <v>455</v>
      </c>
      <c r="AK3925" t="s">
        <v>24629</v>
      </c>
      <c r="AL3925" t="s">
        <v>5011</v>
      </c>
      <c r="AM3925">
        <v>67200</v>
      </c>
      <c r="AS3925">
        <v>10.9</v>
      </c>
      <c r="AT3925" t="s">
        <v>458</v>
      </c>
      <c r="AU3925" t="s">
        <v>25277</v>
      </c>
      <c r="AV3925" t="s">
        <v>25335</v>
      </c>
      <c r="AW3925" t="s">
        <v>11447</v>
      </c>
    </row>
    <row r="3926" spans="1:49">
      <c r="A3926" s="1">
        <f>HYPERLINK("https://lsnyc.legalserver.org/matter/dynamic-profile/view/1906061","19-1906061")</f>
        <v>0</v>
      </c>
      <c r="B3926" t="s">
        <v>136</v>
      </c>
      <c r="C3926" t="s">
        <v>618</v>
      </c>
      <c r="E3926" t="s">
        <v>1584</v>
      </c>
      <c r="F3926" t="s">
        <v>1636</v>
      </c>
      <c r="G3926" t="s">
        <v>7258</v>
      </c>
      <c r="H3926" t="s">
        <v>10781</v>
      </c>
      <c r="I3926" t="s">
        <v>11385</v>
      </c>
      <c r="J3926">
        <v>11226</v>
      </c>
      <c r="K3926" t="s">
        <v>11447</v>
      </c>
      <c r="L3926" t="s">
        <v>13460</v>
      </c>
      <c r="M3926" t="s">
        <v>14744</v>
      </c>
      <c r="N3926" t="s">
        <v>14781</v>
      </c>
      <c r="P3926" t="s">
        <v>14804</v>
      </c>
      <c r="S3926" t="s">
        <v>14827</v>
      </c>
      <c r="U3926" t="s">
        <v>618</v>
      </c>
      <c r="V3926">
        <v>1141.8</v>
      </c>
      <c r="W3926" t="s">
        <v>14859</v>
      </c>
      <c r="X3926" t="s">
        <v>14868</v>
      </c>
      <c r="Z3926" t="s">
        <v>15941</v>
      </c>
      <c r="AB3926" t="s">
        <v>21031</v>
      </c>
      <c r="AC3926">
        <v>4</v>
      </c>
      <c r="AD3926" t="s">
        <v>24595</v>
      </c>
      <c r="AF3926">
        <v>30</v>
      </c>
      <c r="AG3926">
        <v>3</v>
      </c>
      <c r="AH3926">
        <v>0</v>
      </c>
      <c r="AI3926">
        <v>56.26</v>
      </c>
      <c r="AL3926" t="s">
        <v>24641</v>
      </c>
      <c r="AM3926">
        <v>12000</v>
      </c>
      <c r="AQ3926" t="s">
        <v>24986</v>
      </c>
      <c r="AR3926" t="s">
        <v>25005</v>
      </c>
      <c r="AS3926">
        <v>0.5</v>
      </c>
      <c r="AT3926" t="s">
        <v>380</v>
      </c>
      <c r="AU3926" t="s">
        <v>25230</v>
      </c>
      <c r="AW3926" t="s">
        <v>11447</v>
      </c>
    </row>
    <row r="3927" spans="1:49">
      <c r="A3927" s="1">
        <f>HYPERLINK("https://lsnyc.legalserver.org/matter/dynamic-profile/view/1906176","19-1906176")</f>
        <v>0</v>
      </c>
      <c r="B3927" t="s">
        <v>106</v>
      </c>
      <c r="C3927" t="s">
        <v>553</v>
      </c>
      <c r="E3927" t="s">
        <v>1151</v>
      </c>
      <c r="F3927" t="s">
        <v>1035</v>
      </c>
      <c r="G3927" t="s">
        <v>9261</v>
      </c>
      <c r="H3927" t="s">
        <v>11204</v>
      </c>
      <c r="I3927" t="s">
        <v>11385</v>
      </c>
      <c r="J3927">
        <v>11226</v>
      </c>
      <c r="K3927" t="s">
        <v>11446</v>
      </c>
      <c r="L3927" t="s">
        <v>13461</v>
      </c>
      <c r="M3927" t="s">
        <v>14744</v>
      </c>
      <c r="N3927" t="s">
        <v>14781</v>
      </c>
      <c r="P3927" t="s">
        <v>14804</v>
      </c>
      <c r="Q3927" t="s">
        <v>11448</v>
      </c>
      <c r="S3927" t="s">
        <v>14827</v>
      </c>
      <c r="T3927" t="s">
        <v>14832</v>
      </c>
      <c r="U3927" t="s">
        <v>553</v>
      </c>
      <c r="V3927">
        <v>1431</v>
      </c>
      <c r="W3927" t="s">
        <v>14859</v>
      </c>
      <c r="X3927" t="s">
        <v>14865</v>
      </c>
      <c r="Z3927" t="s">
        <v>18150</v>
      </c>
      <c r="AA3927">
        <v>33807854</v>
      </c>
      <c r="AB3927" t="s">
        <v>23250</v>
      </c>
      <c r="AC3927">
        <v>110</v>
      </c>
      <c r="AE3927" t="s">
        <v>11459</v>
      </c>
      <c r="AF3927">
        <v>26</v>
      </c>
      <c r="AG3927">
        <v>4</v>
      </c>
      <c r="AH3927">
        <v>1</v>
      </c>
      <c r="AI3927">
        <v>112.36</v>
      </c>
      <c r="AL3927" t="s">
        <v>5011</v>
      </c>
      <c r="AM3927">
        <v>33900</v>
      </c>
      <c r="AS3927">
        <v>10.6</v>
      </c>
      <c r="AT3927" t="s">
        <v>483</v>
      </c>
      <c r="AU3927" t="s">
        <v>25285</v>
      </c>
      <c r="AV3927" t="s">
        <v>25335</v>
      </c>
      <c r="AW3927" t="s">
        <v>11447</v>
      </c>
    </row>
    <row r="3928" spans="1:49">
      <c r="A3928" s="1">
        <f>HYPERLINK("https://lsnyc.legalserver.org/matter/dynamic-profile/view/1906182","19-1906182")</f>
        <v>0</v>
      </c>
      <c r="B3928" t="s">
        <v>255</v>
      </c>
      <c r="C3928" t="s">
        <v>553</v>
      </c>
      <c r="E3928" t="s">
        <v>2976</v>
      </c>
      <c r="F3928" t="s">
        <v>5608</v>
      </c>
      <c r="G3928" t="s">
        <v>9262</v>
      </c>
      <c r="H3928" t="s">
        <v>10594</v>
      </c>
      <c r="I3928" t="s">
        <v>11385</v>
      </c>
      <c r="J3928">
        <v>11226</v>
      </c>
      <c r="K3928" t="s">
        <v>11446</v>
      </c>
      <c r="L3928" t="s">
        <v>13462</v>
      </c>
      <c r="M3928" t="s">
        <v>14744</v>
      </c>
      <c r="N3928" t="s">
        <v>14781</v>
      </c>
      <c r="P3928" t="s">
        <v>14804</v>
      </c>
      <c r="Q3928" t="s">
        <v>11448</v>
      </c>
      <c r="S3928" t="s">
        <v>14827</v>
      </c>
      <c r="U3928" t="s">
        <v>553</v>
      </c>
      <c r="V3928">
        <v>1848</v>
      </c>
      <c r="W3928" t="s">
        <v>14859</v>
      </c>
      <c r="X3928" t="s">
        <v>14865</v>
      </c>
      <c r="Z3928" t="s">
        <v>18151</v>
      </c>
      <c r="AB3928" t="s">
        <v>23251</v>
      </c>
      <c r="AC3928">
        <v>0</v>
      </c>
      <c r="AE3928" t="s">
        <v>24610</v>
      </c>
      <c r="AF3928">
        <v>32</v>
      </c>
      <c r="AG3928">
        <v>2</v>
      </c>
      <c r="AH3928">
        <v>3</v>
      </c>
      <c r="AI3928">
        <v>165.73</v>
      </c>
      <c r="AL3928" t="s">
        <v>5011</v>
      </c>
      <c r="AM3928">
        <v>50000</v>
      </c>
      <c r="AS3928">
        <v>6</v>
      </c>
      <c r="AT3928" t="s">
        <v>654</v>
      </c>
      <c r="AU3928" t="s">
        <v>25285</v>
      </c>
      <c r="AV3928" t="s">
        <v>25335</v>
      </c>
      <c r="AW3928" t="s">
        <v>11447</v>
      </c>
    </row>
    <row r="3929" spans="1:49">
      <c r="A3929" s="1">
        <f>HYPERLINK("https://lsnyc.legalserver.org/matter/dynamic-profile/view/1906296","19-1906296")</f>
        <v>0</v>
      </c>
      <c r="B3929" t="s">
        <v>141</v>
      </c>
      <c r="C3929" t="s">
        <v>355</v>
      </c>
      <c r="E3929" t="s">
        <v>1554</v>
      </c>
      <c r="F3929" t="s">
        <v>3758</v>
      </c>
      <c r="G3929" t="s">
        <v>9263</v>
      </c>
      <c r="H3929" t="s">
        <v>11205</v>
      </c>
      <c r="I3929" t="s">
        <v>11385</v>
      </c>
      <c r="J3929">
        <v>11226</v>
      </c>
      <c r="K3929" t="s">
        <v>11446</v>
      </c>
      <c r="L3929" t="s">
        <v>13463</v>
      </c>
      <c r="M3929" t="s">
        <v>14743</v>
      </c>
      <c r="N3929" t="s">
        <v>14781</v>
      </c>
      <c r="P3929" t="s">
        <v>14804</v>
      </c>
      <c r="S3929" t="s">
        <v>14827</v>
      </c>
      <c r="U3929" t="s">
        <v>355</v>
      </c>
      <c r="V3929">
        <v>800</v>
      </c>
      <c r="W3929" t="s">
        <v>14859</v>
      </c>
      <c r="X3929" t="s">
        <v>14865</v>
      </c>
      <c r="Z3929" t="s">
        <v>18152</v>
      </c>
      <c r="AB3929" t="s">
        <v>23252</v>
      </c>
      <c r="AC3929">
        <v>2</v>
      </c>
      <c r="AF3929">
        <v>-2</v>
      </c>
      <c r="AG3929">
        <v>1</v>
      </c>
      <c r="AH3929">
        <v>0</v>
      </c>
      <c r="AI3929">
        <v>120.32</v>
      </c>
      <c r="AL3929" t="s">
        <v>5011</v>
      </c>
      <c r="AM3929">
        <v>15028</v>
      </c>
      <c r="AS3929">
        <v>59.9</v>
      </c>
      <c r="AT3929" t="s">
        <v>489</v>
      </c>
      <c r="AU3929" t="s">
        <v>25235</v>
      </c>
      <c r="AV3929" t="s">
        <v>25335</v>
      </c>
      <c r="AW3929" t="s">
        <v>11447</v>
      </c>
    </row>
    <row r="3930" spans="1:49">
      <c r="A3930" s="1">
        <f>HYPERLINK("https://lsnyc.legalserver.org/matter/dynamic-profile/view/1906301","19-1906301")</f>
        <v>0</v>
      </c>
      <c r="B3930" t="s">
        <v>255</v>
      </c>
      <c r="C3930" t="s">
        <v>355</v>
      </c>
      <c r="E3930" t="s">
        <v>2977</v>
      </c>
      <c r="F3930" t="s">
        <v>5571</v>
      </c>
      <c r="G3930" t="s">
        <v>9264</v>
      </c>
      <c r="H3930" t="s">
        <v>11206</v>
      </c>
      <c r="I3930" t="s">
        <v>11385</v>
      </c>
      <c r="J3930">
        <v>11226</v>
      </c>
      <c r="K3930" t="s">
        <v>11446</v>
      </c>
      <c r="L3930" t="s">
        <v>13464</v>
      </c>
      <c r="M3930" t="s">
        <v>14743</v>
      </c>
      <c r="N3930" t="s">
        <v>14781</v>
      </c>
      <c r="P3930" t="s">
        <v>14804</v>
      </c>
      <c r="Q3930" t="s">
        <v>11448</v>
      </c>
      <c r="S3930" t="s">
        <v>14827</v>
      </c>
      <c r="T3930" t="s">
        <v>14832</v>
      </c>
      <c r="U3930" t="s">
        <v>355</v>
      </c>
      <c r="V3930">
        <v>1380.12</v>
      </c>
      <c r="W3930" t="s">
        <v>14859</v>
      </c>
      <c r="X3930" t="s">
        <v>14865</v>
      </c>
      <c r="Z3930" t="s">
        <v>15774</v>
      </c>
      <c r="AB3930" t="s">
        <v>23253</v>
      </c>
      <c r="AC3930">
        <v>0</v>
      </c>
      <c r="AD3930" t="s">
        <v>24595</v>
      </c>
      <c r="AF3930">
        <v>9</v>
      </c>
      <c r="AG3930">
        <v>1</v>
      </c>
      <c r="AH3930">
        <v>2</v>
      </c>
      <c r="AI3930">
        <v>146.27</v>
      </c>
      <c r="AL3930" t="s">
        <v>5011</v>
      </c>
      <c r="AM3930">
        <v>31200</v>
      </c>
      <c r="AS3930">
        <v>7.75</v>
      </c>
      <c r="AT3930" t="s">
        <v>490</v>
      </c>
      <c r="AU3930" t="s">
        <v>25285</v>
      </c>
      <c r="AV3930" t="s">
        <v>25335</v>
      </c>
      <c r="AW3930" t="s">
        <v>11447</v>
      </c>
    </row>
    <row r="3931" spans="1:49">
      <c r="A3931" s="1">
        <f>HYPERLINK("https://lsnyc.legalserver.org/matter/dynamic-profile/view/1906264","19-1906264")</f>
        <v>0</v>
      </c>
      <c r="B3931" t="s">
        <v>255</v>
      </c>
      <c r="C3931" t="s">
        <v>355</v>
      </c>
      <c r="E3931" t="s">
        <v>2978</v>
      </c>
      <c r="F3931" t="s">
        <v>5360</v>
      </c>
      <c r="G3931" t="s">
        <v>9262</v>
      </c>
      <c r="H3931" t="s">
        <v>10569</v>
      </c>
      <c r="I3931" t="s">
        <v>11385</v>
      </c>
      <c r="J3931">
        <v>11226</v>
      </c>
      <c r="K3931" t="s">
        <v>11446</v>
      </c>
      <c r="L3931" t="s">
        <v>13465</v>
      </c>
      <c r="M3931" t="s">
        <v>14744</v>
      </c>
      <c r="N3931" t="s">
        <v>14781</v>
      </c>
      <c r="P3931" t="s">
        <v>14804</v>
      </c>
      <c r="Q3931" t="s">
        <v>11448</v>
      </c>
      <c r="S3931" t="s">
        <v>14827</v>
      </c>
      <c r="T3931" t="s">
        <v>14832</v>
      </c>
      <c r="U3931" t="s">
        <v>355</v>
      </c>
      <c r="V3931">
        <v>1250</v>
      </c>
      <c r="W3931" t="s">
        <v>14859</v>
      </c>
      <c r="X3931" t="s">
        <v>14865</v>
      </c>
      <c r="Z3931" t="s">
        <v>18153</v>
      </c>
      <c r="AB3931" t="s">
        <v>23254</v>
      </c>
      <c r="AC3931">
        <v>85</v>
      </c>
      <c r="AD3931" t="s">
        <v>24595</v>
      </c>
      <c r="AE3931" t="s">
        <v>24613</v>
      </c>
      <c r="AF3931">
        <v>7</v>
      </c>
      <c r="AG3931">
        <v>2</v>
      </c>
      <c r="AH3931">
        <v>1</v>
      </c>
      <c r="AI3931">
        <v>160.9</v>
      </c>
      <c r="AL3931" t="s">
        <v>5011</v>
      </c>
      <c r="AM3931">
        <v>34320</v>
      </c>
      <c r="AS3931">
        <v>9.25</v>
      </c>
      <c r="AT3931" t="s">
        <v>521</v>
      </c>
      <c r="AU3931" t="s">
        <v>25285</v>
      </c>
      <c r="AV3931" t="s">
        <v>25335</v>
      </c>
      <c r="AW3931" t="s">
        <v>11447</v>
      </c>
    </row>
    <row r="3932" spans="1:49">
      <c r="A3932" s="1">
        <f>HYPERLINK("https://lsnyc.legalserver.org/matter/dynamic-profile/view/1906293","19-1906293")</f>
        <v>0</v>
      </c>
      <c r="B3932" t="s">
        <v>255</v>
      </c>
      <c r="C3932" t="s">
        <v>355</v>
      </c>
      <c r="E3932" t="s">
        <v>2979</v>
      </c>
      <c r="F3932" t="s">
        <v>3580</v>
      </c>
      <c r="G3932" t="s">
        <v>9265</v>
      </c>
      <c r="H3932" t="s">
        <v>10465</v>
      </c>
      <c r="I3932" t="s">
        <v>11385</v>
      </c>
      <c r="J3932">
        <v>11226</v>
      </c>
      <c r="K3932" t="s">
        <v>11446</v>
      </c>
      <c r="L3932" t="s">
        <v>13466</v>
      </c>
      <c r="M3932" t="s">
        <v>14743</v>
      </c>
      <c r="N3932" t="s">
        <v>14781</v>
      </c>
      <c r="P3932" t="s">
        <v>14804</v>
      </c>
      <c r="Q3932" t="s">
        <v>11448</v>
      </c>
      <c r="S3932" t="s">
        <v>14827</v>
      </c>
      <c r="U3932" t="s">
        <v>355</v>
      </c>
      <c r="V3932">
        <v>860</v>
      </c>
      <c r="W3932" t="s">
        <v>14859</v>
      </c>
      <c r="X3932" t="s">
        <v>14865</v>
      </c>
      <c r="Z3932" t="s">
        <v>18154</v>
      </c>
      <c r="AA3932" t="s">
        <v>19820</v>
      </c>
      <c r="AB3932" t="s">
        <v>23255</v>
      </c>
      <c r="AC3932">
        <v>0</v>
      </c>
      <c r="AF3932">
        <v>9</v>
      </c>
      <c r="AG3932">
        <v>1</v>
      </c>
      <c r="AH3932">
        <v>2</v>
      </c>
      <c r="AI3932">
        <v>195.97</v>
      </c>
      <c r="AL3932" t="s">
        <v>5011</v>
      </c>
      <c r="AM3932">
        <v>41800</v>
      </c>
      <c r="AS3932">
        <v>13.75</v>
      </c>
      <c r="AT3932" t="s">
        <v>521</v>
      </c>
      <c r="AU3932" t="s">
        <v>25285</v>
      </c>
      <c r="AV3932" t="s">
        <v>25335</v>
      </c>
      <c r="AW3932" t="s">
        <v>11447</v>
      </c>
    </row>
    <row r="3933" spans="1:49">
      <c r="A3933" s="1">
        <f>HYPERLINK("https://lsnyc.legalserver.org/matter/dynamic-profile/view/1903021","19-1903021")</f>
        <v>0</v>
      </c>
      <c r="B3933" t="s">
        <v>141</v>
      </c>
      <c r="C3933" t="s">
        <v>659</v>
      </c>
      <c r="E3933" t="s">
        <v>2563</v>
      </c>
      <c r="F3933" t="s">
        <v>5609</v>
      </c>
      <c r="G3933" t="s">
        <v>9266</v>
      </c>
      <c r="H3933" t="s">
        <v>11207</v>
      </c>
      <c r="I3933" t="s">
        <v>11385</v>
      </c>
      <c r="J3933">
        <v>11233</v>
      </c>
      <c r="K3933" t="s">
        <v>11446</v>
      </c>
      <c r="L3933" t="s">
        <v>13467</v>
      </c>
      <c r="M3933" t="s">
        <v>14743</v>
      </c>
      <c r="N3933" t="s">
        <v>14781</v>
      </c>
      <c r="P3933" t="s">
        <v>14804</v>
      </c>
      <c r="Q3933" t="s">
        <v>11448</v>
      </c>
      <c r="S3933" t="s">
        <v>14827</v>
      </c>
      <c r="U3933" t="s">
        <v>485</v>
      </c>
      <c r="V3933">
        <v>257</v>
      </c>
      <c r="W3933" t="s">
        <v>14859</v>
      </c>
      <c r="X3933" t="s">
        <v>14881</v>
      </c>
      <c r="Z3933" t="s">
        <v>16857</v>
      </c>
      <c r="AA3933" t="s">
        <v>19821</v>
      </c>
      <c r="AB3933" t="s">
        <v>23256</v>
      </c>
      <c r="AC3933">
        <v>80</v>
      </c>
      <c r="AD3933" t="s">
        <v>24603</v>
      </c>
      <c r="AE3933" t="s">
        <v>11459</v>
      </c>
      <c r="AF3933">
        <v>1</v>
      </c>
      <c r="AG3933">
        <v>1</v>
      </c>
      <c r="AH3933">
        <v>0</v>
      </c>
      <c r="AI3933">
        <v>18.94</v>
      </c>
      <c r="AL3933" t="s">
        <v>5011</v>
      </c>
      <c r="AM3933">
        <v>2366</v>
      </c>
      <c r="AS3933">
        <v>41.65</v>
      </c>
      <c r="AT3933" t="s">
        <v>495</v>
      </c>
      <c r="AU3933" t="s">
        <v>25285</v>
      </c>
      <c r="AV3933" t="s">
        <v>25335</v>
      </c>
      <c r="AW3933" t="s">
        <v>11447</v>
      </c>
    </row>
    <row r="3934" spans="1:49">
      <c r="A3934" s="1">
        <f>HYPERLINK("https://lsnyc.legalserver.org/matter/dynamic-profile/view/1905936","19-1905936")</f>
        <v>0</v>
      </c>
      <c r="B3934" t="s">
        <v>150</v>
      </c>
      <c r="C3934" t="s">
        <v>461</v>
      </c>
      <c r="E3934" t="s">
        <v>1816</v>
      </c>
      <c r="F3934" t="s">
        <v>4025</v>
      </c>
      <c r="G3934" t="s">
        <v>9267</v>
      </c>
      <c r="H3934" t="s">
        <v>10648</v>
      </c>
      <c r="I3934" t="s">
        <v>11385</v>
      </c>
      <c r="J3934">
        <v>11225</v>
      </c>
      <c r="K3934" t="s">
        <v>11446</v>
      </c>
      <c r="L3934" t="s">
        <v>13468</v>
      </c>
      <c r="M3934" t="s">
        <v>14743</v>
      </c>
      <c r="N3934" t="s">
        <v>14781</v>
      </c>
      <c r="P3934" t="s">
        <v>14804</v>
      </c>
      <c r="Q3934" t="s">
        <v>11448</v>
      </c>
      <c r="S3934" t="s">
        <v>14827</v>
      </c>
      <c r="T3934" t="s">
        <v>14832</v>
      </c>
      <c r="U3934" t="s">
        <v>485</v>
      </c>
      <c r="V3934">
        <v>315</v>
      </c>
      <c r="W3934" t="s">
        <v>14859</v>
      </c>
      <c r="X3934" t="s">
        <v>14865</v>
      </c>
      <c r="Z3934" t="s">
        <v>18155</v>
      </c>
      <c r="AB3934" t="s">
        <v>23257</v>
      </c>
      <c r="AC3934">
        <v>0</v>
      </c>
      <c r="AD3934" t="s">
        <v>24595</v>
      </c>
      <c r="AE3934" t="s">
        <v>11459</v>
      </c>
      <c r="AF3934">
        <v>-1</v>
      </c>
      <c r="AG3934">
        <v>1</v>
      </c>
      <c r="AH3934">
        <v>0</v>
      </c>
      <c r="AI3934">
        <v>23.63</v>
      </c>
      <c r="AL3934" t="s">
        <v>5011</v>
      </c>
      <c r="AM3934">
        <v>2952</v>
      </c>
      <c r="AO3934" t="s">
        <v>24937</v>
      </c>
      <c r="AS3934">
        <v>26.4</v>
      </c>
      <c r="AT3934" t="s">
        <v>654</v>
      </c>
      <c r="AU3934" t="s">
        <v>25275</v>
      </c>
      <c r="AV3934" t="s">
        <v>25335</v>
      </c>
      <c r="AW3934" t="s">
        <v>11447</v>
      </c>
    </row>
    <row r="3935" spans="1:49">
      <c r="A3935" s="1">
        <f>HYPERLINK("https://lsnyc.legalserver.org/matter/dynamic-profile/view/1906428","19-1906428")</f>
        <v>0</v>
      </c>
      <c r="B3935" t="s">
        <v>238</v>
      </c>
      <c r="C3935" t="s">
        <v>485</v>
      </c>
      <c r="E3935" t="s">
        <v>2887</v>
      </c>
      <c r="F3935" t="s">
        <v>5610</v>
      </c>
      <c r="G3935" t="s">
        <v>9268</v>
      </c>
      <c r="H3935" t="s">
        <v>10541</v>
      </c>
      <c r="I3935" t="s">
        <v>11385</v>
      </c>
      <c r="J3935">
        <v>11226</v>
      </c>
      <c r="K3935" t="s">
        <v>11446</v>
      </c>
      <c r="L3935" t="s">
        <v>13469</v>
      </c>
      <c r="M3935" t="s">
        <v>14744</v>
      </c>
      <c r="N3935" t="s">
        <v>14781</v>
      </c>
      <c r="P3935" t="s">
        <v>14804</v>
      </c>
      <c r="Q3935" t="s">
        <v>11448</v>
      </c>
      <c r="S3935" t="s">
        <v>14827</v>
      </c>
      <c r="U3935" t="s">
        <v>485</v>
      </c>
      <c r="V3935">
        <v>766.25</v>
      </c>
      <c r="W3935" t="s">
        <v>14859</v>
      </c>
      <c r="X3935" t="s">
        <v>14881</v>
      </c>
      <c r="Z3935" t="s">
        <v>18156</v>
      </c>
      <c r="AB3935" t="s">
        <v>23258</v>
      </c>
      <c r="AC3935">
        <v>0</v>
      </c>
      <c r="AF3935">
        <v>40</v>
      </c>
      <c r="AG3935">
        <v>1</v>
      </c>
      <c r="AH3935">
        <v>0</v>
      </c>
      <c r="AI3935">
        <v>93</v>
      </c>
      <c r="AL3935" t="s">
        <v>5011</v>
      </c>
      <c r="AM3935">
        <v>11616</v>
      </c>
      <c r="AS3935">
        <v>11.6</v>
      </c>
      <c r="AT3935" t="s">
        <v>515</v>
      </c>
      <c r="AU3935" t="s">
        <v>25285</v>
      </c>
      <c r="AV3935" t="s">
        <v>25335</v>
      </c>
      <c r="AW3935" t="s">
        <v>11447</v>
      </c>
    </row>
    <row r="3936" spans="1:49">
      <c r="A3936" s="1">
        <f>HYPERLINK("https://lsnyc.legalserver.org/matter/dynamic-profile/view/1907296","19-1907296")</f>
        <v>0</v>
      </c>
      <c r="B3936" t="s">
        <v>150</v>
      </c>
      <c r="C3936" t="s">
        <v>366</v>
      </c>
      <c r="E3936" t="s">
        <v>1407</v>
      </c>
      <c r="F3936" t="s">
        <v>3890</v>
      </c>
      <c r="G3936" t="s">
        <v>9244</v>
      </c>
      <c r="H3936" t="s">
        <v>10579</v>
      </c>
      <c r="I3936" t="s">
        <v>11385</v>
      </c>
      <c r="J3936">
        <v>11226</v>
      </c>
      <c r="K3936" t="s">
        <v>11446</v>
      </c>
      <c r="L3936" t="s">
        <v>13470</v>
      </c>
      <c r="M3936" t="s">
        <v>14743</v>
      </c>
      <c r="N3936" t="s">
        <v>14781</v>
      </c>
      <c r="P3936" t="s">
        <v>14804</v>
      </c>
      <c r="Q3936" t="s">
        <v>11448</v>
      </c>
      <c r="S3936" t="s">
        <v>14827</v>
      </c>
      <c r="T3936" t="s">
        <v>14832</v>
      </c>
      <c r="U3936" t="s">
        <v>485</v>
      </c>
      <c r="V3936">
        <v>2360</v>
      </c>
      <c r="W3936" t="s">
        <v>14859</v>
      </c>
      <c r="X3936" t="s">
        <v>14865</v>
      </c>
      <c r="Z3936" t="s">
        <v>18133</v>
      </c>
      <c r="AB3936" t="s">
        <v>23229</v>
      </c>
      <c r="AC3936">
        <v>64</v>
      </c>
      <c r="AD3936" t="s">
        <v>24595</v>
      </c>
      <c r="AE3936" t="s">
        <v>11459</v>
      </c>
      <c r="AF3936">
        <v>2</v>
      </c>
      <c r="AG3936">
        <v>2</v>
      </c>
      <c r="AH3936">
        <v>0</v>
      </c>
      <c r="AI3936">
        <v>141.93</v>
      </c>
      <c r="AL3936" t="s">
        <v>5011</v>
      </c>
      <c r="AM3936">
        <v>24000</v>
      </c>
      <c r="AO3936" t="s">
        <v>24930</v>
      </c>
      <c r="AP3936" t="s">
        <v>14755</v>
      </c>
      <c r="AQ3936" t="s">
        <v>24987</v>
      </c>
      <c r="AS3936">
        <v>6.9</v>
      </c>
      <c r="AT3936" t="s">
        <v>654</v>
      </c>
      <c r="AU3936" t="s">
        <v>25235</v>
      </c>
      <c r="AV3936" t="s">
        <v>25335</v>
      </c>
      <c r="AW3936" t="s">
        <v>11447</v>
      </c>
    </row>
    <row r="3937" spans="1:49">
      <c r="A3937" s="1">
        <f>HYPERLINK("https://lsnyc.legalserver.org/matter/dynamic-profile/view/1903713","19-1903713")</f>
        <v>0</v>
      </c>
      <c r="B3937" t="s">
        <v>150</v>
      </c>
      <c r="C3937" t="s">
        <v>545</v>
      </c>
      <c r="E3937" t="s">
        <v>1639</v>
      </c>
      <c r="F3937" t="s">
        <v>5611</v>
      </c>
      <c r="G3937" t="s">
        <v>9269</v>
      </c>
      <c r="H3937" t="s">
        <v>10994</v>
      </c>
      <c r="I3937" t="s">
        <v>11385</v>
      </c>
      <c r="J3937">
        <v>11226</v>
      </c>
      <c r="K3937" t="s">
        <v>11446</v>
      </c>
      <c r="L3937" t="s">
        <v>13471</v>
      </c>
      <c r="M3937" t="s">
        <v>14744</v>
      </c>
      <c r="N3937" t="s">
        <v>14781</v>
      </c>
      <c r="P3937" t="s">
        <v>14804</v>
      </c>
      <c r="Q3937" t="s">
        <v>11448</v>
      </c>
      <c r="S3937" t="s">
        <v>14827</v>
      </c>
      <c r="U3937" t="s">
        <v>485</v>
      </c>
      <c r="V3937">
        <v>1066.68</v>
      </c>
      <c r="W3937" t="s">
        <v>14859</v>
      </c>
      <c r="X3937" t="s">
        <v>14865</v>
      </c>
      <c r="Z3937" t="s">
        <v>18157</v>
      </c>
      <c r="AB3937" t="s">
        <v>23259</v>
      </c>
      <c r="AC3937">
        <v>42</v>
      </c>
      <c r="AE3937" t="s">
        <v>11459</v>
      </c>
      <c r="AF3937">
        <v>5</v>
      </c>
      <c r="AG3937">
        <v>2</v>
      </c>
      <c r="AH3937">
        <v>0</v>
      </c>
      <c r="AI3937">
        <v>153.76</v>
      </c>
      <c r="AL3937" t="s">
        <v>5011</v>
      </c>
      <c r="AM3937">
        <v>26000</v>
      </c>
      <c r="AP3937" t="s">
        <v>24971</v>
      </c>
      <c r="AS3937">
        <v>16.2</v>
      </c>
      <c r="AT3937" t="s">
        <v>495</v>
      </c>
      <c r="AU3937" t="s">
        <v>25235</v>
      </c>
      <c r="AV3937" t="s">
        <v>25335</v>
      </c>
      <c r="AW3937" t="s">
        <v>11447</v>
      </c>
    </row>
    <row r="3938" spans="1:49">
      <c r="A3938" s="1">
        <f>HYPERLINK("https://lsnyc.legalserver.org/matter/dynamic-profile/view/1910307","19-1910307")</f>
        <v>0</v>
      </c>
      <c r="B3938" t="s">
        <v>150</v>
      </c>
      <c r="C3938" t="s">
        <v>540</v>
      </c>
      <c r="E3938" t="s">
        <v>2803</v>
      </c>
      <c r="F3938" t="s">
        <v>3975</v>
      </c>
      <c r="G3938" t="s">
        <v>9270</v>
      </c>
      <c r="H3938" t="s">
        <v>10552</v>
      </c>
      <c r="I3938" t="s">
        <v>11385</v>
      </c>
      <c r="J3938">
        <v>11225</v>
      </c>
      <c r="K3938" t="s">
        <v>11446</v>
      </c>
      <c r="L3938" t="s">
        <v>13472</v>
      </c>
      <c r="M3938" t="s">
        <v>14744</v>
      </c>
      <c r="N3938" t="s">
        <v>14781</v>
      </c>
      <c r="P3938" t="s">
        <v>14804</v>
      </c>
      <c r="Q3938" t="s">
        <v>11448</v>
      </c>
      <c r="S3938" t="s">
        <v>14827</v>
      </c>
      <c r="T3938" t="s">
        <v>14832</v>
      </c>
      <c r="U3938" t="s">
        <v>485</v>
      </c>
      <c r="V3938">
        <v>1310.96</v>
      </c>
      <c r="W3938" t="s">
        <v>14859</v>
      </c>
      <c r="X3938" t="s">
        <v>14881</v>
      </c>
      <c r="Z3938" t="s">
        <v>18158</v>
      </c>
      <c r="AB3938" t="s">
        <v>23260</v>
      </c>
      <c r="AC3938">
        <v>7</v>
      </c>
      <c r="AD3938" t="s">
        <v>24595</v>
      </c>
      <c r="AE3938" t="s">
        <v>11459</v>
      </c>
      <c r="AF3938">
        <v>9</v>
      </c>
      <c r="AG3938">
        <v>1</v>
      </c>
      <c r="AH3938">
        <v>0</v>
      </c>
      <c r="AI3938">
        <v>166.53</v>
      </c>
      <c r="AL3938" t="s">
        <v>5011</v>
      </c>
      <c r="AM3938">
        <v>20800</v>
      </c>
      <c r="AO3938" t="s">
        <v>24930</v>
      </c>
      <c r="AS3938">
        <v>10.1</v>
      </c>
      <c r="AT3938" t="s">
        <v>533</v>
      </c>
      <c r="AU3938" t="s">
        <v>25285</v>
      </c>
      <c r="AV3938" t="s">
        <v>25335</v>
      </c>
      <c r="AW3938" t="s">
        <v>11447</v>
      </c>
    </row>
    <row r="3939" spans="1:49">
      <c r="A3939" s="1">
        <f>HYPERLINK("https://lsnyc.legalserver.org/matter/dynamic-profile/view/1904460","19-1904460")</f>
        <v>0</v>
      </c>
      <c r="B3939" t="s">
        <v>281</v>
      </c>
      <c r="C3939" t="s">
        <v>607</v>
      </c>
      <c r="E3939" t="s">
        <v>1690</v>
      </c>
      <c r="F3939" t="s">
        <v>3709</v>
      </c>
      <c r="G3939" t="s">
        <v>8308</v>
      </c>
      <c r="H3939" t="s">
        <v>10638</v>
      </c>
      <c r="I3939" t="s">
        <v>11385</v>
      </c>
      <c r="J3939">
        <v>11221</v>
      </c>
      <c r="K3939" t="s">
        <v>11446</v>
      </c>
      <c r="L3939" t="s">
        <v>13473</v>
      </c>
      <c r="M3939" t="s">
        <v>14744</v>
      </c>
      <c r="N3939" t="s">
        <v>14781</v>
      </c>
      <c r="P3939" t="s">
        <v>14804</v>
      </c>
      <c r="Q3939" t="s">
        <v>11448</v>
      </c>
      <c r="S3939" t="s">
        <v>14827</v>
      </c>
      <c r="T3939" t="s">
        <v>14837</v>
      </c>
      <c r="U3939" t="s">
        <v>485</v>
      </c>
      <c r="V3939">
        <v>886.88</v>
      </c>
      <c r="W3939" t="s">
        <v>14859</v>
      </c>
      <c r="Z3939" t="s">
        <v>18135</v>
      </c>
      <c r="AA3939" t="s">
        <v>19822</v>
      </c>
      <c r="AB3939" t="s">
        <v>23230</v>
      </c>
      <c r="AC3939">
        <v>9</v>
      </c>
      <c r="AD3939" t="s">
        <v>11479</v>
      </c>
      <c r="AE3939" t="s">
        <v>11459</v>
      </c>
      <c r="AF3939">
        <v>14</v>
      </c>
      <c r="AG3939">
        <v>2</v>
      </c>
      <c r="AH3939">
        <v>0</v>
      </c>
      <c r="AI3939">
        <v>177.41</v>
      </c>
      <c r="AL3939" t="s">
        <v>5011</v>
      </c>
      <c r="AM3939">
        <v>30000</v>
      </c>
      <c r="AS3939">
        <v>6.1</v>
      </c>
      <c r="AT3939" t="s">
        <v>644</v>
      </c>
      <c r="AU3939" t="s">
        <v>281</v>
      </c>
      <c r="AV3939" t="s">
        <v>25335</v>
      </c>
      <c r="AW3939" t="s">
        <v>11447</v>
      </c>
    </row>
    <row r="3940" spans="1:49">
      <c r="A3940" s="1">
        <f>HYPERLINK("https://lsnyc.legalserver.org/matter/dynamic-profile/view/1903673","19-1903673")</f>
        <v>0</v>
      </c>
      <c r="B3940" t="s">
        <v>150</v>
      </c>
      <c r="C3940" t="s">
        <v>522</v>
      </c>
      <c r="E3940" t="s">
        <v>2980</v>
      </c>
      <c r="F3940" t="s">
        <v>4486</v>
      </c>
      <c r="G3940" t="s">
        <v>9271</v>
      </c>
      <c r="H3940" t="s">
        <v>10467</v>
      </c>
      <c r="I3940" t="s">
        <v>11385</v>
      </c>
      <c r="J3940">
        <v>11226</v>
      </c>
      <c r="K3940" t="s">
        <v>11446</v>
      </c>
      <c r="L3940" t="s">
        <v>13474</v>
      </c>
      <c r="M3940" t="s">
        <v>14744</v>
      </c>
      <c r="N3940" t="s">
        <v>14781</v>
      </c>
      <c r="P3940" t="s">
        <v>14804</v>
      </c>
      <c r="Q3940" t="s">
        <v>11448</v>
      </c>
      <c r="S3940" t="s">
        <v>14827</v>
      </c>
      <c r="T3940" t="s">
        <v>14833</v>
      </c>
      <c r="U3940" t="s">
        <v>485</v>
      </c>
      <c r="V3940">
        <v>866.72</v>
      </c>
      <c r="W3940" t="s">
        <v>14859</v>
      </c>
      <c r="X3940" t="s">
        <v>14865</v>
      </c>
      <c r="Z3940" t="s">
        <v>18092</v>
      </c>
      <c r="AB3940" t="s">
        <v>23261</v>
      </c>
      <c r="AC3940">
        <v>41</v>
      </c>
      <c r="AD3940" t="s">
        <v>24595</v>
      </c>
      <c r="AE3940" t="s">
        <v>11459</v>
      </c>
      <c r="AF3940">
        <v>12</v>
      </c>
      <c r="AG3940">
        <v>2</v>
      </c>
      <c r="AH3940">
        <v>0</v>
      </c>
      <c r="AI3940">
        <v>181.67</v>
      </c>
      <c r="AL3940" t="s">
        <v>5011</v>
      </c>
      <c r="AM3940">
        <v>30720.43</v>
      </c>
      <c r="AO3940" t="s">
        <v>24932</v>
      </c>
      <c r="AP3940" t="s">
        <v>24942</v>
      </c>
      <c r="AQ3940" t="s">
        <v>24986</v>
      </c>
      <c r="AS3940">
        <v>4.9</v>
      </c>
      <c r="AT3940" t="s">
        <v>633</v>
      </c>
      <c r="AU3940" t="s">
        <v>25235</v>
      </c>
      <c r="AV3940" t="s">
        <v>25335</v>
      </c>
      <c r="AW3940" t="s">
        <v>11447</v>
      </c>
    </row>
    <row r="3941" spans="1:49">
      <c r="A3941" s="1">
        <f>HYPERLINK("https://lsnyc.legalserver.org/matter/dynamic-profile/view/1911590","19-1911590")</f>
        <v>0</v>
      </c>
      <c r="B3941" t="s">
        <v>150</v>
      </c>
      <c r="C3941" t="s">
        <v>526</v>
      </c>
      <c r="E3941" t="s">
        <v>1048</v>
      </c>
      <c r="F3941" t="s">
        <v>5612</v>
      </c>
      <c r="G3941" t="s">
        <v>8016</v>
      </c>
      <c r="H3941" t="s">
        <v>10568</v>
      </c>
      <c r="I3941" t="s">
        <v>11385</v>
      </c>
      <c r="J3941">
        <v>11225</v>
      </c>
      <c r="K3941" t="s">
        <v>11446</v>
      </c>
      <c r="L3941" t="s">
        <v>13475</v>
      </c>
      <c r="M3941" t="s">
        <v>14744</v>
      </c>
      <c r="N3941" t="s">
        <v>14781</v>
      </c>
      <c r="P3941" t="s">
        <v>14804</v>
      </c>
      <c r="Q3941" t="s">
        <v>11448</v>
      </c>
      <c r="S3941" t="s">
        <v>14827</v>
      </c>
      <c r="T3941" t="s">
        <v>14832</v>
      </c>
      <c r="U3941" t="s">
        <v>485</v>
      </c>
      <c r="V3941">
        <v>0</v>
      </c>
      <c r="W3941" t="s">
        <v>14859</v>
      </c>
      <c r="X3941" t="s">
        <v>14865</v>
      </c>
      <c r="Z3941" t="s">
        <v>18159</v>
      </c>
      <c r="AB3941" t="s">
        <v>23262</v>
      </c>
      <c r="AC3941">
        <v>61</v>
      </c>
      <c r="AD3941" t="s">
        <v>24595</v>
      </c>
      <c r="AE3941" t="s">
        <v>11459</v>
      </c>
      <c r="AF3941">
        <v>19</v>
      </c>
      <c r="AG3941">
        <v>1</v>
      </c>
      <c r="AH3941">
        <v>0</v>
      </c>
      <c r="AI3941">
        <v>188.6</v>
      </c>
      <c r="AL3941" t="s">
        <v>5011</v>
      </c>
      <c r="AM3941">
        <v>23556</v>
      </c>
      <c r="AS3941">
        <v>6.7</v>
      </c>
      <c r="AT3941" t="s">
        <v>491</v>
      </c>
      <c r="AU3941" t="s">
        <v>25246</v>
      </c>
      <c r="AV3941" t="s">
        <v>25335</v>
      </c>
      <c r="AW3941" t="s">
        <v>11447</v>
      </c>
    </row>
    <row r="3942" spans="1:49">
      <c r="A3942" s="1">
        <f>HYPERLINK("https://lsnyc.legalserver.org/matter/dynamic-profile/view/1906346","19-1906346")</f>
        <v>0</v>
      </c>
      <c r="B3942" t="s">
        <v>133</v>
      </c>
      <c r="C3942" t="s">
        <v>380</v>
      </c>
      <c r="E3942" t="s">
        <v>2192</v>
      </c>
      <c r="F3942" t="s">
        <v>5613</v>
      </c>
      <c r="G3942" t="s">
        <v>9272</v>
      </c>
      <c r="H3942">
        <v>316</v>
      </c>
      <c r="I3942" t="s">
        <v>11385</v>
      </c>
      <c r="J3942">
        <v>11221</v>
      </c>
      <c r="K3942" t="s">
        <v>11446</v>
      </c>
      <c r="L3942" t="s">
        <v>13476</v>
      </c>
      <c r="M3942" t="s">
        <v>14744</v>
      </c>
      <c r="N3942" t="s">
        <v>14781</v>
      </c>
      <c r="P3942" t="s">
        <v>14804</v>
      </c>
      <c r="Q3942" t="s">
        <v>11448</v>
      </c>
      <c r="S3942" t="s">
        <v>14827</v>
      </c>
      <c r="T3942" t="s">
        <v>14832</v>
      </c>
      <c r="U3942" t="s">
        <v>380</v>
      </c>
      <c r="V3942">
        <v>2550</v>
      </c>
      <c r="W3942" t="s">
        <v>14859</v>
      </c>
      <c r="X3942" t="s">
        <v>14881</v>
      </c>
      <c r="Z3942" t="s">
        <v>18160</v>
      </c>
      <c r="AB3942" t="s">
        <v>23263</v>
      </c>
      <c r="AC3942">
        <v>42</v>
      </c>
      <c r="AD3942" t="s">
        <v>24595</v>
      </c>
      <c r="AF3942">
        <v>1</v>
      </c>
      <c r="AG3942">
        <v>1</v>
      </c>
      <c r="AH3942">
        <v>0</v>
      </c>
      <c r="AI3942">
        <v>0</v>
      </c>
      <c r="AL3942" t="s">
        <v>5011</v>
      </c>
      <c r="AM3942">
        <v>0</v>
      </c>
      <c r="AS3942">
        <v>5.6</v>
      </c>
      <c r="AT3942" t="s">
        <v>537</v>
      </c>
      <c r="AU3942" t="s">
        <v>25235</v>
      </c>
      <c r="AV3942" t="s">
        <v>25335</v>
      </c>
      <c r="AW3942" t="s">
        <v>11447</v>
      </c>
    </row>
    <row r="3943" spans="1:49">
      <c r="A3943" s="1">
        <f>HYPERLINK("https://lsnyc.legalserver.org/matter/dynamic-profile/view/1906522","19-1906522")</f>
        <v>0</v>
      </c>
      <c r="B3943" t="s">
        <v>281</v>
      </c>
      <c r="C3943" t="s">
        <v>380</v>
      </c>
      <c r="E3943" t="s">
        <v>1985</v>
      </c>
      <c r="F3943" t="s">
        <v>5614</v>
      </c>
      <c r="G3943" t="s">
        <v>9254</v>
      </c>
      <c r="H3943" t="s">
        <v>10486</v>
      </c>
      <c r="I3943" t="s">
        <v>11385</v>
      </c>
      <c r="J3943">
        <v>11221</v>
      </c>
      <c r="K3943" t="s">
        <v>11446</v>
      </c>
      <c r="L3943" t="s">
        <v>13477</v>
      </c>
      <c r="M3943" t="s">
        <v>14743</v>
      </c>
      <c r="N3943" t="s">
        <v>14781</v>
      </c>
      <c r="P3943" t="s">
        <v>14804</v>
      </c>
      <c r="S3943" t="s">
        <v>14827</v>
      </c>
      <c r="U3943" t="s">
        <v>380</v>
      </c>
      <c r="V3943">
        <v>375</v>
      </c>
      <c r="W3943" t="s">
        <v>14859</v>
      </c>
      <c r="X3943" t="s">
        <v>14881</v>
      </c>
      <c r="Z3943" t="s">
        <v>18161</v>
      </c>
      <c r="AB3943" t="s">
        <v>23264</v>
      </c>
      <c r="AC3943">
        <v>13</v>
      </c>
      <c r="AF3943">
        <v>6</v>
      </c>
      <c r="AG3943">
        <v>1</v>
      </c>
      <c r="AH3943">
        <v>0</v>
      </c>
      <c r="AI3943">
        <v>86.47</v>
      </c>
      <c r="AL3943" t="s">
        <v>5011</v>
      </c>
      <c r="AM3943">
        <v>10800</v>
      </c>
      <c r="AS3943">
        <v>20.3</v>
      </c>
      <c r="AT3943" t="s">
        <v>654</v>
      </c>
      <c r="AU3943" t="s">
        <v>25235</v>
      </c>
      <c r="AV3943" t="s">
        <v>25335</v>
      </c>
      <c r="AW3943" t="s">
        <v>11447</v>
      </c>
    </row>
    <row r="3944" spans="1:49">
      <c r="A3944" s="1">
        <f>HYPERLINK("https://lsnyc.legalserver.org/matter/dynamic-profile/view/1906751","19-1906751")</f>
        <v>0</v>
      </c>
      <c r="B3944" t="s">
        <v>141</v>
      </c>
      <c r="C3944" t="s">
        <v>620</v>
      </c>
      <c r="E3944" t="s">
        <v>2981</v>
      </c>
      <c r="F3944" t="s">
        <v>5615</v>
      </c>
      <c r="G3944" t="s">
        <v>9273</v>
      </c>
      <c r="H3944">
        <v>305</v>
      </c>
      <c r="I3944" t="s">
        <v>11385</v>
      </c>
      <c r="J3944">
        <v>11226</v>
      </c>
      <c r="K3944" t="s">
        <v>11446</v>
      </c>
      <c r="L3944" t="s">
        <v>13478</v>
      </c>
      <c r="M3944" t="s">
        <v>14744</v>
      </c>
      <c r="N3944" t="s">
        <v>14781</v>
      </c>
      <c r="P3944" t="s">
        <v>14804</v>
      </c>
      <c r="Q3944" t="s">
        <v>11448</v>
      </c>
      <c r="S3944" t="s">
        <v>14827</v>
      </c>
      <c r="U3944" t="s">
        <v>620</v>
      </c>
      <c r="V3944">
        <v>1297.18</v>
      </c>
      <c r="W3944" t="s">
        <v>14859</v>
      </c>
      <c r="X3944" t="s">
        <v>14868</v>
      </c>
      <c r="Z3944" t="s">
        <v>16454</v>
      </c>
      <c r="AB3944" t="s">
        <v>23265</v>
      </c>
      <c r="AC3944">
        <v>100</v>
      </c>
      <c r="AD3944" t="s">
        <v>24595</v>
      </c>
      <c r="AE3944" t="s">
        <v>11459</v>
      </c>
      <c r="AF3944">
        <v>15</v>
      </c>
      <c r="AG3944">
        <v>2</v>
      </c>
      <c r="AH3944">
        <v>0</v>
      </c>
      <c r="AI3944">
        <v>215.26</v>
      </c>
      <c r="AL3944" t="s">
        <v>5011</v>
      </c>
      <c r="AM3944">
        <v>36400</v>
      </c>
      <c r="AS3944">
        <v>10.8</v>
      </c>
      <c r="AT3944" t="s">
        <v>633</v>
      </c>
      <c r="AU3944" t="s">
        <v>25285</v>
      </c>
      <c r="AV3944" t="s">
        <v>25335</v>
      </c>
      <c r="AW3944" t="s">
        <v>11447</v>
      </c>
    </row>
    <row r="3945" spans="1:49">
      <c r="A3945" s="1">
        <f>HYPERLINK("https://lsnyc.legalserver.org/matter/dynamic-profile/view/1907048","19-1907048")</f>
        <v>0</v>
      </c>
      <c r="B3945" t="s">
        <v>233</v>
      </c>
      <c r="C3945" t="s">
        <v>626</v>
      </c>
      <c r="E3945" t="s">
        <v>1111</v>
      </c>
      <c r="F3945" t="s">
        <v>3783</v>
      </c>
      <c r="G3945" t="s">
        <v>9274</v>
      </c>
      <c r="H3945" t="s">
        <v>10649</v>
      </c>
      <c r="I3945" t="s">
        <v>11385</v>
      </c>
      <c r="J3945">
        <v>11216</v>
      </c>
      <c r="K3945" t="s">
        <v>11446</v>
      </c>
      <c r="L3945" t="s">
        <v>13479</v>
      </c>
      <c r="M3945" t="s">
        <v>14743</v>
      </c>
      <c r="N3945" t="s">
        <v>14781</v>
      </c>
      <c r="P3945" t="s">
        <v>14804</v>
      </c>
      <c r="Q3945" t="s">
        <v>11448</v>
      </c>
      <c r="S3945" t="s">
        <v>14827</v>
      </c>
      <c r="U3945" t="s">
        <v>626</v>
      </c>
      <c r="V3945">
        <v>962</v>
      </c>
      <c r="W3945" t="s">
        <v>14859</v>
      </c>
      <c r="X3945" t="s">
        <v>14881</v>
      </c>
      <c r="Z3945" t="s">
        <v>18162</v>
      </c>
      <c r="AB3945" t="s">
        <v>23266</v>
      </c>
      <c r="AC3945">
        <v>0</v>
      </c>
      <c r="AF3945">
        <v>10</v>
      </c>
      <c r="AG3945">
        <v>1</v>
      </c>
      <c r="AH3945">
        <v>0</v>
      </c>
      <c r="AI3945">
        <v>37.05</v>
      </c>
      <c r="AL3945" t="s">
        <v>5011</v>
      </c>
      <c r="AM3945">
        <v>4628</v>
      </c>
      <c r="AS3945">
        <v>14.6</v>
      </c>
      <c r="AT3945" t="s">
        <v>654</v>
      </c>
      <c r="AU3945" t="s">
        <v>25285</v>
      </c>
      <c r="AV3945" t="s">
        <v>25335</v>
      </c>
      <c r="AW3945" t="s">
        <v>11447</v>
      </c>
    </row>
    <row r="3946" spans="1:49">
      <c r="A3946" s="1">
        <f>HYPERLINK("https://lsnyc.legalserver.org/matter/dynamic-profile/view/1907079","19-1907079")</f>
        <v>0</v>
      </c>
      <c r="B3946" t="s">
        <v>141</v>
      </c>
      <c r="C3946" t="s">
        <v>626</v>
      </c>
      <c r="E3946" t="s">
        <v>2982</v>
      </c>
      <c r="F3946" t="s">
        <v>1982</v>
      </c>
      <c r="G3946" t="s">
        <v>9275</v>
      </c>
      <c r="H3946" t="s">
        <v>11208</v>
      </c>
      <c r="I3946" t="s">
        <v>11385</v>
      </c>
      <c r="J3946">
        <v>11225</v>
      </c>
      <c r="K3946" t="s">
        <v>11447</v>
      </c>
      <c r="L3946" t="s">
        <v>13480</v>
      </c>
      <c r="M3946" t="s">
        <v>14744</v>
      </c>
      <c r="N3946" t="s">
        <v>14781</v>
      </c>
      <c r="P3946" t="s">
        <v>14804</v>
      </c>
      <c r="S3946" t="s">
        <v>14827</v>
      </c>
      <c r="U3946" t="s">
        <v>626</v>
      </c>
      <c r="V3946">
        <v>976</v>
      </c>
      <c r="W3946" t="s">
        <v>14859</v>
      </c>
      <c r="Z3946" t="s">
        <v>18163</v>
      </c>
      <c r="AB3946" t="s">
        <v>23267</v>
      </c>
      <c r="AC3946">
        <v>0</v>
      </c>
      <c r="AF3946">
        <v>25</v>
      </c>
      <c r="AG3946">
        <v>1</v>
      </c>
      <c r="AH3946">
        <v>1</v>
      </c>
      <c r="AI3946">
        <v>90.76000000000001</v>
      </c>
      <c r="AL3946" t="s">
        <v>5011</v>
      </c>
      <c r="AM3946">
        <v>15348</v>
      </c>
      <c r="AS3946">
        <v>26.6</v>
      </c>
      <c r="AT3946" t="s">
        <v>475</v>
      </c>
      <c r="AU3946" t="s">
        <v>25277</v>
      </c>
      <c r="AW3946" t="s">
        <v>11447</v>
      </c>
    </row>
    <row r="3947" spans="1:49">
      <c r="A3947" s="1">
        <f>HYPERLINK("https://lsnyc.legalserver.org/matter/dynamic-profile/view/1907039","19-1907039")</f>
        <v>0</v>
      </c>
      <c r="B3947" t="s">
        <v>233</v>
      </c>
      <c r="C3947" t="s">
        <v>626</v>
      </c>
      <c r="E3947" t="s">
        <v>2983</v>
      </c>
      <c r="F3947" t="s">
        <v>5616</v>
      </c>
      <c r="G3947" t="s">
        <v>9276</v>
      </c>
      <c r="H3947" t="s">
        <v>10562</v>
      </c>
      <c r="I3947" t="s">
        <v>11385</v>
      </c>
      <c r="J3947">
        <v>11216</v>
      </c>
      <c r="K3947" t="s">
        <v>11446</v>
      </c>
      <c r="L3947" t="s">
        <v>13481</v>
      </c>
      <c r="M3947" t="s">
        <v>14744</v>
      </c>
      <c r="N3947" t="s">
        <v>14782</v>
      </c>
      <c r="P3947" t="s">
        <v>14804</v>
      </c>
      <c r="S3947" t="s">
        <v>14827</v>
      </c>
      <c r="U3947" t="s">
        <v>626</v>
      </c>
      <c r="V3947">
        <v>723.25</v>
      </c>
      <c r="W3947" t="s">
        <v>14859</v>
      </c>
      <c r="Z3947" t="s">
        <v>18164</v>
      </c>
      <c r="AB3947" t="s">
        <v>23268</v>
      </c>
      <c r="AC3947">
        <v>0</v>
      </c>
      <c r="AD3947" t="s">
        <v>24595</v>
      </c>
      <c r="AF3947">
        <v>12</v>
      </c>
      <c r="AG3947">
        <v>1</v>
      </c>
      <c r="AH3947">
        <v>0</v>
      </c>
      <c r="AI3947">
        <v>113.47</v>
      </c>
      <c r="AL3947" t="s">
        <v>5011</v>
      </c>
      <c r="AM3947">
        <v>14172</v>
      </c>
      <c r="AS3947">
        <v>4</v>
      </c>
      <c r="AT3947" t="s">
        <v>497</v>
      </c>
      <c r="AU3947" t="s">
        <v>25277</v>
      </c>
      <c r="AV3947" t="s">
        <v>25335</v>
      </c>
      <c r="AW3947" t="s">
        <v>11447</v>
      </c>
    </row>
    <row r="3948" spans="1:49">
      <c r="A3948" s="1">
        <f>HYPERLINK("https://lsnyc.legalserver.org/matter/dynamic-profile/view/1907055","19-1907055")</f>
        <v>0</v>
      </c>
      <c r="B3948" t="s">
        <v>240</v>
      </c>
      <c r="C3948" t="s">
        <v>626</v>
      </c>
      <c r="E3948" t="s">
        <v>1953</v>
      </c>
      <c r="F3948" t="s">
        <v>5617</v>
      </c>
      <c r="G3948" t="s">
        <v>7580</v>
      </c>
      <c r="H3948" t="s">
        <v>10509</v>
      </c>
      <c r="I3948" t="s">
        <v>11385</v>
      </c>
      <c r="J3948">
        <v>11226</v>
      </c>
      <c r="K3948" t="s">
        <v>11446</v>
      </c>
      <c r="L3948" t="s">
        <v>13482</v>
      </c>
      <c r="M3948" t="s">
        <v>14744</v>
      </c>
      <c r="N3948" t="s">
        <v>14782</v>
      </c>
      <c r="P3948" t="s">
        <v>14804</v>
      </c>
      <c r="S3948" t="s">
        <v>14827</v>
      </c>
      <c r="U3948" t="s">
        <v>626</v>
      </c>
      <c r="V3948">
        <v>882.9400000000001</v>
      </c>
      <c r="W3948" t="s">
        <v>14859</v>
      </c>
      <c r="X3948" t="s">
        <v>14865</v>
      </c>
      <c r="Z3948" t="s">
        <v>18165</v>
      </c>
      <c r="AB3948" t="s">
        <v>23269</v>
      </c>
      <c r="AC3948">
        <v>42</v>
      </c>
      <c r="AE3948" t="s">
        <v>11459</v>
      </c>
      <c r="AF3948">
        <v>40</v>
      </c>
      <c r="AG3948">
        <v>4</v>
      </c>
      <c r="AH3948">
        <v>1</v>
      </c>
      <c r="AI3948">
        <v>114.27</v>
      </c>
      <c r="AL3948" t="s">
        <v>5011</v>
      </c>
      <c r="AM3948">
        <v>34476</v>
      </c>
      <c r="AS3948">
        <v>7.3</v>
      </c>
      <c r="AT3948" t="s">
        <v>504</v>
      </c>
      <c r="AU3948" t="s">
        <v>25235</v>
      </c>
      <c r="AV3948" t="s">
        <v>25335</v>
      </c>
      <c r="AW3948" t="s">
        <v>11447</v>
      </c>
    </row>
    <row r="3949" spans="1:49">
      <c r="A3949" s="1">
        <f>HYPERLINK("https://lsnyc.legalserver.org/matter/dynamic-profile/view/1906996","19-1906996")</f>
        <v>0</v>
      </c>
      <c r="B3949" t="s">
        <v>282</v>
      </c>
      <c r="C3949" t="s">
        <v>626</v>
      </c>
      <c r="E3949" t="s">
        <v>1127</v>
      </c>
      <c r="F3949" t="s">
        <v>4749</v>
      </c>
      <c r="G3949" t="s">
        <v>9277</v>
      </c>
      <c r="H3949" t="s">
        <v>10604</v>
      </c>
      <c r="I3949" t="s">
        <v>11385</v>
      </c>
      <c r="J3949">
        <v>11221</v>
      </c>
      <c r="K3949" t="s">
        <v>11446</v>
      </c>
      <c r="L3949" t="s">
        <v>13483</v>
      </c>
      <c r="M3949" t="s">
        <v>14743</v>
      </c>
      <c r="N3949" t="s">
        <v>14781</v>
      </c>
      <c r="P3949" t="s">
        <v>14804</v>
      </c>
      <c r="S3949" t="s">
        <v>14827</v>
      </c>
      <c r="U3949" t="s">
        <v>626</v>
      </c>
      <c r="V3949">
        <v>1515</v>
      </c>
      <c r="W3949" t="s">
        <v>14859</v>
      </c>
      <c r="Z3949" t="s">
        <v>18166</v>
      </c>
      <c r="AA3949" t="s">
        <v>19823</v>
      </c>
      <c r="AB3949" t="s">
        <v>23270</v>
      </c>
      <c r="AC3949">
        <v>0</v>
      </c>
      <c r="AF3949">
        <v>1</v>
      </c>
      <c r="AG3949">
        <v>3</v>
      </c>
      <c r="AH3949">
        <v>2</v>
      </c>
      <c r="AI3949">
        <v>116.98</v>
      </c>
      <c r="AL3949" t="s">
        <v>24632</v>
      </c>
      <c r="AM3949">
        <v>35292</v>
      </c>
      <c r="AS3949">
        <v>11.6</v>
      </c>
      <c r="AT3949" t="s">
        <v>497</v>
      </c>
      <c r="AU3949" t="s">
        <v>25277</v>
      </c>
      <c r="AV3949" t="s">
        <v>25335</v>
      </c>
      <c r="AW3949" t="s">
        <v>11447</v>
      </c>
    </row>
    <row r="3950" spans="1:49">
      <c r="A3950" s="1">
        <f>HYPERLINK("https://lsnyc.legalserver.org/matter/dynamic-profile/view/1907012","19-1907012")</f>
        <v>0</v>
      </c>
      <c r="B3950" t="s">
        <v>282</v>
      </c>
      <c r="C3950" t="s">
        <v>626</v>
      </c>
      <c r="E3950" t="s">
        <v>2984</v>
      </c>
      <c r="F3950" t="s">
        <v>5618</v>
      </c>
      <c r="G3950" t="s">
        <v>9278</v>
      </c>
      <c r="H3950" t="s">
        <v>11101</v>
      </c>
      <c r="I3950" t="s">
        <v>11385</v>
      </c>
      <c r="J3950">
        <v>11226</v>
      </c>
      <c r="K3950" t="s">
        <v>11446</v>
      </c>
      <c r="L3950" t="s">
        <v>13484</v>
      </c>
      <c r="M3950" t="s">
        <v>14744</v>
      </c>
      <c r="N3950" t="s">
        <v>14781</v>
      </c>
      <c r="P3950" t="s">
        <v>14804</v>
      </c>
      <c r="S3950" t="s">
        <v>14827</v>
      </c>
      <c r="U3950" t="s">
        <v>626</v>
      </c>
      <c r="V3950">
        <v>1119.3</v>
      </c>
      <c r="W3950" t="s">
        <v>14859</v>
      </c>
      <c r="X3950" t="s">
        <v>14865</v>
      </c>
      <c r="Z3950" t="s">
        <v>18167</v>
      </c>
      <c r="AB3950" t="s">
        <v>23271</v>
      </c>
      <c r="AC3950">
        <v>23</v>
      </c>
      <c r="AE3950" t="s">
        <v>11459</v>
      </c>
      <c r="AF3950">
        <v>25</v>
      </c>
      <c r="AG3950">
        <v>2</v>
      </c>
      <c r="AH3950">
        <v>1</v>
      </c>
      <c r="AI3950">
        <v>134.92</v>
      </c>
      <c r="AL3950" t="s">
        <v>5011</v>
      </c>
      <c r="AM3950">
        <v>28777.84</v>
      </c>
      <c r="AS3950">
        <v>5.5</v>
      </c>
      <c r="AT3950" t="s">
        <v>491</v>
      </c>
      <c r="AU3950" t="s">
        <v>25235</v>
      </c>
      <c r="AV3950" t="s">
        <v>25335</v>
      </c>
      <c r="AW3950" t="s">
        <v>11447</v>
      </c>
    </row>
    <row r="3951" spans="1:49">
      <c r="A3951" s="1">
        <f>HYPERLINK("https://lsnyc.legalserver.org/matter/dynamic-profile/view/1906995","19-1906995")</f>
        <v>0</v>
      </c>
      <c r="B3951" t="s">
        <v>240</v>
      </c>
      <c r="C3951" t="s">
        <v>626</v>
      </c>
      <c r="E3951" t="s">
        <v>1487</v>
      </c>
      <c r="F3951" t="s">
        <v>3787</v>
      </c>
      <c r="G3951" t="s">
        <v>9279</v>
      </c>
      <c r="H3951" t="s">
        <v>10448</v>
      </c>
      <c r="I3951" t="s">
        <v>11385</v>
      </c>
      <c r="J3951">
        <v>11226</v>
      </c>
      <c r="K3951" t="s">
        <v>11446</v>
      </c>
      <c r="L3951" t="s">
        <v>13485</v>
      </c>
      <c r="M3951" t="s">
        <v>14744</v>
      </c>
      <c r="N3951" t="s">
        <v>14781</v>
      </c>
      <c r="P3951" t="s">
        <v>14804</v>
      </c>
      <c r="S3951" t="s">
        <v>14827</v>
      </c>
      <c r="U3951" t="s">
        <v>626</v>
      </c>
      <c r="V3951">
        <v>1577.59</v>
      </c>
      <c r="W3951" t="s">
        <v>14859</v>
      </c>
      <c r="X3951" t="s">
        <v>14865</v>
      </c>
      <c r="Z3951" t="s">
        <v>18168</v>
      </c>
      <c r="AB3951" t="s">
        <v>23272</v>
      </c>
      <c r="AC3951">
        <v>61</v>
      </c>
      <c r="AD3951" t="s">
        <v>24595</v>
      </c>
      <c r="AE3951" t="s">
        <v>11459</v>
      </c>
      <c r="AF3951">
        <v>-6</v>
      </c>
      <c r="AG3951">
        <v>1</v>
      </c>
      <c r="AH3951">
        <v>0</v>
      </c>
      <c r="AI3951">
        <v>192.15</v>
      </c>
      <c r="AL3951" t="s">
        <v>5011</v>
      </c>
      <c r="AM3951">
        <v>24000</v>
      </c>
      <c r="AS3951">
        <v>10.55</v>
      </c>
      <c r="AT3951" t="s">
        <v>483</v>
      </c>
      <c r="AU3951" t="s">
        <v>25235</v>
      </c>
      <c r="AV3951" t="s">
        <v>25335</v>
      </c>
      <c r="AW3951" t="s">
        <v>11447</v>
      </c>
    </row>
    <row r="3952" spans="1:49">
      <c r="A3952" s="1">
        <f>HYPERLINK("https://lsnyc.legalserver.org/matter/dynamic-profile/view/1907014","19-1907014")</f>
        <v>0</v>
      </c>
      <c r="B3952" t="s">
        <v>233</v>
      </c>
      <c r="C3952" t="s">
        <v>626</v>
      </c>
      <c r="E3952" t="s">
        <v>1111</v>
      </c>
      <c r="F3952" t="s">
        <v>3797</v>
      </c>
      <c r="G3952" t="s">
        <v>9280</v>
      </c>
      <c r="H3952" t="s">
        <v>10509</v>
      </c>
      <c r="I3952" t="s">
        <v>11385</v>
      </c>
      <c r="J3952">
        <v>11216</v>
      </c>
      <c r="K3952" t="s">
        <v>11446</v>
      </c>
      <c r="L3952" t="s">
        <v>13486</v>
      </c>
      <c r="M3952" t="s">
        <v>14744</v>
      </c>
      <c r="N3952" t="s">
        <v>14781</v>
      </c>
      <c r="P3952" t="s">
        <v>14804</v>
      </c>
      <c r="Q3952" t="s">
        <v>11448</v>
      </c>
      <c r="S3952" t="s">
        <v>14827</v>
      </c>
      <c r="U3952" t="s">
        <v>626</v>
      </c>
      <c r="V3952">
        <v>947.23</v>
      </c>
      <c r="W3952" t="s">
        <v>14859</v>
      </c>
      <c r="X3952" t="s">
        <v>14881</v>
      </c>
      <c r="Z3952" t="s">
        <v>18169</v>
      </c>
      <c r="AB3952" t="s">
        <v>23273</v>
      </c>
      <c r="AC3952">
        <v>0</v>
      </c>
      <c r="AD3952" t="s">
        <v>24595</v>
      </c>
      <c r="AF3952">
        <v>27</v>
      </c>
      <c r="AG3952">
        <v>1</v>
      </c>
      <c r="AH3952">
        <v>0</v>
      </c>
      <c r="AI3952">
        <v>312.25</v>
      </c>
      <c r="AL3952" t="s">
        <v>5011</v>
      </c>
      <c r="AM3952">
        <v>39000</v>
      </c>
      <c r="AS3952">
        <v>7.5</v>
      </c>
      <c r="AT3952" t="s">
        <v>521</v>
      </c>
      <c r="AU3952" t="s">
        <v>25285</v>
      </c>
      <c r="AV3952" t="s">
        <v>25335</v>
      </c>
      <c r="AW3952" t="s">
        <v>11447</v>
      </c>
    </row>
    <row r="3953" spans="1:49">
      <c r="A3953" s="1">
        <f>HYPERLINK("https://lsnyc.legalserver.org/matter/dynamic-profile/view/1907243","19-1907243")</f>
        <v>0</v>
      </c>
      <c r="B3953" t="s">
        <v>255</v>
      </c>
      <c r="C3953" t="s">
        <v>366</v>
      </c>
      <c r="E3953" t="s">
        <v>2985</v>
      </c>
      <c r="F3953" t="s">
        <v>5619</v>
      </c>
      <c r="G3953" t="s">
        <v>9217</v>
      </c>
      <c r="H3953" t="s">
        <v>10448</v>
      </c>
      <c r="I3953" t="s">
        <v>11385</v>
      </c>
      <c r="J3953">
        <v>11221</v>
      </c>
      <c r="K3953" t="s">
        <v>11446</v>
      </c>
      <c r="L3953" t="s">
        <v>13487</v>
      </c>
      <c r="M3953" t="s">
        <v>14743</v>
      </c>
      <c r="N3953" t="s">
        <v>14781</v>
      </c>
      <c r="P3953" t="s">
        <v>14804</v>
      </c>
      <c r="Q3953" t="s">
        <v>11448</v>
      </c>
      <c r="S3953" t="s">
        <v>14827</v>
      </c>
      <c r="T3953" t="s">
        <v>14832</v>
      </c>
      <c r="U3953" t="s">
        <v>366</v>
      </c>
      <c r="V3953">
        <v>1119</v>
      </c>
      <c r="W3953" t="s">
        <v>14859</v>
      </c>
      <c r="X3953" t="s">
        <v>14868</v>
      </c>
      <c r="Z3953" t="s">
        <v>18170</v>
      </c>
      <c r="AB3953" t="s">
        <v>23274</v>
      </c>
      <c r="AC3953">
        <v>6</v>
      </c>
      <c r="AD3953" t="s">
        <v>24595</v>
      </c>
      <c r="AE3953" t="s">
        <v>11459</v>
      </c>
      <c r="AF3953">
        <v>5</v>
      </c>
      <c r="AG3953">
        <v>2</v>
      </c>
      <c r="AH3953">
        <v>0</v>
      </c>
      <c r="AI3953">
        <v>184.51</v>
      </c>
      <c r="AL3953" t="s">
        <v>5011</v>
      </c>
      <c r="AM3953">
        <v>31200</v>
      </c>
      <c r="AS3953">
        <v>11</v>
      </c>
      <c r="AT3953" t="s">
        <v>470</v>
      </c>
      <c r="AU3953" t="s">
        <v>25235</v>
      </c>
      <c r="AV3953" t="s">
        <v>25335</v>
      </c>
      <c r="AW3953" t="s">
        <v>11447</v>
      </c>
    </row>
    <row r="3954" spans="1:49">
      <c r="A3954" s="1">
        <f>HYPERLINK("https://lsnyc.legalserver.org/matter/dynamic-profile/view/1907561","19-1907561")</f>
        <v>0</v>
      </c>
      <c r="B3954" t="s">
        <v>106</v>
      </c>
      <c r="C3954" t="s">
        <v>465</v>
      </c>
      <c r="E3954" t="s">
        <v>2624</v>
      </c>
      <c r="F3954" t="s">
        <v>5620</v>
      </c>
      <c r="G3954" t="s">
        <v>9281</v>
      </c>
      <c r="H3954" t="s">
        <v>10598</v>
      </c>
      <c r="I3954" t="s">
        <v>11385</v>
      </c>
      <c r="J3954">
        <v>11226</v>
      </c>
      <c r="K3954" t="s">
        <v>11446</v>
      </c>
      <c r="L3954" t="s">
        <v>13488</v>
      </c>
      <c r="M3954" t="s">
        <v>14744</v>
      </c>
      <c r="N3954" t="s">
        <v>14781</v>
      </c>
      <c r="P3954" t="s">
        <v>14804</v>
      </c>
      <c r="S3954" t="s">
        <v>14827</v>
      </c>
      <c r="U3954" t="s">
        <v>465</v>
      </c>
      <c r="V3954">
        <v>1022.86</v>
      </c>
      <c r="W3954" t="s">
        <v>14859</v>
      </c>
      <c r="X3954" t="s">
        <v>14865</v>
      </c>
      <c r="Z3954" t="s">
        <v>18171</v>
      </c>
      <c r="AB3954" t="s">
        <v>23275</v>
      </c>
      <c r="AC3954">
        <v>83</v>
      </c>
      <c r="AE3954" t="s">
        <v>11459</v>
      </c>
      <c r="AF3954">
        <v>21</v>
      </c>
      <c r="AG3954">
        <v>1</v>
      </c>
      <c r="AH3954">
        <v>2</v>
      </c>
      <c r="AI3954">
        <v>112.52</v>
      </c>
      <c r="AL3954" t="s">
        <v>5011</v>
      </c>
      <c r="AM3954">
        <v>24000</v>
      </c>
      <c r="AS3954">
        <v>9.800000000000001</v>
      </c>
      <c r="AT3954" t="s">
        <v>663</v>
      </c>
      <c r="AU3954" t="s">
        <v>25235</v>
      </c>
      <c r="AV3954" t="s">
        <v>25335</v>
      </c>
      <c r="AW3954" t="s">
        <v>11447</v>
      </c>
    </row>
    <row r="3955" spans="1:49">
      <c r="A3955" s="1">
        <f>HYPERLINK("https://lsnyc.legalserver.org/matter/dynamic-profile/view/1905083","19-1905083")</f>
        <v>0</v>
      </c>
      <c r="B3955" t="s">
        <v>141</v>
      </c>
      <c r="C3955" t="s">
        <v>456</v>
      </c>
      <c r="E3955" t="s">
        <v>2986</v>
      </c>
      <c r="F3955" t="s">
        <v>5621</v>
      </c>
      <c r="G3955" t="s">
        <v>9282</v>
      </c>
      <c r="H3955" t="s">
        <v>10559</v>
      </c>
      <c r="I3955" t="s">
        <v>11385</v>
      </c>
      <c r="J3955">
        <v>11225</v>
      </c>
      <c r="K3955" t="s">
        <v>11446</v>
      </c>
      <c r="L3955" t="s">
        <v>13489</v>
      </c>
      <c r="M3955" t="s">
        <v>14744</v>
      </c>
      <c r="N3955" t="s">
        <v>14781</v>
      </c>
      <c r="P3955" t="s">
        <v>14804</v>
      </c>
      <c r="S3955" t="s">
        <v>14827</v>
      </c>
      <c r="U3955" t="s">
        <v>630</v>
      </c>
      <c r="V3955">
        <v>0</v>
      </c>
      <c r="W3955" t="s">
        <v>14859</v>
      </c>
      <c r="X3955" t="s">
        <v>14881</v>
      </c>
      <c r="Z3955" t="s">
        <v>18172</v>
      </c>
      <c r="AC3955">
        <v>0</v>
      </c>
      <c r="AF3955">
        <v>0</v>
      </c>
      <c r="AG3955">
        <v>2</v>
      </c>
      <c r="AH3955">
        <v>0</v>
      </c>
      <c r="AI3955">
        <v>68.62</v>
      </c>
      <c r="AL3955" t="s">
        <v>5011</v>
      </c>
      <c r="AM3955">
        <v>11604</v>
      </c>
      <c r="AS3955">
        <v>20.2</v>
      </c>
      <c r="AT3955" t="s">
        <v>478</v>
      </c>
      <c r="AU3955" t="s">
        <v>25285</v>
      </c>
      <c r="AV3955" t="s">
        <v>11459</v>
      </c>
      <c r="AW3955" t="s">
        <v>11447</v>
      </c>
    </row>
    <row r="3956" spans="1:49">
      <c r="A3956" s="1">
        <f>HYPERLINK("https://lsnyc.legalserver.org/matter/dynamic-profile/view/1907795","19-1907795")</f>
        <v>0</v>
      </c>
      <c r="B3956" t="s">
        <v>151</v>
      </c>
      <c r="C3956" t="s">
        <v>377</v>
      </c>
      <c r="E3956" t="s">
        <v>2173</v>
      </c>
      <c r="F3956" t="s">
        <v>4551</v>
      </c>
      <c r="G3956" t="s">
        <v>9198</v>
      </c>
      <c r="H3956" t="s">
        <v>11202</v>
      </c>
      <c r="I3956" t="s">
        <v>11385</v>
      </c>
      <c r="J3956">
        <v>11221</v>
      </c>
      <c r="K3956" t="s">
        <v>11448</v>
      </c>
      <c r="M3956" t="s">
        <v>14750</v>
      </c>
      <c r="N3956" t="s">
        <v>14783</v>
      </c>
      <c r="P3956" t="s">
        <v>14804</v>
      </c>
      <c r="S3956" t="s">
        <v>14828</v>
      </c>
      <c r="U3956" t="s">
        <v>377</v>
      </c>
      <c r="V3956">
        <v>0</v>
      </c>
      <c r="W3956" t="s">
        <v>14859</v>
      </c>
      <c r="X3956" t="s">
        <v>14865</v>
      </c>
      <c r="Z3956" t="s">
        <v>18140</v>
      </c>
      <c r="AA3956">
        <v>16326393</v>
      </c>
      <c r="AB3956" t="s">
        <v>23236</v>
      </c>
      <c r="AC3956">
        <v>0</v>
      </c>
      <c r="AD3956" t="s">
        <v>11479</v>
      </c>
      <c r="AF3956">
        <v>11</v>
      </c>
      <c r="AG3956">
        <v>2</v>
      </c>
      <c r="AH3956">
        <v>0</v>
      </c>
      <c r="AI3956">
        <v>248.37</v>
      </c>
      <c r="AL3956" t="s">
        <v>5011</v>
      </c>
      <c r="AM3956">
        <v>42000</v>
      </c>
      <c r="AS3956">
        <v>3.7</v>
      </c>
      <c r="AT3956" t="s">
        <v>460</v>
      </c>
      <c r="AU3956" t="s">
        <v>25230</v>
      </c>
      <c r="AW3956" t="s">
        <v>11447</v>
      </c>
    </row>
    <row r="3957" spans="1:49">
      <c r="A3957" s="1">
        <f>HYPERLINK("https://lsnyc.legalserver.org/matter/dynamic-profile/view/1908019","19-1908019")</f>
        <v>0</v>
      </c>
      <c r="B3957" t="s">
        <v>238</v>
      </c>
      <c r="C3957" t="s">
        <v>455</v>
      </c>
      <c r="E3957" t="s">
        <v>1319</v>
      </c>
      <c r="F3957" t="s">
        <v>3662</v>
      </c>
      <c r="G3957" t="s">
        <v>9283</v>
      </c>
      <c r="H3957" t="s">
        <v>11013</v>
      </c>
      <c r="I3957" t="s">
        <v>11385</v>
      </c>
      <c r="J3957">
        <v>11221</v>
      </c>
      <c r="K3957" t="s">
        <v>11446</v>
      </c>
      <c r="L3957" t="s">
        <v>13490</v>
      </c>
      <c r="M3957" t="s">
        <v>14744</v>
      </c>
      <c r="N3957" t="s">
        <v>14781</v>
      </c>
      <c r="P3957" t="s">
        <v>14804</v>
      </c>
      <c r="S3957" t="s">
        <v>14827</v>
      </c>
      <c r="U3957" t="s">
        <v>455</v>
      </c>
      <c r="V3957">
        <v>0</v>
      </c>
      <c r="W3957" t="s">
        <v>14859</v>
      </c>
      <c r="X3957" t="s">
        <v>14881</v>
      </c>
      <c r="Z3957" t="s">
        <v>18173</v>
      </c>
      <c r="AB3957" t="s">
        <v>23276</v>
      </c>
      <c r="AC3957">
        <v>0</v>
      </c>
      <c r="AF3957">
        <v>0</v>
      </c>
      <c r="AG3957">
        <v>1</v>
      </c>
      <c r="AH3957">
        <v>0</v>
      </c>
      <c r="AI3957">
        <v>80.22</v>
      </c>
      <c r="AL3957" t="s">
        <v>5011</v>
      </c>
      <c r="AM3957">
        <v>10020</v>
      </c>
      <c r="AS3957">
        <v>11</v>
      </c>
      <c r="AT3957" t="s">
        <v>537</v>
      </c>
      <c r="AU3957" t="s">
        <v>25275</v>
      </c>
      <c r="AV3957" t="s">
        <v>25335</v>
      </c>
      <c r="AW3957" t="s">
        <v>11447</v>
      </c>
    </row>
    <row r="3958" spans="1:49">
      <c r="A3958" s="1">
        <f>HYPERLINK("https://lsnyc.legalserver.org/matter/dynamic-profile/view/1908017","19-1908017")</f>
        <v>0</v>
      </c>
      <c r="B3958" t="s">
        <v>238</v>
      </c>
      <c r="C3958" t="s">
        <v>455</v>
      </c>
      <c r="E3958" t="s">
        <v>1068</v>
      </c>
      <c r="F3958" t="s">
        <v>5259</v>
      </c>
      <c r="G3958" t="s">
        <v>9284</v>
      </c>
      <c r="H3958" t="s">
        <v>11059</v>
      </c>
      <c r="I3958" t="s">
        <v>11385</v>
      </c>
      <c r="J3958">
        <v>11221</v>
      </c>
      <c r="K3958" t="s">
        <v>11446</v>
      </c>
      <c r="L3958" t="s">
        <v>13491</v>
      </c>
      <c r="M3958" t="s">
        <v>14744</v>
      </c>
      <c r="N3958" t="s">
        <v>14781</v>
      </c>
      <c r="P3958" t="s">
        <v>14804</v>
      </c>
      <c r="S3958" t="s">
        <v>14827</v>
      </c>
      <c r="U3958" t="s">
        <v>455</v>
      </c>
      <c r="V3958">
        <v>0</v>
      </c>
      <c r="W3958" t="s">
        <v>14859</v>
      </c>
      <c r="X3958" t="s">
        <v>14881</v>
      </c>
      <c r="Z3958" t="s">
        <v>18174</v>
      </c>
      <c r="AB3958" t="s">
        <v>23277</v>
      </c>
      <c r="AC3958">
        <v>0</v>
      </c>
      <c r="AF3958">
        <v>0</v>
      </c>
      <c r="AG3958">
        <v>3</v>
      </c>
      <c r="AH3958">
        <v>0</v>
      </c>
      <c r="AI3958">
        <v>93.93000000000001</v>
      </c>
      <c r="AL3958" t="s">
        <v>5011</v>
      </c>
      <c r="AM3958">
        <v>20036</v>
      </c>
      <c r="AS3958">
        <v>6.55</v>
      </c>
      <c r="AT3958" t="s">
        <v>574</v>
      </c>
      <c r="AU3958" t="s">
        <v>25275</v>
      </c>
      <c r="AV3958" t="s">
        <v>25335</v>
      </c>
      <c r="AW3958" t="s">
        <v>11447</v>
      </c>
    </row>
    <row r="3959" spans="1:49">
      <c r="A3959" s="1">
        <f>HYPERLINK("https://lsnyc.legalserver.org/matter/dynamic-profile/view/1908012","19-1908012")</f>
        <v>0</v>
      </c>
      <c r="B3959" t="s">
        <v>238</v>
      </c>
      <c r="C3959" t="s">
        <v>455</v>
      </c>
      <c r="E3959" t="s">
        <v>1218</v>
      </c>
      <c r="F3959" t="s">
        <v>5360</v>
      </c>
      <c r="G3959" t="s">
        <v>9285</v>
      </c>
      <c r="H3959" t="s">
        <v>11209</v>
      </c>
      <c r="I3959" t="s">
        <v>11385</v>
      </c>
      <c r="J3959">
        <v>11221</v>
      </c>
      <c r="K3959" t="s">
        <v>11446</v>
      </c>
      <c r="L3959" t="s">
        <v>13492</v>
      </c>
      <c r="M3959" t="s">
        <v>14744</v>
      </c>
      <c r="N3959" t="s">
        <v>14781</v>
      </c>
      <c r="P3959" t="s">
        <v>14804</v>
      </c>
      <c r="S3959" t="s">
        <v>14827</v>
      </c>
      <c r="U3959" t="s">
        <v>455</v>
      </c>
      <c r="V3959">
        <v>0</v>
      </c>
      <c r="W3959" t="s">
        <v>14859</v>
      </c>
      <c r="X3959" t="s">
        <v>14881</v>
      </c>
      <c r="Z3959" t="s">
        <v>18175</v>
      </c>
      <c r="AB3959" t="s">
        <v>23278</v>
      </c>
      <c r="AC3959">
        <v>0</v>
      </c>
      <c r="AF3959">
        <v>0</v>
      </c>
      <c r="AG3959">
        <v>2</v>
      </c>
      <c r="AH3959">
        <v>3</v>
      </c>
      <c r="AI3959">
        <v>116.61</v>
      </c>
      <c r="AL3959" t="s">
        <v>5011</v>
      </c>
      <c r="AM3959">
        <v>35180</v>
      </c>
      <c r="AS3959">
        <v>3.25</v>
      </c>
      <c r="AT3959" t="s">
        <v>491</v>
      </c>
      <c r="AU3959" t="s">
        <v>25275</v>
      </c>
      <c r="AV3959" t="s">
        <v>25335</v>
      </c>
      <c r="AW3959" t="s">
        <v>11447</v>
      </c>
    </row>
    <row r="3960" spans="1:49">
      <c r="A3960" s="1">
        <f>HYPERLINK("https://lsnyc.legalserver.org/matter/dynamic-profile/view/1908070","19-1908070")</f>
        <v>0</v>
      </c>
      <c r="B3960" t="s">
        <v>255</v>
      </c>
      <c r="C3960" t="s">
        <v>455</v>
      </c>
      <c r="E3960" t="s">
        <v>2987</v>
      </c>
      <c r="F3960" t="s">
        <v>5622</v>
      </c>
      <c r="G3960" t="s">
        <v>9286</v>
      </c>
      <c r="H3960" t="s">
        <v>10517</v>
      </c>
      <c r="I3960" t="s">
        <v>11385</v>
      </c>
      <c r="J3960">
        <v>11225</v>
      </c>
      <c r="K3960" t="s">
        <v>11446</v>
      </c>
      <c r="L3960" t="s">
        <v>13493</v>
      </c>
      <c r="M3960" t="s">
        <v>14744</v>
      </c>
      <c r="N3960" t="s">
        <v>14781</v>
      </c>
      <c r="P3960" t="s">
        <v>14804</v>
      </c>
      <c r="Q3960" t="s">
        <v>11448</v>
      </c>
      <c r="S3960" t="s">
        <v>14827</v>
      </c>
      <c r="U3960" t="s">
        <v>455</v>
      </c>
      <c r="V3960">
        <v>0</v>
      </c>
      <c r="W3960" t="s">
        <v>14859</v>
      </c>
      <c r="X3960" t="s">
        <v>14881</v>
      </c>
      <c r="Z3960" t="s">
        <v>15866</v>
      </c>
      <c r="AB3960" t="s">
        <v>23279</v>
      </c>
      <c r="AC3960">
        <v>0</v>
      </c>
      <c r="AF3960">
        <v>0</v>
      </c>
      <c r="AG3960">
        <v>1</v>
      </c>
      <c r="AH3960">
        <v>0</v>
      </c>
      <c r="AI3960">
        <v>184.15</v>
      </c>
      <c r="AL3960" t="s">
        <v>5011</v>
      </c>
      <c r="AM3960">
        <v>23000</v>
      </c>
      <c r="AS3960">
        <v>20.5</v>
      </c>
      <c r="AT3960" t="s">
        <v>516</v>
      </c>
      <c r="AU3960" t="s">
        <v>25285</v>
      </c>
      <c r="AV3960" t="s">
        <v>25335</v>
      </c>
      <c r="AW3960" t="s">
        <v>11447</v>
      </c>
    </row>
    <row r="3961" spans="1:49">
      <c r="A3961" s="1">
        <f>HYPERLINK("https://lsnyc.legalserver.org/matter/dynamic-profile/view/1908108","19-1908108")</f>
        <v>0</v>
      </c>
      <c r="B3961" t="s">
        <v>281</v>
      </c>
      <c r="C3961" t="s">
        <v>372</v>
      </c>
      <c r="E3961" t="s">
        <v>1314</v>
      </c>
      <c r="F3961" t="s">
        <v>5053</v>
      </c>
      <c r="G3961" t="s">
        <v>9287</v>
      </c>
      <c r="H3961" t="s">
        <v>10935</v>
      </c>
      <c r="I3961" t="s">
        <v>11385</v>
      </c>
      <c r="J3961">
        <v>11221</v>
      </c>
      <c r="K3961" t="s">
        <v>11446</v>
      </c>
      <c r="L3961" t="s">
        <v>13494</v>
      </c>
      <c r="M3961" t="s">
        <v>14744</v>
      </c>
      <c r="N3961" t="s">
        <v>14781</v>
      </c>
      <c r="P3961" t="s">
        <v>14804</v>
      </c>
      <c r="Q3961" t="s">
        <v>11448</v>
      </c>
      <c r="S3961" t="s">
        <v>14827</v>
      </c>
      <c r="U3961" t="s">
        <v>372</v>
      </c>
      <c r="V3961">
        <v>0</v>
      </c>
      <c r="W3961" t="s">
        <v>14859</v>
      </c>
      <c r="X3961" t="s">
        <v>14881</v>
      </c>
      <c r="Z3961" t="s">
        <v>18176</v>
      </c>
      <c r="AB3961" t="s">
        <v>23280</v>
      </c>
      <c r="AC3961">
        <v>0</v>
      </c>
      <c r="AD3961" t="s">
        <v>24595</v>
      </c>
      <c r="AF3961">
        <v>0</v>
      </c>
      <c r="AG3961">
        <v>1</v>
      </c>
      <c r="AH3961">
        <v>0</v>
      </c>
      <c r="AI3961">
        <v>0</v>
      </c>
      <c r="AL3961" t="s">
        <v>5011</v>
      </c>
      <c r="AM3961">
        <v>0</v>
      </c>
      <c r="AS3961">
        <v>3.7</v>
      </c>
      <c r="AT3961" t="s">
        <v>509</v>
      </c>
      <c r="AU3961" t="s">
        <v>25235</v>
      </c>
      <c r="AV3961" t="s">
        <v>25335</v>
      </c>
      <c r="AW3961" t="s">
        <v>11447</v>
      </c>
    </row>
    <row r="3962" spans="1:49">
      <c r="A3962" s="1">
        <f>HYPERLINK("https://lsnyc.legalserver.org/matter/dynamic-profile/view/1908615","19-1908615")</f>
        <v>0</v>
      </c>
      <c r="B3962" t="s">
        <v>267</v>
      </c>
      <c r="C3962" t="s">
        <v>497</v>
      </c>
      <c r="E3962" t="s">
        <v>2988</v>
      </c>
      <c r="F3962" t="s">
        <v>5623</v>
      </c>
      <c r="G3962" t="s">
        <v>9288</v>
      </c>
      <c r="H3962" t="s">
        <v>10581</v>
      </c>
      <c r="I3962" t="s">
        <v>11385</v>
      </c>
      <c r="J3962">
        <v>11221</v>
      </c>
      <c r="K3962" t="s">
        <v>11446</v>
      </c>
      <c r="L3962" t="s">
        <v>13495</v>
      </c>
      <c r="M3962" t="s">
        <v>14744</v>
      </c>
      <c r="N3962" t="s">
        <v>14781</v>
      </c>
      <c r="P3962" t="s">
        <v>14804</v>
      </c>
      <c r="Q3962" t="s">
        <v>11448</v>
      </c>
      <c r="S3962" t="s">
        <v>14827</v>
      </c>
      <c r="U3962" t="s">
        <v>497</v>
      </c>
      <c r="V3962">
        <v>0</v>
      </c>
      <c r="W3962" t="s">
        <v>14859</v>
      </c>
      <c r="X3962" t="s">
        <v>14881</v>
      </c>
      <c r="Z3962" t="s">
        <v>18177</v>
      </c>
      <c r="AB3962" t="s">
        <v>23281</v>
      </c>
      <c r="AC3962">
        <v>0</v>
      </c>
      <c r="AF3962">
        <v>0</v>
      </c>
      <c r="AG3962">
        <v>2</v>
      </c>
      <c r="AH3962">
        <v>2</v>
      </c>
      <c r="AI3962">
        <v>40.08</v>
      </c>
      <c r="AL3962" t="s">
        <v>5011</v>
      </c>
      <c r="AM3962">
        <v>10320</v>
      </c>
      <c r="AS3962">
        <v>13.7</v>
      </c>
      <c r="AT3962" t="s">
        <v>511</v>
      </c>
      <c r="AU3962" t="s">
        <v>25285</v>
      </c>
      <c r="AV3962" t="s">
        <v>25335</v>
      </c>
      <c r="AW3962" t="s">
        <v>11447</v>
      </c>
    </row>
    <row r="3963" spans="1:49">
      <c r="A3963" s="1">
        <f>HYPERLINK("https://lsnyc.legalserver.org/matter/dynamic-profile/view/1909655","19-1909655")</f>
        <v>0</v>
      </c>
      <c r="B3963" t="s">
        <v>255</v>
      </c>
      <c r="C3963" t="s">
        <v>463</v>
      </c>
      <c r="E3963" t="s">
        <v>1598</v>
      </c>
      <c r="F3963" t="s">
        <v>5624</v>
      </c>
      <c r="G3963" t="s">
        <v>9289</v>
      </c>
      <c r="I3963" t="s">
        <v>11385</v>
      </c>
      <c r="J3963">
        <v>11226</v>
      </c>
      <c r="K3963" t="s">
        <v>11446</v>
      </c>
      <c r="L3963" t="s">
        <v>13496</v>
      </c>
      <c r="M3963" t="s">
        <v>14744</v>
      </c>
      <c r="N3963" t="s">
        <v>14781</v>
      </c>
      <c r="P3963" t="s">
        <v>14804</v>
      </c>
      <c r="Q3963" t="s">
        <v>11448</v>
      </c>
      <c r="S3963" t="s">
        <v>14827</v>
      </c>
      <c r="T3963" t="s">
        <v>14832</v>
      </c>
      <c r="U3963" t="s">
        <v>14839</v>
      </c>
      <c r="V3963">
        <v>1207.54</v>
      </c>
      <c r="W3963" t="s">
        <v>14859</v>
      </c>
      <c r="X3963" t="s">
        <v>14865</v>
      </c>
      <c r="Z3963" t="s">
        <v>18178</v>
      </c>
      <c r="AB3963" t="s">
        <v>23282</v>
      </c>
      <c r="AC3963">
        <v>66</v>
      </c>
      <c r="AD3963" t="s">
        <v>24595</v>
      </c>
      <c r="AF3963">
        <v>8</v>
      </c>
      <c r="AG3963">
        <v>1</v>
      </c>
      <c r="AH3963">
        <v>1</v>
      </c>
      <c r="AI3963">
        <v>38.75</v>
      </c>
      <c r="AL3963" t="s">
        <v>5011</v>
      </c>
      <c r="AM3963">
        <v>6552</v>
      </c>
      <c r="AS3963">
        <v>4.75</v>
      </c>
      <c r="AT3963" t="s">
        <v>521</v>
      </c>
      <c r="AU3963" t="s">
        <v>25235</v>
      </c>
      <c r="AV3963" t="s">
        <v>25335</v>
      </c>
      <c r="AW3963" t="s">
        <v>11447</v>
      </c>
    </row>
    <row r="3964" spans="1:49">
      <c r="A3964" s="1">
        <f>HYPERLINK("https://lsnyc.legalserver.org/matter/dynamic-profile/view/1910274","19-1910274")</f>
        <v>0</v>
      </c>
      <c r="B3964" t="s">
        <v>150</v>
      </c>
      <c r="C3964" t="s">
        <v>540</v>
      </c>
      <c r="E3964" t="s">
        <v>1425</v>
      </c>
      <c r="F3964" t="s">
        <v>4562</v>
      </c>
      <c r="G3964" t="s">
        <v>9242</v>
      </c>
      <c r="H3964" t="s">
        <v>10598</v>
      </c>
      <c r="I3964" t="s">
        <v>11385</v>
      </c>
      <c r="J3964">
        <v>11221</v>
      </c>
      <c r="K3964" t="s">
        <v>11446</v>
      </c>
      <c r="L3964" t="s">
        <v>13497</v>
      </c>
      <c r="M3964" t="s">
        <v>14744</v>
      </c>
      <c r="N3964" t="s">
        <v>14781</v>
      </c>
      <c r="P3964" t="s">
        <v>14804</v>
      </c>
      <c r="Q3964" t="s">
        <v>11448</v>
      </c>
      <c r="S3964" t="s">
        <v>14827</v>
      </c>
      <c r="T3964" t="s">
        <v>14832</v>
      </c>
      <c r="U3964" t="s">
        <v>14839</v>
      </c>
      <c r="V3964">
        <v>1318.59</v>
      </c>
      <c r="W3964" t="s">
        <v>14859</v>
      </c>
      <c r="X3964" t="s">
        <v>14881</v>
      </c>
      <c r="Z3964" t="s">
        <v>18131</v>
      </c>
      <c r="AB3964" t="s">
        <v>23227</v>
      </c>
      <c r="AC3964">
        <v>20</v>
      </c>
      <c r="AE3964" t="s">
        <v>24610</v>
      </c>
      <c r="AF3964">
        <v>16</v>
      </c>
      <c r="AG3964">
        <v>2</v>
      </c>
      <c r="AH3964">
        <v>1</v>
      </c>
      <c r="AI3964">
        <v>92.52</v>
      </c>
      <c r="AL3964" t="s">
        <v>5011</v>
      </c>
      <c r="AM3964">
        <v>19734.78</v>
      </c>
      <c r="AS3964">
        <v>6.1</v>
      </c>
      <c r="AT3964" t="s">
        <v>509</v>
      </c>
      <c r="AU3964" t="s">
        <v>25285</v>
      </c>
      <c r="AV3964" t="s">
        <v>25335</v>
      </c>
      <c r="AW3964" t="s">
        <v>11447</v>
      </c>
    </row>
    <row r="3965" spans="1:49">
      <c r="A3965" s="1">
        <f>HYPERLINK("https://lsnyc.legalserver.org/matter/dynamic-profile/view/1908653","19-1908653")</f>
        <v>0</v>
      </c>
      <c r="B3965" t="s">
        <v>282</v>
      </c>
      <c r="C3965" t="s">
        <v>410</v>
      </c>
      <c r="E3965" t="s">
        <v>2989</v>
      </c>
      <c r="F3965" t="s">
        <v>2375</v>
      </c>
      <c r="G3965" t="s">
        <v>9290</v>
      </c>
      <c r="H3965">
        <v>16</v>
      </c>
      <c r="I3965" t="s">
        <v>11385</v>
      </c>
      <c r="J3965">
        <v>11225</v>
      </c>
      <c r="K3965" t="s">
        <v>11446</v>
      </c>
      <c r="L3965" t="s">
        <v>13498</v>
      </c>
      <c r="M3965" t="s">
        <v>14744</v>
      </c>
      <c r="N3965" t="s">
        <v>14781</v>
      </c>
      <c r="P3965" t="s">
        <v>14804</v>
      </c>
      <c r="Q3965" t="s">
        <v>11448</v>
      </c>
      <c r="S3965" t="s">
        <v>14827</v>
      </c>
      <c r="U3965" t="s">
        <v>410</v>
      </c>
      <c r="V3965">
        <v>0</v>
      </c>
      <c r="W3965" t="s">
        <v>14859</v>
      </c>
      <c r="X3965" t="s">
        <v>14881</v>
      </c>
      <c r="Z3965" t="s">
        <v>18179</v>
      </c>
      <c r="AB3965" t="s">
        <v>23283</v>
      </c>
      <c r="AC3965">
        <v>0</v>
      </c>
      <c r="AF3965">
        <v>0</v>
      </c>
      <c r="AG3965">
        <v>1</v>
      </c>
      <c r="AH3965">
        <v>0</v>
      </c>
      <c r="AI3965">
        <v>64.84999999999999</v>
      </c>
      <c r="AL3965" t="s">
        <v>5011</v>
      </c>
      <c r="AM3965">
        <v>8100</v>
      </c>
      <c r="AS3965">
        <v>12.7</v>
      </c>
      <c r="AT3965" t="s">
        <v>495</v>
      </c>
      <c r="AU3965" t="s">
        <v>25285</v>
      </c>
      <c r="AV3965" t="s">
        <v>25335</v>
      </c>
      <c r="AW3965" t="s">
        <v>11447</v>
      </c>
    </row>
    <row r="3966" spans="1:49">
      <c r="A3966" s="1">
        <f>HYPERLINK("https://lsnyc.legalserver.org/matter/dynamic-profile/view/1908690","19-1908690")</f>
        <v>0</v>
      </c>
      <c r="B3966" t="s">
        <v>275</v>
      </c>
      <c r="C3966" t="s">
        <v>410</v>
      </c>
      <c r="E3966" t="s">
        <v>1249</v>
      </c>
      <c r="F3966" t="s">
        <v>4519</v>
      </c>
      <c r="G3966" t="s">
        <v>9291</v>
      </c>
      <c r="H3966">
        <v>1</v>
      </c>
      <c r="I3966" t="s">
        <v>11385</v>
      </c>
      <c r="J3966">
        <v>11221</v>
      </c>
      <c r="K3966" t="s">
        <v>11446</v>
      </c>
      <c r="L3966" t="s">
        <v>13499</v>
      </c>
      <c r="M3966" t="s">
        <v>14743</v>
      </c>
      <c r="N3966" t="s">
        <v>14781</v>
      </c>
      <c r="P3966" t="s">
        <v>14804</v>
      </c>
      <c r="Q3966" t="s">
        <v>11448</v>
      </c>
      <c r="S3966" t="s">
        <v>14827</v>
      </c>
      <c r="U3966" t="s">
        <v>410</v>
      </c>
      <c r="V3966">
        <v>0</v>
      </c>
      <c r="W3966" t="s">
        <v>14859</v>
      </c>
      <c r="X3966" t="s">
        <v>14881</v>
      </c>
      <c r="Z3966" t="s">
        <v>18180</v>
      </c>
      <c r="AB3966" t="s">
        <v>23284</v>
      </c>
      <c r="AC3966">
        <v>0</v>
      </c>
      <c r="AF3966">
        <v>0</v>
      </c>
      <c r="AG3966">
        <v>2</v>
      </c>
      <c r="AH3966">
        <v>0</v>
      </c>
      <c r="AI3966">
        <v>76.88</v>
      </c>
      <c r="AL3966" t="s">
        <v>24632</v>
      </c>
      <c r="AM3966">
        <v>13000</v>
      </c>
      <c r="AS3966">
        <v>50.7</v>
      </c>
      <c r="AT3966" t="s">
        <v>490</v>
      </c>
      <c r="AU3966" t="s">
        <v>25285</v>
      </c>
      <c r="AV3966" t="s">
        <v>25335</v>
      </c>
      <c r="AW3966" t="s">
        <v>11447</v>
      </c>
    </row>
    <row r="3967" spans="1:49">
      <c r="A3967" s="1">
        <f>HYPERLINK("https://lsnyc.legalserver.org/matter/dynamic-profile/view/1908693","19-1908693")</f>
        <v>0</v>
      </c>
      <c r="B3967" t="s">
        <v>93</v>
      </c>
      <c r="C3967" t="s">
        <v>410</v>
      </c>
      <c r="E3967" t="s">
        <v>2990</v>
      </c>
      <c r="F3967" t="s">
        <v>5625</v>
      </c>
      <c r="G3967" t="s">
        <v>9212</v>
      </c>
      <c r="H3967" t="s">
        <v>10467</v>
      </c>
      <c r="I3967" t="s">
        <v>11385</v>
      </c>
      <c r="J3967">
        <v>11221</v>
      </c>
      <c r="K3967" t="s">
        <v>11446</v>
      </c>
      <c r="L3967" t="s">
        <v>13500</v>
      </c>
      <c r="M3967" t="s">
        <v>14744</v>
      </c>
      <c r="N3967" t="s">
        <v>14781</v>
      </c>
      <c r="P3967" t="s">
        <v>14804</v>
      </c>
      <c r="Q3967" t="s">
        <v>11448</v>
      </c>
      <c r="S3967" t="s">
        <v>14827</v>
      </c>
      <c r="T3967" t="s">
        <v>14832</v>
      </c>
      <c r="U3967" t="s">
        <v>410</v>
      </c>
      <c r="V3967">
        <v>1303.11</v>
      </c>
      <c r="W3967" t="s">
        <v>14859</v>
      </c>
      <c r="X3967" t="s">
        <v>14881</v>
      </c>
      <c r="Z3967" t="s">
        <v>18146</v>
      </c>
      <c r="AA3967" t="s">
        <v>19824</v>
      </c>
      <c r="AB3967" t="s">
        <v>23285</v>
      </c>
      <c r="AC3967">
        <v>36</v>
      </c>
      <c r="AE3967" t="s">
        <v>24616</v>
      </c>
      <c r="AF3967">
        <v>3</v>
      </c>
      <c r="AG3967">
        <v>1</v>
      </c>
      <c r="AH3967">
        <v>1</v>
      </c>
      <c r="AI3967">
        <v>153.76</v>
      </c>
      <c r="AL3967" t="s">
        <v>5011</v>
      </c>
      <c r="AM3967">
        <v>26000</v>
      </c>
      <c r="AS3967">
        <v>17.95</v>
      </c>
      <c r="AT3967" t="s">
        <v>537</v>
      </c>
      <c r="AU3967" t="s">
        <v>25285</v>
      </c>
      <c r="AV3967" t="s">
        <v>25335</v>
      </c>
      <c r="AW3967" t="s">
        <v>11447</v>
      </c>
    </row>
    <row r="3968" spans="1:49">
      <c r="A3968" s="1">
        <f>HYPERLINK("https://lsnyc.legalserver.org/matter/dynamic-profile/view/1908621","19-1908621")</f>
        <v>0</v>
      </c>
      <c r="B3968" t="s">
        <v>267</v>
      </c>
      <c r="C3968" t="s">
        <v>585</v>
      </c>
      <c r="E3968" t="s">
        <v>1425</v>
      </c>
      <c r="F3968" t="s">
        <v>5626</v>
      </c>
      <c r="G3968" t="s">
        <v>9292</v>
      </c>
      <c r="H3968" t="s">
        <v>10464</v>
      </c>
      <c r="I3968" t="s">
        <v>11385</v>
      </c>
      <c r="J3968">
        <v>11221</v>
      </c>
      <c r="K3968" t="s">
        <v>11446</v>
      </c>
      <c r="L3968" t="s">
        <v>13501</v>
      </c>
      <c r="M3968" t="s">
        <v>14744</v>
      </c>
      <c r="N3968" t="s">
        <v>14781</v>
      </c>
      <c r="P3968" t="s">
        <v>14804</v>
      </c>
      <c r="S3968" t="s">
        <v>14827</v>
      </c>
      <c r="U3968" t="s">
        <v>585</v>
      </c>
      <c r="V3968">
        <v>0</v>
      </c>
      <c r="W3968" t="s">
        <v>14859</v>
      </c>
      <c r="X3968" t="s">
        <v>14881</v>
      </c>
      <c r="Z3968" t="s">
        <v>18181</v>
      </c>
      <c r="AB3968" t="s">
        <v>23286</v>
      </c>
      <c r="AC3968">
        <v>0</v>
      </c>
      <c r="AF3968">
        <v>0</v>
      </c>
      <c r="AG3968">
        <v>1</v>
      </c>
      <c r="AH3968">
        <v>3</v>
      </c>
      <c r="AI3968">
        <v>143.69</v>
      </c>
      <c r="AL3968" t="s">
        <v>5011</v>
      </c>
      <c r="AM3968">
        <v>37000</v>
      </c>
      <c r="AS3968">
        <v>10.6</v>
      </c>
      <c r="AT3968" t="s">
        <v>574</v>
      </c>
      <c r="AU3968" t="s">
        <v>25285</v>
      </c>
      <c r="AV3968" t="s">
        <v>25335</v>
      </c>
      <c r="AW3968" t="s">
        <v>11447</v>
      </c>
    </row>
    <row r="3969" spans="1:49">
      <c r="A3969" s="1">
        <f>HYPERLINK("https://lsnyc.legalserver.org/matter/dynamic-profile/view/1908785","19-1908785")</f>
        <v>0</v>
      </c>
      <c r="B3969" t="s">
        <v>267</v>
      </c>
      <c r="C3969" t="s">
        <v>585</v>
      </c>
      <c r="E3969" t="s">
        <v>2057</v>
      </c>
      <c r="F3969" t="s">
        <v>5627</v>
      </c>
      <c r="G3969" t="s">
        <v>9293</v>
      </c>
      <c r="H3969" t="s">
        <v>10579</v>
      </c>
      <c r="I3969" t="s">
        <v>11385</v>
      </c>
      <c r="J3969">
        <v>11221</v>
      </c>
      <c r="K3969" t="s">
        <v>11446</v>
      </c>
      <c r="L3969" t="s">
        <v>13502</v>
      </c>
      <c r="M3969" t="s">
        <v>14743</v>
      </c>
      <c r="N3969" t="s">
        <v>14781</v>
      </c>
      <c r="P3969" t="s">
        <v>14804</v>
      </c>
      <c r="Q3969" t="s">
        <v>11448</v>
      </c>
      <c r="S3969" t="s">
        <v>14827</v>
      </c>
      <c r="U3969" t="s">
        <v>585</v>
      </c>
      <c r="V3969">
        <v>0</v>
      </c>
      <c r="W3969" t="s">
        <v>14859</v>
      </c>
      <c r="X3969" t="s">
        <v>14881</v>
      </c>
      <c r="Z3969" t="s">
        <v>18182</v>
      </c>
      <c r="AB3969" t="s">
        <v>23287</v>
      </c>
      <c r="AC3969">
        <v>0</v>
      </c>
      <c r="AF3969">
        <v>0</v>
      </c>
      <c r="AG3969">
        <v>2</v>
      </c>
      <c r="AH3969">
        <v>1</v>
      </c>
      <c r="AI3969">
        <v>170.65</v>
      </c>
      <c r="AL3969" t="s">
        <v>5011</v>
      </c>
      <c r="AM3969">
        <v>36400</v>
      </c>
      <c r="AS3969">
        <v>6.9</v>
      </c>
      <c r="AT3969" t="s">
        <v>483</v>
      </c>
      <c r="AU3969" t="s">
        <v>25285</v>
      </c>
      <c r="AV3969" t="s">
        <v>25335</v>
      </c>
      <c r="AW3969" t="s">
        <v>11447</v>
      </c>
    </row>
    <row r="3970" spans="1:49">
      <c r="A3970" s="1">
        <f>HYPERLINK("https://lsnyc.legalserver.org/matter/dynamic-profile/view/1908961","19-1908961")</f>
        <v>0</v>
      </c>
      <c r="B3970" t="s">
        <v>233</v>
      </c>
      <c r="C3970" t="s">
        <v>640</v>
      </c>
      <c r="E3970" t="s">
        <v>1619</v>
      </c>
      <c r="F3970" t="s">
        <v>3587</v>
      </c>
      <c r="G3970" t="s">
        <v>7689</v>
      </c>
      <c r="H3970" t="s">
        <v>11210</v>
      </c>
      <c r="I3970" t="s">
        <v>11385</v>
      </c>
      <c r="J3970">
        <v>11225</v>
      </c>
      <c r="K3970" t="s">
        <v>11446</v>
      </c>
      <c r="L3970" t="s">
        <v>13503</v>
      </c>
      <c r="M3970" t="s">
        <v>14764</v>
      </c>
      <c r="N3970" t="s">
        <v>14781</v>
      </c>
      <c r="P3970" t="s">
        <v>14804</v>
      </c>
      <c r="Q3970" t="s">
        <v>11448</v>
      </c>
      <c r="S3970" t="s">
        <v>14827</v>
      </c>
      <c r="U3970" t="s">
        <v>640</v>
      </c>
      <c r="V3970">
        <v>0</v>
      </c>
      <c r="W3970" t="s">
        <v>14859</v>
      </c>
      <c r="Z3970" t="s">
        <v>18183</v>
      </c>
      <c r="AB3970" t="s">
        <v>23288</v>
      </c>
      <c r="AC3970">
        <v>0</v>
      </c>
      <c r="AF3970">
        <v>0</v>
      </c>
      <c r="AG3970">
        <v>2</v>
      </c>
      <c r="AH3970">
        <v>0</v>
      </c>
      <c r="AI3970">
        <v>43.22</v>
      </c>
      <c r="AL3970" t="s">
        <v>5011</v>
      </c>
      <c r="AM3970">
        <v>7308</v>
      </c>
      <c r="AS3970">
        <v>12.2</v>
      </c>
      <c r="AT3970" t="s">
        <v>559</v>
      </c>
      <c r="AU3970" t="s">
        <v>25275</v>
      </c>
      <c r="AV3970" t="s">
        <v>25335</v>
      </c>
      <c r="AW3970" t="s">
        <v>11447</v>
      </c>
    </row>
    <row r="3971" spans="1:49">
      <c r="A3971" s="1">
        <f>HYPERLINK("https://lsnyc.legalserver.org/matter/dynamic-profile/view/1909000","19-1909000")</f>
        <v>0</v>
      </c>
      <c r="B3971" t="s">
        <v>141</v>
      </c>
      <c r="C3971" t="s">
        <v>641</v>
      </c>
      <c r="E3971" t="s">
        <v>2156</v>
      </c>
      <c r="F3971" t="s">
        <v>4670</v>
      </c>
      <c r="G3971" t="s">
        <v>9294</v>
      </c>
      <c r="H3971">
        <v>125</v>
      </c>
      <c r="I3971" t="s">
        <v>11385</v>
      </c>
      <c r="J3971">
        <v>11221</v>
      </c>
      <c r="K3971" t="s">
        <v>11446</v>
      </c>
      <c r="L3971" t="s">
        <v>13504</v>
      </c>
      <c r="M3971" t="s">
        <v>14744</v>
      </c>
      <c r="N3971" t="s">
        <v>14781</v>
      </c>
      <c r="P3971" t="s">
        <v>14804</v>
      </c>
      <c r="Q3971" t="s">
        <v>11448</v>
      </c>
      <c r="S3971" t="s">
        <v>14827</v>
      </c>
      <c r="U3971" t="s">
        <v>641</v>
      </c>
      <c r="V3971">
        <v>0</v>
      </c>
      <c r="W3971" t="s">
        <v>14859</v>
      </c>
      <c r="X3971" t="s">
        <v>14881</v>
      </c>
      <c r="Z3971" t="s">
        <v>18184</v>
      </c>
      <c r="AB3971" t="s">
        <v>23289</v>
      </c>
      <c r="AC3971">
        <v>0</v>
      </c>
      <c r="AF3971">
        <v>0</v>
      </c>
      <c r="AG3971">
        <v>1</v>
      </c>
      <c r="AH3971">
        <v>0</v>
      </c>
      <c r="AI3971">
        <v>119.23</v>
      </c>
      <c r="AL3971" t="s">
        <v>5011</v>
      </c>
      <c r="AM3971">
        <v>14892</v>
      </c>
      <c r="AS3971">
        <v>5.6</v>
      </c>
      <c r="AT3971" t="s">
        <v>467</v>
      </c>
      <c r="AU3971" t="s">
        <v>25285</v>
      </c>
      <c r="AV3971" t="s">
        <v>25335</v>
      </c>
      <c r="AW3971" t="s">
        <v>11447</v>
      </c>
    </row>
    <row r="3972" spans="1:49">
      <c r="A3972" s="1">
        <f>HYPERLINK("https://lsnyc.legalserver.org/matter/dynamic-profile/view/1909136","19-1909136")</f>
        <v>0</v>
      </c>
      <c r="B3972" t="s">
        <v>152</v>
      </c>
      <c r="C3972" t="s">
        <v>462</v>
      </c>
      <c r="E3972" t="s">
        <v>1495</v>
      </c>
      <c r="F3972" t="s">
        <v>4619</v>
      </c>
      <c r="G3972" t="s">
        <v>9267</v>
      </c>
      <c r="H3972" t="s">
        <v>10648</v>
      </c>
      <c r="I3972" t="s">
        <v>11385</v>
      </c>
      <c r="J3972">
        <v>11225</v>
      </c>
      <c r="K3972" t="s">
        <v>11446</v>
      </c>
      <c r="L3972" t="s">
        <v>13505</v>
      </c>
      <c r="M3972" t="s">
        <v>14743</v>
      </c>
      <c r="N3972" t="s">
        <v>14781</v>
      </c>
      <c r="P3972" t="s">
        <v>14804</v>
      </c>
      <c r="S3972" t="s">
        <v>14827</v>
      </c>
      <c r="U3972" t="s">
        <v>462</v>
      </c>
      <c r="V3972">
        <v>315</v>
      </c>
      <c r="W3972" t="s">
        <v>14859</v>
      </c>
      <c r="Z3972" t="s">
        <v>16237</v>
      </c>
      <c r="AA3972" t="s">
        <v>19825</v>
      </c>
      <c r="AB3972" t="s">
        <v>23290</v>
      </c>
      <c r="AC3972">
        <v>0</v>
      </c>
      <c r="AF3972">
        <v>0</v>
      </c>
      <c r="AG3972">
        <v>1</v>
      </c>
      <c r="AH3972">
        <v>0</v>
      </c>
      <c r="AI3972">
        <v>20.66</v>
      </c>
      <c r="AL3972" t="s">
        <v>5011</v>
      </c>
      <c r="AM3972">
        <v>2580</v>
      </c>
      <c r="AS3972">
        <v>5.9</v>
      </c>
      <c r="AT3972" t="s">
        <v>484</v>
      </c>
      <c r="AU3972" t="s">
        <v>25277</v>
      </c>
      <c r="AV3972" t="s">
        <v>25335</v>
      </c>
      <c r="AW3972" t="s">
        <v>11447</v>
      </c>
    </row>
    <row r="3973" spans="1:49">
      <c r="A3973" s="1">
        <f>HYPERLINK("https://lsnyc.legalserver.org/matter/dynamic-profile/view/1909209","19-1909209")</f>
        <v>0</v>
      </c>
      <c r="B3973" t="s">
        <v>282</v>
      </c>
      <c r="C3973" t="s">
        <v>462</v>
      </c>
      <c r="E3973" t="s">
        <v>2991</v>
      </c>
      <c r="F3973" t="s">
        <v>5628</v>
      </c>
      <c r="G3973" t="s">
        <v>9295</v>
      </c>
      <c r="H3973" t="s">
        <v>10476</v>
      </c>
      <c r="I3973" t="s">
        <v>11385</v>
      </c>
      <c r="J3973">
        <v>11226</v>
      </c>
      <c r="K3973" t="s">
        <v>11446</v>
      </c>
      <c r="L3973" t="s">
        <v>13506</v>
      </c>
      <c r="M3973" t="s">
        <v>14744</v>
      </c>
      <c r="N3973" t="s">
        <v>14782</v>
      </c>
      <c r="P3973" t="s">
        <v>14804</v>
      </c>
      <c r="S3973" t="s">
        <v>14827</v>
      </c>
      <c r="U3973" t="s">
        <v>462</v>
      </c>
      <c r="V3973">
        <v>0</v>
      </c>
      <c r="W3973" t="s">
        <v>14859</v>
      </c>
      <c r="Z3973" t="s">
        <v>18185</v>
      </c>
      <c r="AB3973" t="s">
        <v>23291</v>
      </c>
      <c r="AC3973">
        <v>0</v>
      </c>
      <c r="AF3973">
        <v>0</v>
      </c>
      <c r="AG3973">
        <v>2</v>
      </c>
      <c r="AH3973">
        <v>0</v>
      </c>
      <c r="AI3973">
        <v>153.76</v>
      </c>
      <c r="AL3973" t="s">
        <v>5011</v>
      </c>
      <c r="AM3973">
        <v>26000</v>
      </c>
      <c r="AS3973">
        <v>2.2</v>
      </c>
      <c r="AT3973" t="s">
        <v>578</v>
      </c>
      <c r="AU3973" t="s">
        <v>25235</v>
      </c>
      <c r="AV3973" t="s">
        <v>25335</v>
      </c>
      <c r="AW3973" t="s">
        <v>11447</v>
      </c>
    </row>
    <row r="3974" spans="1:49">
      <c r="A3974" s="1">
        <f>HYPERLINK("https://lsnyc.legalserver.org/matter/dynamic-profile/view/1909173","19-1909173")</f>
        <v>0</v>
      </c>
      <c r="B3974" t="s">
        <v>240</v>
      </c>
      <c r="C3974" t="s">
        <v>462</v>
      </c>
      <c r="E3974" t="s">
        <v>1399</v>
      </c>
      <c r="F3974" t="s">
        <v>5358</v>
      </c>
      <c r="G3974" t="s">
        <v>9296</v>
      </c>
      <c r="H3974" t="s">
        <v>10497</v>
      </c>
      <c r="I3974" t="s">
        <v>11385</v>
      </c>
      <c r="J3974">
        <v>11226</v>
      </c>
      <c r="K3974" t="s">
        <v>11446</v>
      </c>
      <c r="L3974" t="s">
        <v>13507</v>
      </c>
      <c r="M3974" t="s">
        <v>14744</v>
      </c>
      <c r="N3974" t="s">
        <v>14782</v>
      </c>
      <c r="P3974" t="s">
        <v>14804</v>
      </c>
      <c r="S3974" t="s">
        <v>14827</v>
      </c>
      <c r="U3974" t="s">
        <v>462</v>
      </c>
      <c r="V3974">
        <v>0</v>
      </c>
      <c r="W3974" t="s">
        <v>14859</v>
      </c>
      <c r="X3974" t="s">
        <v>14865</v>
      </c>
      <c r="Z3974" t="s">
        <v>18186</v>
      </c>
      <c r="AB3974" t="s">
        <v>23292</v>
      </c>
      <c r="AC3974">
        <v>0</v>
      </c>
      <c r="AF3974">
        <v>11</v>
      </c>
      <c r="AG3974">
        <v>1</v>
      </c>
      <c r="AH3974">
        <v>0</v>
      </c>
      <c r="AI3974">
        <v>207.91</v>
      </c>
      <c r="AJ3974" t="s">
        <v>551</v>
      </c>
      <c r="AK3974" t="s">
        <v>24629</v>
      </c>
      <c r="AL3974" t="s">
        <v>5011</v>
      </c>
      <c r="AM3974">
        <v>25968</v>
      </c>
      <c r="AS3974">
        <v>11.1</v>
      </c>
      <c r="AT3974" t="s">
        <v>495</v>
      </c>
      <c r="AU3974" t="s">
        <v>25235</v>
      </c>
      <c r="AV3974" t="s">
        <v>25335</v>
      </c>
      <c r="AW3974" t="s">
        <v>11447</v>
      </c>
    </row>
    <row r="3975" spans="1:49">
      <c r="A3975" s="1">
        <f>HYPERLINK("https://lsnyc.legalserver.org/matter/dynamic-profile/view/1909182","19-1909182")</f>
        <v>0</v>
      </c>
      <c r="B3975" t="s">
        <v>282</v>
      </c>
      <c r="C3975" t="s">
        <v>462</v>
      </c>
      <c r="E3975" t="s">
        <v>2992</v>
      </c>
      <c r="F3975" t="s">
        <v>1375</v>
      </c>
      <c r="G3975" t="s">
        <v>8016</v>
      </c>
      <c r="H3975" t="s">
        <v>10574</v>
      </c>
      <c r="I3975" t="s">
        <v>11385</v>
      </c>
      <c r="J3975">
        <v>11225</v>
      </c>
      <c r="K3975" t="s">
        <v>11446</v>
      </c>
      <c r="L3975" t="s">
        <v>13508</v>
      </c>
      <c r="M3975" t="s">
        <v>14743</v>
      </c>
      <c r="N3975" t="s">
        <v>14782</v>
      </c>
      <c r="P3975" t="s">
        <v>14804</v>
      </c>
      <c r="S3975" t="s">
        <v>14827</v>
      </c>
      <c r="U3975" t="s">
        <v>462</v>
      </c>
      <c r="V3975">
        <v>0</v>
      </c>
      <c r="W3975" t="s">
        <v>14859</v>
      </c>
      <c r="X3975" t="s">
        <v>14865</v>
      </c>
      <c r="Z3975" t="s">
        <v>18187</v>
      </c>
      <c r="AB3975" t="s">
        <v>23293</v>
      </c>
      <c r="AC3975">
        <v>0</v>
      </c>
      <c r="AF3975">
        <v>0</v>
      </c>
      <c r="AG3975">
        <v>2</v>
      </c>
      <c r="AH3975">
        <v>1</v>
      </c>
      <c r="AI3975">
        <v>240.74</v>
      </c>
      <c r="AJ3975" t="s">
        <v>551</v>
      </c>
      <c r="AK3975" t="s">
        <v>24629</v>
      </c>
      <c r="AL3975" t="s">
        <v>5011</v>
      </c>
      <c r="AM3975">
        <v>51350</v>
      </c>
      <c r="AS3975">
        <v>5.9</v>
      </c>
      <c r="AT3975" t="s">
        <v>537</v>
      </c>
      <c r="AU3975" t="s">
        <v>25235</v>
      </c>
      <c r="AV3975" t="s">
        <v>25335</v>
      </c>
      <c r="AW3975" t="s">
        <v>11447</v>
      </c>
    </row>
    <row r="3976" spans="1:49">
      <c r="A3976" s="1">
        <f>HYPERLINK("https://lsnyc.legalserver.org/matter/dynamic-profile/view/1909134","19-1909134")</f>
        <v>0</v>
      </c>
      <c r="B3976" t="s">
        <v>240</v>
      </c>
      <c r="C3976" t="s">
        <v>462</v>
      </c>
      <c r="E3976" t="s">
        <v>2993</v>
      </c>
      <c r="F3976" t="s">
        <v>5629</v>
      </c>
      <c r="G3976" t="s">
        <v>9297</v>
      </c>
      <c r="H3976" t="s">
        <v>10460</v>
      </c>
      <c r="I3976" t="s">
        <v>11385</v>
      </c>
      <c r="J3976">
        <v>11226</v>
      </c>
      <c r="K3976" t="s">
        <v>11446</v>
      </c>
      <c r="L3976" t="s">
        <v>13509</v>
      </c>
      <c r="M3976" t="s">
        <v>14744</v>
      </c>
      <c r="N3976" t="s">
        <v>14781</v>
      </c>
      <c r="P3976" t="s">
        <v>14804</v>
      </c>
      <c r="S3976" t="s">
        <v>14827</v>
      </c>
      <c r="U3976" t="s">
        <v>462</v>
      </c>
      <c r="V3976">
        <v>0</v>
      </c>
      <c r="W3976" t="s">
        <v>14859</v>
      </c>
      <c r="X3976" t="s">
        <v>14865</v>
      </c>
      <c r="Z3976" t="s">
        <v>18188</v>
      </c>
      <c r="AB3976" t="s">
        <v>23294</v>
      </c>
      <c r="AC3976">
        <v>0</v>
      </c>
      <c r="AF3976">
        <v>0</v>
      </c>
      <c r="AG3976">
        <v>1</v>
      </c>
      <c r="AH3976">
        <v>2</v>
      </c>
      <c r="AI3976">
        <v>260.61</v>
      </c>
      <c r="AJ3976" t="s">
        <v>551</v>
      </c>
      <c r="AK3976" t="s">
        <v>24629</v>
      </c>
      <c r="AL3976" t="s">
        <v>5011</v>
      </c>
      <c r="AM3976">
        <v>55588</v>
      </c>
      <c r="AS3976">
        <v>7.05</v>
      </c>
      <c r="AT3976" t="s">
        <v>495</v>
      </c>
      <c r="AU3976" t="s">
        <v>25235</v>
      </c>
      <c r="AV3976" t="s">
        <v>25335</v>
      </c>
      <c r="AW3976" t="s">
        <v>11447</v>
      </c>
    </row>
    <row r="3977" spans="1:49">
      <c r="A3977" s="1">
        <f>HYPERLINK("https://lsnyc.legalserver.org/matter/dynamic-profile/view/1909116","19-1909116")</f>
        <v>0</v>
      </c>
      <c r="B3977" t="s">
        <v>72</v>
      </c>
      <c r="C3977" t="s">
        <v>462</v>
      </c>
      <c r="E3977" t="s">
        <v>2368</v>
      </c>
      <c r="F3977" t="s">
        <v>1301</v>
      </c>
      <c r="G3977" t="s">
        <v>9298</v>
      </c>
      <c r="H3977" t="s">
        <v>10460</v>
      </c>
      <c r="I3977" t="s">
        <v>11385</v>
      </c>
      <c r="J3977">
        <v>11226</v>
      </c>
      <c r="K3977" t="s">
        <v>11446</v>
      </c>
      <c r="L3977" t="s">
        <v>13510</v>
      </c>
      <c r="M3977" t="s">
        <v>14744</v>
      </c>
      <c r="N3977" t="s">
        <v>14781</v>
      </c>
      <c r="P3977" t="s">
        <v>14804</v>
      </c>
      <c r="S3977" t="s">
        <v>14827</v>
      </c>
      <c r="U3977" t="s">
        <v>462</v>
      </c>
      <c r="V3977">
        <v>0</v>
      </c>
      <c r="W3977" t="s">
        <v>14859</v>
      </c>
      <c r="X3977" t="s">
        <v>14865</v>
      </c>
      <c r="Z3977" t="s">
        <v>18189</v>
      </c>
      <c r="AB3977" t="s">
        <v>23295</v>
      </c>
      <c r="AC3977">
        <v>0</v>
      </c>
      <c r="AF3977">
        <v>0</v>
      </c>
      <c r="AG3977">
        <v>1</v>
      </c>
      <c r="AH3977">
        <v>0</v>
      </c>
      <c r="AI3977">
        <v>392.76</v>
      </c>
      <c r="AJ3977" t="s">
        <v>551</v>
      </c>
      <c r="AK3977" t="s">
        <v>24629</v>
      </c>
      <c r="AL3977" t="s">
        <v>5011</v>
      </c>
      <c r="AM3977">
        <v>49056</v>
      </c>
      <c r="AS3977">
        <v>11.96</v>
      </c>
      <c r="AT3977" t="s">
        <v>509</v>
      </c>
      <c r="AU3977" t="s">
        <v>25235</v>
      </c>
      <c r="AV3977" t="s">
        <v>25335</v>
      </c>
      <c r="AW3977" t="s">
        <v>11447</v>
      </c>
    </row>
    <row r="3978" spans="1:49">
      <c r="A3978" s="1">
        <f>HYPERLINK("https://lsnyc.legalserver.org/matter/dynamic-profile/view/1909247","19-1909247")</f>
        <v>0</v>
      </c>
      <c r="B3978" t="s">
        <v>141</v>
      </c>
      <c r="C3978" t="s">
        <v>589</v>
      </c>
      <c r="E3978" t="s">
        <v>2994</v>
      </c>
      <c r="F3978" t="s">
        <v>5581</v>
      </c>
      <c r="G3978" t="s">
        <v>9299</v>
      </c>
      <c r="H3978" t="s">
        <v>10448</v>
      </c>
      <c r="I3978" t="s">
        <v>11385</v>
      </c>
      <c r="J3978">
        <v>11221</v>
      </c>
      <c r="K3978" t="s">
        <v>11446</v>
      </c>
      <c r="L3978" t="s">
        <v>13511</v>
      </c>
      <c r="M3978" t="s">
        <v>14744</v>
      </c>
      <c r="N3978" t="s">
        <v>14781</v>
      </c>
      <c r="P3978" t="s">
        <v>14804</v>
      </c>
      <c r="Q3978" t="s">
        <v>11448</v>
      </c>
      <c r="S3978" t="s">
        <v>14827</v>
      </c>
      <c r="U3978" t="s">
        <v>589</v>
      </c>
      <c r="V3978">
        <v>0</v>
      </c>
      <c r="W3978" t="s">
        <v>14859</v>
      </c>
      <c r="X3978" t="s">
        <v>14881</v>
      </c>
      <c r="Z3978" t="s">
        <v>18190</v>
      </c>
      <c r="AB3978" t="s">
        <v>23296</v>
      </c>
      <c r="AC3978">
        <v>0</v>
      </c>
      <c r="AF3978">
        <v>0</v>
      </c>
      <c r="AG3978">
        <v>2</v>
      </c>
      <c r="AH3978">
        <v>0</v>
      </c>
      <c r="AI3978">
        <v>0</v>
      </c>
      <c r="AL3978" t="s">
        <v>5011</v>
      </c>
      <c r="AM3978">
        <v>0</v>
      </c>
      <c r="AS3978">
        <v>12.3</v>
      </c>
      <c r="AT3978" t="s">
        <v>551</v>
      </c>
      <c r="AU3978" t="s">
        <v>25285</v>
      </c>
      <c r="AV3978" t="s">
        <v>25335</v>
      </c>
      <c r="AW3978" t="s">
        <v>11447</v>
      </c>
    </row>
    <row r="3979" spans="1:49">
      <c r="A3979" s="1">
        <f>HYPERLINK("https://lsnyc.legalserver.org/matter/dynamic-profile/view/1909636","19-1909636")</f>
        <v>0</v>
      </c>
      <c r="B3979" t="s">
        <v>238</v>
      </c>
      <c r="C3979" t="s">
        <v>463</v>
      </c>
      <c r="E3979" t="s">
        <v>2193</v>
      </c>
      <c r="F3979" t="s">
        <v>5630</v>
      </c>
      <c r="G3979" t="s">
        <v>9300</v>
      </c>
      <c r="I3979" t="s">
        <v>11385</v>
      </c>
      <c r="J3979">
        <v>11226</v>
      </c>
      <c r="K3979" t="s">
        <v>11446</v>
      </c>
      <c r="L3979" t="s">
        <v>13512</v>
      </c>
      <c r="M3979" t="s">
        <v>14744</v>
      </c>
      <c r="N3979" t="s">
        <v>14781</v>
      </c>
      <c r="P3979" t="s">
        <v>14804</v>
      </c>
      <c r="S3979" t="s">
        <v>14827</v>
      </c>
      <c r="U3979" t="s">
        <v>463</v>
      </c>
      <c r="V3979">
        <v>0</v>
      </c>
      <c r="W3979" t="s">
        <v>14859</v>
      </c>
      <c r="X3979" t="s">
        <v>14865</v>
      </c>
      <c r="Z3979" t="s">
        <v>18191</v>
      </c>
      <c r="AB3979" t="s">
        <v>23297</v>
      </c>
      <c r="AC3979">
        <v>0</v>
      </c>
      <c r="AF3979">
        <v>0</v>
      </c>
      <c r="AG3979">
        <v>1</v>
      </c>
      <c r="AH3979">
        <v>0</v>
      </c>
      <c r="AI3979">
        <v>110.49</v>
      </c>
      <c r="AL3979" t="s">
        <v>5011</v>
      </c>
      <c r="AM3979">
        <v>13800</v>
      </c>
      <c r="AS3979">
        <v>2.5</v>
      </c>
      <c r="AT3979" t="s">
        <v>537</v>
      </c>
      <c r="AU3979" t="s">
        <v>25235</v>
      </c>
      <c r="AV3979" t="s">
        <v>25335</v>
      </c>
      <c r="AW3979" t="s">
        <v>11447</v>
      </c>
    </row>
    <row r="3980" spans="1:49">
      <c r="A3980" s="1">
        <f>HYPERLINK("https://lsnyc.legalserver.org/matter/dynamic-profile/view/1909593","19-1909593")</f>
        <v>0</v>
      </c>
      <c r="B3980" t="s">
        <v>238</v>
      </c>
      <c r="C3980" t="s">
        <v>463</v>
      </c>
      <c r="E3980" t="s">
        <v>1025</v>
      </c>
      <c r="F3980" t="s">
        <v>5631</v>
      </c>
      <c r="G3980" t="s">
        <v>9301</v>
      </c>
      <c r="I3980" t="s">
        <v>11385</v>
      </c>
      <c r="J3980">
        <v>11226</v>
      </c>
      <c r="K3980" t="s">
        <v>11446</v>
      </c>
      <c r="L3980" t="s">
        <v>13513</v>
      </c>
      <c r="M3980" t="s">
        <v>14744</v>
      </c>
      <c r="N3980" t="s">
        <v>14781</v>
      </c>
      <c r="P3980" t="s">
        <v>14804</v>
      </c>
      <c r="S3980" t="s">
        <v>14827</v>
      </c>
      <c r="U3980" t="s">
        <v>463</v>
      </c>
      <c r="V3980">
        <v>0</v>
      </c>
      <c r="W3980" t="s">
        <v>14859</v>
      </c>
      <c r="X3980" t="s">
        <v>14865</v>
      </c>
      <c r="Z3980" t="s">
        <v>18192</v>
      </c>
      <c r="AA3980" t="s">
        <v>19826</v>
      </c>
      <c r="AB3980" t="s">
        <v>23298</v>
      </c>
      <c r="AC3980">
        <v>0</v>
      </c>
      <c r="AF3980">
        <v>0</v>
      </c>
      <c r="AG3980">
        <v>2</v>
      </c>
      <c r="AH3980">
        <v>2</v>
      </c>
      <c r="AI3980">
        <v>113.79</v>
      </c>
      <c r="AL3980" t="s">
        <v>5011</v>
      </c>
      <c r="AM3980">
        <v>29300.96</v>
      </c>
      <c r="AS3980">
        <v>1.3</v>
      </c>
      <c r="AT3980" t="s">
        <v>578</v>
      </c>
      <c r="AU3980" t="s">
        <v>25235</v>
      </c>
      <c r="AV3980" t="s">
        <v>25335</v>
      </c>
      <c r="AW3980" t="s">
        <v>11447</v>
      </c>
    </row>
    <row r="3981" spans="1:49">
      <c r="A3981" s="1">
        <f>HYPERLINK("https://lsnyc.legalserver.org/matter/dynamic-profile/view/1909722","19-1909722")</f>
        <v>0</v>
      </c>
      <c r="B3981" t="s">
        <v>281</v>
      </c>
      <c r="C3981" t="s">
        <v>519</v>
      </c>
      <c r="E3981" t="s">
        <v>1540</v>
      </c>
      <c r="F3981" t="s">
        <v>5632</v>
      </c>
      <c r="G3981" t="s">
        <v>9302</v>
      </c>
      <c r="H3981" t="s">
        <v>10562</v>
      </c>
      <c r="I3981" t="s">
        <v>11385</v>
      </c>
      <c r="J3981">
        <v>11221</v>
      </c>
      <c r="K3981" t="s">
        <v>11446</v>
      </c>
      <c r="L3981" t="s">
        <v>13514</v>
      </c>
      <c r="M3981" t="s">
        <v>14744</v>
      </c>
      <c r="N3981" t="s">
        <v>14781</v>
      </c>
      <c r="P3981" t="s">
        <v>14804</v>
      </c>
      <c r="Q3981" t="s">
        <v>11448</v>
      </c>
      <c r="S3981" t="s">
        <v>14827</v>
      </c>
      <c r="U3981" t="s">
        <v>519</v>
      </c>
      <c r="V3981">
        <v>0</v>
      </c>
      <c r="W3981" t="s">
        <v>14859</v>
      </c>
      <c r="X3981" t="s">
        <v>14881</v>
      </c>
      <c r="Z3981" t="s">
        <v>18193</v>
      </c>
      <c r="AB3981" t="s">
        <v>23299</v>
      </c>
      <c r="AC3981">
        <v>0</v>
      </c>
      <c r="AF3981">
        <v>0</v>
      </c>
      <c r="AG3981">
        <v>1</v>
      </c>
      <c r="AH3981">
        <v>0</v>
      </c>
      <c r="AI3981">
        <v>67.25</v>
      </c>
      <c r="AL3981" t="s">
        <v>24632</v>
      </c>
      <c r="AM3981">
        <v>8400</v>
      </c>
      <c r="AS3981">
        <v>7.2</v>
      </c>
      <c r="AT3981" t="s">
        <v>509</v>
      </c>
      <c r="AU3981" t="s">
        <v>25285</v>
      </c>
      <c r="AV3981" t="s">
        <v>25335</v>
      </c>
      <c r="AW3981" t="s">
        <v>11447</v>
      </c>
    </row>
    <row r="3982" spans="1:49">
      <c r="A3982" s="1">
        <f>HYPERLINK("https://lsnyc.legalserver.org/matter/dynamic-profile/view/1909777","19-1909777")</f>
        <v>0</v>
      </c>
      <c r="B3982" t="s">
        <v>150</v>
      </c>
      <c r="C3982" t="s">
        <v>519</v>
      </c>
      <c r="E3982" t="s">
        <v>2906</v>
      </c>
      <c r="F3982" t="s">
        <v>5075</v>
      </c>
      <c r="G3982" t="s">
        <v>6405</v>
      </c>
      <c r="H3982" t="s">
        <v>11211</v>
      </c>
      <c r="I3982" t="s">
        <v>11385</v>
      </c>
      <c r="J3982">
        <v>11216</v>
      </c>
      <c r="K3982" t="s">
        <v>11446</v>
      </c>
      <c r="L3982" t="s">
        <v>13515</v>
      </c>
      <c r="M3982" t="s">
        <v>14744</v>
      </c>
      <c r="N3982" t="s">
        <v>14781</v>
      </c>
      <c r="P3982" t="s">
        <v>14804</v>
      </c>
      <c r="S3982" t="s">
        <v>14827</v>
      </c>
      <c r="U3982" t="s">
        <v>519</v>
      </c>
      <c r="V3982">
        <v>809</v>
      </c>
      <c r="W3982" t="s">
        <v>14859</v>
      </c>
      <c r="X3982" t="s">
        <v>14868</v>
      </c>
      <c r="Z3982" t="s">
        <v>18194</v>
      </c>
      <c r="AC3982">
        <v>62</v>
      </c>
      <c r="AD3982" t="s">
        <v>24596</v>
      </c>
      <c r="AE3982" t="s">
        <v>24610</v>
      </c>
      <c r="AF3982">
        <v>41</v>
      </c>
      <c r="AG3982">
        <v>1</v>
      </c>
      <c r="AH3982">
        <v>0</v>
      </c>
      <c r="AI3982">
        <v>168.41</v>
      </c>
      <c r="AL3982" t="s">
        <v>5011</v>
      </c>
      <c r="AM3982">
        <v>21034</v>
      </c>
      <c r="AS3982">
        <v>6.4</v>
      </c>
      <c r="AT3982" t="s">
        <v>478</v>
      </c>
      <c r="AU3982" t="s">
        <v>25235</v>
      </c>
      <c r="AV3982" t="s">
        <v>25335</v>
      </c>
      <c r="AW3982" t="s">
        <v>11447</v>
      </c>
    </row>
    <row r="3983" spans="1:49">
      <c r="A3983" s="1">
        <f>HYPERLINK("https://lsnyc.legalserver.org/matter/dynamic-profile/view/1909998","19-1909998")</f>
        <v>0</v>
      </c>
      <c r="B3983" t="s">
        <v>275</v>
      </c>
      <c r="C3983" t="s">
        <v>468</v>
      </c>
      <c r="E3983" t="s">
        <v>1211</v>
      </c>
      <c r="F3983" t="s">
        <v>3685</v>
      </c>
      <c r="G3983" t="s">
        <v>9291</v>
      </c>
      <c r="H3983" t="s">
        <v>11212</v>
      </c>
      <c r="I3983" t="s">
        <v>11385</v>
      </c>
      <c r="J3983">
        <v>11221</v>
      </c>
      <c r="K3983" t="s">
        <v>11446</v>
      </c>
      <c r="L3983" t="s">
        <v>13499</v>
      </c>
      <c r="M3983" t="s">
        <v>14743</v>
      </c>
      <c r="N3983" t="s">
        <v>14778</v>
      </c>
      <c r="P3983" t="s">
        <v>14804</v>
      </c>
      <c r="S3983" t="s">
        <v>14827</v>
      </c>
      <c r="U3983" t="s">
        <v>468</v>
      </c>
      <c r="V3983">
        <v>0</v>
      </c>
      <c r="W3983" t="s">
        <v>14859</v>
      </c>
      <c r="Z3983" t="s">
        <v>18195</v>
      </c>
      <c r="AC3983">
        <v>0</v>
      </c>
      <c r="AF3983">
        <v>0</v>
      </c>
      <c r="AG3983">
        <v>1</v>
      </c>
      <c r="AH3983">
        <v>0</v>
      </c>
      <c r="AI3983">
        <v>104.08</v>
      </c>
      <c r="AL3983" t="s">
        <v>24632</v>
      </c>
      <c r="AM3983">
        <v>13000</v>
      </c>
      <c r="AS3983">
        <v>0</v>
      </c>
      <c r="AU3983" t="s">
        <v>25277</v>
      </c>
      <c r="AV3983" t="s">
        <v>25335</v>
      </c>
      <c r="AW3983" t="s">
        <v>11447</v>
      </c>
    </row>
    <row r="3984" spans="1:49">
      <c r="A3984" s="1">
        <f>HYPERLINK("https://lsnyc.legalserver.org/matter/dynamic-profile/view/1910206","19-1910206")</f>
        <v>0</v>
      </c>
      <c r="B3984" t="s">
        <v>267</v>
      </c>
      <c r="C3984" t="s">
        <v>528</v>
      </c>
      <c r="E3984" t="s">
        <v>2995</v>
      </c>
      <c r="F3984" t="s">
        <v>5633</v>
      </c>
      <c r="G3984" t="s">
        <v>7293</v>
      </c>
      <c r="H3984" t="s">
        <v>10575</v>
      </c>
      <c r="I3984" t="s">
        <v>11385</v>
      </c>
      <c r="J3984">
        <v>11226</v>
      </c>
      <c r="K3984" t="s">
        <v>11446</v>
      </c>
      <c r="L3984" t="s">
        <v>13516</v>
      </c>
      <c r="M3984" t="s">
        <v>14744</v>
      </c>
      <c r="N3984" t="s">
        <v>14781</v>
      </c>
      <c r="P3984" t="s">
        <v>14804</v>
      </c>
      <c r="S3984" t="s">
        <v>14827</v>
      </c>
      <c r="U3984" t="s">
        <v>528</v>
      </c>
      <c r="V3984">
        <v>0</v>
      </c>
      <c r="W3984" t="s">
        <v>14859</v>
      </c>
      <c r="X3984" t="s">
        <v>14865</v>
      </c>
      <c r="Z3984" t="s">
        <v>18196</v>
      </c>
      <c r="AB3984" t="s">
        <v>23300</v>
      </c>
      <c r="AC3984">
        <v>0</v>
      </c>
      <c r="AF3984">
        <v>0</v>
      </c>
      <c r="AG3984">
        <v>2</v>
      </c>
      <c r="AH3984">
        <v>0</v>
      </c>
      <c r="AI3984">
        <v>501.48</v>
      </c>
      <c r="AL3984" t="s">
        <v>5011</v>
      </c>
      <c r="AM3984">
        <v>84800</v>
      </c>
      <c r="AS3984">
        <v>13.8</v>
      </c>
      <c r="AT3984" t="s">
        <v>574</v>
      </c>
      <c r="AU3984" t="s">
        <v>25235</v>
      </c>
      <c r="AV3984" t="s">
        <v>25335</v>
      </c>
      <c r="AW3984" t="s">
        <v>11447</v>
      </c>
    </row>
    <row r="3985" spans="1:49">
      <c r="A3985" s="1">
        <f>HYPERLINK("https://lsnyc.legalserver.org/matter/dynamic-profile/view/1910279","19-1910279")</f>
        <v>0</v>
      </c>
      <c r="B3985" t="s">
        <v>281</v>
      </c>
      <c r="C3985" t="s">
        <v>540</v>
      </c>
      <c r="E3985" t="s">
        <v>2996</v>
      </c>
      <c r="F3985" t="s">
        <v>3647</v>
      </c>
      <c r="G3985" t="s">
        <v>6415</v>
      </c>
      <c r="H3985" t="s">
        <v>11213</v>
      </c>
      <c r="I3985" t="s">
        <v>11385</v>
      </c>
      <c r="J3985">
        <v>11225</v>
      </c>
      <c r="K3985" t="s">
        <v>11446</v>
      </c>
      <c r="L3985" t="s">
        <v>13517</v>
      </c>
      <c r="M3985" t="s">
        <v>14744</v>
      </c>
      <c r="N3985" t="s">
        <v>14781</v>
      </c>
      <c r="P3985" t="s">
        <v>14804</v>
      </c>
      <c r="S3985" t="s">
        <v>14827</v>
      </c>
      <c r="U3985" t="s">
        <v>540</v>
      </c>
      <c r="V3985">
        <v>1339.23</v>
      </c>
      <c r="W3985" t="s">
        <v>14859</v>
      </c>
      <c r="X3985" t="s">
        <v>14881</v>
      </c>
      <c r="Z3985" t="s">
        <v>18197</v>
      </c>
      <c r="AB3985" t="s">
        <v>23301</v>
      </c>
      <c r="AC3985">
        <v>0</v>
      </c>
      <c r="AF3985">
        <v>0</v>
      </c>
      <c r="AG3985">
        <v>3</v>
      </c>
      <c r="AH3985">
        <v>0</v>
      </c>
      <c r="AI3985">
        <v>239.1</v>
      </c>
      <c r="AJ3985" t="s">
        <v>551</v>
      </c>
      <c r="AK3985" t="s">
        <v>24629</v>
      </c>
      <c r="AM3985">
        <v>51000</v>
      </c>
      <c r="AS3985">
        <v>4.1</v>
      </c>
      <c r="AT3985" t="s">
        <v>491</v>
      </c>
      <c r="AU3985" t="s">
        <v>25275</v>
      </c>
      <c r="AV3985" t="s">
        <v>25335</v>
      </c>
      <c r="AW3985" t="s">
        <v>11447</v>
      </c>
    </row>
    <row r="3986" spans="1:49">
      <c r="A3986" s="1">
        <f>HYPERLINK("https://lsnyc.legalserver.org/matter/dynamic-profile/view/1910340","19-1910340")</f>
        <v>0</v>
      </c>
      <c r="B3986" t="s">
        <v>240</v>
      </c>
      <c r="C3986" t="s">
        <v>540</v>
      </c>
      <c r="E3986" t="s">
        <v>1025</v>
      </c>
      <c r="F3986" t="s">
        <v>5634</v>
      </c>
      <c r="G3986" t="s">
        <v>9273</v>
      </c>
      <c r="H3986">
        <v>123</v>
      </c>
      <c r="I3986" t="s">
        <v>11385</v>
      </c>
      <c r="J3986">
        <v>11226</v>
      </c>
      <c r="K3986" t="s">
        <v>11446</v>
      </c>
      <c r="L3986" t="s">
        <v>13518</v>
      </c>
      <c r="M3986" t="s">
        <v>14744</v>
      </c>
      <c r="N3986" t="s">
        <v>14778</v>
      </c>
      <c r="P3986" t="s">
        <v>14804</v>
      </c>
      <c r="S3986" t="s">
        <v>14827</v>
      </c>
      <c r="U3986" t="s">
        <v>540</v>
      </c>
      <c r="V3986">
        <v>0</v>
      </c>
      <c r="W3986" t="s">
        <v>14859</v>
      </c>
      <c r="X3986" t="s">
        <v>14865</v>
      </c>
      <c r="Z3986" t="s">
        <v>18198</v>
      </c>
      <c r="AB3986" t="s">
        <v>23302</v>
      </c>
      <c r="AC3986">
        <v>0</v>
      </c>
      <c r="AF3986">
        <v>0</v>
      </c>
      <c r="AG3986">
        <v>2</v>
      </c>
      <c r="AH3986">
        <v>0</v>
      </c>
      <c r="AI3986">
        <v>295.68</v>
      </c>
      <c r="AJ3986" t="s">
        <v>551</v>
      </c>
      <c r="AK3986" t="s">
        <v>24629</v>
      </c>
      <c r="AL3986" t="s">
        <v>24641</v>
      </c>
      <c r="AM3986">
        <v>50000</v>
      </c>
      <c r="AS3986">
        <v>0.75</v>
      </c>
      <c r="AT3986" t="s">
        <v>539</v>
      </c>
      <c r="AU3986" t="s">
        <v>25235</v>
      </c>
      <c r="AV3986" t="s">
        <v>25335</v>
      </c>
      <c r="AW3986" t="s">
        <v>11447</v>
      </c>
    </row>
    <row r="3987" spans="1:49">
      <c r="A3987" s="1">
        <f>HYPERLINK("https://lsnyc.legalserver.org/matter/dynamic-profile/view/1910455","19-1910455")</f>
        <v>0</v>
      </c>
      <c r="B3987" t="s">
        <v>133</v>
      </c>
      <c r="C3987" t="s">
        <v>508</v>
      </c>
      <c r="E3987" t="s">
        <v>2997</v>
      </c>
      <c r="F3987" t="s">
        <v>5635</v>
      </c>
      <c r="G3987" t="s">
        <v>9303</v>
      </c>
      <c r="H3987" t="s">
        <v>10680</v>
      </c>
      <c r="I3987" t="s">
        <v>11385</v>
      </c>
      <c r="J3987">
        <v>11225</v>
      </c>
      <c r="K3987" t="s">
        <v>11446</v>
      </c>
      <c r="L3987" t="s">
        <v>13519</v>
      </c>
      <c r="M3987" t="s">
        <v>14744</v>
      </c>
      <c r="N3987" t="s">
        <v>14778</v>
      </c>
      <c r="P3987" t="s">
        <v>14804</v>
      </c>
      <c r="S3987" t="s">
        <v>14827</v>
      </c>
      <c r="U3987" t="s">
        <v>508</v>
      </c>
      <c r="V3987">
        <v>0</v>
      </c>
      <c r="W3987" t="s">
        <v>14859</v>
      </c>
      <c r="Z3987" t="s">
        <v>18199</v>
      </c>
      <c r="AB3987" t="s">
        <v>23303</v>
      </c>
      <c r="AC3987">
        <v>0</v>
      </c>
      <c r="AF3987">
        <v>0</v>
      </c>
      <c r="AG3987">
        <v>2</v>
      </c>
      <c r="AH3987">
        <v>1</v>
      </c>
      <c r="AI3987">
        <v>0</v>
      </c>
      <c r="AL3987" t="s">
        <v>5011</v>
      </c>
      <c r="AM3987">
        <v>0</v>
      </c>
      <c r="AS3987">
        <v>7</v>
      </c>
      <c r="AT3987" t="s">
        <v>509</v>
      </c>
      <c r="AU3987" t="s">
        <v>25277</v>
      </c>
      <c r="AV3987" t="s">
        <v>25335</v>
      </c>
      <c r="AW3987" t="s">
        <v>11447</v>
      </c>
    </row>
    <row r="3988" spans="1:49">
      <c r="A3988" s="1">
        <f>HYPERLINK("https://lsnyc.legalserver.org/matter/dynamic-profile/view/1910319","19-1910319")</f>
        <v>0</v>
      </c>
      <c r="B3988" t="s">
        <v>133</v>
      </c>
      <c r="C3988" t="s">
        <v>508</v>
      </c>
      <c r="E3988" t="s">
        <v>1054</v>
      </c>
      <c r="F3988" t="s">
        <v>5636</v>
      </c>
      <c r="G3988" t="s">
        <v>9304</v>
      </c>
      <c r="H3988" t="s">
        <v>10529</v>
      </c>
      <c r="I3988" t="s">
        <v>11385</v>
      </c>
      <c r="J3988">
        <v>11216</v>
      </c>
      <c r="K3988" t="s">
        <v>11446</v>
      </c>
      <c r="L3988" t="s">
        <v>13520</v>
      </c>
      <c r="M3988" t="s">
        <v>14744</v>
      </c>
      <c r="N3988" t="s">
        <v>14781</v>
      </c>
      <c r="P3988" t="s">
        <v>14804</v>
      </c>
      <c r="Q3988" t="s">
        <v>11448</v>
      </c>
      <c r="S3988" t="s">
        <v>14827</v>
      </c>
      <c r="T3988" t="s">
        <v>14832</v>
      </c>
      <c r="U3988" t="s">
        <v>508</v>
      </c>
      <c r="V3988">
        <v>400</v>
      </c>
      <c r="W3988" t="s">
        <v>14859</v>
      </c>
      <c r="X3988" t="s">
        <v>14881</v>
      </c>
      <c r="Z3988" t="s">
        <v>18200</v>
      </c>
      <c r="AA3988" t="s">
        <v>19827</v>
      </c>
      <c r="AB3988" t="s">
        <v>23304</v>
      </c>
      <c r="AC3988">
        <v>0</v>
      </c>
      <c r="AD3988" t="s">
        <v>24595</v>
      </c>
      <c r="AF3988">
        <v>9</v>
      </c>
      <c r="AG3988">
        <v>1</v>
      </c>
      <c r="AH3988">
        <v>2</v>
      </c>
      <c r="AI3988">
        <v>16.88</v>
      </c>
      <c r="AL3988" t="s">
        <v>5011</v>
      </c>
      <c r="AM3988">
        <v>3600</v>
      </c>
      <c r="AS3988">
        <v>3.5</v>
      </c>
      <c r="AT3988" t="s">
        <v>586</v>
      </c>
      <c r="AU3988" t="s">
        <v>25285</v>
      </c>
      <c r="AV3988" t="s">
        <v>25335</v>
      </c>
      <c r="AW3988" t="s">
        <v>11447</v>
      </c>
    </row>
    <row r="3989" spans="1:49">
      <c r="A3989" s="1">
        <f>HYPERLINK("https://lsnyc.legalserver.org/matter/dynamic-profile/view/1911612","19-1911612")</f>
        <v>0</v>
      </c>
      <c r="B3989" t="s">
        <v>278</v>
      </c>
      <c r="C3989" t="s">
        <v>526</v>
      </c>
      <c r="E3989" t="s">
        <v>2998</v>
      </c>
      <c r="F3989" t="s">
        <v>5637</v>
      </c>
      <c r="G3989" t="s">
        <v>9305</v>
      </c>
      <c r="H3989">
        <v>6</v>
      </c>
      <c r="I3989" t="s">
        <v>11385</v>
      </c>
      <c r="J3989">
        <v>11226</v>
      </c>
      <c r="K3989" t="s">
        <v>11446</v>
      </c>
      <c r="L3989" t="s">
        <v>13521</v>
      </c>
      <c r="M3989" t="s">
        <v>14744</v>
      </c>
      <c r="N3989" t="s">
        <v>14781</v>
      </c>
      <c r="P3989" t="s">
        <v>14804</v>
      </c>
      <c r="Q3989" t="s">
        <v>11448</v>
      </c>
      <c r="S3989" t="s">
        <v>14827</v>
      </c>
      <c r="U3989" t="s">
        <v>663</v>
      </c>
      <c r="V3989">
        <v>1950</v>
      </c>
      <c r="W3989" t="s">
        <v>14859</v>
      </c>
      <c r="Z3989" t="s">
        <v>15687</v>
      </c>
      <c r="AA3989" t="s">
        <v>11459</v>
      </c>
      <c r="AB3989" t="s">
        <v>23305</v>
      </c>
      <c r="AC3989">
        <v>0</v>
      </c>
      <c r="AD3989" t="s">
        <v>24595</v>
      </c>
      <c r="AE3989" t="s">
        <v>11459</v>
      </c>
      <c r="AF3989">
        <v>4</v>
      </c>
      <c r="AG3989">
        <v>3</v>
      </c>
      <c r="AH3989">
        <v>1</v>
      </c>
      <c r="AI3989">
        <v>161.55</v>
      </c>
      <c r="AL3989" t="s">
        <v>24641</v>
      </c>
      <c r="AM3989">
        <v>41600</v>
      </c>
      <c r="AS3989">
        <v>56.4</v>
      </c>
      <c r="AT3989" t="s">
        <v>495</v>
      </c>
      <c r="AU3989" t="s">
        <v>25246</v>
      </c>
      <c r="AV3989" t="s">
        <v>25335</v>
      </c>
      <c r="AW3989" t="s">
        <v>11447</v>
      </c>
    </row>
    <row r="3990" spans="1:49">
      <c r="A3990" s="1">
        <f>HYPERLINK("https://lsnyc.legalserver.org/matter/dynamic-profile/view/1910800","19-1910800")</f>
        <v>0</v>
      </c>
      <c r="B3990" t="s">
        <v>141</v>
      </c>
      <c r="C3990" t="s">
        <v>601</v>
      </c>
      <c r="E3990" t="s">
        <v>2999</v>
      </c>
      <c r="F3990" t="s">
        <v>5638</v>
      </c>
      <c r="G3990" t="s">
        <v>9306</v>
      </c>
      <c r="H3990" t="s">
        <v>10575</v>
      </c>
      <c r="I3990" t="s">
        <v>11385</v>
      </c>
      <c r="J3990">
        <v>11226</v>
      </c>
      <c r="K3990" t="s">
        <v>11446</v>
      </c>
      <c r="L3990" t="s">
        <v>13522</v>
      </c>
      <c r="M3990" t="s">
        <v>14743</v>
      </c>
      <c r="N3990" t="s">
        <v>14781</v>
      </c>
      <c r="P3990" t="s">
        <v>14804</v>
      </c>
      <c r="Q3990" t="s">
        <v>11448</v>
      </c>
      <c r="S3990" t="s">
        <v>14827</v>
      </c>
      <c r="U3990" t="s">
        <v>601</v>
      </c>
      <c r="V3990">
        <v>0</v>
      </c>
      <c r="W3990" t="s">
        <v>14859</v>
      </c>
      <c r="X3990" t="s">
        <v>14881</v>
      </c>
      <c r="Z3990" t="s">
        <v>18201</v>
      </c>
      <c r="AB3990" t="s">
        <v>23306</v>
      </c>
      <c r="AC3990">
        <v>0</v>
      </c>
      <c r="AF3990">
        <v>0</v>
      </c>
      <c r="AG3990">
        <v>1</v>
      </c>
      <c r="AH3990">
        <v>0</v>
      </c>
      <c r="AI3990">
        <v>0</v>
      </c>
      <c r="AL3990" t="s">
        <v>5011</v>
      </c>
      <c r="AM3990">
        <v>0</v>
      </c>
      <c r="AS3990">
        <v>11.8</v>
      </c>
      <c r="AT3990" t="s">
        <v>478</v>
      </c>
      <c r="AU3990" t="s">
        <v>25285</v>
      </c>
      <c r="AV3990" t="s">
        <v>25335</v>
      </c>
      <c r="AW3990" t="s">
        <v>11447</v>
      </c>
    </row>
    <row r="3991" spans="1:49">
      <c r="A3991" s="1">
        <f>HYPERLINK("https://lsnyc.legalserver.org/matter/dynamic-profile/view/1910806","19-1910806")</f>
        <v>0</v>
      </c>
      <c r="B3991" t="s">
        <v>240</v>
      </c>
      <c r="C3991" t="s">
        <v>601</v>
      </c>
      <c r="E3991" t="s">
        <v>1249</v>
      </c>
      <c r="F3991" t="s">
        <v>4196</v>
      </c>
      <c r="G3991" t="s">
        <v>9307</v>
      </c>
      <c r="H3991" t="s">
        <v>10450</v>
      </c>
      <c r="I3991" t="s">
        <v>11385</v>
      </c>
      <c r="J3991">
        <v>11226</v>
      </c>
      <c r="K3991" t="s">
        <v>11446</v>
      </c>
      <c r="L3991" t="s">
        <v>13523</v>
      </c>
      <c r="M3991" t="s">
        <v>14744</v>
      </c>
      <c r="N3991" t="s">
        <v>14781</v>
      </c>
      <c r="P3991" t="s">
        <v>14804</v>
      </c>
      <c r="Q3991" t="s">
        <v>11448</v>
      </c>
      <c r="S3991" t="s">
        <v>14827</v>
      </c>
      <c r="U3991" t="s">
        <v>601</v>
      </c>
      <c r="V3991">
        <v>0</v>
      </c>
      <c r="W3991" t="s">
        <v>14859</v>
      </c>
      <c r="X3991" t="s">
        <v>14881</v>
      </c>
      <c r="Z3991" t="s">
        <v>18202</v>
      </c>
      <c r="AB3991" t="s">
        <v>23307</v>
      </c>
      <c r="AC3991">
        <v>0</v>
      </c>
      <c r="AF3991">
        <v>0</v>
      </c>
      <c r="AG3991">
        <v>3</v>
      </c>
      <c r="AH3991">
        <v>0</v>
      </c>
      <c r="AI3991">
        <v>25.32</v>
      </c>
      <c r="AL3991" t="s">
        <v>24632</v>
      </c>
      <c r="AM3991">
        <v>5400</v>
      </c>
      <c r="AS3991">
        <v>3.5</v>
      </c>
      <c r="AT3991" t="s">
        <v>537</v>
      </c>
      <c r="AU3991" t="s">
        <v>25285</v>
      </c>
      <c r="AV3991" t="s">
        <v>25335</v>
      </c>
      <c r="AW3991" t="s">
        <v>11447</v>
      </c>
    </row>
    <row r="3992" spans="1:49">
      <c r="A3992" s="1">
        <f>HYPERLINK("https://lsnyc.legalserver.org/matter/dynamic-profile/view/1910868","19-1910868")</f>
        <v>0</v>
      </c>
      <c r="B3992" t="s">
        <v>240</v>
      </c>
      <c r="C3992" t="s">
        <v>601</v>
      </c>
      <c r="E3992" t="s">
        <v>1353</v>
      </c>
      <c r="F3992" t="s">
        <v>1276</v>
      </c>
      <c r="G3992" t="s">
        <v>9271</v>
      </c>
      <c r="H3992" t="s">
        <v>10665</v>
      </c>
      <c r="I3992" t="s">
        <v>11385</v>
      </c>
      <c r="J3992">
        <v>11226</v>
      </c>
      <c r="K3992" t="s">
        <v>11446</v>
      </c>
      <c r="L3992" t="s">
        <v>13524</v>
      </c>
      <c r="M3992" t="s">
        <v>14744</v>
      </c>
      <c r="N3992" t="s">
        <v>14778</v>
      </c>
      <c r="P3992" t="s">
        <v>14804</v>
      </c>
      <c r="S3992" t="s">
        <v>14827</v>
      </c>
      <c r="U3992" t="s">
        <v>601</v>
      </c>
      <c r="V3992">
        <v>0</v>
      </c>
      <c r="W3992" t="s">
        <v>14859</v>
      </c>
      <c r="Z3992" t="s">
        <v>18203</v>
      </c>
      <c r="AC3992">
        <v>0</v>
      </c>
      <c r="AF3992">
        <v>0</v>
      </c>
      <c r="AG3992">
        <v>1</v>
      </c>
      <c r="AH3992">
        <v>2</v>
      </c>
      <c r="AI3992">
        <v>57.2</v>
      </c>
      <c r="AL3992" t="s">
        <v>5011</v>
      </c>
      <c r="AM3992">
        <v>12200</v>
      </c>
      <c r="AS3992">
        <v>3</v>
      </c>
      <c r="AT3992" t="s">
        <v>537</v>
      </c>
      <c r="AU3992" t="s">
        <v>25277</v>
      </c>
      <c r="AV3992" t="s">
        <v>25335</v>
      </c>
      <c r="AW3992" t="s">
        <v>11447</v>
      </c>
    </row>
    <row r="3993" spans="1:49">
      <c r="A3993" s="1">
        <f>HYPERLINK("https://lsnyc.legalserver.org/matter/dynamic-profile/view/1910999","19-1910999")</f>
        <v>0</v>
      </c>
      <c r="B3993" t="s">
        <v>150</v>
      </c>
      <c r="C3993" t="s">
        <v>460</v>
      </c>
      <c r="E3993" t="s">
        <v>3000</v>
      </c>
      <c r="F3993" t="s">
        <v>5639</v>
      </c>
      <c r="G3993" t="s">
        <v>9308</v>
      </c>
      <c r="H3993" t="s">
        <v>10738</v>
      </c>
      <c r="I3993" t="s">
        <v>11385</v>
      </c>
      <c r="J3993">
        <v>11221</v>
      </c>
      <c r="K3993" t="s">
        <v>11446</v>
      </c>
      <c r="L3993" t="s">
        <v>13525</v>
      </c>
      <c r="M3993" t="s">
        <v>14744</v>
      </c>
      <c r="N3993" t="s">
        <v>14781</v>
      </c>
      <c r="P3993" t="s">
        <v>14804</v>
      </c>
      <c r="Q3993" t="s">
        <v>11448</v>
      </c>
      <c r="S3993" t="s">
        <v>14827</v>
      </c>
      <c r="T3993" t="s">
        <v>14832</v>
      </c>
      <c r="U3993" t="s">
        <v>604</v>
      </c>
      <c r="V3993">
        <v>780</v>
      </c>
      <c r="W3993" t="s">
        <v>14859</v>
      </c>
      <c r="X3993" t="s">
        <v>14881</v>
      </c>
      <c r="Z3993" t="s">
        <v>18204</v>
      </c>
      <c r="AA3993" t="s">
        <v>19828</v>
      </c>
      <c r="AB3993" t="s">
        <v>23308</v>
      </c>
      <c r="AC3993">
        <v>42</v>
      </c>
      <c r="AD3993" t="s">
        <v>24595</v>
      </c>
      <c r="AE3993" t="s">
        <v>11459</v>
      </c>
      <c r="AF3993">
        <v>3</v>
      </c>
      <c r="AG3993">
        <v>1</v>
      </c>
      <c r="AH3993">
        <v>0</v>
      </c>
      <c r="AI3993">
        <v>0</v>
      </c>
      <c r="AL3993" t="s">
        <v>5011</v>
      </c>
      <c r="AM3993">
        <v>0</v>
      </c>
      <c r="AS3993">
        <v>4.2</v>
      </c>
      <c r="AT3993" t="s">
        <v>580</v>
      </c>
      <c r="AU3993" t="s">
        <v>25235</v>
      </c>
      <c r="AV3993" t="s">
        <v>25335</v>
      </c>
      <c r="AW3993" t="s">
        <v>11447</v>
      </c>
    </row>
    <row r="3994" spans="1:49">
      <c r="A3994" s="1">
        <f>HYPERLINK("https://lsnyc.legalserver.org/matter/dynamic-profile/view/1910953","19-1910953")</f>
        <v>0</v>
      </c>
      <c r="B3994" t="s">
        <v>238</v>
      </c>
      <c r="C3994" t="s">
        <v>604</v>
      </c>
      <c r="E3994" t="s">
        <v>3001</v>
      </c>
      <c r="F3994" t="s">
        <v>3799</v>
      </c>
      <c r="G3994" t="s">
        <v>9309</v>
      </c>
      <c r="H3994" t="s">
        <v>10637</v>
      </c>
      <c r="I3994" t="s">
        <v>11385</v>
      </c>
      <c r="J3994">
        <v>11216</v>
      </c>
      <c r="K3994" t="s">
        <v>11446</v>
      </c>
      <c r="L3994" t="s">
        <v>13526</v>
      </c>
      <c r="M3994" t="s">
        <v>14743</v>
      </c>
      <c r="N3994" t="s">
        <v>14782</v>
      </c>
      <c r="P3994" t="s">
        <v>14804</v>
      </c>
      <c r="S3994" t="s">
        <v>14827</v>
      </c>
      <c r="U3994" t="s">
        <v>604</v>
      </c>
      <c r="V3994">
        <v>0</v>
      </c>
      <c r="W3994" t="s">
        <v>14859</v>
      </c>
      <c r="X3994" t="s">
        <v>14865</v>
      </c>
      <c r="Z3994" t="s">
        <v>18205</v>
      </c>
      <c r="AA3994" t="s">
        <v>19829</v>
      </c>
      <c r="AB3994" t="s">
        <v>23309</v>
      </c>
      <c r="AC3994">
        <v>0</v>
      </c>
      <c r="AF3994">
        <v>0</v>
      </c>
      <c r="AG3994">
        <v>1</v>
      </c>
      <c r="AH3994">
        <v>3</v>
      </c>
      <c r="AI3994">
        <v>0</v>
      </c>
      <c r="AL3994" t="s">
        <v>5011</v>
      </c>
      <c r="AM3994">
        <v>0</v>
      </c>
      <c r="AS3994">
        <v>7.9</v>
      </c>
      <c r="AT3994" t="s">
        <v>537</v>
      </c>
      <c r="AU3994" t="s">
        <v>25235</v>
      </c>
      <c r="AV3994" t="s">
        <v>25335</v>
      </c>
      <c r="AW3994" t="s">
        <v>11447</v>
      </c>
    </row>
    <row r="3995" spans="1:49">
      <c r="A3995" s="1">
        <f>HYPERLINK("https://lsnyc.legalserver.org/matter/dynamic-profile/view/1910831","19-1910831")</f>
        <v>0</v>
      </c>
      <c r="B3995" t="s">
        <v>93</v>
      </c>
      <c r="C3995" t="s">
        <v>601</v>
      </c>
      <c r="E3995" t="s">
        <v>3002</v>
      </c>
      <c r="F3995" t="s">
        <v>4037</v>
      </c>
      <c r="G3995" t="s">
        <v>9310</v>
      </c>
      <c r="H3995" t="s">
        <v>10589</v>
      </c>
      <c r="I3995" t="s">
        <v>11385</v>
      </c>
      <c r="J3995">
        <v>11225</v>
      </c>
      <c r="K3995" t="s">
        <v>11446</v>
      </c>
      <c r="L3995" t="s">
        <v>13527</v>
      </c>
      <c r="M3995" t="s">
        <v>14744</v>
      </c>
      <c r="N3995" t="s">
        <v>14781</v>
      </c>
      <c r="P3995" t="s">
        <v>14804</v>
      </c>
      <c r="Q3995" t="s">
        <v>11448</v>
      </c>
      <c r="S3995" t="s">
        <v>14827</v>
      </c>
      <c r="T3995" t="s">
        <v>14832</v>
      </c>
      <c r="U3995" t="s">
        <v>604</v>
      </c>
      <c r="V3995">
        <v>1255.26</v>
      </c>
      <c r="W3995" t="s">
        <v>14859</v>
      </c>
      <c r="X3995" t="s">
        <v>14881</v>
      </c>
      <c r="Z3995" t="s">
        <v>18206</v>
      </c>
      <c r="AA3995" t="s">
        <v>19830</v>
      </c>
      <c r="AB3995" t="s">
        <v>23310</v>
      </c>
      <c r="AC3995">
        <v>16</v>
      </c>
      <c r="AD3995" t="s">
        <v>24595</v>
      </c>
      <c r="AE3995" t="s">
        <v>11459</v>
      </c>
      <c r="AF3995">
        <v>29</v>
      </c>
      <c r="AG3995">
        <v>2</v>
      </c>
      <c r="AH3995">
        <v>3</v>
      </c>
      <c r="AI3995">
        <v>5.65</v>
      </c>
      <c r="AL3995" t="s">
        <v>5011</v>
      </c>
      <c r="AM3995">
        <v>1704</v>
      </c>
      <c r="AS3995">
        <v>7.2</v>
      </c>
      <c r="AT3995" t="s">
        <v>516</v>
      </c>
      <c r="AU3995" t="s">
        <v>25235</v>
      </c>
      <c r="AV3995" t="s">
        <v>25335</v>
      </c>
      <c r="AW3995" t="s">
        <v>11447</v>
      </c>
    </row>
    <row r="3996" spans="1:49">
      <c r="A3996" s="1">
        <f>HYPERLINK("https://lsnyc.legalserver.org/matter/dynamic-profile/view/1911879","19-1911879")</f>
        <v>0</v>
      </c>
      <c r="B3996" t="s">
        <v>255</v>
      </c>
      <c r="C3996" t="s">
        <v>645</v>
      </c>
      <c r="E3996" t="s">
        <v>3003</v>
      </c>
      <c r="F3996" t="s">
        <v>5640</v>
      </c>
      <c r="G3996" t="s">
        <v>9253</v>
      </c>
      <c r="I3996" t="s">
        <v>11385</v>
      </c>
      <c r="J3996">
        <v>11216</v>
      </c>
      <c r="K3996" t="s">
        <v>11446</v>
      </c>
      <c r="L3996" t="s">
        <v>13528</v>
      </c>
      <c r="M3996" t="s">
        <v>14744</v>
      </c>
      <c r="N3996" t="s">
        <v>14781</v>
      </c>
      <c r="P3996" t="s">
        <v>14804</v>
      </c>
      <c r="Q3996" t="s">
        <v>11448</v>
      </c>
      <c r="S3996" t="s">
        <v>14827</v>
      </c>
      <c r="T3996" t="s">
        <v>14832</v>
      </c>
      <c r="U3996" t="s">
        <v>604</v>
      </c>
      <c r="V3996">
        <v>933</v>
      </c>
      <c r="W3996" t="s">
        <v>14859</v>
      </c>
      <c r="X3996" t="s">
        <v>14881</v>
      </c>
      <c r="Z3996" t="s">
        <v>18207</v>
      </c>
      <c r="AB3996" t="s">
        <v>23311</v>
      </c>
      <c r="AC3996">
        <v>12</v>
      </c>
      <c r="AD3996" t="s">
        <v>24595</v>
      </c>
      <c r="AE3996" t="s">
        <v>24610</v>
      </c>
      <c r="AF3996">
        <v>11</v>
      </c>
      <c r="AG3996">
        <v>1</v>
      </c>
      <c r="AH3996">
        <v>1</v>
      </c>
      <c r="AI3996">
        <v>12.77</v>
      </c>
      <c r="AL3996" t="s">
        <v>5011</v>
      </c>
      <c r="AM3996">
        <v>2160</v>
      </c>
      <c r="AS3996">
        <v>7</v>
      </c>
      <c r="AT3996" t="s">
        <v>521</v>
      </c>
      <c r="AU3996" t="s">
        <v>25235</v>
      </c>
      <c r="AV3996" t="s">
        <v>25335</v>
      </c>
      <c r="AW3996" t="s">
        <v>11447</v>
      </c>
    </row>
    <row r="3997" spans="1:49">
      <c r="A3997" s="1">
        <f>HYPERLINK("https://lsnyc.legalserver.org/matter/dynamic-profile/view/1911213","19-1911213")</f>
        <v>0</v>
      </c>
      <c r="B3997" t="s">
        <v>283</v>
      </c>
      <c r="C3997" t="s">
        <v>475</v>
      </c>
      <c r="E3997" t="s">
        <v>2573</v>
      </c>
      <c r="F3997" t="s">
        <v>5581</v>
      </c>
      <c r="G3997" t="s">
        <v>6552</v>
      </c>
      <c r="H3997" t="s">
        <v>10451</v>
      </c>
      <c r="I3997" t="s">
        <v>11385</v>
      </c>
      <c r="J3997">
        <v>11216</v>
      </c>
      <c r="K3997" t="s">
        <v>11446</v>
      </c>
      <c r="L3997" t="s">
        <v>13529</v>
      </c>
      <c r="M3997" t="s">
        <v>14744</v>
      </c>
      <c r="N3997" t="s">
        <v>14781</v>
      </c>
      <c r="P3997" t="s">
        <v>14804</v>
      </c>
      <c r="Q3997" t="s">
        <v>11448</v>
      </c>
      <c r="S3997" t="s">
        <v>14827</v>
      </c>
      <c r="T3997" t="s">
        <v>14837</v>
      </c>
      <c r="U3997" t="s">
        <v>604</v>
      </c>
      <c r="V3997">
        <v>0</v>
      </c>
      <c r="W3997" t="s">
        <v>14859</v>
      </c>
      <c r="X3997" t="s">
        <v>14865</v>
      </c>
      <c r="Z3997" t="s">
        <v>18208</v>
      </c>
      <c r="AA3997" t="s">
        <v>19831</v>
      </c>
      <c r="AB3997" t="s">
        <v>23312</v>
      </c>
      <c r="AC3997">
        <v>0</v>
      </c>
      <c r="AD3997" t="s">
        <v>24595</v>
      </c>
      <c r="AE3997" t="s">
        <v>11459</v>
      </c>
      <c r="AF3997">
        <v>0</v>
      </c>
      <c r="AG3997">
        <v>1</v>
      </c>
      <c r="AH3997">
        <v>0</v>
      </c>
      <c r="AI3997">
        <v>19.05</v>
      </c>
      <c r="AL3997" t="s">
        <v>5011</v>
      </c>
      <c r="AM3997">
        <v>2379</v>
      </c>
      <c r="AS3997">
        <v>46.4</v>
      </c>
      <c r="AT3997" t="s">
        <v>509</v>
      </c>
      <c r="AU3997" t="s">
        <v>25246</v>
      </c>
      <c r="AV3997" t="s">
        <v>25335</v>
      </c>
      <c r="AW3997" t="s">
        <v>11447</v>
      </c>
    </row>
    <row r="3998" spans="1:49">
      <c r="A3998" s="1">
        <f>HYPERLINK("https://lsnyc.legalserver.org/matter/dynamic-profile/view/1911450","19-1911450")</f>
        <v>0</v>
      </c>
      <c r="B3998" t="s">
        <v>93</v>
      </c>
      <c r="C3998" t="s">
        <v>486</v>
      </c>
      <c r="E3998" t="s">
        <v>2047</v>
      </c>
      <c r="F3998" t="s">
        <v>2366</v>
      </c>
      <c r="G3998" t="s">
        <v>7961</v>
      </c>
      <c r="H3998" t="s">
        <v>10489</v>
      </c>
      <c r="I3998" t="s">
        <v>11385</v>
      </c>
      <c r="J3998">
        <v>11225</v>
      </c>
      <c r="K3998" t="s">
        <v>11446</v>
      </c>
      <c r="L3998" t="s">
        <v>13530</v>
      </c>
      <c r="M3998" t="s">
        <v>14744</v>
      </c>
      <c r="N3998" t="s">
        <v>14781</v>
      </c>
      <c r="P3998" t="s">
        <v>14804</v>
      </c>
      <c r="Q3998" t="s">
        <v>11448</v>
      </c>
      <c r="S3998" t="s">
        <v>14827</v>
      </c>
      <c r="T3998" t="s">
        <v>14832</v>
      </c>
      <c r="U3998" t="s">
        <v>604</v>
      </c>
      <c r="V3998">
        <v>1543.24</v>
      </c>
      <c r="W3998" t="s">
        <v>14859</v>
      </c>
      <c r="X3998" t="s">
        <v>14881</v>
      </c>
      <c r="Z3998" t="s">
        <v>18209</v>
      </c>
      <c r="AA3998" t="s">
        <v>19832</v>
      </c>
      <c r="AB3998" t="s">
        <v>23313</v>
      </c>
      <c r="AC3998">
        <v>1321</v>
      </c>
      <c r="AD3998" t="s">
        <v>24595</v>
      </c>
      <c r="AE3998" t="s">
        <v>11459</v>
      </c>
      <c r="AF3998">
        <v>20</v>
      </c>
      <c r="AG3998">
        <v>3</v>
      </c>
      <c r="AH3998">
        <v>2</v>
      </c>
      <c r="AI3998">
        <v>34.47</v>
      </c>
      <c r="AL3998" t="s">
        <v>24646</v>
      </c>
      <c r="AM3998">
        <v>10400</v>
      </c>
      <c r="AS3998">
        <v>2.2</v>
      </c>
      <c r="AT3998" t="s">
        <v>515</v>
      </c>
      <c r="AU3998" t="s">
        <v>25277</v>
      </c>
      <c r="AV3998" t="s">
        <v>25335</v>
      </c>
      <c r="AW3998" t="s">
        <v>11447</v>
      </c>
    </row>
    <row r="3999" spans="1:49">
      <c r="A3999" s="1">
        <f>HYPERLINK("https://lsnyc.legalserver.org/matter/dynamic-profile/view/1911297","19-1911297")</f>
        <v>0</v>
      </c>
      <c r="B3999" t="s">
        <v>285</v>
      </c>
      <c r="C3999" t="s">
        <v>511</v>
      </c>
      <c r="E3999" t="s">
        <v>3004</v>
      </c>
      <c r="F3999" t="s">
        <v>5641</v>
      </c>
      <c r="G3999" t="s">
        <v>9311</v>
      </c>
      <c r="H3999" t="s">
        <v>10513</v>
      </c>
      <c r="I3999" t="s">
        <v>11385</v>
      </c>
      <c r="J3999">
        <v>11221</v>
      </c>
      <c r="K3999" t="s">
        <v>11446</v>
      </c>
      <c r="L3999" t="s">
        <v>13531</v>
      </c>
      <c r="M3999" t="s">
        <v>14743</v>
      </c>
      <c r="N3999" t="s">
        <v>14778</v>
      </c>
      <c r="P3999" t="s">
        <v>14804</v>
      </c>
      <c r="S3999" t="s">
        <v>14827</v>
      </c>
      <c r="U3999" t="s">
        <v>604</v>
      </c>
      <c r="V3999">
        <v>0</v>
      </c>
      <c r="W3999" t="s">
        <v>14859</v>
      </c>
      <c r="Z3999" t="s">
        <v>18210</v>
      </c>
      <c r="AB3999" t="s">
        <v>23314</v>
      </c>
      <c r="AC3999">
        <v>0</v>
      </c>
      <c r="AF3999">
        <v>0</v>
      </c>
      <c r="AG3999">
        <v>1</v>
      </c>
      <c r="AH3999">
        <v>0</v>
      </c>
      <c r="AI3999">
        <v>35.39</v>
      </c>
      <c r="AL3999" t="s">
        <v>5011</v>
      </c>
      <c r="AM3999">
        <v>4420</v>
      </c>
      <c r="AS3999">
        <v>16.1</v>
      </c>
      <c r="AT3999" t="s">
        <v>521</v>
      </c>
      <c r="AU3999" t="s">
        <v>25277</v>
      </c>
      <c r="AW3999" t="s">
        <v>11447</v>
      </c>
    </row>
    <row r="4000" spans="1:49">
      <c r="A4000" s="1">
        <f>HYPERLINK("https://lsnyc.legalserver.org/matter/dynamic-profile/view/1909698","19-1909698")</f>
        <v>0</v>
      </c>
      <c r="B4000" t="s">
        <v>262</v>
      </c>
      <c r="C4000" t="s">
        <v>519</v>
      </c>
      <c r="E4000" t="s">
        <v>3005</v>
      </c>
      <c r="F4000" t="s">
        <v>5642</v>
      </c>
      <c r="G4000" t="s">
        <v>9312</v>
      </c>
      <c r="H4000" t="s">
        <v>10527</v>
      </c>
      <c r="I4000" t="s">
        <v>11385</v>
      </c>
      <c r="J4000">
        <v>11225</v>
      </c>
      <c r="K4000" t="s">
        <v>11446</v>
      </c>
      <c r="L4000" t="s">
        <v>13532</v>
      </c>
      <c r="M4000" t="s">
        <v>14744</v>
      </c>
      <c r="N4000" t="s">
        <v>14781</v>
      </c>
      <c r="P4000" t="s">
        <v>14804</v>
      </c>
      <c r="Q4000" t="s">
        <v>11448</v>
      </c>
      <c r="S4000" t="s">
        <v>14827</v>
      </c>
      <c r="U4000" t="s">
        <v>604</v>
      </c>
      <c r="V4000">
        <v>0</v>
      </c>
      <c r="W4000" t="s">
        <v>14859</v>
      </c>
      <c r="X4000" t="s">
        <v>14881</v>
      </c>
      <c r="Z4000" t="s">
        <v>18211</v>
      </c>
      <c r="AB4000" t="s">
        <v>23315</v>
      </c>
      <c r="AC4000">
        <v>0</v>
      </c>
      <c r="AF4000">
        <v>0</v>
      </c>
      <c r="AG4000">
        <v>2</v>
      </c>
      <c r="AH4000">
        <v>0</v>
      </c>
      <c r="AI4000">
        <v>66</v>
      </c>
      <c r="AL4000" t="s">
        <v>5011</v>
      </c>
      <c r="AM4000">
        <v>11160</v>
      </c>
      <c r="AS4000">
        <v>7.4</v>
      </c>
      <c r="AT4000" t="s">
        <v>495</v>
      </c>
      <c r="AU4000" t="s">
        <v>25285</v>
      </c>
      <c r="AV4000" t="s">
        <v>25335</v>
      </c>
      <c r="AW4000" t="s">
        <v>11447</v>
      </c>
    </row>
    <row r="4001" spans="1:49">
      <c r="A4001" s="1">
        <f>HYPERLINK("https://lsnyc.legalserver.org/matter/dynamic-profile/view/1908178","19-1908178")</f>
        <v>0</v>
      </c>
      <c r="B4001" t="s">
        <v>127</v>
      </c>
      <c r="C4001" t="s">
        <v>372</v>
      </c>
      <c r="E4001" t="s">
        <v>1903</v>
      </c>
      <c r="F4001" t="s">
        <v>5643</v>
      </c>
      <c r="G4001" t="s">
        <v>7948</v>
      </c>
      <c r="H4001" t="s">
        <v>10527</v>
      </c>
      <c r="I4001" t="s">
        <v>11385</v>
      </c>
      <c r="J4001">
        <v>11226</v>
      </c>
      <c r="K4001" t="s">
        <v>11446</v>
      </c>
      <c r="L4001" t="s">
        <v>13533</v>
      </c>
      <c r="M4001" t="s">
        <v>14744</v>
      </c>
      <c r="N4001" t="s">
        <v>14782</v>
      </c>
      <c r="P4001" t="s">
        <v>14804</v>
      </c>
      <c r="S4001" t="s">
        <v>14827</v>
      </c>
      <c r="U4001" t="s">
        <v>604</v>
      </c>
      <c r="V4001">
        <v>0</v>
      </c>
      <c r="W4001" t="s">
        <v>14859</v>
      </c>
      <c r="Z4001" t="s">
        <v>18212</v>
      </c>
      <c r="AB4001" t="s">
        <v>23316</v>
      </c>
      <c r="AC4001">
        <v>0</v>
      </c>
      <c r="AF4001">
        <v>0</v>
      </c>
      <c r="AG4001">
        <v>1</v>
      </c>
      <c r="AH4001">
        <v>0</v>
      </c>
      <c r="AI4001">
        <v>84.16</v>
      </c>
      <c r="AL4001" t="s">
        <v>5011</v>
      </c>
      <c r="AM4001">
        <v>10512</v>
      </c>
      <c r="AS4001">
        <v>0</v>
      </c>
      <c r="AU4001" t="s">
        <v>25277</v>
      </c>
      <c r="AV4001" t="s">
        <v>25335</v>
      </c>
      <c r="AW4001" t="s">
        <v>11447</v>
      </c>
    </row>
    <row r="4002" spans="1:49">
      <c r="A4002" s="1">
        <f>HYPERLINK("https://lsnyc.legalserver.org/matter/dynamic-profile/view/1911934","19-1911934")</f>
        <v>0</v>
      </c>
      <c r="B4002" t="s">
        <v>262</v>
      </c>
      <c r="C4002" t="s">
        <v>586</v>
      </c>
      <c r="E4002" t="s">
        <v>3006</v>
      </c>
      <c r="F4002" t="s">
        <v>3765</v>
      </c>
      <c r="G4002" t="s">
        <v>9228</v>
      </c>
      <c r="H4002" t="s">
        <v>10476</v>
      </c>
      <c r="I4002" t="s">
        <v>11385</v>
      </c>
      <c r="J4002">
        <v>11221</v>
      </c>
      <c r="K4002" t="s">
        <v>11446</v>
      </c>
      <c r="L4002" t="s">
        <v>13534</v>
      </c>
      <c r="M4002" t="s">
        <v>14744</v>
      </c>
      <c r="N4002" t="s">
        <v>14781</v>
      </c>
      <c r="P4002" t="s">
        <v>14804</v>
      </c>
      <c r="Q4002" t="s">
        <v>11448</v>
      </c>
      <c r="S4002" t="s">
        <v>14827</v>
      </c>
      <c r="U4002" t="s">
        <v>604</v>
      </c>
      <c r="V4002">
        <v>0</v>
      </c>
      <c r="W4002" t="s">
        <v>14859</v>
      </c>
      <c r="X4002" t="s">
        <v>14881</v>
      </c>
      <c r="Z4002" t="s">
        <v>16784</v>
      </c>
      <c r="AB4002" t="s">
        <v>23317</v>
      </c>
      <c r="AC4002">
        <v>0</v>
      </c>
      <c r="AF4002">
        <v>0</v>
      </c>
      <c r="AG4002">
        <v>2</v>
      </c>
      <c r="AH4002">
        <v>2</v>
      </c>
      <c r="AI4002">
        <v>90.87</v>
      </c>
      <c r="AL4002" t="s">
        <v>5011</v>
      </c>
      <c r="AM4002">
        <v>23400</v>
      </c>
      <c r="AS4002">
        <v>2.8</v>
      </c>
      <c r="AT4002" t="s">
        <v>491</v>
      </c>
      <c r="AU4002" t="s">
        <v>25285</v>
      </c>
      <c r="AV4002" t="s">
        <v>25335</v>
      </c>
      <c r="AW4002" t="s">
        <v>11447</v>
      </c>
    </row>
    <row r="4003" spans="1:49">
      <c r="A4003" s="1">
        <f>HYPERLINK("https://lsnyc.legalserver.org/matter/dynamic-profile/view/1910812","19-1910812")</f>
        <v>0</v>
      </c>
      <c r="B4003" t="s">
        <v>93</v>
      </c>
      <c r="C4003" t="s">
        <v>601</v>
      </c>
      <c r="E4003" t="s">
        <v>3007</v>
      </c>
      <c r="F4003" t="s">
        <v>3901</v>
      </c>
      <c r="G4003" t="s">
        <v>9313</v>
      </c>
      <c r="H4003" t="s">
        <v>10481</v>
      </c>
      <c r="I4003" t="s">
        <v>11385</v>
      </c>
      <c r="J4003">
        <v>11221</v>
      </c>
      <c r="K4003" t="s">
        <v>11446</v>
      </c>
      <c r="L4003" t="s">
        <v>13535</v>
      </c>
      <c r="M4003" t="s">
        <v>14744</v>
      </c>
      <c r="N4003" t="s">
        <v>14781</v>
      </c>
      <c r="P4003" t="s">
        <v>14804</v>
      </c>
      <c r="Q4003" t="s">
        <v>11448</v>
      </c>
      <c r="S4003" t="s">
        <v>14827</v>
      </c>
      <c r="T4003" t="s">
        <v>14837</v>
      </c>
      <c r="U4003" t="s">
        <v>604</v>
      </c>
      <c r="V4003">
        <v>518</v>
      </c>
      <c r="W4003" t="s">
        <v>14859</v>
      </c>
      <c r="X4003" t="s">
        <v>14881</v>
      </c>
      <c r="Z4003" t="s">
        <v>18213</v>
      </c>
      <c r="AA4003" t="s">
        <v>19833</v>
      </c>
      <c r="AB4003" t="s">
        <v>23318</v>
      </c>
      <c r="AC4003">
        <v>23</v>
      </c>
      <c r="AD4003" t="s">
        <v>24595</v>
      </c>
      <c r="AE4003" t="s">
        <v>24610</v>
      </c>
      <c r="AF4003">
        <v>10</v>
      </c>
      <c r="AG4003">
        <v>1</v>
      </c>
      <c r="AH4003">
        <v>3</v>
      </c>
      <c r="AI4003">
        <v>95.06999999999999</v>
      </c>
      <c r="AL4003" t="s">
        <v>5011</v>
      </c>
      <c r="AM4003">
        <v>24480</v>
      </c>
      <c r="AO4003" t="s">
        <v>24932</v>
      </c>
      <c r="AP4003" t="s">
        <v>24942</v>
      </c>
      <c r="AQ4003" t="s">
        <v>24986</v>
      </c>
      <c r="AR4003" t="s">
        <v>25036</v>
      </c>
      <c r="AS4003">
        <v>2.4</v>
      </c>
      <c r="AT4003" t="s">
        <v>484</v>
      </c>
      <c r="AU4003" t="s">
        <v>25285</v>
      </c>
      <c r="AV4003" t="s">
        <v>25335</v>
      </c>
      <c r="AW4003" t="s">
        <v>11447</v>
      </c>
    </row>
    <row r="4004" spans="1:49">
      <c r="A4004" s="1">
        <f>HYPERLINK("https://lsnyc.legalserver.org/matter/dynamic-profile/view/1903906","19-1903906")</f>
        <v>0</v>
      </c>
      <c r="B4004" t="s">
        <v>127</v>
      </c>
      <c r="C4004" t="s">
        <v>378</v>
      </c>
      <c r="E4004" t="s">
        <v>3008</v>
      </c>
      <c r="F4004" t="s">
        <v>3901</v>
      </c>
      <c r="G4004" t="s">
        <v>9262</v>
      </c>
      <c r="H4004" t="s">
        <v>10481</v>
      </c>
      <c r="I4004" t="s">
        <v>11385</v>
      </c>
      <c r="J4004">
        <v>11226</v>
      </c>
      <c r="K4004" t="s">
        <v>11446</v>
      </c>
      <c r="L4004" t="s">
        <v>13536</v>
      </c>
      <c r="M4004" t="s">
        <v>14744</v>
      </c>
      <c r="N4004" t="s">
        <v>14781</v>
      </c>
      <c r="P4004" t="s">
        <v>14804</v>
      </c>
      <c r="S4004" t="s">
        <v>14827</v>
      </c>
      <c r="U4004" t="s">
        <v>604</v>
      </c>
      <c r="V4004">
        <v>450</v>
      </c>
      <c r="W4004" t="s">
        <v>14859</v>
      </c>
      <c r="X4004" t="s">
        <v>14865</v>
      </c>
      <c r="Z4004" t="s">
        <v>17383</v>
      </c>
      <c r="AA4004">
        <v>33826270</v>
      </c>
      <c r="AB4004" t="s">
        <v>23319</v>
      </c>
      <c r="AC4004">
        <v>84</v>
      </c>
      <c r="AE4004" t="s">
        <v>24610</v>
      </c>
      <c r="AF4004">
        <v>25</v>
      </c>
      <c r="AG4004">
        <v>1</v>
      </c>
      <c r="AH4004">
        <v>3</v>
      </c>
      <c r="AI4004">
        <v>95.81</v>
      </c>
      <c r="AL4004" t="s">
        <v>5011</v>
      </c>
      <c r="AM4004">
        <v>24672</v>
      </c>
      <c r="AS4004">
        <v>11.7</v>
      </c>
      <c r="AT4004" t="s">
        <v>497</v>
      </c>
      <c r="AU4004" t="s">
        <v>25235</v>
      </c>
      <c r="AV4004" t="s">
        <v>25335</v>
      </c>
      <c r="AW4004" t="s">
        <v>11447</v>
      </c>
    </row>
    <row r="4005" spans="1:49">
      <c r="A4005" s="1">
        <f>HYPERLINK("https://lsnyc.legalserver.org/matter/dynamic-profile/view/1910882","19-1910882")</f>
        <v>0</v>
      </c>
      <c r="B4005" t="s">
        <v>282</v>
      </c>
      <c r="C4005" t="s">
        <v>604</v>
      </c>
      <c r="E4005" t="s">
        <v>1506</v>
      </c>
      <c r="F4005" t="s">
        <v>5644</v>
      </c>
      <c r="G4005" t="s">
        <v>8311</v>
      </c>
      <c r="H4005" t="s">
        <v>10522</v>
      </c>
      <c r="I4005" t="s">
        <v>11385</v>
      </c>
      <c r="J4005">
        <v>11221</v>
      </c>
      <c r="K4005" t="s">
        <v>11446</v>
      </c>
      <c r="L4005" t="s">
        <v>13537</v>
      </c>
      <c r="M4005" t="s">
        <v>14744</v>
      </c>
      <c r="N4005" t="s">
        <v>14782</v>
      </c>
      <c r="P4005" t="s">
        <v>14804</v>
      </c>
      <c r="S4005" t="s">
        <v>14827</v>
      </c>
      <c r="U4005" t="s">
        <v>604</v>
      </c>
      <c r="V4005">
        <v>0</v>
      </c>
      <c r="W4005" t="s">
        <v>14859</v>
      </c>
      <c r="X4005" t="s">
        <v>14865</v>
      </c>
      <c r="Z4005" t="s">
        <v>18214</v>
      </c>
      <c r="AB4005" t="s">
        <v>23320</v>
      </c>
      <c r="AC4005">
        <v>0</v>
      </c>
      <c r="AF4005">
        <v>0</v>
      </c>
      <c r="AG4005">
        <v>2</v>
      </c>
      <c r="AH4005">
        <v>0</v>
      </c>
      <c r="AI4005">
        <v>99.92</v>
      </c>
      <c r="AL4005" t="s">
        <v>5011</v>
      </c>
      <c r="AM4005">
        <v>16896</v>
      </c>
      <c r="AS4005">
        <v>7</v>
      </c>
      <c r="AT4005" t="s">
        <v>537</v>
      </c>
      <c r="AU4005" t="s">
        <v>25235</v>
      </c>
      <c r="AV4005" t="s">
        <v>25335</v>
      </c>
      <c r="AW4005" t="s">
        <v>11447</v>
      </c>
    </row>
    <row r="4006" spans="1:49">
      <c r="A4006" s="1">
        <f>HYPERLINK("https://lsnyc.legalserver.org/matter/dynamic-profile/view/1910940","19-1910940")</f>
        <v>0</v>
      </c>
      <c r="B4006" t="s">
        <v>141</v>
      </c>
      <c r="C4006" t="s">
        <v>604</v>
      </c>
      <c r="E4006" t="s">
        <v>2982</v>
      </c>
      <c r="F4006" t="s">
        <v>5645</v>
      </c>
      <c r="G4006" t="s">
        <v>9314</v>
      </c>
      <c r="H4006" t="s">
        <v>10562</v>
      </c>
      <c r="I4006" t="s">
        <v>11385</v>
      </c>
      <c r="J4006">
        <v>11226</v>
      </c>
      <c r="K4006" t="s">
        <v>11446</v>
      </c>
      <c r="L4006" t="s">
        <v>13538</v>
      </c>
      <c r="M4006" t="s">
        <v>14743</v>
      </c>
      <c r="N4006" t="s">
        <v>14782</v>
      </c>
      <c r="P4006" t="s">
        <v>14804</v>
      </c>
      <c r="S4006" t="s">
        <v>14827</v>
      </c>
      <c r="U4006" t="s">
        <v>604</v>
      </c>
      <c r="V4006">
        <v>0</v>
      </c>
      <c r="W4006" t="s">
        <v>14859</v>
      </c>
      <c r="X4006" t="s">
        <v>14865</v>
      </c>
      <c r="Z4006" t="s">
        <v>18215</v>
      </c>
      <c r="AB4006" t="s">
        <v>23321</v>
      </c>
      <c r="AC4006">
        <v>0</v>
      </c>
      <c r="AF4006">
        <v>0</v>
      </c>
      <c r="AG4006">
        <v>1</v>
      </c>
      <c r="AH4006">
        <v>1</v>
      </c>
      <c r="AI4006">
        <v>104.55</v>
      </c>
      <c r="AL4006" t="s">
        <v>5011</v>
      </c>
      <c r="AM4006">
        <v>17680</v>
      </c>
      <c r="AS4006">
        <v>5.6</v>
      </c>
      <c r="AT4006" t="s">
        <v>603</v>
      </c>
      <c r="AU4006" t="s">
        <v>25235</v>
      </c>
      <c r="AV4006" t="s">
        <v>25335</v>
      </c>
      <c r="AW4006" t="s">
        <v>11447</v>
      </c>
    </row>
    <row r="4007" spans="1:49">
      <c r="A4007" s="1">
        <f>HYPERLINK("https://lsnyc.legalserver.org/matter/dynamic-profile/view/1910923","19-1910923")</f>
        <v>0</v>
      </c>
      <c r="B4007" t="s">
        <v>278</v>
      </c>
      <c r="C4007" t="s">
        <v>604</v>
      </c>
      <c r="E4007" t="s">
        <v>1277</v>
      </c>
      <c r="F4007" t="s">
        <v>3621</v>
      </c>
      <c r="G4007" t="s">
        <v>9315</v>
      </c>
      <c r="I4007" t="s">
        <v>11385</v>
      </c>
      <c r="J4007">
        <v>11216</v>
      </c>
      <c r="K4007" t="s">
        <v>11446</v>
      </c>
      <c r="L4007" t="s">
        <v>13539</v>
      </c>
      <c r="M4007" t="s">
        <v>14744</v>
      </c>
      <c r="N4007" t="s">
        <v>14781</v>
      </c>
      <c r="P4007" t="s">
        <v>14804</v>
      </c>
      <c r="S4007" t="s">
        <v>14827</v>
      </c>
      <c r="U4007" t="s">
        <v>604</v>
      </c>
      <c r="V4007">
        <v>1065.65</v>
      </c>
      <c r="W4007" t="s">
        <v>14859</v>
      </c>
      <c r="X4007" t="s">
        <v>14881</v>
      </c>
      <c r="Z4007" t="s">
        <v>17313</v>
      </c>
      <c r="AB4007" t="s">
        <v>23322</v>
      </c>
      <c r="AC4007">
        <v>0</v>
      </c>
      <c r="AF4007">
        <v>0</v>
      </c>
      <c r="AG4007">
        <v>1</v>
      </c>
      <c r="AH4007">
        <v>0</v>
      </c>
      <c r="AI4007">
        <v>144.12</v>
      </c>
      <c r="AL4007" t="s">
        <v>5011</v>
      </c>
      <c r="AM4007">
        <v>18000</v>
      </c>
      <c r="AS4007">
        <v>4.7</v>
      </c>
      <c r="AT4007" t="s">
        <v>603</v>
      </c>
      <c r="AU4007" t="s">
        <v>25275</v>
      </c>
      <c r="AV4007" t="s">
        <v>25335</v>
      </c>
      <c r="AW4007" t="s">
        <v>11447</v>
      </c>
    </row>
    <row r="4008" spans="1:49">
      <c r="A4008" s="1">
        <f>HYPERLINK("https://lsnyc.legalserver.org/matter/dynamic-profile/view/1911531","19-1911531")</f>
        <v>0</v>
      </c>
      <c r="B4008" t="s">
        <v>150</v>
      </c>
      <c r="C4008" t="s">
        <v>486</v>
      </c>
      <c r="E4008" t="s">
        <v>3009</v>
      </c>
      <c r="F4008" t="s">
        <v>5527</v>
      </c>
      <c r="G4008" t="s">
        <v>9316</v>
      </c>
      <c r="H4008" t="s">
        <v>10509</v>
      </c>
      <c r="I4008" t="s">
        <v>11385</v>
      </c>
      <c r="J4008">
        <v>11221</v>
      </c>
      <c r="K4008" t="s">
        <v>11446</v>
      </c>
      <c r="L4008" t="s">
        <v>13540</v>
      </c>
      <c r="M4008" t="s">
        <v>14744</v>
      </c>
      <c r="N4008" t="s">
        <v>14781</v>
      </c>
      <c r="P4008" t="s">
        <v>14804</v>
      </c>
      <c r="Q4008" t="s">
        <v>11448</v>
      </c>
      <c r="S4008" t="s">
        <v>14827</v>
      </c>
      <c r="T4008" t="s">
        <v>14832</v>
      </c>
      <c r="U4008" t="s">
        <v>604</v>
      </c>
      <c r="V4008">
        <v>0</v>
      </c>
      <c r="W4008" t="s">
        <v>14859</v>
      </c>
      <c r="X4008" t="s">
        <v>14865</v>
      </c>
      <c r="Z4008" t="s">
        <v>18216</v>
      </c>
      <c r="AB4008" t="s">
        <v>23323</v>
      </c>
      <c r="AC4008">
        <v>14</v>
      </c>
      <c r="AD4008" t="s">
        <v>24595</v>
      </c>
      <c r="AF4008">
        <v>24</v>
      </c>
      <c r="AG4008">
        <v>2</v>
      </c>
      <c r="AH4008">
        <v>0</v>
      </c>
      <c r="AI4008">
        <v>147.6</v>
      </c>
      <c r="AL4008" t="s">
        <v>5011</v>
      </c>
      <c r="AM4008">
        <v>24960</v>
      </c>
      <c r="AO4008" t="s">
        <v>24930</v>
      </c>
      <c r="AS4008">
        <v>4.6</v>
      </c>
      <c r="AT4008" t="s">
        <v>476</v>
      </c>
      <c r="AU4008" t="s">
        <v>25277</v>
      </c>
      <c r="AV4008" t="s">
        <v>25335</v>
      </c>
      <c r="AW4008" t="s">
        <v>11447</v>
      </c>
    </row>
    <row r="4009" spans="1:49">
      <c r="A4009" s="1">
        <f>HYPERLINK("https://lsnyc.legalserver.org/matter/dynamic-profile/view/1911890","19-1911890")</f>
        <v>0</v>
      </c>
      <c r="B4009" t="s">
        <v>262</v>
      </c>
      <c r="C4009" t="s">
        <v>645</v>
      </c>
      <c r="E4009" t="s">
        <v>3010</v>
      </c>
      <c r="F4009" t="s">
        <v>5646</v>
      </c>
      <c r="G4009" t="s">
        <v>9317</v>
      </c>
      <c r="H4009" t="s">
        <v>11214</v>
      </c>
      <c r="I4009" t="s">
        <v>11385</v>
      </c>
      <c r="J4009">
        <v>11225</v>
      </c>
      <c r="K4009" t="s">
        <v>11446</v>
      </c>
      <c r="L4009" t="s">
        <v>12366</v>
      </c>
      <c r="M4009" t="s">
        <v>14744</v>
      </c>
      <c r="N4009" t="s">
        <v>14781</v>
      </c>
      <c r="P4009" t="s">
        <v>14804</v>
      </c>
      <c r="S4009" t="s">
        <v>14827</v>
      </c>
      <c r="U4009" t="s">
        <v>604</v>
      </c>
      <c r="V4009">
        <v>0</v>
      </c>
      <c r="W4009" t="s">
        <v>14859</v>
      </c>
      <c r="Z4009" t="s">
        <v>18217</v>
      </c>
      <c r="AB4009" t="s">
        <v>23324</v>
      </c>
      <c r="AC4009">
        <v>0</v>
      </c>
      <c r="AF4009">
        <v>0</v>
      </c>
      <c r="AG4009">
        <v>1</v>
      </c>
      <c r="AH4009">
        <v>0</v>
      </c>
      <c r="AI4009">
        <v>155.26</v>
      </c>
      <c r="AL4009" t="s">
        <v>5011</v>
      </c>
      <c r="AM4009">
        <v>19392</v>
      </c>
      <c r="AS4009">
        <v>5.85</v>
      </c>
      <c r="AT4009" t="s">
        <v>495</v>
      </c>
      <c r="AU4009" t="s">
        <v>25277</v>
      </c>
      <c r="AW4009" t="s">
        <v>11447</v>
      </c>
    </row>
    <row r="4010" spans="1:49">
      <c r="A4010" s="1">
        <f>HYPERLINK("https://lsnyc.legalserver.org/matter/dynamic-profile/view/1912063","19-1912063")</f>
        <v>0</v>
      </c>
      <c r="B4010" t="s">
        <v>262</v>
      </c>
      <c r="C4010" t="s">
        <v>551</v>
      </c>
      <c r="E4010" t="s">
        <v>1025</v>
      </c>
      <c r="F4010" t="s">
        <v>5647</v>
      </c>
      <c r="G4010" t="s">
        <v>9318</v>
      </c>
      <c r="H4010" t="s">
        <v>10569</v>
      </c>
      <c r="I4010" t="s">
        <v>11385</v>
      </c>
      <c r="J4010">
        <v>11221</v>
      </c>
      <c r="K4010" t="s">
        <v>11446</v>
      </c>
      <c r="L4010" t="s">
        <v>13541</v>
      </c>
      <c r="M4010" t="s">
        <v>14744</v>
      </c>
      <c r="N4010" t="s">
        <v>14781</v>
      </c>
      <c r="P4010" t="s">
        <v>14804</v>
      </c>
      <c r="S4010" t="s">
        <v>14827</v>
      </c>
      <c r="U4010" t="s">
        <v>604</v>
      </c>
      <c r="V4010">
        <v>0</v>
      </c>
      <c r="W4010" t="s">
        <v>14859</v>
      </c>
      <c r="Z4010" t="s">
        <v>18218</v>
      </c>
      <c r="AB4010" t="s">
        <v>23325</v>
      </c>
      <c r="AC4010">
        <v>0</v>
      </c>
      <c r="AF4010">
        <v>0</v>
      </c>
      <c r="AG4010">
        <v>2</v>
      </c>
      <c r="AH4010">
        <v>1</v>
      </c>
      <c r="AI4010">
        <v>165.18</v>
      </c>
      <c r="AL4010" t="s">
        <v>5011</v>
      </c>
      <c r="AM4010">
        <v>35233.12</v>
      </c>
      <c r="AS4010">
        <v>5.8</v>
      </c>
      <c r="AT4010" t="s">
        <v>495</v>
      </c>
      <c r="AU4010" t="s">
        <v>25277</v>
      </c>
      <c r="AW4010" t="s">
        <v>11447</v>
      </c>
    </row>
    <row r="4011" spans="1:49">
      <c r="A4011" s="1">
        <f>HYPERLINK("https://lsnyc.legalserver.org/matter/dynamic-profile/view/1910316","19-1910316")</f>
        <v>0</v>
      </c>
      <c r="B4011" t="s">
        <v>150</v>
      </c>
      <c r="C4011" t="s">
        <v>508</v>
      </c>
      <c r="E4011" t="s">
        <v>1057</v>
      </c>
      <c r="F4011" t="s">
        <v>1264</v>
      </c>
      <c r="G4011" t="s">
        <v>9319</v>
      </c>
      <c r="H4011" t="s">
        <v>10848</v>
      </c>
      <c r="I4011" t="s">
        <v>11385</v>
      </c>
      <c r="J4011">
        <v>11221</v>
      </c>
      <c r="K4011" t="s">
        <v>11446</v>
      </c>
      <c r="L4011" t="s">
        <v>13542</v>
      </c>
      <c r="M4011" t="s">
        <v>14743</v>
      </c>
      <c r="N4011" t="s">
        <v>14781</v>
      </c>
      <c r="P4011" t="s">
        <v>14804</v>
      </c>
      <c r="Q4011" t="s">
        <v>11448</v>
      </c>
      <c r="S4011" t="s">
        <v>14827</v>
      </c>
      <c r="T4011" t="s">
        <v>14832</v>
      </c>
      <c r="U4011" t="s">
        <v>604</v>
      </c>
      <c r="V4011">
        <v>0</v>
      </c>
      <c r="W4011" t="s">
        <v>14859</v>
      </c>
      <c r="X4011" t="s">
        <v>14881</v>
      </c>
      <c r="Z4011" t="s">
        <v>18219</v>
      </c>
      <c r="AB4011" t="s">
        <v>23326</v>
      </c>
      <c r="AC4011">
        <v>16</v>
      </c>
      <c r="AD4011" t="s">
        <v>24600</v>
      </c>
      <c r="AE4011" t="s">
        <v>11459</v>
      </c>
      <c r="AF4011">
        <v>4</v>
      </c>
      <c r="AG4011">
        <v>2</v>
      </c>
      <c r="AH4011">
        <v>0</v>
      </c>
      <c r="AI4011">
        <v>170.31</v>
      </c>
      <c r="AL4011" t="s">
        <v>5011</v>
      </c>
      <c r="AM4011">
        <v>28800</v>
      </c>
      <c r="AO4011" t="s">
        <v>24930</v>
      </c>
      <c r="AP4011" t="s">
        <v>14755</v>
      </c>
      <c r="AQ4011" t="s">
        <v>24987</v>
      </c>
      <c r="AS4011">
        <v>7</v>
      </c>
      <c r="AT4011" t="s">
        <v>486</v>
      </c>
      <c r="AU4011" t="s">
        <v>25285</v>
      </c>
      <c r="AV4011" t="s">
        <v>25335</v>
      </c>
      <c r="AW4011" t="s">
        <v>11447</v>
      </c>
    </row>
    <row r="4012" spans="1:49">
      <c r="A4012" s="1">
        <f>HYPERLINK("https://lsnyc.legalserver.org/matter/dynamic-profile/view/1910914","19-1910914")</f>
        <v>0</v>
      </c>
      <c r="B4012" t="s">
        <v>286</v>
      </c>
      <c r="C4012" t="s">
        <v>604</v>
      </c>
      <c r="E4012" t="s">
        <v>3011</v>
      </c>
      <c r="F4012" t="s">
        <v>5648</v>
      </c>
      <c r="G4012" t="s">
        <v>9320</v>
      </c>
      <c r="H4012" t="s">
        <v>10575</v>
      </c>
      <c r="I4012" t="s">
        <v>11385</v>
      </c>
      <c r="J4012">
        <v>11216</v>
      </c>
      <c r="K4012" t="s">
        <v>11446</v>
      </c>
      <c r="L4012" t="s">
        <v>13543</v>
      </c>
      <c r="M4012" t="s">
        <v>14744</v>
      </c>
      <c r="N4012" t="s">
        <v>14781</v>
      </c>
      <c r="P4012" t="s">
        <v>14804</v>
      </c>
      <c r="Q4012" t="s">
        <v>11448</v>
      </c>
      <c r="S4012" t="s">
        <v>14827</v>
      </c>
      <c r="U4012" t="s">
        <v>604</v>
      </c>
      <c r="V4012">
        <v>0</v>
      </c>
      <c r="W4012" t="s">
        <v>14859</v>
      </c>
      <c r="X4012" t="s">
        <v>14881</v>
      </c>
      <c r="Z4012" t="s">
        <v>18220</v>
      </c>
      <c r="AB4012" t="s">
        <v>23327</v>
      </c>
      <c r="AC4012">
        <v>0</v>
      </c>
      <c r="AF4012">
        <v>0</v>
      </c>
      <c r="AG4012">
        <v>1</v>
      </c>
      <c r="AH4012">
        <v>1</v>
      </c>
      <c r="AI4012">
        <v>184.51</v>
      </c>
      <c r="AL4012" t="s">
        <v>5011</v>
      </c>
      <c r="AM4012">
        <v>31200</v>
      </c>
      <c r="AS4012">
        <v>56.7</v>
      </c>
      <c r="AT4012" t="s">
        <v>495</v>
      </c>
      <c r="AU4012" t="s">
        <v>25285</v>
      </c>
      <c r="AV4012" t="s">
        <v>25335</v>
      </c>
      <c r="AW4012" t="s">
        <v>11447</v>
      </c>
    </row>
    <row r="4013" spans="1:49">
      <c r="A4013" s="1">
        <f>HYPERLINK("https://lsnyc.legalserver.org/matter/dynamic-profile/view/1911261","19-1911261")</f>
        <v>0</v>
      </c>
      <c r="B4013" t="s">
        <v>285</v>
      </c>
      <c r="C4013" t="s">
        <v>511</v>
      </c>
      <c r="E4013" t="s">
        <v>2501</v>
      </c>
      <c r="F4013" t="s">
        <v>4199</v>
      </c>
      <c r="G4013" t="s">
        <v>9321</v>
      </c>
      <c r="H4013">
        <v>604</v>
      </c>
      <c r="I4013" t="s">
        <v>11385</v>
      </c>
      <c r="J4013">
        <v>11225</v>
      </c>
      <c r="K4013" t="s">
        <v>11446</v>
      </c>
      <c r="L4013" t="s">
        <v>13544</v>
      </c>
      <c r="M4013" t="s">
        <v>14744</v>
      </c>
      <c r="N4013" t="s">
        <v>14782</v>
      </c>
      <c r="P4013" t="s">
        <v>14804</v>
      </c>
      <c r="S4013" t="s">
        <v>14827</v>
      </c>
      <c r="U4013" t="s">
        <v>604</v>
      </c>
      <c r="V4013">
        <v>0</v>
      </c>
      <c r="W4013" t="s">
        <v>14859</v>
      </c>
      <c r="X4013" t="s">
        <v>14881</v>
      </c>
      <c r="Z4013" t="s">
        <v>18221</v>
      </c>
      <c r="AC4013">
        <v>0</v>
      </c>
      <c r="AF4013">
        <v>0</v>
      </c>
      <c r="AG4013">
        <v>1</v>
      </c>
      <c r="AH4013">
        <v>0</v>
      </c>
      <c r="AI4013">
        <v>187.97</v>
      </c>
      <c r="AL4013" t="s">
        <v>5011</v>
      </c>
      <c r="AM4013">
        <v>23478</v>
      </c>
      <c r="AS4013">
        <v>17.42</v>
      </c>
      <c r="AT4013" t="s">
        <v>509</v>
      </c>
      <c r="AU4013" t="s">
        <v>25235</v>
      </c>
      <c r="AV4013" t="s">
        <v>25335</v>
      </c>
      <c r="AW4013" t="s">
        <v>11447</v>
      </c>
    </row>
    <row r="4014" spans="1:49">
      <c r="A4014" s="1">
        <f>HYPERLINK("https://lsnyc.legalserver.org/matter/dynamic-profile/view/1909627","19-1909627")</f>
        <v>0</v>
      </c>
      <c r="B4014" t="s">
        <v>262</v>
      </c>
      <c r="C4014" t="s">
        <v>463</v>
      </c>
      <c r="E4014" t="s">
        <v>3012</v>
      </c>
      <c r="F4014" t="s">
        <v>3975</v>
      </c>
      <c r="G4014" t="s">
        <v>9322</v>
      </c>
      <c r="H4014" t="s">
        <v>10493</v>
      </c>
      <c r="I4014" t="s">
        <v>11385</v>
      </c>
      <c r="J4014">
        <v>11221</v>
      </c>
      <c r="K4014" t="s">
        <v>11446</v>
      </c>
      <c r="L4014" t="s">
        <v>13545</v>
      </c>
      <c r="M4014" t="s">
        <v>14744</v>
      </c>
      <c r="N4014" t="s">
        <v>14781</v>
      </c>
      <c r="P4014" t="s">
        <v>14804</v>
      </c>
      <c r="Q4014" t="s">
        <v>11448</v>
      </c>
      <c r="S4014" t="s">
        <v>14827</v>
      </c>
      <c r="U4014" t="s">
        <v>604</v>
      </c>
      <c r="V4014">
        <v>0</v>
      </c>
      <c r="W4014" t="s">
        <v>14859</v>
      </c>
      <c r="X4014" t="s">
        <v>14881</v>
      </c>
      <c r="Z4014" t="s">
        <v>18222</v>
      </c>
      <c r="AB4014" t="s">
        <v>23328</v>
      </c>
      <c r="AC4014">
        <v>0</v>
      </c>
      <c r="AF4014">
        <v>0</v>
      </c>
      <c r="AG4014">
        <v>2</v>
      </c>
      <c r="AH4014">
        <v>0</v>
      </c>
      <c r="AI4014">
        <v>189.24</v>
      </c>
      <c r="AL4014" t="s">
        <v>5011</v>
      </c>
      <c r="AM4014">
        <v>32000</v>
      </c>
      <c r="AS4014">
        <v>7.4</v>
      </c>
      <c r="AT4014" t="s">
        <v>506</v>
      </c>
      <c r="AU4014" t="s">
        <v>25285</v>
      </c>
      <c r="AV4014" t="s">
        <v>25335</v>
      </c>
      <c r="AW4014" t="s">
        <v>11447</v>
      </c>
    </row>
    <row r="4015" spans="1:49">
      <c r="A4015" s="1">
        <f>HYPERLINK("https://lsnyc.legalserver.org/matter/dynamic-profile/view/1903864","19-1903864")</f>
        <v>0</v>
      </c>
      <c r="B4015" t="s">
        <v>127</v>
      </c>
      <c r="C4015" t="s">
        <v>378</v>
      </c>
      <c r="E4015" t="s">
        <v>1584</v>
      </c>
      <c r="F4015" t="s">
        <v>5649</v>
      </c>
      <c r="G4015" t="s">
        <v>9323</v>
      </c>
      <c r="H4015" t="s">
        <v>11215</v>
      </c>
      <c r="I4015" t="s">
        <v>11385</v>
      </c>
      <c r="J4015">
        <v>11226</v>
      </c>
      <c r="K4015" t="s">
        <v>11446</v>
      </c>
      <c r="L4015" t="s">
        <v>13546</v>
      </c>
      <c r="M4015" t="s">
        <v>14743</v>
      </c>
      <c r="N4015" t="s">
        <v>14781</v>
      </c>
      <c r="P4015" t="s">
        <v>14804</v>
      </c>
      <c r="S4015" t="s">
        <v>14827</v>
      </c>
      <c r="U4015" t="s">
        <v>604</v>
      </c>
      <c r="V4015">
        <v>994</v>
      </c>
      <c r="W4015" t="s">
        <v>14859</v>
      </c>
      <c r="X4015" t="s">
        <v>14865</v>
      </c>
      <c r="Z4015" t="s">
        <v>18223</v>
      </c>
      <c r="AB4015" t="s">
        <v>23329</v>
      </c>
      <c r="AC4015">
        <v>5</v>
      </c>
      <c r="AE4015" t="s">
        <v>11459</v>
      </c>
      <c r="AF4015">
        <v>11</v>
      </c>
      <c r="AG4015">
        <v>1</v>
      </c>
      <c r="AH4015">
        <v>0</v>
      </c>
      <c r="AI4015">
        <v>261.04</v>
      </c>
      <c r="AJ4015" t="s">
        <v>455</v>
      </c>
      <c r="AK4015" t="s">
        <v>24629</v>
      </c>
      <c r="AL4015" t="s">
        <v>5011</v>
      </c>
      <c r="AM4015">
        <v>32604</v>
      </c>
      <c r="AS4015">
        <v>53.6</v>
      </c>
      <c r="AT4015" t="s">
        <v>537</v>
      </c>
      <c r="AU4015" t="s">
        <v>25235</v>
      </c>
      <c r="AV4015" t="s">
        <v>25335</v>
      </c>
      <c r="AW4015" t="s">
        <v>11447</v>
      </c>
    </row>
    <row r="4016" spans="1:49">
      <c r="A4016" s="1">
        <f>HYPERLINK("https://lsnyc.legalserver.org/matter/dynamic-profile/view/1910897","19-1910897")</f>
        <v>0</v>
      </c>
      <c r="B4016" t="s">
        <v>141</v>
      </c>
      <c r="C4016" t="s">
        <v>604</v>
      </c>
      <c r="E4016" t="s">
        <v>1068</v>
      </c>
      <c r="F4016" t="s">
        <v>4486</v>
      </c>
      <c r="G4016" t="s">
        <v>9324</v>
      </c>
      <c r="H4016" t="s">
        <v>11036</v>
      </c>
      <c r="I4016" t="s">
        <v>11385</v>
      </c>
      <c r="J4016">
        <v>11226</v>
      </c>
      <c r="K4016" t="s">
        <v>11446</v>
      </c>
      <c r="L4016" t="s">
        <v>13547</v>
      </c>
      <c r="M4016" t="s">
        <v>14744</v>
      </c>
      <c r="N4016" t="s">
        <v>14781</v>
      </c>
      <c r="P4016" t="s">
        <v>14804</v>
      </c>
      <c r="S4016" t="s">
        <v>14827</v>
      </c>
      <c r="U4016" t="s">
        <v>604</v>
      </c>
      <c r="V4016">
        <v>0</v>
      </c>
      <c r="W4016" t="s">
        <v>14859</v>
      </c>
      <c r="X4016" t="s">
        <v>14865</v>
      </c>
      <c r="Z4016" t="s">
        <v>18224</v>
      </c>
      <c r="AB4016" t="s">
        <v>23330</v>
      </c>
      <c r="AC4016">
        <v>0</v>
      </c>
      <c r="AF4016">
        <v>0</v>
      </c>
      <c r="AG4016">
        <v>2</v>
      </c>
      <c r="AH4016">
        <v>0</v>
      </c>
      <c r="AI4016">
        <v>276.76</v>
      </c>
      <c r="AL4016" t="s">
        <v>5011</v>
      </c>
      <c r="AM4016">
        <v>46800</v>
      </c>
      <c r="AS4016">
        <v>8</v>
      </c>
      <c r="AT4016" t="s">
        <v>483</v>
      </c>
      <c r="AU4016" t="s">
        <v>25235</v>
      </c>
      <c r="AV4016" t="s">
        <v>25335</v>
      </c>
      <c r="AW4016" t="s">
        <v>11447</v>
      </c>
    </row>
    <row r="4017" spans="1:49">
      <c r="A4017" s="1">
        <f>HYPERLINK("https://lsnyc.legalserver.org/matter/dynamic-profile/view/1911068","19-1911068")</f>
        <v>0</v>
      </c>
      <c r="B4017" t="s">
        <v>133</v>
      </c>
      <c r="C4017" t="s">
        <v>460</v>
      </c>
      <c r="E4017" t="s">
        <v>3013</v>
      </c>
      <c r="F4017" t="s">
        <v>3769</v>
      </c>
      <c r="G4017" t="s">
        <v>9325</v>
      </c>
      <c r="H4017">
        <v>1</v>
      </c>
      <c r="I4017" t="s">
        <v>11385</v>
      </c>
      <c r="J4017">
        <v>11221</v>
      </c>
      <c r="K4017" t="s">
        <v>11446</v>
      </c>
      <c r="L4017" t="s">
        <v>13548</v>
      </c>
      <c r="M4017" t="s">
        <v>14743</v>
      </c>
      <c r="N4017" t="s">
        <v>14781</v>
      </c>
      <c r="P4017" t="s">
        <v>14804</v>
      </c>
      <c r="Q4017" t="s">
        <v>11448</v>
      </c>
      <c r="S4017" t="s">
        <v>14827</v>
      </c>
      <c r="T4017" t="s">
        <v>14832</v>
      </c>
      <c r="U4017" t="s">
        <v>460</v>
      </c>
      <c r="V4017">
        <v>1980</v>
      </c>
      <c r="W4017" t="s">
        <v>14859</v>
      </c>
      <c r="X4017" t="s">
        <v>14881</v>
      </c>
      <c r="Z4017" t="s">
        <v>18225</v>
      </c>
      <c r="AB4017" t="s">
        <v>23331</v>
      </c>
      <c r="AC4017">
        <v>2</v>
      </c>
      <c r="AD4017" t="s">
        <v>24600</v>
      </c>
      <c r="AF4017">
        <v>0</v>
      </c>
      <c r="AG4017">
        <v>3</v>
      </c>
      <c r="AH4017">
        <v>3</v>
      </c>
      <c r="AI4017">
        <v>0</v>
      </c>
      <c r="AL4017" t="s">
        <v>24632</v>
      </c>
      <c r="AM4017">
        <v>0</v>
      </c>
      <c r="AS4017">
        <v>3.4</v>
      </c>
      <c r="AT4017" t="s">
        <v>603</v>
      </c>
      <c r="AU4017" t="s">
        <v>25277</v>
      </c>
      <c r="AV4017" t="s">
        <v>25335</v>
      </c>
      <c r="AW4017" t="s">
        <v>11447</v>
      </c>
    </row>
    <row r="4018" spans="1:49">
      <c r="A4018" s="1">
        <f>HYPERLINK("https://lsnyc.legalserver.org/matter/dynamic-profile/view/1911098","19-1911098")</f>
        <v>0</v>
      </c>
      <c r="B4018" t="s">
        <v>238</v>
      </c>
      <c r="C4018" t="s">
        <v>460</v>
      </c>
      <c r="E4018" t="s">
        <v>1423</v>
      </c>
      <c r="F4018" t="s">
        <v>4070</v>
      </c>
      <c r="G4018" t="s">
        <v>9326</v>
      </c>
      <c r="H4018" t="s">
        <v>10547</v>
      </c>
      <c r="I4018" t="s">
        <v>11385</v>
      </c>
      <c r="J4018">
        <v>11221</v>
      </c>
      <c r="K4018" t="s">
        <v>11446</v>
      </c>
      <c r="L4018" t="s">
        <v>13549</v>
      </c>
      <c r="M4018" t="s">
        <v>14744</v>
      </c>
      <c r="N4018" t="s">
        <v>14778</v>
      </c>
      <c r="P4018" t="s">
        <v>14804</v>
      </c>
      <c r="S4018" t="s">
        <v>14827</v>
      </c>
      <c r="U4018" t="s">
        <v>460</v>
      </c>
      <c r="V4018">
        <v>0</v>
      </c>
      <c r="W4018" t="s">
        <v>14859</v>
      </c>
      <c r="Z4018" t="s">
        <v>18226</v>
      </c>
      <c r="AA4018" t="s">
        <v>19834</v>
      </c>
      <c r="AB4018" t="s">
        <v>23332</v>
      </c>
      <c r="AC4018">
        <v>0</v>
      </c>
      <c r="AF4018">
        <v>0</v>
      </c>
      <c r="AG4018">
        <v>2</v>
      </c>
      <c r="AH4018">
        <v>1</v>
      </c>
      <c r="AI4018">
        <v>34.86</v>
      </c>
      <c r="AL4018" t="s">
        <v>5011</v>
      </c>
      <c r="AM4018">
        <v>7436</v>
      </c>
      <c r="AS4018">
        <v>4.5</v>
      </c>
      <c r="AT4018" t="s">
        <v>470</v>
      </c>
      <c r="AU4018" t="s">
        <v>25277</v>
      </c>
      <c r="AW4018" t="s">
        <v>11447</v>
      </c>
    </row>
    <row r="4019" spans="1:49">
      <c r="A4019" s="1">
        <f>HYPERLINK("https://lsnyc.legalserver.org/matter/dynamic-profile/view/1911079","19-1911079")</f>
        <v>0</v>
      </c>
      <c r="B4019" t="s">
        <v>280</v>
      </c>
      <c r="C4019" t="s">
        <v>460</v>
      </c>
      <c r="E4019" t="s">
        <v>2079</v>
      </c>
      <c r="F4019" t="s">
        <v>1178</v>
      </c>
      <c r="G4019" t="s">
        <v>9327</v>
      </c>
      <c r="H4019" t="s">
        <v>10637</v>
      </c>
      <c r="I4019" t="s">
        <v>11385</v>
      </c>
      <c r="J4019">
        <v>11221</v>
      </c>
      <c r="K4019" t="s">
        <v>11446</v>
      </c>
      <c r="L4019" t="s">
        <v>13550</v>
      </c>
      <c r="M4019" t="s">
        <v>14743</v>
      </c>
      <c r="N4019" t="s">
        <v>14782</v>
      </c>
      <c r="P4019" t="s">
        <v>14804</v>
      </c>
      <c r="S4019" t="s">
        <v>14827</v>
      </c>
      <c r="U4019" t="s">
        <v>460</v>
      </c>
      <c r="V4019">
        <v>0</v>
      </c>
      <c r="W4019" t="s">
        <v>14859</v>
      </c>
      <c r="X4019" t="s">
        <v>14881</v>
      </c>
      <c r="Z4019" t="s">
        <v>18227</v>
      </c>
      <c r="AB4019" t="s">
        <v>23333</v>
      </c>
      <c r="AC4019">
        <v>0</v>
      </c>
      <c r="AF4019">
        <v>0</v>
      </c>
      <c r="AG4019">
        <v>1</v>
      </c>
      <c r="AH4019">
        <v>0</v>
      </c>
      <c r="AI4019">
        <v>71</v>
      </c>
      <c r="AL4019" t="s">
        <v>5011</v>
      </c>
      <c r="AM4019">
        <v>8868</v>
      </c>
      <c r="AS4019">
        <v>2</v>
      </c>
      <c r="AT4019" t="s">
        <v>495</v>
      </c>
      <c r="AU4019" t="s">
        <v>25235</v>
      </c>
      <c r="AV4019" t="s">
        <v>25335</v>
      </c>
      <c r="AW4019" t="s">
        <v>11447</v>
      </c>
    </row>
    <row r="4020" spans="1:49">
      <c r="A4020" s="1">
        <f>HYPERLINK("https://lsnyc.legalserver.org/matter/dynamic-profile/view/1910984","19-1910984")</f>
        <v>0</v>
      </c>
      <c r="B4020" t="s">
        <v>255</v>
      </c>
      <c r="C4020" t="s">
        <v>460</v>
      </c>
      <c r="E4020" t="s">
        <v>3014</v>
      </c>
      <c r="F4020" t="s">
        <v>5650</v>
      </c>
      <c r="G4020" t="s">
        <v>9308</v>
      </c>
      <c r="H4020" t="s">
        <v>10719</v>
      </c>
      <c r="I4020" t="s">
        <v>11385</v>
      </c>
      <c r="J4020">
        <v>11221</v>
      </c>
      <c r="K4020" t="s">
        <v>11446</v>
      </c>
      <c r="L4020" t="s">
        <v>13551</v>
      </c>
      <c r="M4020" t="s">
        <v>14744</v>
      </c>
      <c r="N4020" t="s">
        <v>14781</v>
      </c>
      <c r="P4020" t="s">
        <v>14804</v>
      </c>
      <c r="Q4020" t="s">
        <v>11448</v>
      </c>
      <c r="S4020" t="s">
        <v>14827</v>
      </c>
      <c r="U4020" t="s">
        <v>460</v>
      </c>
      <c r="V4020">
        <v>0</v>
      </c>
      <c r="W4020" t="s">
        <v>14859</v>
      </c>
      <c r="X4020" t="s">
        <v>14881</v>
      </c>
      <c r="Z4020" t="s">
        <v>18228</v>
      </c>
      <c r="AB4020" t="s">
        <v>23334</v>
      </c>
      <c r="AC4020">
        <v>0</v>
      </c>
      <c r="AF4020">
        <v>0</v>
      </c>
      <c r="AG4020">
        <v>1</v>
      </c>
      <c r="AH4020">
        <v>0</v>
      </c>
      <c r="AI4020">
        <v>116.78</v>
      </c>
      <c r="AL4020" t="s">
        <v>5011</v>
      </c>
      <c r="AM4020">
        <v>14586</v>
      </c>
      <c r="AS4020">
        <v>8.75</v>
      </c>
      <c r="AT4020" t="s">
        <v>509</v>
      </c>
      <c r="AU4020" t="s">
        <v>25285</v>
      </c>
      <c r="AV4020" t="s">
        <v>25335</v>
      </c>
      <c r="AW4020" t="s">
        <v>11447</v>
      </c>
    </row>
    <row r="4021" spans="1:49">
      <c r="A4021" s="1">
        <f>HYPERLINK("https://lsnyc.legalserver.org/matter/dynamic-profile/view/1911034","19-1911034")</f>
        <v>0</v>
      </c>
      <c r="B4021" t="s">
        <v>133</v>
      </c>
      <c r="C4021" t="s">
        <v>460</v>
      </c>
      <c r="E4021" t="s">
        <v>3015</v>
      </c>
      <c r="F4021" t="s">
        <v>5651</v>
      </c>
      <c r="G4021" t="s">
        <v>9328</v>
      </c>
      <c r="H4021" t="s">
        <v>11216</v>
      </c>
      <c r="I4021" t="s">
        <v>11385</v>
      </c>
      <c r="J4021">
        <v>11225</v>
      </c>
      <c r="K4021" t="s">
        <v>11446</v>
      </c>
      <c r="L4021" t="s">
        <v>13552</v>
      </c>
      <c r="M4021" t="s">
        <v>14744</v>
      </c>
      <c r="N4021" t="s">
        <v>14781</v>
      </c>
      <c r="P4021" t="s">
        <v>14804</v>
      </c>
      <c r="Q4021" t="s">
        <v>11448</v>
      </c>
      <c r="S4021" t="s">
        <v>14827</v>
      </c>
      <c r="U4021" t="s">
        <v>460</v>
      </c>
      <c r="V4021">
        <v>0</v>
      </c>
      <c r="W4021" t="s">
        <v>14859</v>
      </c>
      <c r="X4021" t="s">
        <v>14881</v>
      </c>
      <c r="Z4021" t="s">
        <v>18229</v>
      </c>
      <c r="AB4021" t="s">
        <v>23335</v>
      </c>
      <c r="AC4021">
        <v>0</v>
      </c>
      <c r="AF4021">
        <v>0</v>
      </c>
      <c r="AG4021">
        <v>1</v>
      </c>
      <c r="AH4021">
        <v>0</v>
      </c>
      <c r="AI4021">
        <v>166.53</v>
      </c>
      <c r="AL4021" t="s">
        <v>5011</v>
      </c>
      <c r="AM4021">
        <v>20800</v>
      </c>
      <c r="AS4021">
        <v>5.3</v>
      </c>
      <c r="AT4021" t="s">
        <v>495</v>
      </c>
      <c r="AU4021" t="s">
        <v>25285</v>
      </c>
      <c r="AV4021" t="s">
        <v>25335</v>
      </c>
      <c r="AW4021" t="s">
        <v>11447</v>
      </c>
    </row>
    <row r="4022" spans="1:49">
      <c r="A4022" s="1">
        <f>HYPERLINK("https://lsnyc.legalserver.org/matter/dynamic-profile/view/1911134","19-1911134")</f>
        <v>0</v>
      </c>
      <c r="B4022" t="s">
        <v>267</v>
      </c>
      <c r="C4022" t="s">
        <v>475</v>
      </c>
      <c r="E4022" t="s">
        <v>1140</v>
      </c>
      <c r="F4022" t="s">
        <v>3588</v>
      </c>
      <c r="G4022" t="s">
        <v>9329</v>
      </c>
      <c r="I4022" t="s">
        <v>11385</v>
      </c>
      <c r="J4022">
        <v>11226</v>
      </c>
      <c r="K4022" t="s">
        <v>11446</v>
      </c>
      <c r="L4022" t="s">
        <v>13553</v>
      </c>
      <c r="M4022" t="s">
        <v>14744</v>
      </c>
      <c r="N4022" t="s">
        <v>14781</v>
      </c>
      <c r="P4022" t="s">
        <v>14804</v>
      </c>
      <c r="S4022" t="s">
        <v>14827</v>
      </c>
      <c r="U4022" t="s">
        <v>475</v>
      </c>
      <c r="V4022">
        <v>0</v>
      </c>
      <c r="W4022" t="s">
        <v>14859</v>
      </c>
      <c r="Z4022" t="s">
        <v>18230</v>
      </c>
      <c r="AB4022" t="s">
        <v>23336</v>
      </c>
      <c r="AC4022">
        <v>0</v>
      </c>
      <c r="AF4022">
        <v>0</v>
      </c>
      <c r="AG4022">
        <v>3</v>
      </c>
      <c r="AH4022">
        <v>0</v>
      </c>
      <c r="AI4022">
        <v>103.12</v>
      </c>
      <c r="AL4022" t="s">
        <v>5011</v>
      </c>
      <c r="AM4022">
        <v>21996</v>
      </c>
      <c r="AS4022">
        <v>1.6</v>
      </c>
      <c r="AT4022" t="s">
        <v>472</v>
      </c>
      <c r="AU4022" t="s">
        <v>25275</v>
      </c>
      <c r="AV4022" t="s">
        <v>25335</v>
      </c>
      <c r="AW4022" t="s">
        <v>11447</v>
      </c>
    </row>
    <row r="4023" spans="1:49">
      <c r="A4023" s="1">
        <f>HYPERLINK("https://lsnyc.legalserver.org/matter/dynamic-profile/view/1911296","19-1911296")</f>
        <v>0</v>
      </c>
      <c r="B4023" t="s">
        <v>93</v>
      </c>
      <c r="C4023" t="s">
        <v>511</v>
      </c>
      <c r="E4023" t="s">
        <v>1057</v>
      </c>
      <c r="F4023" t="s">
        <v>3777</v>
      </c>
      <c r="G4023" t="s">
        <v>9330</v>
      </c>
      <c r="H4023" t="s">
        <v>10828</v>
      </c>
      <c r="I4023" t="s">
        <v>11385</v>
      </c>
      <c r="J4023">
        <v>11216</v>
      </c>
      <c r="K4023" t="s">
        <v>11446</v>
      </c>
      <c r="L4023" t="s">
        <v>13554</v>
      </c>
      <c r="M4023" t="s">
        <v>14744</v>
      </c>
      <c r="N4023" t="s">
        <v>14781</v>
      </c>
      <c r="P4023" t="s">
        <v>14804</v>
      </c>
      <c r="Q4023" t="s">
        <v>11448</v>
      </c>
      <c r="S4023" t="s">
        <v>14827</v>
      </c>
      <c r="T4023" t="s">
        <v>14834</v>
      </c>
      <c r="U4023" t="s">
        <v>511</v>
      </c>
      <c r="V4023">
        <v>1600</v>
      </c>
      <c r="W4023" t="s">
        <v>14859</v>
      </c>
      <c r="X4023" t="s">
        <v>14881</v>
      </c>
      <c r="Z4023" t="s">
        <v>18231</v>
      </c>
      <c r="AA4023" t="s">
        <v>19835</v>
      </c>
      <c r="AB4023" t="s">
        <v>23337</v>
      </c>
      <c r="AC4023">
        <v>3</v>
      </c>
      <c r="AD4023" t="s">
        <v>24600</v>
      </c>
      <c r="AE4023" t="s">
        <v>11459</v>
      </c>
      <c r="AF4023">
        <v>9</v>
      </c>
      <c r="AG4023">
        <v>2</v>
      </c>
      <c r="AH4023">
        <v>3</v>
      </c>
      <c r="AI4023">
        <v>0</v>
      </c>
      <c r="AL4023" t="s">
        <v>5011</v>
      </c>
      <c r="AM4023">
        <v>0</v>
      </c>
      <c r="AO4023" t="s">
        <v>24932</v>
      </c>
      <c r="AS4023">
        <v>11.65</v>
      </c>
      <c r="AT4023" t="s">
        <v>506</v>
      </c>
      <c r="AU4023" t="s">
        <v>25246</v>
      </c>
      <c r="AV4023" t="s">
        <v>25335</v>
      </c>
      <c r="AW4023" t="s">
        <v>11447</v>
      </c>
    </row>
    <row r="4024" spans="1:49">
      <c r="A4024" s="1">
        <f>HYPERLINK("https://lsnyc.legalserver.org/matter/dynamic-profile/view/1911304","19-1911304")</f>
        <v>0</v>
      </c>
      <c r="B4024" t="s">
        <v>281</v>
      </c>
      <c r="C4024" t="s">
        <v>511</v>
      </c>
      <c r="E4024" t="s">
        <v>1621</v>
      </c>
      <c r="F4024" t="s">
        <v>3969</v>
      </c>
      <c r="G4024" t="s">
        <v>9331</v>
      </c>
      <c r="H4024" t="s">
        <v>10476</v>
      </c>
      <c r="I4024" t="s">
        <v>11385</v>
      </c>
      <c r="J4024">
        <v>11221</v>
      </c>
      <c r="K4024" t="s">
        <v>11446</v>
      </c>
      <c r="L4024" t="s">
        <v>13555</v>
      </c>
      <c r="M4024" t="s">
        <v>14744</v>
      </c>
      <c r="N4024" t="s">
        <v>14781</v>
      </c>
      <c r="P4024" t="s">
        <v>14804</v>
      </c>
      <c r="Q4024" t="s">
        <v>11448</v>
      </c>
      <c r="S4024" t="s">
        <v>14827</v>
      </c>
      <c r="U4024" t="s">
        <v>511</v>
      </c>
      <c r="V4024">
        <v>0</v>
      </c>
      <c r="W4024" t="s">
        <v>14859</v>
      </c>
      <c r="X4024" t="s">
        <v>14881</v>
      </c>
      <c r="Z4024" t="s">
        <v>18232</v>
      </c>
      <c r="AB4024" t="s">
        <v>23338</v>
      </c>
      <c r="AC4024">
        <v>0</v>
      </c>
      <c r="AD4024" t="s">
        <v>24595</v>
      </c>
      <c r="AF4024">
        <v>0</v>
      </c>
      <c r="AG4024">
        <v>3</v>
      </c>
      <c r="AH4024">
        <v>1</v>
      </c>
      <c r="AI4024">
        <v>100.97</v>
      </c>
      <c r="AL4024" t="s">
        <v>5011</v>
      </c>
      <c r="AM4024">
        <v>26000</v>
      </c>
      <c r="AS4024">
        <v>3.6</v>
      </c>
      <c r="AT4024" t="s">
        <v>537</v>
      </c>
      <c r="AU4024" t="s">
        <v>25235</v>
      </c>
      <c r="AV4024" t="s">
        <v>25335</v>
      </c>
      <c r="AW4024" t="s">
        <v>11447</v>
      </c>
    </row>
    <row r="4025" spans="1:49">
      <c r="A4025" s="1">
        <f>HYPERLINK("https://lsnyc.legalserver.org/matter/dynamic-profile/view/1911260","19-1911260")</f>
        <v>0</v>
      </c>
      <c r="B4025" t="s">
        <v>141</v>
      </c>
      <c r="C4025" t="s">
        <v>511</v>
      </c>
      <c r="E4025" t="s">
        <v>3016</v>
      </c>
      <c r="F4025" t="s">
        <v>5652</v>
      </c>
      <c r="G4025" t="s">
        <v>8260</v>
      </c>
      <c r="I4025" t="s">
        <v>11385</v>
      </c>
      <c r="J4025">
        <v>11226</v>
      </c>
      <c r="K4025" t="s">
        <v>11446</v>
      </c>
      <c r="L4025" t="s">
        <v>13556</v>
      </c>
      <c r="M4025" t="s">
        <v>14744</v>
      </c>
      <c r="N4025" t="s">
        <v>14781</v>
      </c>
      <c r="P4025" t="s">
        <v>14804</v>
      </c>
      <c r="S4025" t="s">
        <v>14827</v>
      </c>
      <c r="U4025" t="s">
        <v>511</v>
      </c>
      <c r="V4025">
        <v>0</v>
      </c>
      <c r="W4025" t="s">
        <v>14859</v>
      </c>
      <c r="X4025" t="s">
        <v>14865</v>
      </c>
      <c r="Z4025" t="s">
        <v>18233</v>
      </c>
      <c r="AB4025" t="s">
        <v>23339</v>
      </c>
      <c r="AC4025">
        <v>0</v>
      </c>
      <c r="AF4025">
        <v>0</v>
      </c>
      <c r="AG4025">
        <v>1</v>
      </c>
      <c r="AH4025">
        <v>2</v>
      </c>
      <c r="AI4025">
        <v>115.52</v>
      </c>
      <c r="AL4025" t="s">
        <v>24641</v>
      </c>
      <c r="AM4025">
        <v>24640</v>
      </c>
      <c r="AS4025">
        <v>10.5</v>
      </c>
      <c r="AT4025" t="s">
        <v>533</v>
      </c>
      <c r="AU4025" t="s">
        <v>25275</v>
      </c>
      <c r="AV4025" t="s">
        <v>25335</v>
      </c>
      <c r="AW4025" t="s">
        <v>11447</v>
      </c>
    </row>
    <row r="4026" spans="1:49">
      <c r="A4026" s="1">
        <f>HYPERLINK("https://lsnyc.legalserver.org/matter/dynamic-profile/view/1911239","19-1911239")</f>
        <v>0</v>
      </c>
      <c r="B4026" t="s">
        <v>267</v>
      </c>
      <c r="C4026" t="s">
        <v>511</v>
      </c>
      <c r="E4026" t="s">
        <v>3017</v>
      </c>
      <c r="F4026" t="s">
        <v>5653</v>
      </c>
      <c r="G4026" t="s">
        <v>9332</v>
      </c>
      <c r="H4026" t="s">
        <v>11217</v>
      </c>
      <c r="I4026" t="s">
        <v>11385</v>
      </c>
      <c r="J4026">
        <v>11226</v>
      </c>
      <c r="K4026" t="s">
        <v>11446</v>
      </c>
      <c r="L4026" t="s">
        <v>13557</v>
      </c>
      <c r="M4026" t="s">
        <v>14744</v>
      </c>
      <c r="N4026" t="s">
        <v>14781</v>
      </c>
      <c r="P4026" t="s">
        <v>14804</v>
      </c>
      <c r="S4026" t="s">
        <v>14827</v>
      </c>
      <c r="U4026" t="s">
        <v>511</v>
      </c>
      <c r="V4026">
        <v>0</v>
      </c>
      <c r="W4026" t="s">
        <v>14859</v>
      </c>
      <c r="Z4026" t="s">
        <v>18234</v>
      </c>
      <c r="AB4026" t="s">
        <v>23340</v>
      </c>
      <c r="AC4026">
        <v>0</v>
      </c>
      <c r="AF4026">
        <v>0</v>
      </c>
      <c r="AG4026">
        <v>1</v>
      </c>
      <c r="AH4026">
        <v>1</v>
      </c>
      <c r="AI4026">
        <v>138.38</v>
      </c>
      <c r="AL4026" t="s">
        <v>5011</v>
      </c>
      <c r="AM4026">
        <v>23400</v>
      </c>
      <c r="AS4026">
        <v>8.4</v>
      </c>
      <c r="AT4026" t="s">
        <v>472</v>
      </c>
      <c r="AU4026" t="s">
        <v>25277</v>
      </c>
      <c r="AV4026" t="s">
        <v>25335</v>
      </c>
      <c r="AW4026" t="s">
        <v>11447</v>
      </c>
    </row>
    <row r="4027" spans="1:49">
      <c r="A4027" s="1">
        <f>HYPERLINK("https://lsnyc.legalserver.org/matter/dynamic-profile/view/1911315","19-1911315")</f>
        <v>0</v>
      </c>
      <c r="B4027" t="s">
        <v>93</v>
      </c>
      <c r="C4027" t="s">
        <v>511</v>
      </c>
      <c r="E4027" t="s">
        <v>3018</v>
      </c>
      <c r="F4027" t="s">
        <v>3628</v>
      </c>
      <c r="G4027" t="s">
        <v>9333</v>
      </c>
      <c r="H4027" t="s">
        <v>11218</v>
      </c>
      <c r="I4027" t="s">
        <v>11385</v>
      </c>
      <c r="J4027">
        <v>11225</v>
      </c>
      <c r="K4027" t="s">
        <v>11446</v>
      </c>
      <c r="L4027" t="s">
        <v>13558</v>
      </c>
      <c r="M4027" t="s">
        <v>14744</v>
      </c>
      <c r="N4027" t="s">
        <v>14781</v>
      </c>
      <c r="P4027" t="s">
        <v>14804</v>
      </c>
      <c r="Q4027" t="s">
        <v>11448</v>
      </c>
      <c r="S4027" t="s">
        <v>14827</v>
      </c>
      <c r="T4027" t="s">
        <v>14832</v>
      </c>
      <c r="U4027" t="s">
        <v>511</v>
      </c>
      <c r="V4027">
        <v>1449.49</v>
      </c>
      <c r="W4027" t="s">
        <v>14859</v>
      </c>
      <c r="X4027" t="s">
        <v>14865</v>
      </c>
      <c r="Z4027" t="s">
        <v>18235</v>
      </c>
      <c r="AB4027" t="s">
        <v>23341</v>
      </c>
      <c r="AC4027">
        <v>0</v>
      </c>
      <c r="AD4027" t="s">
        <v>24595</v>
      </c>
      <c r="AE4027" t="s">
        <v>11459</v>
      </c>
      <c r="AF4027">
        <v>0</v>
      </c>
      <c r="AG4027">
        <v>1</v>
      </c>
      <c r="AH4027">
        <v>0</v>
      </c>
      <c r="AI4027">
        <v>187.35</v>
      </c>
      <c r="AL4027" t="s">
        <v>5011</v>
      </c>
      <c r="AM4027">
        <v>23400</v>
      </c>
      <c r="AS4027">
        <v>3.5</v>
      </c>
      <c r="AT4027" t="s">
        <v>539</v>
      </c>
      <c r="AU4027" t="s">
        <v>25246</v>
      </c>
      <c r="AV4027" t="s">
        <v>25335</v>
      </c>
      <c r="AW4027" t="s">
        <v>11447</v>
      </c>
    </row>
    <row r="4028" spans="1:49">
      <c r="A4028" s="1">
        <f>HYPERLINK("https://lsnyc.legalserver.org/matter/dynamic-profile/view/1911287","19-1911287")</f>
        <v>0</v>
      </c>
      <c r="B4028" t="s">
        <v>280</v>
      </c>
      <c r="C4028" t="s">
        <v>511</v>
      </c>
      <c r="E4028" t="s">
        <v>1652</v>
      </c>
      <c r="F4028" t="s">
        <v>5654</v>
      </c>
      <c r="G4028" t="s">
        <v>9334</v>
      </c>
      <c r="I4028" t="s">
        <v>11385</v>
      </c>
      <c r="J4028">
        <v>11225</v>
      </c>
      <c r="K4028" t="s">
        <v>11446</v>
      </c>
      <c r="L4028" t="s">
        <v>13559</v>
      </c>
      <c r="M4028" t="s">
        <v>14744</v>
      </c>
      <c r="P4028" t="s">
        <v>14804</v>
      </c>
      <c r="S4028" t="s">
        <v>14827</v>
      </c>
      <c r="U4028" t="s">
        <v>511</v>
      </c>
      <c r="V4028">
        <v>1535.47</v>
      </c>
      <c r="W4028" t="s">
        <v>14859</v>
      </c>
      <c r="X4028" t="s">
        <v>14881</v>
      </c>
      <c r="Z4028" t="s">
        <v>18236</v>
      </c>
      <c r="AB4028" t="s">
        <v>23342</v>
      </c>
      <c r="AC4028">
        <v>0</v>
      </c>
      <c r="AF4028">
        <v>0</v>
      </c>
      <c r="AG4028">
        <v>2</v>
      </c>
      <c r="AH4028">
        <v>2</v>
      </c>
      <c r="AI4028">
        <v>205.83</v>
      </c>
      <c r="AL4028" t="s">
        <v>5011</v>
      </c>
      <c r="AM4028">
        <v>53000</v>
      </c>
      <c r="AS4028">
        <v>2</v>
      </c>
      <c r="AT4028" t="s">
        <v>516</v>
      </c>
      <c r="AU4028" t="s">
        <v>25275</v>
      </c>
      <c r="AV4028" t="s">
        <v>25335</v>
      </c>
      <c r="AW4028" t="s">
        <v>11447</v>
      </c>
    </row>
    <row r="4029" spans="1:49">
      <c r="A4029" s="1">
        <f>HYPERLINK("https://lsnyc.legalserver.org/matter/dynamic-profile/view/1911264","19-1911264")</f>
        <v>0</v>
      </c>
      <c r="B4029" t="s">
        <v>282</v>
      </c>
      <c r="C4029" t="s">
        <v>511</v>
      </c>
      <c r="E4029" t="s">
        <v>3019</v>
      </c>
      <c r="F4029" t="s">
        <v>4037</v>
      </c>
      <c r="G4029" t="s">
        <v>9335</v>
      </c>
      <c r="I4029" t="s">
        <v>11385</v>
      </c>
      <c r="J4029">
        <v>11225</v>
      </c>
      <c r="K4029" t="s">
        <v>11446</v>
      </c>
      <c r="L4029" t="s">
        <v>13560</v>
      </c>
      <c r="M4029" t="s">
        <v>14744</v>
      </c>
      <c r="P4029" t="s">
        <v>14804</v>
      </c>
      <c r="S4029" t="s">
        <v>14827</v>
      </c>
      <c r="U4029" t="s">
        <v>511</v>
      </c>
      <c r="V4029">
        <v>0</v>
      </c>
      <c r="W4029" t="s">
        <v>14859</v>
      </c>
      <c r="Z4029" t="s">
        <v>18237</v>
      </c>
      <c r="AB4029" t="s">
        <v>23343</v>
      </c>
      <c r="AC4029">
        <v>0</v>
      </c>
      <c r="AF4029">
        <v>0</v>
      </c>
      <c r="AG4029">
        <v>2</v>
      </c>
      <c r="AH4029">
        <v>0</v>
      </c>
      <c r="AI4029">
        <v>253.34</v>
      </c>
      <c r="AL4029" t="s">
        <v>5011</v>
      </c>
      <c r="AM4029">
        <v>42840</v>
      </c>
      <c r="AS4029">
        <v>8.1</v>
      </c>
      <c r="AT4029" t="s">
        <v>537</v>
      </c>
      <c r="AU4029" t="s">
        <v>25275</v>
      </c>
      <c r="AV4029" t="s">
        <v>25335</v>
      </c>
      <c r="AW4029" t="s">
        <v>11447</v>
      </c>
    </row>
    <row r="4030" spans="1:49">
      <c r="A4030" s="1">
        <f>HYPERLINK("https://lsnyc.legalserver.org/matter/dynamic-profile/view/1911429","19-1911429")</f>
        <v>0</v>
      </c>
      <c r="B4030" t="s">
        <v>152</v>
      </c>
      <c r="C4030" t="s">
        <v>467</v>
      </c>
      <c r="E4030" t="s">
        <v>3020</v>
      </c>
      <c r="F4030" t="s">
        <v>3584</v>
      </c>
      <c r="G4030" t="s">
        <v>9287</v>
      </c>
      <c r="H4030" t="s">
        <v>11219</v>
      </c>
      <c r="I4030" t="s">
        <v>11385</v>
      </c>
      <c r="J4030">
        <v>11221</v>
      </c>
      <c r="K4030" t="s">
        <v>11446</v>
      </c>
      <c r="L4030" t="s">
        <v>13561</v>
      </c>
      <c r="M4030" t="s">
        <v>14744</v>
      </c>
      <c r="N4030" t="s">
        <v>14782</v>
      </c>
      <c r="P4030" t="s">
        <v>14804</v>
      </c>
      <c r="S4030" t="s">
        <v>14827</v>
      </c>
      <c r="U4030" t="s">
        <v>467</v>
      </c>
      <c r="V4030">
        <v>0</v>
      </c>
      <c r="W4030" t="s">
        <v>14859</v>
      </c>
      <c r="X4030" t="s">
        <v>14881</v>
      </c>
      <c r="Z4030" t="s">
        <v>18238</v>
      </c>
      <c r="AB4030" t="s">
        <v>23344</v>
      </c>
      <c r="AC4030">
        <v>0</v>
      </c>
      <c r="AF4030">
        <v>0</v>
      </c>
      <c r="AG4030">
        <v>1</v>
      </c>
      <c r="AH4030">
        <v>0</v>
      </c>
      <c r="AI4030">
        <v>9.609999999999999</v>
      </c>
      <c r="AL4030" t="s">
        <v>5011</v>
      </c>
      <c r="AM4030">
        <v>1200</v>
      </c>
      <c r="AS4030">
        <v>0.1</v>
      </c>
      <c r="AT4030" t="s">
        <v>484</v>
      </c>
      <c r="AU4030" t="s">
        <v>25235</v>
      </c>
      <c r="AV4030" t="s">
        <v>25335</v>
      </c>
      <c r="AW4030" t="s">
        <v>11447</v>
      </c>
    </row>
    <row r="4031" spans="1:49">
      <c r="A4031" s="1">
        <f>HYPERLINK("https://lsnyc.legalserver.org/matter/dynamic-profile/view/1911379","19-1911379")</f>
        <v>0</v>
      </c>
      <c r="B4031" t="s">
        <v>233</v>
      </c>
      <c r="C4031" t="s">
        <v>467</v>
      </c>
      <c r="E4031" t="s">
        <v>3021</v>
      </c>
      <c r="F4031" t="s">
        <v>5655</v>
      </c>
      <c r="G4031" t="s">
        <v>6536</v>
      </c>
      <c r="H4031" t="s">
        <v>10675</v>
      </c>
      <c r="I4031" t="s">
        <v>11385</v>
      </c>
      <c r="J4031">
        <v>11226</v>
      </c>
      <c r="K4031" t="s">
        <v>11446</v>
      </c>
      <c r="L4031" t="s">
        <v>13562</v>
      </c>
      <c r="M4031" t="s">
        <v>14744</v>
      </c>
      <c r="N4031" t="s">
        <v>14781</v>
      </c>
      <c r="P4031" t="s">
        <v>14804</v>
      </c>
      <c r="Q4031" t="s">
        <v>11448</v>
      </c>
      <c r="S4031" t="s">
        <v>14827</v>
      </c>
      <c r="U4031" t="s">
        <v>467</v>
      </c>
      <c r="V4031">
        <v>0</v>
      </c>
      <c r="W4031" t="s">
        <v>14859</v>
      </c>
      <c r="X4031" t="s">
        <v>14865</v>
      </c>
      <c r="Z4031" t="s">
        <v>18239</v>
      </c>
      <c r="AB4031" t="s">
        <v>23345</v>
      </c>
      <c r="AC4031">
        <v>0</v>
      </c>
      <c r="AF4031">
        <v>0</v>
      </c>
      <c r="AG4031">
        <v>4</v>
      </c>
      <c r="AH4031">
        <v>0</v>
      </c>
      <c r="AI4031">
        <v>88.54000000000001</v>
      </c>
      <c r="AL4031" t="s">
        <v>5011</v>
      </c>
      <c r="AM4031">
        <v>22800</v>
      </c>
      <c r="AS4031">
        <v>5</v>
      </c>
      <c r="AT4031" t="s">
        <v>516</v>
      </c>
      <c r="AU4031" t="s">
        <v>25285</v>
      </c>
      <c r="AV4031" t="s">
        <v>25335</v>
      </c>
      <c r="AW4031" t="s">
        <v>11447</v>
      </c>
    </row>
    <row r="4032" spans="1:49">
      <c r="A4032" s="1">
        <f>HYPERLINK("https://lsnyc.legalserver.org/matter/dynamic-profile/view/1911372","19-1911372")</f>
        <v>0</v>
      </c>
      <c r="B4032" t="s">
        <v>152</v>
      </c>
      <c r="C4032" t="s">
        <v>467</v>
      </c>
      <c r="E4032" t="s">
        <v>3022</v>
      </c>
      <c r="F4032" t="s">
        <v>4394</v>
      </c>
      <c r="G4032" t="s">
        <v>9275</v>
      </c>
      <c r="H4032" t="s">
        <v>11213</v>
      </c>
      <c r="I4032" t="s">
        <v>11385</v>
      </c>
      <c r="J4032">
        <v>11225</v>
      </c>
      <c r="K4032" t="s">
        <v>11446</v>
      </c>
      <c r="L4032" t="s">
        <v>13563</v>
      </c>
      <c r="M4032" t="s">
        <v>14744</v>
      </c>
      <c r="N4032" t="s">
        <v>14781</v>
      </c>
      <c r="P4032" t="s">
        <v>14804</v>
      </c>
      <c r="S4032" t="s">
        <v>14827</v>
      </c>
      <c r="U4032" t="s">
        <v>467</v>
      </c>
      <c r="V4032">
        <v>0</v>
      </c>
      <c r="W4032" t="s">
        <v>14859</v>
      </c>
      <c r="X4032" t="s">
        <v>14881</v>
      </c>
      <c r="Z4032" t="s">
        <v>18240</v>
      </c>
      <c r="AB4032" t="s">
        <v>23346</v>
      </c>
      <c r="AC4032">
        <v>0</v>
      </c>
      <c r="AF4032">
        <v>0</v>
      </c>
      <c r="AG4032">
        <v>2</v>
      </c>
      <c r="AH4032">
        <v>0</v>
      </c>
      <c r="AI4032">
        <v>98.98999999999999</v>
      </c>
      <c r="AL4032" t="s">
        <v>5011</v>
      </c>
      <c r="AM4032">
        <v>16740</v>
      </c>
      <c r="AS4032">
        <v>0.4</v>
      </c>
      <c r="AT4032" t="s">
        <v>484</v>
      </c>
      <c r="AU4032" t="s">
        <v>25285</v>
      </c>
      <c r="AV4032" t="s">
        <v>25335</v>
      </c>
      <c r="AW4032" t="s">
        <v>11447</v>
      </c>
    </row>
    <row r="4033" spans="1:49">
      <c r="A4033" s="1">
        <f>HYPERLINK("https://lsnyc.legalserver.org/matter/dynamic-profile/view/1911354","19-1911354")</f>
        <v>0</v>
      </c>
      <c r="B4033" t="s">
        <v>106</v>
      </c>
      <c r="C4033" t="s">
        <v>467</v>
      </c>
      <c r="E4033" t="s">
        <v>1453</v>
      </c>
      <c r="F4033" t="s">
        <v>5656</v>
      </c>
      <c r="G4033" t="s">
        <v>9336</v>
      </c>
      <c r="H4033" t="s">
        <v>10450</v>
      </c>
      <c r="I4033" t="s">
        <v>11385</v>
      </c>
      <c r="J4033">
        <v>11221</v>
      </c>
      <c r="K4033" t="s">
        <v>11446</v>
      </c>
      <c r="L4033" t="s">
        <v>13564</v>
      </c>
      <c r="M4033" t="s">
        <v>14744</v>
      </c>
      <c r="N4033" t="s">
        <v>14782</v>
      </c>
      <c r="P4033" t="s">
        <v>14804</v>
      </c>
      <c r="S4033" t="s">
        <v>14827</v>
      </c>
      <c r="U4033" t="s">
        <v>467</v>
      </c>
      <c r="V4033">
        <v>0</v>
      </c>
      <c r="W4033" t="s">
        <v>14859</v>
      </c>
      <c r="X4033" t="s">
        <v>14881</v>
      </c>
      <c r="Z4033" t="s">
        <v>18241</v>
      </c>
      <c r="AB4033" t="s">
        <v>23347</v>
      </c>
      <c r="AC4033">
        <v>0</v>
      </c>
      <c r="AF4033">
        <v>0</v>
      </c>
      <c r="AG4033">
        <v>3</v>
      </c>
      <c r="AH4033">
        <v>3</v>
      </c>
      <c r="AI4033">
        <v>148.83</v>
      </c>
      <c r="AL4033" t="s">
        <v>5011</v>
      </c>
      <c r="AM4033">
        <v>51480</v>
      </c>
      <c r="AS4033">
        <v>3.6</v>
      </c>
      <c r="AT4033" t="s">
        <v>515</v>
      </c>
      <c r="AU4033" t="s">
        <v>25235</v>
      </c>
      <c r="AV4033" t="s">
        <v>25335</v>
      </c>
      <c r="AW4033" t="s">
        <v>11447</v>
      </c>
    </row>
    <row r="4034" spans="1:49">
      <c r="A4034" s="1">
        <f>HYPERLINK("https://lsnyc.legalserver.org/matter/dynamic-profile/view/1911364","19-1911364")</f>
        <v>0</v>
      </c>
      <c r="B4034" t="s">
        <v>191</v>
      </c>
      <c r="C4034" t="s">
        <v>467</v>
      </c>
      <c r="E4034" t="s">
        <v>3023</v>
      </c>
      <c r="F4034" t="s">
        <v>5657</v>
      </c>
      <c r="G4034" t="s">
        <v>9337</v>
      </c>
      <c r="I4034" t="s">
        <v>11385</v>
      </c>
      <c r="J4034">
        <v>11216</v>
      </c>
      <c r="K4034" t="s">
        <v>11446</v>
      </c>
      <c r="L4034" t="s">
        <v>13565</v>
      </c>
      <c r="M4034" t="s">
        <v>14743</v>
      </c>
      <c r="N4034" t="s">
        <v>14781</v>
      </c>
      <c r="P4034" t="s">
        <v>14804</v>
      </c>
      <c r="Q4034" t="s">
        <v>11448</v>
      </c>
      <c r="S4034" t="s">
        <v>14827</v>
      </c>
      <c r="U4034" t="s">
        <v>467</v>
      </c>
      <c r="V4034">
        <v>0</v>
      </c>
      <c r="W4034" t="s">
        <v>14859</v>
      </c>
      <c r="X4034" t="s">
        <v>14881</v>
      </c>
      <c r="Z4034" t="s">
        <v>17634</v>
      </c>
      <c r="AB4034" t="s">
        <v>23348</v>
      </c>
      <c r="AC4034">
        <v>3</v>
      </c>
      <c r="AD4034" t="s">
        <v>24600</v>
      </c>
      <c r="AE4034" t="s">
        <v>11459</v>
      </c>
      <c r="AF4034">
        <v>25</v>
      </c>
      <c r="AG4034">
        <v>5</v>
      </c>
      <c r="AH4034">
        <v>1</v>
      </c>
      <c r="AI4034">
        <v>196.59</v>
      </c>
      <c r="AL4034" t="s">
        <v>5011</v>
      </c>
      <c r="AM4034">
        <v>68000</v>
      </c>
      <c r="AS4034">
        <v>3.9</v>
      </c>
      <c r="AT4034" t="s">
        <v>483</v>
      </c>
      <c r="AU4034" t="s">
        <v>25246</v>
      </c>
      <c r="AV4034" t="s">
        <v>25335</v>
      </c>
      <c r="AW4034" t="s">
        <v>11447</v>
      </c>
    </row>
    <row r="4035" spans="1:49">
      <c r="A4035" s="1">
        <f>HYPERLINK("https://lsnyc.legalserver.org/matter/dynamic-profile/view/1911344","19-1911344")</f>
        <v>0</v>
      </c>
      <c r="B4035" t="s">
        <v>282</v>
      </c>
      <c r="C4035" t="s">
        <v>467</v>
      </c>
      <c r="E4035" t="s">
        <v>1307</v>
      </c>
      <c r="F4035" t="s">
        <v>5658</v>
      </c>
      <c r="G4035" t="s">
        <v>9338</v>
      </c>
      <c r="H4035" t="s">
        <v>10484</v>
      </c>
      <c r="I4035" t="s">
        <v>11385</v>
      </c>
      <c r="J4035">
        <v>11216</v>
      </c>
      <c r="K4035" t="s">
        <v>11446</v>
      </c>
      <c r="L4035" t="s">
        <v>13566</v>
      </c>
      <c r="M4035" t="s">
        <v>14744</v>
      </c>
      <c r="N4035" t="s">
        <v>14781</v>
      </c>
      <c r="P4035" t="s">
        <v>14804</v>
      </c>
      <c r="Q4035" t="s">
        <v>11448</v>
      </c>
      <c r="S4035" t="s">
        <v>14827</v>
      </c>
      <c r="U4035" t="s">
        <v>467</v>
      </c>
      <c r="V4035">
        <v>0</v>
      </c>
      <c r="W4035" t="s">
        <v>14859</v>
      </c>
      <c r="X4035" t="s">
        <v>14881</v>
      </c>
      <c r="Z4035" t="s">
        <v>18242</v>
      </c>
      <c r="AB4035" t="s">
        <v>23349</v>
      </c>
      <c r="AC4035">
        <v>0</v>
      </c>
      <c r="AF4035">
        <v>0</v>
      </c>
      <c r="AG4035">
        <v>1</v>
      </c>
      <c r="AH4035">
        <v>0</v>
      </c>
      <c r="AI4035">
        <v>199.36</v>
      </c>
      <c r="AL4035" t="s">
        <v>5011</v>
      </c>
      <c r="AM4035">
        <v>24900</v>
      </c>
      <c r="AS4035">
        <v>1.5</v>
      </c>
      <c r="AT4035" t="s">
        <v>484</v>
      </c>
      <c r="AU4035" t="s">
        <v>25285</v>
      </c>
      <c r="AV4035" t="s">
        <v>25335</v>
      </c>
      <c r="AW4035" t="s">
        <v>11447</v>
      </c>
    </row>
    <row r="4036" spans="1:49">
      <c r="A4036" s="1">
        <f>HYPERLINK("https://lsnyc.legalserver.org/matter/dynamic-profile/view/1909721","19-1909721")</f>
        <v>0</v>
      </c>
      <c r="B4036" t="s">
        <v>240</v>
      </c>
      <c r="C4036" t="s">
        <v>519</v>
      </c>
      <c r="E4036" t="s">
        <v>2210</v>
      </c>
      <c r="F4036" t="s">
        <v>5659</v>
      </c>
      <c r="G4036" t="s">
        <v>9339</v>
      </c>
      <c r="H4036" t="s">
        <v>10512</v>
      </c>
      <c r="I4036" t="s">
        <v>11385</v>
      </c>
      <c r="J4036">
        <v>11226</v>
      </c>
      <c r="K4036" t="s">
        <v>11447</v>
      </c>
      <c r="L4036" t="s">
        <v>13567</v>
      </c>
      <c r="M4036" t="s">
        <v>14744</v>
      </c>
      <c r="N4036" t="s">
        <v>14781</v>
      </c>
      <c r="P4036" t="s">
        <v>14804</v>
      </c>
      <c r="Q4036" t="s">
        <v>11448</v>
      </c>
      <c r="R4036" t="s">
        <v>14804</v>
      </c>
      <c r="S4036" t="s">
        <v>14827</v>
      </c>
      <c r="T4036" t="s">
        <v>14832</v>
      </c>
      <c r="U4036" t="s">
        <v>486</v>
      </c>
      <c r="V4036">
        <v>1428.43</v>
      </c>
      <c r="W4036" t="s">
        <v>14859</v>
      </c>
      <c r="Z4036" t="s">
        <v>17309</v>
      </c>
      <c r="AB4036" t="s">
        <v>23350</v>
      </c>
      <c r="AC4036">
        <v>0</v>
      </c>
      <c r="AD4036" t="s">
        <v>24595</v>
      </c>
      <c r="AF4036">
        <v>14</v>
      </c>
      <c r="AG4036">
        <v>3</v>
      </c>
      <c r="AH4036">
        <v>2</v>
      </c>
      <c r="AI4036">
        <v>0</v>
      </c>
      <c r="AM4036">
        <v>0</v>
      </c>
      <c r="AS4036">
        <v>2.6</v>
      </c>
      <c r="AT4036" t="s">
        <v>539</v>
      </c>
      <c r="AU4036" t="s">
        <v>25277</v>
      </c>
      <c r="AV4036" t="s">
        <v>25335</v>
      </c>
      <c r="AW4036" t="s">
        <v>11447</v>
      </c>
    </row>
    <row r="4037" spans="1:49">
      <c r="A4037" s="1">
        <f>HYPERLINK("https://lsnyc.legalserver.org/matter/dynamic-profile/view/1911457","19-1911457")</f>
        <v>0</v>
      </c>
      <c r="B4037" t="s">
        <v>233</v>
      </c>
      <c r="C4037" t="s">
        <v>486</v>
      </c>
      <c r="E4037" t="s">
        <v>1786</v>
      </c>
      <c r="F4037" t="s">
        <v>3797</v>
      </c>
      <c r="G4037" t="s">
        <v>9340</v>
      </c>
      <c r="H4037" t="s">
        <v>11220</v>
      </c>
      <c r="I4037" t="s">
        <v>11385</v>
      </c>
      <c r="J4037">
        <v>11226</v>
      </c>
      <c r="K4037" t="s">
        <v>11446</v>
      </c>
      <c r="L4037" t="s">
        <v>13568</v>
      </c>
      <c r="M4037" t="s">
        <v>14744</v>
      </c>
      <c r="N4037" t="s">
        <v>14781</v>
      </c>
      <c r="P4037" t="s">
        <v>14804</v>
      </c>
      <c r="Q4037" t="s">
        <v>11448</v>
      </c>
      <c r="S4037" t="s">
        <v>14827</v>
      </c>
      <c r="U4037" t="s">
        <v>486</v>
      </c>
      <c r="V4037">
        <v>0</v>
      </c>
      <c r="W4037" t="s">
        <v>14859</v>
      </c>
      <c r="X4037" t="s">
        <v>14865</v>
      </c>
      <c r="Z4037" t="s">
        <v>18243</v>
      </c>
      <c r="AB4037" t="s">
        <v>23351</v>
      </c>
      <c r="AC4037">
        <v>0</v>
      </c>
      <c r="AF4037">
        <v>0</v>
      </c>
      <c r="AG4037">
        <v>4</v>
      </c>
      <c r="AH4037">
        <v>5</v>
      </c>
      <c r="AI4037">
        <v>20.89</v>
      </c>
      <c r="AL4037" t="s">
        <v>5011</v>
      </c>
      <c r="AM4037">
        <v>9996</v>
      </c>
      <c r="AS4037">
        <v>4</v>
      </c>
      <c r="AT4037" t="s">
        <v>477</v>
      </c>
      <c r="AU4037" t="s">
        <v>25285</v>
      </c>
      <c r="AV4037" t="s">
        <v>25335</v>
      </c>
      <c r="AW4037" t="s">
        <v>11447</v>
      </c>
    </row>
    <row r="4038" spans="1:49">
      <c r="A4038" s="1">
        <f>HYPERLINK("https://lsnyc.legalserver.org/matter/dynamic-profile/view/1911469","19-1911469")</f>
        <v>0</v>
      </c>
      <c r="B4038" t="s">
        <v>233</v>
      </c>
      <c r="C4038" t="s">
        <v>486</v>
      </c>
      <c r="E4038" t="s">
        <v>1323</v>
      </c>
      <c r="F4038" t="s">
        <v>4182</v>
      </c>
      <c r="G4038" t="s">
        <v>9341</v>
      </c>
      <c r="H4038" t="s">
        <v>11221</v>
      </c>
      <c r="I4038" t="s">
        <v>11385</v>
      </c>
      <c r="J4038">
        <v>11226</v>
      </c>
      <c r="K4038" t="s">
        <v>11446</v>
      </c>
      <c r="L4038" t="s">
        <v>13569</v>
      </c>
      <c r="M4038" t="s">
        <v>14744</v>
      </c>
      <c r="N4038" t="s">
        <v>14782</v>
      </c>
      <c r="P4038" t="s">
        <v>14804</v>
      </c>
      <c r="S4038" t="s">
        <v>14827</v>
      </c>
      <c r="U4038" t="s">
        <v>486</v>
      </c>
      <c r="V4038">
        <v>0</v>
      </c>
      <c r="W4038" t="s">
        <v>14859</v>
      </c>
      <c r="X4038" t="s">
        <v>14865</v>
      </c>
      <c r="Z4038" t="s">
        <v>18244</v>
      </c>
      <c r="AB4038" t="s">
        <v>23352</v>
      </c>
      <c r="AC4038">
        <v>0</v>
      </c>
      <c r="AF4038">
        <v>0</v>
      </c>
      <c r="AG4038">
        <v>2</v>
      </c>
      <c r="AH4038">
        <v>0</v>
      </c>
      <c r="AI4038">
        <v>22.57</v>
      </c>
      <c r="AM4038">
        <v>3816</v>
      </c>
      <c r="AS4038">
        <v>5.5</v>
      </c>
      <c r="AT4038" t="s">
        <v>477</v>
      </c>
      <c r="AU4038" t="s">
        <v>25235</v>
      </c>
      <c r="AV4038" t="s">
        <v>25335</v>
      </c>
      <c r="AW4038" t="s">
        <v>11447</v>
      </c>
    </row>
    <row r="4039" spans="1:49">
      <c r="A4039" s="1">
        <f>HYPERLINK("https://lsnyc.legalserver.org/matter/dynamic-profile/view/1911471","19-1911471")</f>
        <v>0</v>
      </c>
      <c r="B4039" t="s">
        <v>233</v>
      </c>
      <c r="C4039" t="s">
        <v>486</v>
      </c>
      <c r="E4039" t="s">
        <v>3024</v>
      </c>
      <c r="F4039" t="s">
        <v>3877</v>
      </c>
      <c r="G4039" t="s">
        <v>9342</v>
      </c>
      <c r="H4039" t="s">
        <v>10589</v>
      </c>
      <c r="I4039" t="s">
        <v>11385</v>
      </c>
      <c r="J4039">
        <v>11226</v>
      </c>
      <c r="K4039" t="s">
        <v>11446</v>
      </c>
      <c r="L4039" t="s">
        <v>13570</v>
      </c>
      <c r="M4039" t="s">
        <v>14744</v>
      </c>
      <c r="N4039" t="s">
        <v>14781</v>
      </c>
      <c r="P4039" t="s">
        <v>14804</v>
      </c>
      <c r="S4039" t="s">
        <v>14827</v>
      </c>
      <c r="U4039" t="s">
        <v>486</v>
      </c>
      <c r="V4039">
        <v>0</v>
      </c>
      <c r="W4039" t="s">
        <v>14859</v>
      </c>
      <c r="X4039" t="s">
        <v>14865</v>
      </c>
      <c r="Z4039" t="s">
        <v>17268</v>
      </c>
      <c r="AB4039" t="s">
        <v>23353</v>
      </c>
      <c r="AC4039">
        <v>0</v>
      </c>
      <c r="AF4039">
        <v>0</v>
      </c>
      <c r="AG4039">
        <v>3</v>
      </c>
      <c r="AH4039">
        <v>1</v>
      </c>
      <c r="AI4039">
        <v>58.25</v>
      </c>
      <c r="AL4039" t="s">
        <v>24632</v>
      </c>
      <c r="AM4039">
        <v>15000</v>
      </c>
      <c r="AS4039">
        <v>4.1</v>
      </c>
      <c r="AT4039" t="s">
        <v>476</v>
      </c>
      <c r="AU4039" t="s">
        <v>25285</v>
      </c>
      <c r="AV4039" t="s">
        <v>25335</v>
      </c>
      <c r="AW4039" t="s">
        <v>11447</v>
      </c>
    </row>
    <row r="4040" spans="1:49">
      <c r="A4040" s="1">
        <f>HYPERLINK("https://lsnyc.legalserver.org/matter/dynamic-profile/view/1909757","19-1909757")</f>
        <v>0</v>
      </c>
      <c r="B4040" t="s">
        <v>275</v>
      </c>
      <c r="C4040" t="s">
        <v>519</v>
      </c>
      <c r="E4040" t="s">
        <v>3025</v>
      </c>
      <c r="F4040" t="s">
        <v>5576</v>
      </c>
      <c r="G4040" t="s">
        <v>7445</v>
      </c>
      <c r="H4040" t="s">
        <v>10478</v>
      </c>
      <c r="I4040" t="s">
        <v>11385</v>
      </c>
      <c r="J4040">
        <v>11226</v>
      </c>
      <c r="K4040" t="s">
        <v>11447</v>
      </c>
      <c r="L4040" t="s">
        <v>13571</v>
      </c>
      <c r="M4040" t="s">
        <v>14744</v>
      </c>
      <c r="N4040" t="s">
        <v>14781</v>
      </c>
      <c r="P4040" t="s">
        <v>14804</v>
      </c>
      <c r="Q4040" t="s">
        <v>11448</v>
      </c>
      <c r="S4040" t="s">
        <v>14827</v>
      </c>
      <c r="T4040" t="s">
        <v>14832</v>
      </c>
      <c r="U4040" t="s">
        <v>486</v>
      </c>
      <c r="V4040">
        <v>1137.72</v>
      </c>
      <c r="W4040" t="s">
        <v>14859</v>
      </c>
      <c r="Z4040" t="s">
        <v>18245</v>
      </c>
      <c r="AB4040" t="s">
        <v>23354</v>
      </c>
      <c r="AC4040">
        <v>0</v>
      </c>
      <c r="AD4040" t="s">
        <v>24595</v>
      </c>
      <c r="AF4040">
        <v>0</v>
      </c>
      <c r="AG4040">
        <v>2</v>
      </c>
      <c r="AH4040">
        <v>0</v>
      </c>
      <c r="AI4040">
        <v>70.95999999999999</v>
      </c>
      <c r="AL4040" t="s">
        <v>5011</v>
      </c>
      <c r="AM4040">
        <v>12000</v>
      </c>
      <c r="AS4040">
        <v>1</v>
      </c>
      <c r="AT4040" t="s">
        <v>486</v>
      </c>
      <c r="AU4040" t="s">
        <v>25277</v>
      </c>
      <c r="AV4040" t="s">
        <v>25335</v>
      </c>
      <c r="AW4040" t="s">
        <v>11447</v>
      </c>
    </row>
    <row r="4041" spans="1:49">
      <c r="A4041" s="1">
        <f>HYPERLINK("https://lsnyc.legalserver.org/matter/dynamic-profile/view/1911492","19-1911492")</f>
        <v>0</v>
      </c>
      <c r="B4041" t="s">
        <v>267</v>
      </c>
      <c r="C4041" t="s">
        <v>486</v>
      </c>
      <c r="E4041" t="s">
        <v>1601</v>
      </c>
      <c r="F4041" t="s">
        <v>5658</v>
      </c>
      <c r="G4041" t="s">
        <v>9343</v>
      </c>
      <c r="H4041" t="s">
        <v>10594</v>
      </c>
      <c r="I4041" t="s">
        <v>11385</v>
      </c>
      <c r="J4041">
        <v>11226</v>
      </c>
      <c r="K4041" t="s">
        <v>11446</v>
      </c>
      <c r="L4041" t="s">
        <v>13572</v>
      </c>
      <c r="M4041" t="s">
        <v>14744</v>
      </c>
      <c r="N4041" t="s">
        <v>14781</v>
      </c>
      <c r="P4041" t="s">
        <v>14804</v>
      </c>
      <c r="S4041" t="s">
        <v>14827</v>
      </c>
      <c r="U4041" t="s">
        <v>486</v>
      </c>
      <c r="V4041">
        <v>851</v>
      </c>
      <c r="W4041" t="s">
        <v>14859</v>
      </c>
      <c r="X4041" t="s">
        <v>14865</v>
      </c>
      <c r="Z4041" t="s">
        <v>18246</v>
      </c>
      <c r="AB4041" t="s">
        <v>23355</v>
      </c>
      <c r="AC4041">
        <v>0</v>
      </c>
      <c r="AF4041">
        <v>30</v>
      </c>
      <c r="AG4041">
        <v>2</v>
      </c>
      <c r="AH4041">
        <v>1</v>
      </c>
      <c r="AI4041">
        <v>102.39</v>
      </c>
      <c r="AL4041" t="s">
        <v>5011</v>
      </c>
      <c r="AM4041">
        <v>21840</v>
      </c>
      <c r="AS4041">
        <v>0</v>
      </c>
      <c r="AU4041" t="s">
        <v>25275</v>
      </c>
      <c r="AV4041" t="s">
        <v>25335</v>
      </c>
      <c r="AW4041" t="s">
        <v>11447</v>
      </c>
    </row>
    <row r="4042" spans="1:49">
      <c r="A4042" s="1">
        <f>HYPERLINK("https://lsnyc.legalserver.org/matter/dynamic-profile/view/1911498","19-1911498")</f>
        <v>0</v>
      </c>
      <c r="B4042" t="s">
        <v>233</v>
      </c>
      <c r="C4042" t="s">
        <v>486</v>
      </c>
      <c r="E4042" t="s">
        <v>1372</v>
      </c>
      <c r="F4042" t="s">
        <v>5660</v>
      </c>
      <c r="G4042" t="s">
        <v>9316</v>
      </c>
      <c r="H4042" t="s">
        <v>10579</v>
      </c>
      <c r="I4042" t="s">
        <v>11385</v>
      </c>
      <c r="J4042">
        <v>11221</v>
      </c>
      <c r="K4042" t="s">
        <v>11446</v>
      </c>
      <c r="L4042" t="s">
        <v>13573</v>
      </c>
      <c r="M4042" t="s">
        <v>14744</v>
      </c>
      <c r="N4042" t="s">
        <v>14781</v>
      </c>
      <c r="P4042" t="s">
        <v>14804</v>
      </c>
      <c r="S4042" t="s">
        <v>14827</v>
      </c>
      <c r="T4042" t="s">
        <v>14832</v>
      </c>
      <c r="U4042" t="s">
        <v>486</v>
      </c>
      <c r="V4042">
        <v>410.98</v>
      </c>
      <c r="W4042" t="s">
        <v>14859</v>
      </c>
      <c r="X4042" t="s">
        <v>14865</v>
      </c>
      <c r="Z4042" t="s">
        <v>18247</v>
      </c>
      <c r="AB4042" t="s">
        <v>23356</v>
      </c>
      <c r="AC4042">
        <v>14</v>
      </c>
      <c r="AD4042" t="s">
        <v>24595</v>
      </c>
      <c r="AF4042">
        <v>30</v>
      </c>
      <c r="AG4042">
        <v>3</v>
      </c>
      <c r="AH4042">
        <v>1</v>
      </c>
      <c r="AI4042">
        <v>104.85</v>
      </c>
      <c r="AL4042" t="s">
        <v>5011</v>
      </c>
      <c r="AM4042">
        <v>27000</v>
      </c>
      <c r="AS4042">
        <v>7</v>
      </c>
      <c r="AT4042" t="s">
        <v>506</v>
      </c>
      <c r="AU4042" t="s">
        <v>25235</v>
      </c>
      <c r="AV4042" t="s">
        <v>25335</v>
      </c>
      <c r="AW4042" t="s">
        <v>11447</v>
      </c>
    </row>
    <row r="4043" spans="1:49">
      <c r="A4043" s="1">
        <f>HYPERLINK("https://lsnyc.legalserver.org/matter/dynamic-profile/view/1911449","19-1911449")</f>
        <v>0</v>
      </c>
      <c r="B4043" t="s">
        <v>286</v>
      </c>
      <c r="C4043" t="s">
        <v>486</v>
      </c>
      <c r="E4043" t="s">
        <v>3026</v>
      </c>
      <c r="F4043" t="s">
        <v>5661</v>
      </c>
      <c r="G4043" t="s">
        <v>9344</v>
      </c>
      <c r="H4043" t="s">
        <v>10465</v>
      </c>
      <c r="I4043" t="s">
        <v>11385</v>
      </c>
      <c r="J4043">
        <v>11221</v>
      </c>
      <c r="K4043" t="s">
        <v>11446</v>
      </c>
      <c r="L4043" t="s">
        <v>13574</v>
      </c>
      <c r="M4043" t="s">
        <v>14744</v>
      </c>
      <c r="N4043" t="s">
        <v>14781</v>
      </c>
      <c r="P4043" t="s">
        <v>14804</v>
      </c>
      <c r="S4043" t="s">
        <v>14827</v>
      </c>
      <c r="U4043" t="s">
        <v>486</v>
      </c>
      <c r="V4043">
        <v>1292</v>
      </c>
      <c r="W4043" t="s">
        <v>14859</v>
      </c>
      <c r="X4043" t="s">
        <v>14881</v>
      </c>
      <c r="Z4043" t="s">
        <v>18248</v>
      </c>
      <c r="AB4043" t="s">
        <v>23357</v>
      </c>
      <c r="AC4043">
        <v>30</v>
      </c>
      <c r="AD4043" t="s">
        <v>24595</v>
      </c>
      <c r="AF4043">
        <v>4</v>
      </c>
      <c r="AG4043">
        <v>2</v>
      </c>
      <c r="AH4043">
        <v>3</v>
      </c>
      <c r="AI4043">
        <v>111.63</v>
      </c>
      <c r="AL4043" t="s">
        <v>5011</v>
      </c>
      <c r="AM4043">
        <v>33680</v>
      </c>
      <c r="AS4043">
        <v>7.2</v>
      </c>
      <c r="AT4043" t="s">
        <v>592</v>
      </c>
      <c r="AU4043" t="s">
        <v>25275</v>
      </c>
      <c r="AV4043" t="s">
        <v>25335</v>
      </c>
      <c r="AW4043" t="s">
        <v>11447</v>
      </c>
    </row>
    <row r="4044" spans="1:49">
      <c r="A4044" s="1">
        <f>HYPERLINK("https://lsnyc.legalserver.org/matter/dynamic-profile/view/1911608","19-1911608")</f>
        <v>0</v>
      </c>
      <c r="B4044" t="s">
        <v>282</v>
      </c>
      <c r="C4044" t="s">
        <v>526</v>
      </c>
      <c r="E4044" t="s">
        <v>1426</v>
      </c>
      <c r="F4044" t="s">
        <v>4083</v>
      </c>
      <c r="G4044" t="s">
        <v>9345</v>
      </c>
      <c r="H4044" t="s">
        <v>10542</v>
      </c>
      <c r="I4044" t="s">
        <v>11385</v>
      </c>
      <c r="J4044">
        <v>11216</v>
      </c>
      <c r="K4044" t="s">
        <v>11446</v>
      </c>
      <c r="L4044" t="s">
        <v>13575</v>
      </c>
      <c r="M4044" t="s">
        <v>14743</v>
      </c>
      <c r="N4044" t="s">
        <v>14782</v>
      </c>
      <c r="P4044" t="s">
        <v>14804</v>
      </c>
      <c r="S4044" t="s">
        <v>14827</v>
      </c>
      <c r="U4044" t="s">
        <v>526</v>
      </c>
      <c r="V4044">
        <v>0</v>
      </c>
      <c r="W4044" t="s">
        <v>14859</v>
      </c>
      <c r="X4044" t="s">
        <v>14865</v>
      </c>
      <c r="Z4044" t="s">
        <v>18249</v>
      </c>
      <c r="AB4044" t="s">
        <v>23358</v>
      </c>
      <c r="AC4044">
        <v>0</v>
      </c>
      <c r="AF4044">
        <v>0</v>
      </c>
      <c r="AG4044">
        <v>2</v>
      </c>
      <c r="AH4044">
        <v>0</v>
      </c>
      <c r="AI4044">
        <v>120.64</v>
      </c>
      <c r="AL4044" t="s">
        <v>5011</v>
      </c>
      <c r="AM4044">
        <v>20400</v>
      </c>
      <c r="AS4044">
        <v>7.4</v>
      </c>
      <c r="AT4044" t="s">
        <v>495</v>
      </c>
      <c r="AU4044" t="s">
        <v>25235</v>
      </c>
      <c r="AV4044" t="s">
        <v>25335</v>
      </c>
      <c r="AW4044" t="s">
        <v>11447</v>
      </c>
    </row>
    <row r="4045" spans="1:49">
      <c r="A4045" s="1">
        <f>HYPERLINK("https://lsnyc.legalserver.org/matter/dynamic-profile/view/1911851","19-1911851")</f>
        <v>0</v>
      </c>
      <c r="B4045" t="s">
        <v>281</v>
      </c>
      <c r="C4045" t="s">
        <v>645</v>
      </c>
      <c r="E4045" t="s">
        <v>1584</v>
      </c>
      <c r="F4045" t="s">
        <v>5662</v>
      </c>
      <c r="G4045" t="s">
        <v>9346</v>
      </c>
      <c r="H4045" t="s">
        <v>10712</v>
      </c>
      <c r="I4045" t="s">
        <v>11385</v>
      </c>
      <c r="J4045">
        <v>11226</v>
      </c>
      <c r="K4045" t="s">
        <v>11446</v>
      </c>
      <c r="L4045" t="s">
        <v>13576</v>
      </c>
      <c r="M4045" t="s">
        <v>14744</v>
      </c>
      <c r="N4045" t="s">
        <v>14781</v>
      </c>
      <c r="P4045" t="s">
        <v>14804</v>
      </c>
      <c r="S4045" t="s">
        <v>14827</v>
      </c>
      <c r="U4045" t="s">
        <v>645</v>
      </c>
      <c r="V4045">
        <v>0</v>
      </c>
      <c r="W4045" t="s">
        <v>14859</v>
      </c>
      <c r="Z4045" t="s">
        <v>18250</v>
      </c>
      <c r="AB4045" t="s">
        <v>23359</v>
      </c>
      <c r="AC4045">
        <v>0</v>
      </c>
      <c r="AF4045">
        <v>0</v>
      </c>
      <c r="AG4045">
        <v>2</v>
      </c>
      <c r="AH4045">
        <v>2</v>
      </c>
      <c r="AI4045">
        <v>37.28</v>
      </c>
      <c r="AL4045" t="s">
        <v>24641</v>
      </c>
      <c r="AM4045">
        <v>9600</v>
      </c>
      <c r="AS4045">
        <v>3.3</v>
      </c>
      <c r="AT4045" t="s">
        <v>478</v>
      </c>
      <c r="AU4045" t="s">
        <v>25275</v>
      </c>
      <c r="AV4045" t="s">
        <v>25335</v>
      </c>
      <c r="AW4045" t="s">
        <v>11447</v>
      </c>
    </row>
    <row r="4046" spans="1:49">
      <c r="A4046" s="1">
        <f>HYPERLINK("https://lsnyc.legalserver.org/matter/dynamic-profile/view/1911857","19-1911857")</f>
        <v>0</v>
      </c>
      <c r="B4046" t="s">
        <v>233</v>
      </c>
      <c r="C4046" t="s">
        <v>645</v>
      </c>
      <c r="E4046" t="s">
        <v>3027</v>
      </c>
      <c r="F4046" t="s">
        <v>1276</v>
      </c>
      <c r="G4046" t="s">
        <v>9347</v>
      </c>
      <c r="H4046" t="s">
        <v>10620</v>
      </c>
      <c r="I4046" t="s">
        <v>11385</v>
      </c>
      <c r="J4046">
        <v>11226</v>
      </c>
      <c r="K4046" t="s">
        <v>11446</v>
      </c>
      <c r="L4046" t="s">
        <v>13577</v>
      </c>
      <c r="M4046" t="s">
        <v>14743</v>
      </c>
      <c r="N4046" t="s">
        <v>14778</v>
      </c>
      <c r="P4046" t="s">
        <v>14804</v>
      </c>
      <c r="S4046" t="s">
        <v>14827</v>
      </c>
      <c r="U4046" t="s">
        <v>645</v>
      </c>
      <c r="V4046">
        <v>0</v>
      </c>
      <c r="W4046" t="s">
        <v>14859</v>
      </c>
      <c r="Z4046" t="s">
        <v>18251</v>
      </c>
      <c r="AB4046" t="s">
        <v>23360</v>
      </c>
      <c r="AC4046">
        <v>0</v>
      </c>
      <c r="AF4046">
        <v>0</v>
      </c>
      <c r="AG4046">
        <v>1</v>
      </c>
      <c r="AH4046">
        <v>0</v>
      </c>
      <c r="AI4046">
        <v>52.04</v>
      </c>
      <c r="AL4046" t="s">
        <v>5011</v>
      </c>
      <c r="AM4046">
        <v>6500</v>
      </c>
      <c r="AS4046">
        <v>6.1</v>
      </c>
      <c r="AT4046" t="s">
        <v>580</v>
      </c>
      <c r="AU4046" t="s">
        <v>25277</v>
      </c>
      <c r="AV4046" t="s">
        <v>25335</v>
      </c>
      <c r="AW4046" t="s">
        <v>11447</v>
      </c>
    </row>
    <row r="4047" spans="1:49">
      <c r="A4047" s="1">
        <f>HYPERLINK("https://lsnyc.legalserver.org/matter/dynamic-profile/view/1911833","19-1911833")</f>
        <v>0</v>
      </c>
      <c r="B4047" t="s">
        <v>255</v>
      </c>
      <c r="C4047" t="s">
        <v>645</v>
      </c>
      <c r="E4047" t="s">
        <v>2261</v>
      </c>
      <c r="F4047" t="s">
        <v>5663</v>
      </c>
      <c r="G4047" t="s">
        <v>9348</v>
      </c>
      <c r="H4047" t="s">
        <v>10854</v>
      </c>
      <c r="I4047" t="s">
        <v>11385</v>
      </c>
      <c r="J4047">
        <v>11226</v>
      </c>
      <c r="K4047" t="s">
        <v>11446</v>
      </c>
      <c r="L4047" t="s">
        <v>13578</v>
      </c>
      <c r="M4047" t="s">
        <v>14744</v>
      </c>
      <c r="N4047" t="s">
        <v>14781</v>
      </c>
      <c r="P4047" t="s">
        <v>14804</v>
      </c>
      <c r="Q4047" t="s">
        <v>11448</v>
      </c>
      <c r="S4047" t="s">
        <v>14827</v>
      </c>
      <c r="T4047" t="s">
        <v>14832</v>
      </c>
      <c r="U4047" t="s">
        <v>645</v>
      </c>
      <c r="V4047">
        <v>272.14</v>
      </c>
      <c r="W4047" t="s">
        <v>14859</v>
      </c>
      <c r="X4047" t="s">
        <v>14865</v>
      </c>
      <c r="Z4047" t="s">
        <v>18252</v>
      </c>
      <c r="AB4047" t="s">
        <v>23361</v>
      </c>
      <c r="AC4047">
        <v>16</v>
      </c>
      <c r="AD4047" t="s">
        <v>24599</v>
      </c>
      <c r="AE4047" t="s">
        <v>24613</v>
      </c>
      <c r="AF4047">
        <v>45</v>
      </c>
      <c r="AG4047">
        <v>1</v>
      </c>
      <c r="AH4047">
        <v>0</v>
      </c>
      <c r="AI4047">
        <v>76.86</v>
      </c>
      <c r="AL4047" t="s">
        <v>5011</v>
      </c>
      <c r="AM4047">
        <v>9600</v>
      </c>
      <c r="AS4047">
        <v>6.25</v>
      </c>
      <c r="AT4047" t="s">
        <v>539</v>
      </c>
      <c r="AU4047" t="s">
        <v>25235</v>
      </c>
      <c r="AV4047" t="s">
        <v>25335</v>
      </c>
      <c r="AW4047" t="s">
        <v>11447</v>
      </c>
    </row>
    <row r="4048" spans="1:49">
      <c r="A4048" s="1">
        <f>HYPERLINK("https://lsnyc.legalserver.org/matter/dynamic-profile/view/1911938","19-1911938")</f>
        <v>0</v>
      </c>
      <c r="B4048" t="s">
        <v>238</v>
      </c>
      <c r="C4048" t="s">
        <v>586</v>
      </c>
      <c r="E4048" t="s">
        <v>3028</v>
      </c>
      <c r="F4048" t="s">
        <v>3683</v>
      </c>
      <c r="G4048" t="s">
        <v>9349</v>
      </c>
      <c r="H4048" t="s">
        <v>10500</v>
      </c>
      <c r="I4048" t="s">
        <v>11385</v>
      </c>
      <c r="J4048">
        <v>11221</v>
      </c>
      <c r="K4048" t="s">
        <v>11446</v>
      </c>
      <c r="L4048" t="s">
        <v>13579</v>
      </c>
      <c r="M4048" t="s">
        <v>14743</v>
      </c>
      <c r="P4048" t="s">
        <v>14804</v>
      </c>
      <c r="S4048" t="s">
        <v>14827</v>
      </c>
      <c r="U4048" t="s">
        <v>586</v>
      </c>
      <c r="V4048">
        <v>0</v>
      </c>
      <c r="W4048" t="s">
        <v>14859</v>
      </c>
      <c r="X4048" t="s">
        <v>14865</v>
      </c>
      <c r="Z4048" t="s">
        <v>17193</v>
      </c>
      <c r="AB4048" t="s">
        <v>23362</v>
      </c>
      <c r="AC4048">
        <v>0</v>
      </c>
      <c r="AF4048">
        <v>0</v>
      </c>
      <c r="AG4048">
        <v>1</v>
      </c>
      <c r="AH4048">
        <v>0</v>
      </c>
      <c r="AI4048">
        <v>0</v>
      </c>
      <c r="AL4048" t="s">
        <v>5011</v>
      </c>
      <c r="AM4048">
        <v>0</v>
      </c>
      <c r="AS4048">
        <v>4.5</v>
      </c>
      <c r="AT4048" t="s">
        <v>571</v>
      </c>
      <c r="AU4048" t="s">
        <v>25275</v>
      </c>
      <c r="AV4048" t="s">
        <v>25335</v>
      </c>
      <c r="AW4048" t="s">
        <v>11447</v>
      </c>
    </row>
    <row r="4049" spans="1:49">
      <c r="A4049" s="1">
        <f>HYPERLINK("https://lsnyc.legalserver.org/matter/dynamic-profile/view/1911947","19-1911947")</f>
        <v>0</v>
      </c>
      <c r="B4049" t="s">
        <v>238</v>
      </c>
      <c r="C4049" t="s">
        <v>586</v>
      </c>
      <c r="E4049" t="s">
        <v>1319</v>
      </c>
      <c r="F4049" t="s">
        <v>1494</v>
      </c>
      <c r="G4049" t="s">
        <v>8097</v>
      </c>
      <c r="H4049" t="s">
        <v>11222</v>
      </c>
      <c r="I4049" t="s">
        <v>11385</v>
      </c>
      <c r="J4049">
        <v>11225</v>
      </c>
      <c r="K4049" t="s">
        <v>11446</v>
      </c>
      <c r="L4049" t="s">
        <v>13580</v>
      </c>
      <c r="M4049" t="s">
        <v>14744</v>
      </c>
      <c r="P4049" t="s">
        <v>14804</v>
      </c>
      <c r="S4049" t="s">
        <v>14827</v>
      </c>
      <c r="U4049" t="s">
        <v>586</v>
      </c>
      <c r="V4049">
        <v>1218.89</v>
      </c>
      <c r="W4049" t="s">
        <v>14859</v>
      </c>
      <c r="X4049" t="s">
        <v>14881</v>
      </c>
      <c r="Z4049" t="s">
        <v>18253</v>
      </c>
      <c r="AA4049" t="s">
        <v>19836</v>
      </c>
      <c r="AB4049" t="s">
        <v>23363</v>
      </c>
      <c r="AC4049">
        <v>0</v>
      </c>
      <c r="AD4049" t="s">
        <v>24595</v>
      </c>
      <c r="AE4049" t="s">
        <v>24615</v>
      </c>
      <c r="AF4049">
        <v>16</v>
      </c>
      <c r="AG4049">
        <v>1</v>
      </c>
      <c r="AH4049">
        <v>1</v>
      </c>
      <c r="AI4049">
        <v>21.71</v>
      </c>
      <c r="AL4049" t="s">
        <v>5011</v>
      </c>
      <c r="AM4049">
        <v>3672</v>
      </c>
      <c r="AS4049">
        <v>5.9</v>
      </c>
      <c r="AT4049" t="s">
        <v>592</v>
      </c>
      <c r="AU4049" t="s">
        <v>25275</v>
      </c>
      <c r="AV4049" t="s">
        <v>25335</v>
      </c>
      <c r="AW4049" t="s">
        <v>11447</v>
      </c>
    </row>
    <row r="4050" spans="1:49">
      <c r="A4050" s="1">
        <f>HYPERLINK("https://lsnyc.legalserver.org/matter/dynamic-profile/view/1911993","19-1911993")</f>
        <v>0</v>
      </c>
      <c r="B4050" t="s">
        <v>267</v>
      </c>
      <c r="C4050" t="s">
        <v>586</v>
      </c>
      <c r="E4050" t="s">
        <v>3029</v>
      </c>
      <c r="F4050" t="s">
        <v>5664</v>
      </c>
      <c r="G4050" t="s">
        <v>9350</v>
      </c>
      <c r="H4050">
        <v>1</v>
      </c>
      <c r="I4050" t="s">
        <v>11385</v>
      </c>
      <c r="J4050">
        <v>11225</v>
      </c>
      <c r="K4050" t="s">
        <v>11446</v>
      </c>
      <c r="L4050" t="s">
        <v>13581</v>
      </c>
      <c r="M4050" t="s">
        <v>14744</v>
      </c>
      <c r="N4050" t="s">
        <v>14781</v>
      </c>
      <c r="P4050" t="s">
        <v>14804</v>
      </c>
      <c r="S4050" t="s">
        <v>14827</v>
      </c>
      <c r="U4050" t="s">
        <v>586</v>
      </c>
      <c r="V4050">
        <v>0</v>
      </c>
      <c r="W4050" t="s">
        <v>14859</v>
      </c>
      <c r="X4050" t="s">
        <v>14865</v>
      </c>
      <c r="Z4050" t="s">
        <v>18254</v>
      </c>
      <c r="AB4050" t="s">
        <v>23364</v>
      </c>
      <c r="AC4050">
        <v>0</v>
      </c>
      <c r="AF4050">
        <v>0</v>
      </c>
      <c r="AG4050">
        <v>1</v>
      </c>
      <c r="AH4050">
        <v>0</v>
      </c>
      <c r="AI4050">
        <v>144.12</v>
      </c>
      <c r="AL4050" t="s">
        <v>5011</v>
      </c>
      <c r="AM4050">
        <v>18000</v>
      </c>
      <c r="AS4050">
        <v>0</v>
      </c>
      <c r="AU4050" t="s">
        <v>25235</v>
      </c>
      <c r="AV4050" t="s">
        <v>25335</v>
      </c>
      <c r="AW4050" t="s">
        <v>11447</v>
      </c>
    </row>
    <row r="4051" spans="1:49">
      <c r="A4051" s="1">
        <f>HYPERLINK("https://lsnyc.legalserver.org/matter/dynamic-profile/view/1911918","19-1911918")</f>
        <v>0</v>
      </c>
      <c r="B4051" t="s">
        <v>238</v>
      </c>
      <c r="C4051" t="s">
        <v>586</v>
      </c>
      <c r="E4051" t="s">
        <v>1554</v>
      </c>
      <c r="F4051" t="s">
        <v>5665</v>
      </c>
      <c r="G4051" t="s">
        <v>9351</v>
      </c>
      <c r="H4051">
        <v>1</v>
      </c>
      <c r="I4051" t="s">
        <v>11385</v>
      </c>
      <c r="J4051">
        <v>11221</v>
      </c>
      <c r="K4051" t="s">
        <v>11446</v>
      </c>
      <c r="L4051" t="s">
        <v>13582</v>
      </c>
      <c r="M4051" t="s">
        <v>14744</v>
      </c>
      <c r="N4051" t="s">
        <v>14781</v>
      </c>
      <c r="P4051" t="s">
        <v>14804</v>
      </c>
      <c r="Q4051" t="s">
        <v>11448</v>
      </c>
      <c r="S4051" t="s">
        <v>14827</v>
      </c>
      <c r="U4051" t="s">
        <v>586</v>
      </c>
      <c r="V4051">
        <v>0</v>
      </c>
      <c r="W4051" t="s">
        <v>14859</v>
      </c>
      <c r="X4051" t="s">
        <v>14881</v>
      </c>
      <c r="Z4051" t="s">
        <v>18255</v>
      </c>
      <c r="AB4051" t="s">
        <v>23365</v>
      </c>
      <c r="AC4051">
        <v>0</v>
      </c>
      <c r="AF4051">
        <v>0</v>
      </c>
      <c r="AG4051">
        <v>1</v>
      </c>
      <c r="AH4051">
        <v>0</v>
      </c>
      <c r="AI4051">
        <v>320.26</v>
      </c>
      <c r="AM4051">
        <v>40000</v>
      </c>
      <c r="AS4051">
        <v>1.3</v>
      </c>
      <c r="AT4051" t="s">
        <v>484</v>
      </c>
      <c r="AU4051" t="s">
        <v>25285</v>
      </c>
      <c r="AV4051" t="s">
        <v>25335</v>
      </c>
      <c r="AW4051" t="s">
        <v>11447</v>
      </c>
    </row>
    <row r="4052" spans="1:49">
      <c r="A4052" s="1">
        <f>HYPERLINK("https://lsnyc.legalserver.org/matter/dynamic-profile/view/1912068","19-1912068")</f>
        <v>0</v>
      </c>
      <c r="B4052" t="s">
        <v>282</v>
      </c>
      <c r="C4052" t="s">
        <v>551</v>
      </c>
      <c r="E4052" t="s">
        <v>3030</v>
      </c>
      <c r="F4052" t="s">
        <v>5666</v>
      </c>
      <c r="G4052" t="s">
        <v>9352</v>
      </c>
      <c r="H4052" t="s">
        <v>10579</v>
      </c>
      <c r="I4052" t="s">
        <v>11385</v>
      </c>
      <c r="J4052">
        <v>11216</v>
      </c>
      <c r="K4052" t="s">
        <v>11446</v>
      </c>
      <c r="L4052" t="s">
        <v>13583</v>
      </c>
      <c r="M4052" t="s">
        <v>14744</v>
      </c>
      <c r="N4052" t="s">
        <v>14781</v>
      </c>
      <c r="P4052" t="s">
        <v>14804</v>
      </c>
      <c r="S4052" t="s">
        <v>14828</v>
      </c>
      <c r="U4052" t="s">
        <v>551</v>
      </c>
      <c r="V4052">
        <v>600</v>
      </c>
      <c r="W4052" t="s">
        <v>14859</v>
      </c>
      <c r="X4052" t="s">
        <v>14865</v>
      </c>
      <c r="Z4052" t="s">
        <v>18256</v>
      </c>
      <c r="AB4052" t="s">
        <v>23366</v>
      </c>
      <c r="AC4052">
        <v>0</v>
      </c>
      <c r="AD4052" t="s">
        <v>24597</v>
      </c>
      <c r="AF4052">
        <v>24</v>
      </c>
      <c r="AG4052">
        <v>1</v>
      </c>
      <c r="AH4052">
        <v>0</v>
      </c>
      <c r="AI4052">
        <v>0</v>
      </c>
      <c r="AL4052" t="s">
        <v>5011</v>
      </c>
      <c r="AM4052">
        <v>0</v>
      </c>
      <c r="AS4052">
        <v>2.7</v>
      </c>
      <c r="AT4052" t="s">
        <v>495</v>
      </c>
      <c r="AU4052" t="s">
        <v>25275</v>
      </c>
      <c r="AV4052" t="s">
        <v>25335</v>
      </c>
      <c r="AW4052" t="s">
        <v>11447</v>
      </c>
    </row>
    <row r="4053" spans="1:49">
      <c r="A4053" s="1">
        <f>HYPERLINK("https://lsnyc.legalserver.org/matter/dynamic-profile/view/1912127","19-1912127")</f>
        <v>0</v>
      </c>
      <c r="B4053" t="s">
        <v>282</v>
      </c>
      <c r="C4053" t="s">
        <v>551</v>
      </c>
      <c r="E4053" t="s">
        <v>1176</v>
      </c>
      <c r="F4053" t="s">
        <v>4456</v>
      </c>
      <c r="G4053" t="s">
        <v>9353</v>
      </c>
      <c r="H4053" t="s">
        <v>10467</v>
      </c>
      <c r="I4053" t="s">
        <v>11385</v>
      </c>
      <c r="J4053">
        <v>11221</v>
      </c>
      <c r="K4053" t="s">
        <v>11446</v>
      </c>
      <c r="L4053" t="s">
        <v>13584</v>
      </c>
      <c r="M4053" t="s">
        <v>14744</v>
      </c>
      <c r="P4053" t="s">
        <v>14804</v>
      </c>
      <c r="S4053" t="s">
        <v>14828</v>
      </c>
      <c r="U4053" t="s">
        <v>551</v>
      </c>
      <c r="V4053">
        <v>941</v>
      </c>
      <c r="W4053" t="s">
        <v>14859</v>
      </c>
      <c r="X4053" t="s">
        <v>14865</v>
      </c>
      <c r="Z4053" t="s">
        <v>18257</v>
      </c>
      <c r="AB4053" t="s">
        <v>23367</v>
      </c>
      <c r="AC4053">
        <v>0</v>
      </c>
      <c r="AD4053" t="s">
        <v>24597</v>
      </c>
      <c r="AF4053">
        <v>5</v>
      </c>
      <c r="AG4053">
        <v>2</v>
      </c>
      <c r="AH4053">
        <v>1</v>
      </c>
      <c r="AI4053">
        <v>121.89</v>
      </c>
      <c r="AL4053" t="s">
        <v>5011</v>
      </c>
      <c r="AM4053">
        <v>26000</v>
      </c>
      <c r="AS4053">
        <v>4.5</v>
      </c>
      <c r="AT4053" t="s">
        <v>592</v>
      </c>
      <c r="AU4053" t="s">
        <v>25275</v>
      </c>
      <c r="AV4053" t="s">
        <v>25335</v>
      </c>
      <c r="AW4053" t="s">
        <v>11447</v>
      </c>
    </row>
    <row r="4054" spans="1:49">
      <c r="A4054" s="1">
        <f>HYPERLINK("https://lsnyc.legalserver.org/matter/dynamic-profile/view/1912037","19-1912037")</f>
        <v>0</v>
      </c>
      <c r="B4054" t="s">
        <v>240</v>
      </c>
      <c r="C4054" t="s">
        <v>551</v>
      </c>
      <c r="E4054" t="s">
        <v>3031</v>
      </c>
      <c r="F4054" t="s">
        <v>5667</v>
      </c>
      <c r="G4054" t="s">
        <v>9354</v>
      </c>
      <c r="H4054">
        <v>2</v>
      </c>
      <c r="I4054" t="s">
        <v>11385</v>
      </c>
      <c r="J4054">
        <v>11216</v>
      </c>
      <c r="K4054" t="s">
        <v>11446</v>
      </c>
      <c r="L4054" t="s">
        <v>13585</v>
      </c>
      <c r="M4054" t="s">
        <v>14743</v>
      </c>
      <c r="N4054" t="s">
        <v>14781</v>
      </c>
      <c r="P4054" t="s">
        <v>14804</v>
      </c>
      <c r="Q4054" t="s">
        <v>11448</v>
      </c>
      <c r="S4054" t="s">
        <v>14827</v>
      </c>
      <c r="U4054" t="s">
        <v>551</v>
      </c>
      <c r="V4054">
        <v>0</v>
      </c>
      <c r="W4054" t="s">
        <v>14859</v>
      </c>
      <c r="X4054" t="s">
        <v>14865</v>
      </c>
      <c r="Z4054" t="s">
        <v>18258</v>
      </c>
      <c r="AB4054" t="s">
        <v>23368</v>
      </c>
      <c r="AC4054">
        <v>0</v>
      </c>
      <c r="AF4054">
        <v>0</v>
      </c>
      <c r="AG4054">
        <v>1</v>
      </c>
      <c r="AH4054">
        <v>0</v>
      </c>
      <c r="AI4054">
        <v>129.51</v>
      </c>
      <c r="AL4054" t="s">
        <v>5011</v>
      </c>
      <c r="AM4054">
        <v>16176</v>
      </c>
      <c r="AS4054">
        <v>7.6</v>
      </c>
      <c r="AT4054" t="s">
        <v>509</v>
      </c>
      <c r="AU4054" t="s">
        <v>25285</v>
      </c>
      <c r="AV4054" t="s">
        <v>25335</v>
      </c>
      <c r="AW4054" t="s">
        <v>11447</v>
      </c>
    </row>
    <row r="4055" spans="1:49">
      <c r="A4055" s="1">
        <f>HYPERLINK("https://lsnyc.legalserver.org/matter/dynamic-profile/view/1912287","19-1912287")</f>
        <v>0</v>
      </c>
      <c r="B4055" t="s">
        <v>93</v>
      </c>
      <c r="C4055" t="s">
        <v>559</v>
      </c>
      <c r="E4055" t="s">
        <v>2949</v>
      </c>
      <c r="F4055" t="s">
        <v>4753</v>
      </c>
      <c r="G4055" t="s">
        <v>9195</v>
      </c>
      <c r="H4055" t="s">
        <v>10575</v>
      </c>
      <c r="I4055" t="s">
        <v>11385</v>
      </c>
      <c r="J4055">
        <v>11216</v>
      </c>
      <c r="K4055" t="s">
        <v>11446</v>
      </c>
      <c r="L4055" t="s">
        <v>13586</v>
      </c>
      <c r="M4055" t="s">
        <v>14744</v>
      </c>
      <c r="N4055" t="s">
        <v>14781</v>
      </c>
      <c r="P4055" t="s">
        <v>14804</v>
      </c>
      <c r="Q4055" t="s">
        <v>11448</v>
      </c>
      <c r="S4055" t="s">
        <v>14828</v>
      </c>
      <c r="T4055" t="s">
        <v>14837</v>
      </c>
      <c r="U4055" t="s">
        <v>559</v>
      </c>
      <c r="V4055">
        <v>127</v>
      </c>
      <c r="W4055" t="s">
        <v>14859</v>
      </c>
      <c r="X4055" t="s">
        <v>14868</v>
      </c>
      <c r="Z4055" t="s">
        <v>18085</v>
      </c>
      <c r="AA4055" t="s">
        <v>11459</v>
      </c>
      <c r="AB4055" t="s">
        <v>23181</v>
      </c>
      <c r="AC4055">
        <v>48</v>
      </c>
      <c r="AD4055" t="s">
        <v>24597</v>
      </c>
      <c r="AE4055" t="s">
        <v>11459</v>
      </c>
      <c r="AF4055">
        <v>23</v>
      </c>
      <c r="AG4055">
        <v>2</v>
      </c>
      <c r="AH4055">
        <v>0</v>
      </c>
      <c r="AI4055">
        <v>167.29</v>
      </c>
      <c r="AL4055" t="s">
        <v>5011</v>
      </c>
      <c r="AM4055">
        <v>28288</v>
      </c>
      <c r="AS4055">
        <v>9.550000000000001</v>
      </c>
      <c r="AT4055" t="s">
        <v>478</v>
      </c>
      <c r="AU4055" t="s">
        <v>93</v>
      </c>
      <c r="AV4055" t="s">
        <v>25335</v>
      </c>
      <c r="AW4055" t="s">
        <v>11447</v>
      </c>
    </row>
    <row r="4056" spans="1:49">
      <c r="A4056" s="1">
        <f>HYPERLINK("https://lsnyc.legalserver.org/matter/dynamic-profile/view/1912345","19-1912345")</f>
        <v>0</v>
      </c>
      <c r="B4056" t="s">
        <v>146</v>
      </c>
      <c r="C4056" t="s">
        <v>473</v>
      </c>
      <c r="E4056" t="s">
        <v>3032</v>
      </c>
      <c r="F4056" t="s">
        <v>3797</v>
      </c>
      <c r="G4056" t="s">
        <v>9355</v>
      </c>
      <c r="H4056" t="s">
        <v>10450</v>
      </c>
      <c r="I4056" t="s">
        <v>11385</v>
      </c>
      <c r="J4056">
        <v>11221</v>
      </c>
      <c r="K4056" t="s">
        <v>11446</v>
      </c>
      <c r="L4056" t="s">
        <v>13587</v>
      </c>
      <c r="M4056" t="s">
        <v>14744</v>
      </c>
      <c r="N4056" t="s">
        <v>14778</v>
      </c>
      <c r="P4056" t="s">
        <v>14804</v>
      </c>
      <c r="S4056" t="s">
        <v>14827</v>
      </c>
      <c r="U4056" t="s">
        <v>473</v>
      </c>
      <c r="V4056">
        <v>0</v>
      </c>
      <c r="W4056" t="s">
        <v>14859</v>
      </c>
      <c r="Z4056" t="s">
        <v>18259</v>
      </c>
      <c r="AB4056" t="s">
        <v>23369</v>
      </c>
      <c r="AC4056">
        <v>0</v>
      </c>
      <c r="AF4056">
        <v>0</v>
      </c>
      <c r="AG4056">
        <v>2</v>
      </c>
      <c r="AH4056">
        <v>1</v>
      </c>
      <c r="AI4056">
        <v>10.91</v>
      </c>
      <c r="AL4056" t="s">
        <v>5011</v>
      </c>
      <c r="AM4056">
        <v>2328</v>
      </c>
      <c r="AS4056">
        <v>18</v>
      </c>
      <c r="AT4056" t="s">
        <v>495</v>
      </c>
      <c r="AU4056" t="s">
        <v>25277</v>
      </c>
      <c r="AW4056" t="s">
        <v>11447</v>
      </c>
    </row>
    <row r="4057" spans="1:49">
      <c r="A4057" s="1">
        <f>HYPERLINK("https://lsnyc.legalserver.org/matter/dynamic-profile/view/1912682","19-1912682")</f>
        <v>0</v>
      </c>
      <c r="B4057" t="s">
        <v>133</v>
      </c>
      <c r="C4057" t="s">
        <v>578</v>
      </c>
      <c r="E4057" t="s">
        <v>3033</v>
      </c>
      <c r="F4057" t="s">
        <v>5668</v>
      </c>
      <c r="G4057" t="s">
        <v>9356</v>
      </c>
      <c r="H4057" t="s">
        <v>10665</v>
      </c>
      <c r="I4057" t="s">
        <v>11385</v>
      </c>
      <c r="J4057">
        <v>11226</v>
      </c>
      <c r="K4057" t="s">
        <v>11446</v>
      </c>
      <c r="L4057" t="s">
        <v>13588</v>
      </c>
      <c r="M4057" t="s">
        <v>14744</v>
      </c>
      <c r="N4057" t="s">
        <v>14781</v>
      </c>
      <c r="P4057" t="s">
        <v>14804</v>
      </c>
      <c r="Q4057" t="s">
        <v>11448</v>
      </c>
      <c r="S4057" t="s">
        <v>14827</v>
      </c>
      <c r="T4057" t="s">
        <v>14833</v>
      </c>
      <c r="U4057" t="s">
        <v>578</v>
      </c>
      <c r="V4057">
        <v>0</v>
      </c>
      <c r="W4057" t="s">
        <v>14859</v>
      </c>
      <c r="X4057" t="s">
        <v>14865</v>
      </c>
      <c r="Z4057" t="s">
        <v>18260</v>
      </c>
      <c r="AB4057" t="s">
        <v>23370</v>
      </c>
      <c r="AC4057">
        <v>0</v>
      </c>
      <c r="AD4057" t="s">
        <v>24595</v>
      </c>
      <c r="AE4057" t="s">
        <v>24613</v>
      </c>
      <c r="AF4057">
        <v>0</v>
      </c>
      <c r="AG4057">
        <v>4</v>
      </c>
      <c r="AH4057">
        <v>3</v>
      </c>
      <c r="AI4057">
        <v>69.20999999999999</v>
      </c>
      <c r="AL4057" t="s">
        <v>5011</v>
      </c>
      <c r="AM4057">
        <v>27000</v>
      </c>
      <c r="AS4057">
        <v>0.6</v>
      </c>
      <c r="AT4057" t="s">
        <v>495</v>
      </c>
      <c r="AU4057" t="s">
        <v>25235</v>
      </c>
      <c r="AV4057" t="s">
        <v>25335</v>
      </c>
      <c r="AW4057" t="s">
        <v>11447</v>
      </c>
    </row>
    <row r="4058" spans="1:49">
      <c r="A4058" s="1">
        <f>HYPERLINK("https://lsnyc.legalserver.org/matter/dynamic-profile/view/1911282","19-1911282")</f>
        <v>0</v>
      </c>
      <c r="B4058" t="s">
        <v>141</v>
      </c>
      <c r="C4058" t="s">
        <v>511</v>
      </c>
      <c r="E4058" t="s">
        <v>3034</v>
      </c>
      <c r="F4058" t="s">
        <v>5669</v>
      </c>
      <c r="G4058" t="s">
        <v>9357</v>
      </c>
      <c r="H4058" t="s">
        <v>10573</v>
      </c>
      <c r="I4058" t="s">
        <v>11385</v>
      </c>
      <c r="J4058">
        <v>11226</v>
      </c>
      <c r="K4058" t="s">
        <v>11446</v>
      </c>
      <c r="L4058" t="s">
        <v>13589</v>
      </c>
      <c r="M4058" t="s">
        <v>14744</v>
      </c>
      <c r="N4058" t="s">
        <v>14781</v>
      </c>
      <c r="P4058" t="s">
        <v>14804</v>
      </c>
      <c r="Q4058" t="s">
        <v>11448</v>
      </c>
      <c r="S4058" t="s">
        <v>14827</v>
      </c>
      <c r="U4058" t="s">
        <v>470</v>
      </c>
      <c r="V4058">
        <v>0</v>
      </c>
      <c r="W4058" t="s">
        <v>14859</v>
      </c>
      <c r="X4058" t="s">
        <v>14865</v>
      </c>
      <c r="Z4058" t="s">
        <v>15044</v>
      </c>
      <c r="AC4058">
        <v>0</v>
      </c>
      <c r="AE4058" t="s">
        <v>14755</v>
      </c>
      <c r="AF4058">
        <v>0</v>
      </c>
      <c r="AG4058">
        <v>2</v>
      </c>
      <c r="AH4058">
        <v>1</v>
      </c>
      <c r="AI4058">
        <v>55.7</v>
      </c>
      <c r="AL4058" t="s">
        <v>5011</v>
      </c>
      <c r="AM4058">
        <v>11880</v>
      </c>
      <c r="AS4058">
        <v>7.1</v>
      </c>
      <c r="AT4058" t="s">
        <v>509</v>
      </c>
      <c r="AU4058" t="s">
        <v>25246</v>
      </c>
      <c r="AV4058" t="s">
        <v>25335</v>
      </c>
      <c r="AW4058" t="s">
        <v>11447</v>
      </c>
    </row>
    <row r="4059" spans="1:49">
      <c r="A4059" s="1">
        <f>HYPERLINK("https://lsnyc.legalserver.org/matter/dynamic-profile/view/1912839","19-1912839")</f>
        <v>0</v>
      </c>
      <c r="B4059" t="s">
        <v>150</v>
      </c>
      <c r="C4059" t="s">
        <v>470</v>
      </c>
      <c r="E4059" t="s">
        <v>1104</v>
      </c>
      <c r="F4059" t="s">
        <v>5670</v>
      </c>
      <c r="G4059" t="s">
        <v>9358</v>
      </c>
      <c r="H4059" t="s">
        <v>10730</v>
      </c>
      <c r="I4059" t="s">
        <v>11385</v>
      </c>
      <c r="J4059">
        <v>11216</v>
      </c>
      <c r="K4059" t="s">
        <v>11446</v>
      </c>
      <c r="L4059" t="s">
        <v>13590</v>
      </c>
      <c r="M4059" t="s">
        <v>14743</v>
      </c>
      <c r="N4059" t="s">
        <v>14778</v>
      </c>
      <c r="P4059" t="s">
        <v>14804</v>
      </c>
      <c r="Q4059" t="s">
        <v>11448</v>
      </c>
      <c r="S4059" t="s">
        <v>14827</v>
      </c>
      <c r="T4059" t="s">
        <v>14832</v>
      </c>
      <c r="U4059" t="s">
        <v>470</v>
      </c>
      <c r="V4059">
        <v>491</v>
      </c>
      <c r="W4059" t="s">
        <v>14859</v>
      </c>
      <c r="X4059" t="s">
        <v>14865</v>
      </c>
      <c r="Z4059" t="s">
        <v>18261</v>
      </c>
      <c r="AB4059" t="s">
        <v>23371</v>
      </c>
      <c r="AC4059">
        <v>8</v>
      </c>
      <c r="AD4059" t="s">
        <v>24595</v>
      </c>
      <c r="AF4059">
        <v>0</v>
      </c>
      <c r="AG4059">
        <v>2</v>
      </c>
      <c r="AH4059">
        <v>0</v>
      </c>
      <c r="AI4059">
        <v>124.19</v>
      </c>
      <c r="AM4059">
        <v>21000</v>
      </c>
      <c r="AS4059">
        <v>3.2</v>
      </c>
      <c r="AT4059" t="s">
        <v>515</v>
      </c>
      <c r="AU4059" t="s">
        <v>25275</v>
      </c>
      <c r="AV4059" t="s">
        <v>25335</v>
      </c>
      <c r="AW4059" t="s">
        <v>11447</v>
      </c>
    </row>
    <row r="4060" spans="1:49">
      <c r="A4060" s="1">
        <f>HYPERLINK("https://lsnyc.legalserver.org/matter/dynamic-profile/view/1912926","19-1912926")</f>
        <v>0</v>
      </c>
      <c r="B4060" t="s">
        <v>240</v>
      </c>
      <c r="C4060" t="s">
        <v>574</v>
      </c>
      <c r="E4060" t="s">
        <v>3035</v>
      </c>
      <c r="F4060" t="s">
        <v>3577</v>
      </c>
      <c r="G4060" t="s">
        <v>9359</v>
      </c>
      <c r="H4060">
        <v>3</v>
      </c>
      <c r="I4060" t="s">
        <v>11385</v>
      </c>
      <c r="J4060">
        <v>11221</v>
      </c>
      <c r="K4060" t="s">
        <v>11446</v>
      </c>
      <c r="L4060" t="s">
        <v>13591</v>
      </c>
      <c r="M4060" t="s">
        <v>14743</v>
      </c>
      <c r="N4060" t="s">
        <v>14781</v>
      </c>
      <c r="P4060" t="s">
        <v>14804</v>
      </c>
      <c r="Q4060" t="s">
        <v>11448</v>
      </c>
      <c r="S4060" t="s">
        <v>14827</v>
      </c>
      <c r="U4060" t="s">
        <v>574</v>
      </c>
      <c r="V4060">
        <v>0</v>
      </c>
      <c r="W4060" t="s">
        <v>14859</v>
      </c>
      <c r="X4060" t="s">
        <v>14881</v>
      </c>
      <c r="Z4060" t="s">
        <v>18262</v>
      </c>
      <c r="AB4060" t="s">
        <v>23372</v>
      </c>
      <c r="AC4060">
        <v>0</v>
      </c>
      <c r="AF4060">
        <v>0</v>
      </c>
      <c r="AG4060">
        <v>1</v>
      </c>
      <c r="AH4060">
        <v>0</v>
      </c>
      <c r="AI4060">
        <v>39.14</v>
      </c>
      <c r="AL4060" t="s">
        <v>5011</v>
      </c>
      <c r="AM4060">
        <v>4888</v>
      </c>
      <c r="AS4060">
        <v>6.75</v>
      </c>
      <c r="AT4060" t="s">
        <v>506</v>
      </c>
      <c r="AU4060" t="s">
        <v>25285</v>
      </c>
      <c r="AV4060" t="s">
        <v>25335</v>
      </c>
      <c r="AW4060" t="s">
        <v>11447</v>
      </c>
    </row>
    <row r="4061" spans="1:49">
      <c r="A4061" s="1">
        <f>HYPERLINK("https://lsnyc.legalserver.org/matter/dynamic-profile/view/1912890","19-1912890")</f>
        <v>0</v>
      </c>
      <c r="B4061" t="s">
        <v>150</v>
      </c>
      <c r="C4061" t="s">
        <v>574</v>
      </c>
      <c r="E4061" t="s">
        <v>1030</v>
      </c>
      <c r="F4061" t="s">
        <v>3889</v>
      </c>
      <c r="G4061" t="s">
        <v>9360</v>
      </c>
      <c r="H4061" t="s">
        <v>10568</v>
      </c>
      <c r="I4061" t="s">
        <v>11385</v>
      </c>
      <c r="J4061">
        <v>11216</v>
      </c>
      <c r="K4061" t="s">
        <v>11446</v>
      </c>
      <c r="L4061" t="s">
        <v>13592</v>
      </c>
      <c r="M4061" t="s">
        <v>14744</v>
      </c>
      <c r="N4061" t="s">
        <v>14781</v>
      </c>
      <c r="P4061" t="s">
        <v>14804</v>
      </c>
      <c r="Q4061" t="s">
        <v>11448</v>
      </c>
      <c r="S4061" t="s">
        <v>14827</v>
      </c>
      <c r="T4061" t="s">
        <v>14837</v>
      </c>
      <c r="U4061" t="s">
        <v>574</v>
      </c>
      <c r="V4061">
        <v>0</v>
      </c>
      <c r="W4061" t="s">
        <v>14859</v>
      </c>
      <c r="X4061" t="s">
        <v>14881</v>
      </c>
      <c r="Z4061" t="s">
        <v>18263</v>
      </c>
      <c r="AB4061" t="s">
        <v>23373</v>
      </c>
      <c r="AC4061">
        <v>20</v>
      </c>
      <c r="AD4061" t="s">
        <v>24595</v>
      </c>
      <c r="AF4061">
        <v>0</v>
      </c>
      <c r="AG4061">
        <v>2</v>
      </c>
      <c r="AH4061">
        <v>0</v>
      </c>
      <c r="AI4061">
        <v>127.74</v>
      </c>
      <c r="AL4061" t="s">
        <v>5011</v>
      </c>
      <c r="AM4061">
        <v>21600</v>
      </c>
      <c r="AS4061">
        <v>5.2</v>
      </c>
      <c r="AT4061" t="s">
        <v>509</v>
      </c>
      <c r="AU4061" t="s">
        <v>25285</v>
      </c>
      <c r="AV4061" t="s">
        <v>25335</v>
      </c>
      <c r="AW4061" t="s">
        <v>11447</v>
      </c>
    </row>
    <row r="4062" spans="1:49">
      <c r="A4062" s="1">
        <f>HYPERLINK("https://lsnyc.legalserver.org/matter/dynamic-profile/view/1912886","19-1912886")</f>
        <v>0</v>
      </c>
      <c r="B4062" t="s">
        <v>238</v>
      </c>
      <c r="C4062" t="s">
        <v>574</v>
      </c>
      <c r="E4062" t="s">
        <v>2608</v>
      </c>
      <c r="F4062" t="s">
        <v>5671</v>
      </c>
      <c r="G4062" t="s">
        <v>9361</v>
      </c>
      <c r="H4062" t="s">
        <v>10467</v>
      </c>
      <c r="I4062" t="s">
        <v>11385</v>
      </c>
      <c r="J4062">
        <v>11225</v>
      </c>
      <c r="K4062" t="s">
        <v>11446</v>
      </c>
      <c r="L4062" t="s">
        <v>13593</v>
      </c>
      <c r="M4062" t="s">
        <v>14744</v>
      </c>
      <c r="P4062" t="s">
        <v>14804</v>
      </c>
      <c r="S4062" t="s">
        <v>14827</v>
      </c>
      <c r="U4062" t="s">
        <v>574</v>
      </c>
      <c r="V4062">
        <v>1022</v>
      </c>
      <c r="W4062" t="s">
        <v>14859</v>
      </c>
      <c r="Z4062" t="s">
        <v>18264</v>
      </c>
      <c r="AB4062" t="s">
        <v>23374</v>
      </c>
      <c r="AC4062">
        <v>0</v>
      </c>
      <c r="AF4062">
        <v>0</v>
      </c>
      <c r="AG4062">
        <v>2</v>
      </c>
      <c r="AH4062">
        <v>2</v>
      </c>
      <c r="AI4062">
        <v>130.49</v>
      </c>
      <c r="AL4062" t="s">
        <v>5011</v>
      </c>
      <c r="AM4062">
        <v>33600</v>
      </c>
      <c r="AS4062">
        <v>3.5</v>
      </c>
      <c r="AT4062" t="s">
        <v>537</v>
      </c>
      <c r="AU4062" t="s">
        <v>25275</v>
      </c>
      <c r="AV4062" t="s">
        <v>25335</v>
      </c>
      <c r="AW4062" t="s">
        <v>11447</v>
      </c>
    </row>
    <row r="4063" spans="1:49">
      <c r="A4063" s="1">
        <f>HYPERLINK("https://lsnyc.legalserver.org/matter/dynamic-profile/view/1912989","19-1912989")</f>
        <v>0</v>
      </c>
      <c r="B4063" t="s">
        <v>282</v>
      </c>
      <c r="C4063" t="s">
        <v>574</v>
      </c>
      <c r="E4063" t="s">
        <v>1483</v>
      </c>
      <c r="F4063" t="s">
        <v>4402</v>
      </c>
      <c r="G4063" t="s">
        <v>9362</v>
      </c>
      <c r="I4063" t="s">
        <v>11385</v>
      </c>
      <c r="J4063">
        <v>11216</v>
      </c>
      <c r="K4063" t="s">
        <v>11446</v>
      </c>
      <c r="L4063" t="s">
        <v>13594</v>
      </c>
      <c r="M4063" t="s">
        <v>14744</v>
      </c>
      <c r="N4063" t="s">
        <v>14781</v>
      </c>
      <c r="P4063" t="s">
        <v>14804</v>
      </c>
      <c r="R4063" t="s">
        <v>14804</v>
      </c>
      <c r="S4063" t="s">
        <v>14827</v>
      </c>
      <c r="U4063" t="s">
        <v>574</v>
      </c>
      <c r="V4063">
        <v>0</v>
      </c>
      <c r="W4063" t="s">
        <v>14859</v>
      </c>
      <c r="X4063" t="s">
        <v>14881</v>
      </c>
      <c r="Z4063" t="s">
        <v>17871</v>
      </c>
      <c r="AB4063" t="s">
        <v>23375</v>
      </c>
      <c r="AC4063">
        <v>0</v>
      </c>
      <c r="AF4063">
        <v>0</v>
      </c>
      <c r="AG4063">
        <v>1</v>
      </c>
      <c r="AH4063">
        <v>0</v>
      </c>
      <c r="AI4063">
        <v>272.22</v>
      </c>
      <c r="AL4063" t="s">
        <v>5011</v>
      </c>
      <c r="AM4063">
        <v>34000</v>
      </c>
      <c r="AS4063">
        <v>7.5</v>
      </c>
      <c r="AT4063" t="s">
        <v>537</v>
      </c>
      <c r="AU4063" t="s">
        <v>25235</v>
      </c>
      <c r="AV4063" t="s">
        <v>25335</v>
      </c>
      <c r="AW4063" t="s">
        <v>11447</v>
      </c>
    </row>
    <row r="4064" spans="1:49">
      <c r="A4064" s="1">
        <f>HYPERLINK("https://lsnyc.legalserver.org/matter/dynamic-profile/view/1913283","19-1913283")</f>
        <v>0</v>
      </c>
      <c r="B4064" t="s">
        <v>150</v>
      </c>
      <c r="C4064" t="s">
        <v>515</v>
      </c>
      <c r="E4064" t="s">
        <v>1048</v>
      </c>
      <c r="F4064" t="s">
        <v>5612</v>
      </c>
      <c r="G4064" t="s">
        <v>8016</v>
      </c>
      <c r="H4064" t="s">
        <v>10568</v>
      </c>
      <c r="I4064" t="s">
        <v>11385</v>
      </c>
      <c r="J4064">
        <v>11225</v>
      </c>
      <c r="K4064" t="s">
        <v>11446</v>
      </c>
      <c r="L4064" t="s">
        <v>13595</v>
      </c>
      <c r="M4064" t="s">
        <v>14743</v>
      </c>
      <c r="N4064" t="s">
        <v>14781</v>
      </c>
      <c r="P4064" t="s">
        <v>14804</v>
      </c>
      <c r="Q4064" t="s">
        <v>11448</v>
      </c>
      <c r="S4064" t="s">
        <v>14827</v>
      </c>
      <c r="T4064" t="s">
        <v>14832</v>
      </c>
      <c r="U4064" t="s">
        <v>515</v>
      </c>
      <c r="V4064">
        <v>0</v>
      </c>
      <c r="W4064" t="s">
        <v>14859</v>
      </c>
      <c r="X4064" t="s">
        <v>14868</v>
      </c>
      <c r="Z4064" t="s">
        <v>18159</v>
      </c>
      <c r="AB4064" t="s">
        <v>23262</v>
      </c>
      <c r="AC4064">
        <v>61</v>
      </c>
      <c r="AD4064" t="s">
        <v>24595</v>
      </c>
      <c r="AE4064" t="s">
        <v>11459</v>
      </c>
      <c r="AF4064">
        <v>19</v>
      </c>
      <c r="AG4064">
        <v>1</v>
      </c>
      <c r="AH4064">
        <v>0</v>
      </c>
      <c r="AI4064">
        <v>188.6</v>
      </c>
      <c r="AL4064" t="s">
        <v>5011</v>
      </c>
      <c r="AM4064">
        <v>23556</v>
      </c>
      <c r="AS4064">
        <v>1.3</v>
      </c>
      <c r="AT4064" t="s">
        <v>654</v>
      </c>
      <c r="AU4064" t="s">
        <v>25235</v>
      </c>
      <c r="AV4064" t="s">
        <v>25335</v>
      </c>
      <c r="AW4064" t="s">
        <v>11447</v>
      </c>
    </row>
    <row r="4065" spans="1:49">
      <c r="A4065" s="1">
        <f>HYPERLINK("https://lsnyc.legalserver.org/matter/dynamic-profile/view/1913351","19-1913351")</f>
        <v>0</v>
      </c>
      <c r="B4065" t="s">
        <v>233</v>
      </c>
      <c r="C4065" t="s">
        <v>483</v>
      </c>
      <c r="E4065" t="s">
        <v>2608</v>
      </c>
      <c r="F4065" t="s">
        <v>5672</v>
      </c>
      <c r="G4065" t="s">
        <v>9310</v>
      </c>
      <c r="H4065" t="s">
        <v>10579</v>
      </c>
      <c r="I4065" t="s">
        <v>11385</v>
      </c>
      <c r="J4065">
        <v>11225</v>
      </c>
      <c r="K4065" t="s">
        <v>11446</v>
      </c>
      <c r="L4065" t="s">
        <v>13596</v>
      </c>
      <c r="M4065" t="s">
        <v>14744</v>
      </c>
      <c r="P4065" t="s">
        <v>14804</v>
      </c>
      <c r="S4065" t="s">
        <v>14827</v>
      </c>
      <c r="U4065" t="s">
        <v>483</v>
      </c>
      <c r="V4065">
        <v>803.75</v>
      </c>
      <c r="W4065" t="s">
        <v>14859</v>
      </c>
      <c r="X4065" t="s">
        <v>14881</v>
      </c>
      <c r="Z4065" t="s">
        <v>18265</v>
      </c>
      <c r="AB4065" t="s">
        <v>23376</v>
      </c>
      <c r="AC4065">
        <v>16</v>
      </c>
      <c r="AF4065">
        <v>30</v>
      </c>
      <c r="AG4065">
        <v>1</v>
      </c>
      <c r="AH4065">
        <v>0</v>
      </c>
      <c r="AI4065">
        <v>0</v>
      </c>
      <c r="AL4065" t="s">
        <v>5011</v>
      </c>
      <c r="AM4065">
        <v>0</v>
      </c>
      <c r="AS4065">
        <v>2</v>
      </c>
      <c r="AT4065" t="s">
        <v>509</v>
      </c>
      <c r="AU4065" t="s">
        <v>25275</v>
      </c>
      <c r="AV4065" t="s">
        <v>25335</v>
      </c>
      <c r="AW4065" t="s">
        <v>11447</v>
      </c>
    </row>
    <row r="4066" spans="1:49">
      <c r="A4066" s="1">
        <f>HYPERLINK("https://lsnyc.legalserver.org/matter/dynamic-profile/view/1913392","19-1913392")</f>
        <v>0</v>
      </c>
      <c r="B4066" t="s">
        <v>233</v>
      </c>
      <c r="C4066" t="s">
        <v>483</v>
      </c>
      <c r="E4066" t="s">
        <v>2285</v>
      </c>
      <c r="F4066" t="s">
        <v>5673</v>
      </c>
      <c r="G4066" t="s">
        <v>9363</v>
      </c>
      <c r="H4066">
        <v>2</v>
      </c>
      <c r="I4066" t="s">
        <v>11385</v>
      </c>
      <c r="J4066">
        <v>11216</v>
      </c>
      <c r="K4066" t="s">
        <v>11446</v>
      </c>
      <c r="L4066" t="s">
        <v>13597</v>
      </c>
      <c r="M4066" t="s">
        <v>14744</v>
      </c>
      <c r="P4066" t="s">
        <v>14804</v>
      </c>
      <c r="S4066" t="s">
        <v>14827</v>
      </c>
      <c r="U4066" t="s">
        <v>483</v>
      </c>
      <c r="V4066">
        <v>788.96</v>
      </c>
      <c r="W4066" t="s">
        <v>14859</v>
      </c>
      <c r="X4066" t="s">
        <v>14881</v>
      </c>
      <c r="Z4066" t="s">
        <v>18266</v>
      </c>
      <c r="AB4066" t="s">
        <v>23377</v>
      </c>
      <c r="AC4066">
        <v>4</v>
      </c>
      <c r="AF4066">
        <v>20</v>
      </c>
      <c r="AG4066">
        <v>1</v>
      </c>
      <c r="AH4066">
        <v>5</v>
      </c>
      <c r="AI4066">
        <v>0</v>
      </c>
      <c r="AL4066" t="s">
        <v>5011</v>
      </c>
      <c r="AM4066">
        <v>0</v>
      </c>
      <c r="AS4066">
        <v>4</v>
      </c>
      <c r="AT4066" t="s">
        <v>509</v>
      </c>
      <c r="AU4066" t="s">
        <v>25275</v>
      </c>
      <c r="AV4066" t="s">
        <v>25335</v>
      </c>
      <c r="AW4066" t="s">
        <v>11447</v>
      </c>
    </row>
    <row r="4067" spans="1:49">
      <c r="A4067" s="1">
        <f>HYPERLINK("https://lsnyc.legalserver.org/matter/dynamic-profile/view/1913418","19-1913418")</f>
        <v>0</v>
      </c>
      <c r="B4067" t="s">
        <v>152</v>
      </c>
      <c r="C4067" t="s">
        <v>483</v>
      </c>
      <c r="E4067" t="s">
        <v>3036</v>
      </c>
      <c r="F4067" t="s">
        <v>4038</v>
      </c>
      <c r="G4067" t="s">
        <v>9364</v>
      </c>
      <c r="H4067" t="s">
        <v>10637</v>
      </c>
      <c r="I4067" t="s">
        <v>11385</v>
      </c>
      <c r="J4067">
        <v>11221</v>
      </c>
      <c r="K4067" t="s">
        <v>11446</v>
      </c>
      <c r="L4067" t="s">
        <v>13598</v>
      </c>
      <c r="M4067" t="s">
        <v>14744</v>
      </c>
      <c r="P4067" t="s">
        <v>14804</v>
      </c>
      <c r="S4067" t="s">
        <v>14827</v>
      </c>
      <c r="U4067" t="s">
        <v>483</v>
      </c>
      <c r="V4067">
        <v>457</v>
      </c>
      <c r="W4067" t="s">
        <v>14859</v>
      </c>
      <c r="X4067" t="s">
        <v>14881</v>
      </c>
      <c r="Z4067" t="s">
        <v>18267</v>
      </c>
      <c r="AB4067" t="s">
        <v>23378</v>
      </c>
      <c r="AC4067">
        <v>0</v>
      </c>
      <c r="AD4067" t="s">
        <v>24595</v>
      </c>
      <c r="AF4067">
        <v>0</v>
      </c>
      <c r="AG4067">
        <v>2</v>
      </c>
      <c r="AH4067">
        <v>0</v>
      </c>
      <c r="AI4067">
        <v>54.71</v>
      </c>
      <c r="AL4067" t="s">
        <v>5011</v>
      </c>
      <c r="AM4067">
        <v>9252</v>
      </c>
      <c r="AS4067">
        <v>0.1</v>
      </c>
      <c r="AT4067" t="s">
        <v>484</v>
      </c>
      <c r="AU4067" t="s">
        <v>25275</v>
      </c>
      <c r="AV4067" t="s">
        <v>25335</v>
      </c>
      <c r="AW4067" t="s">
        <v>11447</v>
      </c>
    </row>
    <row r="4068" spans="1:49">
      <c r="A4068" s="1">
        <f>HYPERLINK("https://lsnyc.legalserver.org/matter/dynamic-profile/view/1913403","19-1913403")</f>
        <v>0</v>
      </c>
      <c r="B4068" t="s">
        <v>233</v>
      </c>
      <c r="C4068" t="s">
        <v>483</v>
      </c>
      <c r="E4068" t="s">
        <v>1130</v>
      </c>
      <c r="F4068" t="s">
        <v>4310</v>
      </c>
      <c r="G4068" t="s">
        <v>9365</v>
      </c>
      <c r="H4068" t="s">
        <v>10467</v>
      </c>
      <c r="I4068" t="s">
        <v>11385</v>
      </c>
      <c r="J4068">
        <v>11225</v>
      </c>
      <c r="K4068" t="s">
        <v>11446</v>
      </c>
      <c r="L4068" t="s">
        <v>13599</v>
      </c>
      <c r="M4068" t="s">
        <v>14744</v>
      </c>
      <c r="N4068" t="s">
        <v>14781</v>
      </c>
      <c r="P4068" t="s">
        <v>14804</v>
      </c>
      <c r="S4068" t="s">
        <v>14827</v>
      </c>
      <c r="U4068" t="s">
        <v>483</v>
      </c>
      <c r="V4068">
        <v>1350</v>
      </c>
      <c r="W4068" t="s">
        <v>14859</v>
      </c>
      <c r="X4068" t="s">
        <v>14881</v>
      </c>
      <c r="Z4068" t="s">
        <v>18268</v>
      </c>
      <c r="AB4068" t="s">
        <v>23379</v>
      </c>
      <c r="AC4068">
        <v>32</v>
      </c>
      <c r="AF4068">
        <v>12</v>
      </c>
      <c r="AG4068">
        <v>1</v>
      </c>
      <c r="AH4068">
        <v>0</v>
      </c>
      <c r="AI4068">
        <v>66.09999999999999</v>
      </c>
      <c r="AL4068" t="s">
        <v>5011</v>
      </c>
      <c r="AM4068">
        <v>8256</v>
      </c>
      <c r="AS4068">
        <v>1.5</v>
      </c>
      <c r="AT4068" t="s">
        <v>533</v>
      </c>
      <c r="AU4068" t="s">
        <v>25275</v>
      </c>
      <c r="AV4068" t="s">
        <v>25335</v>
      </c>
      <c r="AW4068" t="s">
        <v>11447</v>
      </c>
    </row>
    <row r="4069" spans="1:49">
      <c r="A4069" s="1">
        <f>HYPERLINK("https://lsnyc.legalserver.org/matter/dynamic-profile/view/1913408","19-1913408")</f>
        <v>0</v>
      </c>
      <c r="B4069" t="s">
        <v>152</v>
      </c>
      <c r="C4069" t="s">
        <v>483</v>
      </c>
      <c r="E4069" t="s">
        <v>3037</v>
      </c>
      <c r="F4069" t="s">
        <v>5674</v>
      </c>
      <c r="G4069" t="s">
        <v>9366</v>
      </c>
      <c r="H4069">
        <v>202</v>
      </c>
      <c r="I4069" t="s">
        <v>11385</v>
      </c>
      <c r="J4069">
        <v>11216</v>
      </c>
      <c r="K4069" t="s">
        <v>11446</v>
      </c>
      <c r="L4069" t="s">
        <v>13600</v>
      </c>
      <c r="M4069" t="s">
        <v>14744</v>
      </c>
      <c r="P4069" t="s">
        <v>14804</v>
      </c>
      <c r="S4069" t="s">
        <v>14827</v>
      </c>
      <c r="U4069" t="s">
        <v>483</v>
      </c>
      <c r="V4069">
        <v>1836</v>
      </c>
      <c r="W4069" t="s">
        <v>14859</v>
      </c>
      <c r="X4069" t="s">
        <v>14881</v>
      </c>
      <c r="Z4069" t="s">
        <v>18269</v>
      </c>
      <c r="AC4069">
        <v>0</v>
      </c>
      <c r="AD4069" t="s">
        <v>24595</v>
      </c>
      <c r="AF4069">
        <v>2</v>
      </c>
      <c r="AG4069">
        <v>1</v>
      </c>
      <c r="AH4069">
        <v>0</v>
      </c>
      <c r="AI4069">
        <v>144.12</v>
      </c>
      <c r="AL4069" t="s">
        <v>5011</v>
      </c>
      <c r="AM4069">
        <v>18000</v>
      </c>
      <c r="AS4069">
        <v>0.3</v>
      </c>
      <c r="AT4069" t="s">
        <v>484</v>
      </c>
      <c r="AU4069" t="s">
        <v>25275</v>
      </c>
      <c r="AV4069" t="s">
        <v>25335</v>
      </c>
      <c r="AW4069" t="s">
        <v>11447</v>
      </c>
    </row>
    <row r="4070" spans="1:49">
      <c r="A4070" s="1">
        <f>HYPERLINK("https://lsnyc.legalserver.org/matter/dynamic-profile/view/1840446","17-1840446")</f>
        <v>0</v>
      </c>
      <c r="B4070" t="s">
        <v>93</v>
      </c>
      <c r="C4070" t="s">
        <v>862</v>
      </c>
      <c r="E4070" t="s">
        <v>2949</v>
      </c>
      <c r="F4070" t="s">
        <v>4753</v>
      </c>
      <c r="G4070" t="s">
        <v>9195</v>
      </c>
      <c r="H4070" t="s">
        <v>10575</v>
      </c>
      <c r="I4070" t="s">
        <v>11385</v>
      </c>
      <c r="J4070">
        <v>11216</v>
      </c>
      <c r="K4070" t="s">
        <v>11446</v>
      </c>
      <c r="L4070" t="s">
        <v>13601</v>
      </c>
      <c r="M4070" t="s">
        <v>14750</v>
      </c>
      <c r="N4070" t="s">
        <v>14783</v>
      </c>
      <c r="P4070" t="s">
        <v>14804</v>
      </c>
      <c r="Q4070" t="s">
        <v>11448</v>
      </c>
      <c r="S4070" t="s">
        <v>14828</v>
      </c>
      <c r="T4070" t="s">
        <v>14832</v>
      </c>
      <c r="U4070" t="s">
        <v>484</v>
      </c>
      <c r="V4070">
        <v>412</v>
      </c>
      <c r="W4070" t="s">
        <v>14859</v>
      </c>
      <c r="X4070" t="s">
        <v>14879</v>
      </c>
      <c r="Z4070" t="s">
        <v>18085</v>
      </c>
      <c r="AA4070" t="s">
        <v>11459</v>
      </c>
      <c r="AB4070" t="s">
        <v>23181</v>
      </c>
      <c r="AC4070">
        <v>6</v>
      </c>
      <c r="AD4070" t="s">
        <v>24595</v>
      </c>
      <c r="AE4070" t="s">
        <v>11459</v>
      </c>
      <c r="AF4070">
        <v>21</v>
      </c>
      <c r="AG4070">
        <v>2</v>
      </c>
      <c r="AH4070">
        <v>0</v>
      </c>
      <c r="AI4070">
        <v>22.17</v>
      </c>
      <c r="AL4070" t="s">
        <v>5011</v>
      </c>
      <c r="AM4070">
        <v>3600</v>
      </c>
      <c r="AO4070" t="s">
        <v>24934</v>
      </c>
      <c r="AP4070" t="s">
        <v>14755</v>
      </c>
      <c r="AQ4070" t="s">
        <v>24986</v>
      </c>
      <c r="AR4070" t="s">
        <v>25088</v>
      </c>
      <c r="AS4070">
        <v>22.15</v>
      </c>
      <c r="AT4070" t="s">
        <v>586</v>
      </c>
      <c r="AU4070" t="s">
        <v>25246</v>
      </c>
      <c r="AV4070" t="s">
        <v>25335</v>
      </c>
      <c r="AW4070" t="s">
        <v>11447</v>
      </c>
    </row>
    <row r="4071" spans="1:49">
      <c r="A4071" s="1">
        <f>HYPERLINK("https://lsnyc.legalserver.org/matter/dynamic-profile/view/1913460","19-1913460")</f>
        <v>0</v>
      </c>
      <c r="B4071" t="s">
        <v>141</v>
      </c>
      <c r="C4071" t="s">
        <v>484</v>
      </c>
      <c r="E4071" t="s">
        <v>3038</v>
      </c>
      <c r="F4071" t="s">
        <v>5675</v>
      </c>
      <c r="G4071" t="s">
        <v>9367</v>
      </c>
      <c r="H4071" t="s">
        <v>10484</v>
      </c>
      <c r="I4071" t="s">
        <v>11385</v>
      </c>
      <c r="J4071">
        <v>11226</v>
      </c>
      <c r="K4071" t="s">
        <v>11446</v>
      </c>
      <c r="L4071" t="s">
        <v>13602</v>
      </c>
      <c r="M4071" t="s">
        <v>14744</v>
      </c>
      <c r="N4071" t="s">
        <v>14778</v>
      </c>
      <c r="P4071" t="s">
        <v>14804</v>
      </c>
      <c r="S4071" t="s">
        <v>14827</v>
      </c>
      <c r="U4071" t="s">
        <v>484</v>
      </c>
      <c r="V4071">
        <v>1300</v>
      </c>
      <c r="W4071" t="s">
        <v>14859</v>
      </c>
      <c r="X4071" t="s">
        <v>14865</v>
      </c>
      <c r="Z4071" t="s">
        <v>18270</v>
      </c>
      <c r="AB4071" t="s">
        <v>23380</v>
      </c>
      <c r="AC4071">
        <v>0</v>
      </c>
      <c r="AE4071" t="s">
        <v>24610</v>
      </c>
      <c r="AF4071">
        <v>0</v>
      </c>
      <c r="AG4071">
        <v>1</v>
      </c>
      <c r="AH4071">
        <v>0</v>
      </c>
      <c r="AI4071">
        <v>81.67</v>
      </c>
      <c r="AL4071" t="s">
        <v>5011</v>
      </c>
      <c r="AM4071">
        <v>10200</v>
      </c>
      <c r="AS4071">
        <v>4.3</v>
      </c>
      <c r="AT4071" t="s">
        <v>580</v>
      </c>
      <c r="AU4071" t="s">
        <v>25277</v>
      </c>
      <c r="AW4071" t="s">
        <v>11447</v>
      </c>
    </row>
    <row r="4072" spans="1:49">
      <c r="A4072" s="1">
        <f>HYPERLINK("https://lsnyc.legalserver.org/matter/dynamic-profile/view/1912920","19-1912920")</f>
        <v>0</v>
      </c>
      <c r="B4072" t="s">
        <v>93</v>
      </c>
      <c r="C4072" t="s">
        <v>574</v>
      </c>
      <c r="E4072" t="s">
        <v>3039</v>
      </c>
      <c r="F4072" t="s">
        <v>5676</v>
      </c>
      <c r="G4072" t="s">
        <v>9343</v>
      </c>
      <c r="H4072" t="s">
        <v>10575</v>
      </c>
      <c r="I4072" t="s">
        <v>11385</v>
      </c>
      <c r="J4072">
        <v>11226</v>
      </c>
      <c r="K4072" t="s">
        <v>11446</v>
      </c>
      <c r="L4072" t="s">
        <v>13603</v>
      </c>
      <c r="M4072" t="s">
        <v>14744</v>
      </c>
      <c r="N4072" t="s">
        <v>14781</v>
      </c>
      <c r="P4072" t="s">
        <v>14804</v>
      </c>
      <c r="Q4072" t="s">
        <v>11448</v>
      </c>
      <c r="S4072" t="s">
        <v>14827</v>
      </c>
      <c r="T4072" t="s">
        <v>14837</v>
      </c>
      <c r="U4072" t="s">
        <v>484</v>
      </c>
      <c r="V4072">
        <v>1130</v>
      </c>
      <c r="W4072" t="s">
        <v>14859</v>
      </c>
      <c r="X4072" t="s">
        <v>14865</v>
      </c>
      <c r="Z4072" t="s">
        <v>18271</v>
      </c>
      <c r="AA4072" t="s">
        <v>11459</v>
      </c>
      <c r="AB4072" t="s">
        <v>23381</v>
      </c>
      <c r="AC4072">
        <v>48</v>
      </c>
      <c r="AD4072" t="s">
        <v>24595</v>
      </c>
      <c r="AE4072" t="s">
        <v>11459</v>
      </c>
      <c r="AF4072">
        <v>15</v>
      </c>
      <c r="AG4072">
        <v>2</v>
      </c>
      <c r="AH4072">
        <v>3</v>
      </c>
      <c r="AI4072">
        <v>86.18000000000001</v>
      </c>
      <c r="AL4072" t="s">
        <v>5011</v>
      </c>
      <c r="AM4072">
        <v>26000</v>
      </c>
      <c r="AS4072">
        <v>10.2</v>
      </c>
      <c r="AT4072" t="s">
        <v>491</v>
      </c>
      <c r="AU4072" t="s">
        <v>25275</v>
      </c>
      <c r="AV4072" t="s">
        <v>25335</v>
      </c>
      <c r="AW4072" t="s">
        <v>11447</v>
      </c>
    </row>
    <row r="4073" spans="1:49">
      <c r="A4073" s="1">
        <f>HYPERLINK("https://lsnyc.legalserver.org/matter/dynamic-profile/view/1913842","19-1913842")</f>
        <v>0</v>
      </c>
      <c r="B4073" t="s">
        <v>255</v>
      </c>
      <c r="C4073" t="s">
        <v>533</v>
      </c>
      <c r="E4073" t="s">
        <v>1176</v>
      </c>
      <c r="F4073" t="s">
        <v>5518</v>
      </c>
      <c r="G4073" t="s">
        <v>8308</v>
      </c>
      <c r="H4073" t="s">
        <v>10486</v>
      </c>
      <c r="I4073" t="s">
        <v>11385</v>
      </c>
      <c r="J4073">
        <v>11221</v>
      </c>
      <c r="K4073" t="s">
        <v>11446</v>
      </c>
      <c r="L4073" t="s">
        <v>13604</v>
      </c>
      <c r="M4073" t="s">
        <v>14744</v>
      </c>
      <c r="N4073" t="s">
        <v>14781</v>
      </c>
      <c r="P4073" t="s">
        <v>14804</v>
      </c>
      <c r="Q4073" t="s">
        <v>11448</v>
      </c>
      <c r="S4073" t="s">
        <v>14827</v>
      </c>
      <c r="T4073" t="s">
        <v>14834</v>
      </c>
      <c r="U4073" t="s">
        <v>484</v>
      </c>
      <c r="V4073">
        <v>905</v>
      </c>
      <c r="W4073" t="s">
        <v>14859</v>
      </c>
      <c r="X4073" t="s">
        <v>14865</v>
      </c>
      <c r="Z4073" t="s">
        <v>17082</v>
      </c>
      <c r="AA4073" t="s">
        <v>19837</v>
      </c>
      <c r="AB4073" t="s">
        <v>23382</v>
      </c>
      <c r="AC4073">
        <v>9</v>
      </c>
      <c r="AD4073" t="s">
        <v>24595</v>
      </c>
      <c r="AE4073" t="s">
        <v>14755</v>
      </c>
      <c r="AF4073">
        <v>17</v>
      </c>
      <c r="AG4073">
        <v>3</v>
      </c>
      <c r="AH4073">
        <v>0</v>
      </c>
      <c r="AI4073">
        <v>97.08</v>
      </c>
      <c r="AL4073" t="s">
        <v>5011</v>
      </c>
      <c r="AM4073">
        <v>20708</v>
      </c>
      <c r="AS4073">
        <v>1.25</v>
      </c>
      <c r="AT4073" t="s">
        <v>14845</v>
      </c>
      <c r="AU4073" t="s">
        <v>25235</v>
      </c>
      <c r="AV4073" t="s">
        <v>25335</v>
      </c>
      <c r="AW4073" t="s">
        <v>11447</v>
      </c>
    </row>
    <row r="4074" spans="1:49">
      <c r="A4074" s="1">
        <f>HYPERLINK("https://lsnyc.legalserver.org/matter/dynamic-profile/view/1913497","19-1913497")</f>
        <v>0</v>
      </c>
      <c r="B4074" t="s">
        <v>133</v>
      </c>
      <c r="C4074" t="s">
        <v>484</v>
      </c>
      <c r="E4074" t="s">
        <v>1088</v>
      </c>
      <c r="F4074" t="s">
        <v>3569</v>
      </c>
      <c r="G4074" t="s">
        <v>9368</v>
      </c>
      <c r="H4074" t="s">
        <v>10589</v>
      </c>
      <c r="I4074" t="s">
        <v>11385</v>
      </c>
      <c r="J4074">
        <v>11226</v>
      </c>
      <c r="K4074" t="s">
        <v>11446</v>
      </c>
      <c r="L4074" t="s">
        <v>13605</v>
      </c>
      <c r="M4074" t="s">
        <v>14744</v>
      </c>
      <c r="N4074" t="s">
        <v>14781</v>
      </c>
      <c r="P4074" t="s">
        <v>14804</v>
      </c>
      <c r="Q4074" t="s">
        <v>11448</v>
      </c>
      <c r="S4074" t="s">
        <v>14827</v>
      </c>
      <c r="T4074" t="s">
        <v>14832</v>
      </c>
      <c r="U4074" t="s">
        <v>484</v>
      </c>
      <c r="V4074">
        <v>1379</v>
      </c>
      <c r="W4074" t="s">
        <v>14859</v>
      </c>
      <c r="X4074" t="s">
        <v>14865</v>
      </c>
      <c r="Z4074" t="s">
        <v>18272</v>
      </c>
      <c r="AB4074" t="s">
        <v>23383</v>
      </c>
      <c r="AC4074">
        <v>12</v>
      </c>
      <c r="AF4074">
        <v>5</v>
      </c>
      <c r="AG4074">
        <v>2</v>
      </c>
      <c r="AH4074">
        <v>0</v>
      </c>
      <c r="AI4074">
        <v>141.93</v>
      </c>
      <c r="AL4074" t="s">
        <v>5011</v>
      </c>
      <c r="AM4074">
        <v>24000</v>
      </c>
      <c r="AS4074">
        <v>2</v>
      </c>
      <c r="AT4074" t="s">
        <v>509</v>
      </c>
      <c r="AU4074" t="s">
        <v>25235</v>
      </c>
      <c r="AV4074" t="s">
        <v>25335</v>
      </c>
      <c r="AW4074" t="s">
        <v>11447</v>
      </c>
    </row>
    <row r="4075" spans="1:49">
      <c r="A4075" s="1">
        <f>HYPERLINK("https://lsnyc.legalserver.org/matter/dynamic-profile/view/1908165","19-1908165")</f>
        <v>0</v>
      </c>
      <c r="B4075" t="s">
        <v>93</v>
      </c>
      <c r="C4075" t="s">
        <v>372</v>
      </c>
      <c r="E4075" t="s">
        <v>1273</v>
      </c>
      <c r="F4075" t="s">
        <v>5677</v>
      </c>
      <c r="G4075" t="s">
        <v>9369</v>
      </c>
      <c r="H4075">
        <v>3</v>
      </c>
      <c r="I4075" t="s">
        <v>11385</v>
      </c>
      <c r="J4075">
        <v>11225</v>
      </c>
      <c r="K4075" t="s">
        <v>11446</v>
      </c>
      <c r="L4075" t="s">
        <v>13606</v>
      </c>
      <c r="M4075" t="s">
        <v>14744</v>
      </c>
      <c r="N4075" t="s">
        <v>14781</v>
      </c>
      <c r="P4075" t="s">
        <v>14804</v>
      </c>
      <c r="Q4075" t="s">
        <v>11448</v>
      </c>
      <c r="S4075" t="s">
        <v>14827</v>
      </c>
      <c r="T4075" t="s">
        <v>14832</v>
      </c>
      <c r="U4075" t="s">
        <v>484</v>
      </c>
      <c r="V4075">
        <v>1119.92</v>
      </c>
      <c r="W4075" t="s">
        <v>14859</v>
      </c>
      <c r="X4075" t="s">
        <v>14881</v>
      </c>
      <c r="Z4075" t="s">
        <v>18273</v>
      </c>
      <c r="AB4075" t="s">
        <v>23384</v>
      </c>
      <c r="AC4075">
        <v>3</v>
      </c>
      <c r="AD4075" t="s">
        <v>24600</v>
      </c>
      <c r="AF4075">
        <v>6</v>
      </c>
      <c r="AG4075">
        <v>1</v>
      </c>
      <c r="AH4075">
        <v>0</v>
      </c>
      <c r="AI4075">
        <v>149.88</v>
      </c>
      <c r="AL4075" t="s">
        <v>5011</v>
      </c>
      <c r="AM4075">
        <v>18720</v>
      </c>
      <c r="AS4075">
        <v>5.65</v>
      </c>
      <c r="AT4075" t="s">
        <v>495</v>
      </c>
      <c r="AU4075" t="s">
        <v>25285</v>
      </c>
      <c r="AV4075" t="s">
        <v>25335</v>
      </c>
      <c r="AW4075" t="s">
        <v>11447</v>
      </c>
    </row>
    <row r="4076" spans="1:49">
      <c r="A4076" s="1">
        <f>HYPERLINK("https://lsnyc.legalserver.org/matter/dynamic-profile/view/1912954","19-1912954")</f>
        <v>0</v>
      </c>
      <c r="B4076" t="s">
        <v>93</v>
      </c>
      <c r="C4076" t="s">
        <v>574</v>
      </c>
      <c r="E4076" t="s">
        <v>2249</v>
      </c>
      <c r="F4076" t="s">
        <v>1375</v>
      </c>
      <c r="G4076" t="s">
        <v>9370</v>
      </c>
      <c r="H4076" t="s">
        <v>10568</v>
      </c>
      <c r="I4076" t="s">
        <v>11385</v>
      </c>
      <c r="J4076">
        <v>11226</v>
      </c>
      <c r="K4076" t="s">
        <v>11446</v>
      </c>
      <c r="L4076" t="s">
        <v>13607</v>
      </c>
      <c r="M4076" t="s">
        <v>14744</v>
      </c>
      <c r="N4076" t="s">
        <v>14781</v>
      </c>
      <c r="P4076" t="s">
        <v>14804</v>
      </c>
      <c r="Q4076" t="s">
        <v>11448</v>
      </c>
      <c r="S4076" t="s">
        <v>14827</v>
      </c>
      <c r="T4076" t="s">
        <v>14832</v>
      </c>
      <c r="U4076" t="s">
        <v>484</v>
      </c>
      <c r="V4076">
        <v>1254.67</v>
      </c>
      <c r="W4076" t="s">
        <v>14859</v>
      </c>
      <c r="X4076" t="s">
        <v>14865</v>
      </c>
      <c r="Z4076" t="s">
        <v>18274</v>
      </c>
      <c r="AA4076" t="s">
        <v>11459</v>
      </c>
      <c r="AB4076" t="s">
        <v>23385</v>
      </c>
      <c r="AC4076">
        <v>54</v>
      </c>
      <c r="AD4076" t="s">
        <v>24595</v>
      </c>
      <c r="AE4076" t="s">
        <v>11459</v>
      </c>
      <c r="AF4076">
        <v>0</v>
      </c>
      <c r="AG4076">
        <v>1</v>
      </c>
      <c r="AH4076">
        <v>1</v>
      </c>
      <c r="AI4076">
        <v>161.44</v>
      </c>
      <c r="AL4076" t="s">
        <v>5011</v>
      </c>
      <c r="AM4076">
        <v>27300</v>
      </c>
      <c r="AS4076">
        <v>6.35</v>
      </c>
      <c r="AT4076" t="s">
        <v>537</v>
      </c>
      <c r="AU4076" t="s">
        <v>25235</v>
      </c>
      <c r="AV4076" t="s">
        <v>25335</v>
      </c>
      <c r="AW4076" t="s">
        <v>11447</v>
      </c>
    </row>
    <row r="4077" spans="1:49">
      <c r="A4077" s="1">
        <f>HYPERLINK("https://lsnyc.legalserver.org/matter/dynamic-profile/view/1913446","19-1913446")</f>
        <v>0</v>
      </c>
      <c r="B4077" t="s">
        <v>106</v>
      </c>
      <c r="C4077" t="s">
        <v>484</v>
      </c>
      <c r="E4077" t="s">
        <v>2866</v>
      </c>
      <c r="F4077" t="s">
        <v>5678</v>
      </c>
      <c r="G4077" t="s">
        <v>9371</v>
      </c>
      <c r="H4077" t="s">
        <v>10517</v>
      </c>
      <c r="I4077" t="s">
        <v>11385</v>
      </c>
      <c r="J4077">
        <v>11226</v>
      </c>
      <c r="K4077" t="s">
        <v>11446</v>
      </c>
      <c r="L4077" t="s">
        <v>13608</v>
      </c>
      <c r="M4077" t="s">
        <v>14744</v>
      </c>
      <c r="N4077" t="s">
        <v>14781</v>
      </c>
      <c r="P4077" t="s">
        <v>14804</v>
      </c>
      <c r="S4077" t="s">
        <v>14827</v>
      </c>
      <c r="U4077" t="s">
        <v>484</v>
      </c>
      <c r="V4077">
        <v>0</v>
      </c>
      <c r="W4077" t="s">
        <v>14859</v>
      </c>
      <c r="X4077" t="s">
        <v>14865</v>
      </c>
      <c r="Z4077" t="s">
        <v>17009</v>
      </c>
      <c r="AB4077" t="s">
        <v>23386</v>
      </c>
      <c r="AC4077">
        <v>0</v>
      </c>
      <c r="AF4077">
        <v>0</v>
      </c>
      <c r="AG4077">
        <v>1</v>
      </c>
      <c r="AH4077">
        <v>0</v>
      </c>
      <c r="AI4077">
        <v>220.63</v>
      </c>
      <c r="AL4077" t="s">
        <v>5011</v>
      </c>
      <c r="AM4077">
        <v>27556.8</v>
      </c>
      <c r="AS4077">
        <v>1.2</v>
      </c>
      <c r="AT4077" t="s">
        <v>476</v>
      </c>
      <c r="AU4077" t="s">
        <v>25285</v>
      </c>
      <c r="AV4077" t="s">
        <v>25335</v>
      </c>
      <c r="AW4077" t="s">
        <v>11447</v>
      </c>
    </row>
    <row r="4078" spans="1:49">
      <c r="A4078" s="1">
        <f>HYPERLINK("https://lsnyc.legalserver.org/matter/dynamic-profile/view/1913542","19-1913542")</f>
        <v>0</v>
      </c>
      <c r="B4078" t="s">
        <v>133</v>
      </c>
      <c r="C4078" t="s">
        <v>477</v>
      </c>
      <c r="E4078" t="s">
        <v>1652</v>
      </c>
      <c r="F4078" t="s">
        <v>4307</v>
      </c>
      <c r="G4078" t="s">
        <v>9372</v>
      </c>
      <c r="H4078" t="s">
        <v>10448</v>
      </c>
      <c r="I4078" t="s">
        <v>11385</v>
      </c>
      <c r="J4078">
        <v>11226</v>
      </c>
      <c r="K4078" t="s">
        <v>11446</v>
      </c>
      <c r="L4078" t="s">
        <v>13609</v>
      </c>
      <c r="M4078" t="s">
        <v>14744</v>
      </c>
      <c r="N4078" t="s">
        <v>14782</v>
      </c>
      <c r="P4078" t="s">
        <v>14804</v>
      </c>
      <c r="S4078" t="s">
        <v>14827</v>
      </c>
      <c r="U4078" t="s">
        <v>477</v>
      </c>
      <c r="V4078">
        <v>1433.67</v>
      </c>
      <c r="W4078" t="s">
        <v>14859</v>
      </c>
      <c r="X4078" t="s">
        <v>14865</v>
      </c>
      <c r="Z4078" t="s">
        <v>18275</v>
      </c>
      <c r="AB4078" t="s">
        <v>23387</v>
      </c>
      <c r="AC4078">
        <v>16</v>
      </c>
      <c r="AF4078">
        <v>20</v>
      </c>
      <c r="AG4078">
        <v>3</v>
      </c>
      <c r="AH4078">
        <v>3</v>
      </c>
      <c r="AI4078">
        <v>19.02</v>
      </c>
      <c r="AL4078" t="s">
        <v>5011</v>
      </c>
      <c r="AM4078">
        <v>6578</v>
      </c>
      <c r="AS4078">
        <v>1.3</v>
      </c>
      <c r="AT4078" t="s">
        <v>495</v>
      </c>
      <c r="AU4078" t="s">
        <v>25235</v>
      </c>
      <c r="AV4078" t="s">
        <v>25335</v>
      </c>
      <c r="AW4078" t="s">
        <v>11447</v>
      </c>
    </row>
    <row r="4079" spans="1:49">
      <c r="A4079" s="1">
        <f>HYPERLINK("https://lsnyc.legalserver.org/matter/dynamic-profile/view/1913548","19-1913548")</f>
        <v>0</v>
      </c>
      <c r="B4079" t="s">
        <v>233</v>
      </c>
      <c r="C4079" t="s">
        <v>477</v>
      </c>
      <c r="E4079" t="s">
        <v>3040</v>
      </c>
      <c r="F4079" t="s">
        <v>5679</v>
      </c>
      <c r="G4079" t="s">
        <v>9373</v>
      </c>
      <c r="H4079">
        <v>8</v>
      </c>
      <c r="I4079" t="s">
        <v>11385</v>
      </c>
      <c r="J4079">
        <v>11221</v>
      </c>
      <c r="K4079" t="s">
        <v>11446</v>
      </c>
      <c r="L4079" t="s">
        <v>13610</v>
      </c>
      <c r="M4079" t="s">
        <v>14744</v>
      </c>
      <c r="N4079" t="s">
        <v>14781</v>
      </c>
      <c r="P4079" t="s">
        <v>14804</v>
      </c>
      <c r="S4079" t="s">
        <v>14827</v>
      </c>
      <c r="U4079" t="s">
        <v>477</v>
      </c>
      <c r="V4079">
        <v>806</v>
      </c>
      <c r="W4079" t="s">
        <v>14859</v>
      </c>
      <c r="X4079" t="s">
        <v>14881</v>
      </c>
      <c r="Z4079" t="s">
        <v>18276</v>
      </c>
      <c r="AB4079" t="s">
        <v>23388</v>
      </c>
      <c r="AC4079">
        <v>0</v>
      </c>
      <c r="AF4079">
        <v>34</v>
      </c>
      <c r="AG4079">
        <v>1</v>
      </c>
      <c r="AH4079">
        <v>0</v>
      </c>
      <c r="AI4079">
        <v>98.88</v>
      </c>
      <c r="AL4079" t="s">
        <v>5011</v>
      </c>
      <c r="AM4079">
        <v>12350</v>
      </c>
      <c r="AS4079">
        <v>4</v>
      </c>
      <c r="AT4079" t="s">
        <v>509</v>
      </c>
      <c r="AU4079" t="s">
        <v>25285</v>
      </c>
      <c r="AV4079" t="s">
        <v>25335</v>
      </c>
      <c r="AW4079" t="s">
        <v>11447</v>
      </c>
    </row>
    <row r="4080" spans="1:49">
      <c r="A4080" s="1">
        <f>HYPERLINK("https://lsnyc.legalserver.org/matter/dynamic-profile/view/1913649","19-1913649")</f>
        <v>0</v>
      </c>
      <c r="B4080" t="s">
        <v>141</v>
      </c>
      <c r="C4080" t="s">
        <v>477</v>
      </c>
      <c r="E4080" t="s">
        <v>3041</v>
      </c>
      <c r="F4080" t="s">
        <v>5680</v>
      </c>
      <c r="G4080" t="s">
        <v>9374</v>
      </c>
      <c r="I4080" t="s">
        <v>11385</v>
      </c>
      <c r="J4080">
        <v>11226</v>
      </c>
      <c r="K4080" t="s">
        <v>11446</v>
      </c>
      <c r="L4080" t="s">
        <v>13611</v>
      </c>
      <c r="M4080" t="s">
        <v>14744</v>
      </c>
      <c r="N4080" t="s">
        <v>14778</v>
      </c>
      <c r="P4080" t="s">
        <v>14804</v>
      </c>
      <c r="S4080" t="s">
        <v>14827</v>
      </c>
      <c r="U4080" t="s">
        <v>477</v>
      </c>
      <c r="V4080">
        <v>0</v>
      </c>
      <c r="W4080" t="s">
        <v>14859</v>
      </c>
      <c r="Z4080" t="s">
        <v>18277</v>
      </c>
      <c r="AB4080" t="s">
        <v>23389</v>
      </c>
      <c r="AC4080">
        <v>0</v>
      </c>
      <c r="AF4080">
        <v>0</v>
      </c>
      <c r="AG4080">
        <v>3</v>
      </c>
      <c r="AH4080">
        <v>3</v>
      </c>
      <c r="AI4080">
        <v>136.8</v>
      </c>
      <c r="AL4080" t="s">
        <v>5011</v>
      </c>
      <c r="AM4080">
        <v>47320</v>
      </c>
      <c r="AS4080">
        <v>3.3</v>
      </c>
      <c r="AT4080" t="s">
        <v>521</v>
      </c>
      <c r="AU4080" t="s">
        <v>25277</v>
      </c>
      <c r="AW4080" t="s">
        <v>11447</v>
      </c>
    </row>
    <row r="4081" spans="1:49">
      <c r="A4081" s="1">
        <f>HYPERLINK("https://lsnyc.legalserver.org/matter/dynamic-profile/view/1913610","19-1913610")</f>
        <v>0</v>
      </c>
      <c r="B4081" t="s">
        <v>72</v>
      </c>
      <c r="C4081" t="s">
        <v>477</v>
      </c>
      <c r="E4081" t="s">
        <v>2192</v>
      </c>
      <c r="F4081" t="s">
        <v>5681</v>
      </c>
      <c r="G4081" t="s">
        <v>8021</v>
      </c>
      <c r="H4081" t="s">
        <v>10486</v>
      </c>
      <c r="I4081" t="s">
        <v>11385</v>
      </c>
      <c r="J4081">
        <v>11226</v>
      </c>
      <c r="K4081" t="s">
        <v>11446</v>
      </c>
      <c r="L4081" t="s">
        <v>13612</v>
      </c>
      <c r="M4081" t="s">
        <v>14744</v>
      </c>
      <c r="N4081" t="s">
        <v>14778</v>
      </c>
      <c r="P4081" t="s">
        <v>14804</v>
      </c>
      <c r="S4081" t="s">
        <v>14827</v>
      </c>
      <c r="U4081" t="s">
        <v>477</v>
      </c>
      <c r="V4081">
        <v>0</v>
      </c>
      <c r="W4081" t="s">
        <v>14859</v>
      </c>
      <c r="Z4081" t="s">
        <v>16994</v>
      </c>
      <c r="AB4081" t="s">
        <v>22014</v>
      </c>
      <c r="AC4081">
        <v>0</v>
      </c>
      <c r="AF4081">
        <v>0</v>
      </c>
      <c r="AG4081">
        <v>1</v>
      </c>
      <c r="AH4081">
        <v>1</v>
      </c>
      <c r="AI4081">
        <v>384.39</v>
      </c>
      <c r="AL4081" t="s">
        <v>5011</v>
      </c>
      <c r="AM4081">
        <v>65000</v>
      </c>
      <c r="AS4081">
        <v>2.4</v>
      </c>
      <c r="AT4081" t="s">
        <v>521</v>
      </c>
      <c r="AU4081" t="s">
        <v>25277</v>
      </c>
      <c r="AV4081" t="s">
        <v>25335</v>
      </c>
      <c r="AW4081" t="s">
        <v>11447</v>
      </c>
    </row>
    <row r="4082" spans="1:49">
      <c r="A4082" s="1">
        <f>HYPERLINK("https://lsnyc.legalserver.org/matter/dynamic-profile/view/1913705","19-1913705")</f>
        <v>0</v>
      </c>
      <c r="B4082" t="s">
        <v>280</v>
      </c>
      <c r="C4082" t="s">
        <v>476</v>
      </c>
      <c r="E4082" t="s">
        <v>3042</v>
      </c>
      <c r="F4082" t="s">
        <v>3806</v>
      </c>
      <c r="G4082" t="s">
        <v>9375</v>
      </c>
      <c r="H4082" t="s">
        <v>10618</v>
      </c>
      <c r="I4082" t="s">
        <v>11385</v>
      </c>
      <c r="J4082">
        <v>11226</v>
      </c>
      <c r="K4082" t="s">
        <v>11447</v>
      </c>
      <c r="M4082" t="s">
        <v>14744</v>
      </c>
      <c r="N4082" t="s">
        <v>14781</v>
      </c>
      <c r="P4082" t="s">
        <v>14804</v>
      </c>
      <c r="S4082" t="s">
        <v>14827</v>
      </c>
      <c r="U4082" t="s">
        <v>476</v>
      </c>
      <c r="V4082">
        <v>1529</v>
      </c>
      <c r="W4082" t="s">
        <v>14859</v>
      </c>
      <c r="X4082" t="s">
        <v>14868</v>
      </c>
      <c r="Z4082" t="s">
        <v>18278</v>
      </c>
      <c r="AB4082" t="s">
        <v>19344</v>
      </c>
      <c r="AC4082">
        <v>16</v>
      </c>
      <c r="AD4082" t="s">
        <v>24595</v>
      </c>
      <c r="AF4082">
        <v>10</v>
      </c>
      <c r="AG4082">
        <v>2</v>
      </c>
      <c r="AH4082">
        <v>0</v>
      </c>
      <c r="AI4082">
        <v>147.82</v>
      </c>
      <c r="AL4082" t="s">
        <v>5011</v>
      </c>
      <c r="AM4082">
        <v>24996</v>
      </c>
      <c r="AS4082">
        <v>0</v>
      </c>
      <c r="AU4082" t="s">
        <v>25230</v>
      </c>
      <c r="AW4082" t="s">
        <v>11447</v>
      </c>
    </row>
    <row r="4083" spans="1:49">
      <c r="A4083" s="1">
        <f>HYPERLINK("https://lsnyc.legalserver.org/matter/dynamic-profile/view/1913785","19-1913785")</f>
        <v>0</v>
      </c>
      <c r="B4083" t="s">
        <v>255</v>
      </c>
      <c r="C4083" t="s">
        <v>533</v>
      </c>
      <c r="E4083" t="s">
        <v>1451</v>
      </c>
      <c r="F4083" t="s">
        <v>5682</v>
      </c>
      <c r="G4083" t="s">
        <v>9376</v>
      </c>
      <c r="H4083" t="s">
        <v>10481</v>
      </c>
      <c r="I4083" t="s">
        <v>11385</v>
      </c>
      <c r="J4083">
        <v>11221</v>
      </c>
      <c r="K4083" t="s">
        <v>11446</v>
      </c>
      <c r="L4083" t="s">
        <v>13613</v>
      </c>
      <c r="M4083" t="s">
        <v>14744</v>
      </c>
      <c r="N4083" t="s">
        <v>14781</v>
      </c>
      <c r="P4083" t="s">
        <v>14804</v>
      </c>
      <c r="Q4083" t="s">
        <v>11448</v>
      </c>
      <c r="S4083" t="s">
        <v>14827</v>
      </c>
      <c r="U4083" t="s">
        <v>533</v>
      </c>
      <c r="V4083">
        <v>317</v>
      </c>
      <c r="W4083" t="s">
        <v>14859</v>
      </c>
      <c r="X4083" t="s">
        <v>14881</v>
      </c>
      <c r="Z4083" t="s">
        <v>18279</v>
      </c>
      <c r="AB4083" t="s">
        <v>23390</v>
      </c>
      <c r="AC4083">
        <v>0</v>
      </c>
      <c r="AE4083" t="s">
        <v>24610</v>
      </c>
      <c r="AF4083">
        <v>14</v>
      </c>
      <c r="AG4083">
        <v>3</v>
      </c>
      <c r="AH4083">
        <v>0</v>
      </c>
      <c r="AI4083">
        <v>128.74</v>
      </c>
      <c r="AL4083" t="s">
        <v>5011</v>
      </c>
      <c r="AM4083">
        <v>27460</v>
      </c>
      <c r="AS4083">
        <v>0</v>
      </c>
      <c r="AU4083" t="s">
        <v>25285</v>
      </c>
      <c r="AV4083" t="s">
        <v>25335</v>
      </c>
      <c r="AW4083" t="s">
        <v>11447</v>
      </c>
    </row>
    <row r="4084" spans="1:49">
      <c r="A4084" s="1">
        <f>HYPERLINK("https://lsnyc.legalserver.org/matter/dynamic-profile/view/1913991","19-1913991")</f>
        <v>0</v>
      </c>
      <c r="B4084" t="s">
        <v>255</v>
      </c>
      <c r="C4084" t="s">
        <v>490</v>
      </c>
      <c r="E4084" t="s">
        <v>1151</v>
      </c>
      <c r="F4084" t="s">
        <v>5125</v>
      </c>
      <c r="G4084" t="s">
        <v>9377</v>
      </c>
      <c r="H4084" t="s">
        <v>11003</v>
      </c>
      <c r="I4084" t="s">
        <v>11385</v>
      </c>
      <c r="J4084">
        <v>11225</v>
      </c>
      <c r="K4084" t="s">
        <v>11446</v>
      </c>
      <c r="L4084" t="s">
        <v>13614</v>
      </c>
      <c r="M4084" t="s">
        <v>14744</v>
      </c>
      <c r="N4084" t="s">
        <v>14781</v>
      </c>
      <c r="P4084" t="s">
        <v>14804</v>
      </c>
      <c r="Q4084" t="s">
        <v>11448</v>
      </c>
      <c r="S4084" t="s">
        <v>14827</v>
      </c>
      <c r="T4084" t="s">
        <v>14837</v>
      </c>
      <c r="U4084" t="s">
        <v>490</v>
      </c>
      <c r="V4084">
        <v>0</v>
      </c>
      <c r="W4084" t="s">
        <v>14859</v>
      </c>
      <c r="Z4084" t="s">
        <v>18280</v>
      </c>
      <c r="AB4084" t="s">
        <v>23391</v>
      </c>
      <c r="AC4084">
        <v>0</v>
      </c>
      <c r="AF4084">
        <v>0</v>
      </c>
      <c r="AG4084">
        <v>2</v>
      </c>
      <c r="AH4084">
        <v>2</v>
      </c>
      <c r="AI4084">
        <v>147.32</v>
      </c>
      <c r="AL4084" t="s">
        <v>5011</v>
      </c>
      <c r="AM4084">
        <v>37934</v>
      </c>
      <c r="AS4084">
        <v>2</v>
      </c>
      <c r="AT4084" t="s">
        <v>509</v>
      </c>
      <c r="AU4084" t="s">
        <v>25277</v>
      </c>
      <c r="AW4084" t="s">
        <v>11447</v>
      </c>
    </row>
    <row r="4085" spans="1:49">
      <c r="A4085" s="1">
        <f>HYPERLINK("https://lsnyc.legalserver.org/matter/dynamic-profile/view/1914000","19-1914000")</f>
        <v>0</v>
      </c>
      <c r="B4085" t="s">
        <v>238</v>
      </c>
      <c r="C4085" t="s">
        <v>490</v>
      </c>
      <c r="E4085" t="s">
        <v>3043</v>
      </c>
      <c r="F4085" t="s">
        <v>5683</v>
      </c>
      <c r="G4085" t="s">
        <v>9378</v>
      </c>
      <c r="H4085" t="s">
        <v>10542</v>
      </c>
      <c r="I4085" t="s">
        <v>11385</v>
      </c>
      <c r="J4085">
        <v>11225</v>
      </c>
      <c r="K4085" t="s">
        <v>11446</v>
      </c>
      <c r="L4085" t="s">
        <v>13615</v>
      </c>
      <c r="M4085" t="s">
        <v>14744</v>
      </c>
      <c r="N4085" t="s">
        <v>14782</v>
      </c>
      <c r="P4085" t="s">
        <v>14804</v>
      </c>
      <c r="S4085" t="s">
        <v>14827</v>
      </c>
      <c r="U4085" t="s">
        <v>490</v>
      </c>
      <c r="V4085">
        <v>1116</v>
      </c>
      <c r="W4085" t="s">
        <v>14859</v>
      </c>
      <c r="X4085" t="s">
        <v>14865</v>
      </c>
      <c r="Z4085" t="s">
        <v>16362</v>
      </c>
      <c r="AB4085" t="s">
        <v>23392</v>
      </c>
      <c r="AC4085">
        <v>0</v>
      </c>
      <c r="AF4085">
        <v>5</v>
      </c>
      <c r="AG4085">
        <v>1</v>
      </c>
      <c r="AH4085">
        <v>0</v>
      </c>
      <c r="AI4085">
        <v>160.13</v>
      </c>
      <c r="AL4085" t="s">
        <v>5011</v>
      </c>
      <c r="AM4085">
        <v>20000</v>
      </c>
      <c r="AS4085">
        <v>1.8</v>
      </c>
      <c r="AT4085" t="s">
        <v>537</v>
      </c>
      <c r="AU4085" t="s">
        <v>25235</v>
      </c>
      <c r="AV4085" t="s">
        <v>25335</v>
      </c>
      <c r="AW4085" t="s">
        <v>11447</v>
      </c>
    </row>
    <row r="4086" spans="1:49">
      <c r="A4086" s="1">
        <f>HYPERLINK("https://lsnyc.legalserver.org/matter/dynamic-profile/view/1913962","19-1913962")</f>
        <v>0</v>
      </c>
      <c r="B4086" t="s">
        <v>127</v>
      </c>
      <c r="C4086" t="s">
        <v>490</v>
      </c>
      <c r="E4086" t="s">
        <v>1251</v>
      </c>
      <c r="F4086" t="s">
        <v>5684</v>
      </c>
      <c r="G4086" t="s">
        <v>9379</v>
      </c>
      <c r="H4086" t="s">
        <v>11223</v>
      </c>
      <c r="I4086" t="s">
        <v>11385</v>
      </c>
      <c r="J4086">
        <v>11225</v>
      </c>
      <c r="K4086" t="s">
        <v>11446</v>
      </c>
      <c r="L4086" t="s">
        <v>13616</v>
      </c>
      <c r="M4086" t="s">
        <v>14744</v>
      </c>
      <c r="N4086" t="s">
        <v>14781</v>
      </c>
      <c r="P4086" t="s">
        <v>14804</v>
      </c>
      <c r="Q4086" t="s">
        <v>11448</v>
      </c>
      <c r="S4086" t="s">
        <v>14827</v>
      </c>
      <c r="U4086" t="s">
        <v>490</v>
      </c>
      <c r="V4086">
        <v>1935</v>
      </c>
      <c r="W4086" t="s">
        <v>14859</v>
      </c>
      <c r="X4086" t="s">
        <v>14881</v>
      </c>
      <c r="Z4086" t="s">
        <v>18281</v>
      </c>
      <c r="AB4086" t="s">
        <v>23393</v>
      </c>
      <c r="AC4086">
        <v>0</v>
      </c>
      <c r="AD4086" t="s">
        <v>24595</v>
      </c>
      <c r="AF4086">
        <v>6</v>
      </c>
      <c r="AG4086">
        <v>2</v>
      </c>
      <c r="AH4086">
        <v>1</v>
      </c>
      <c r="AI4086">
        <v>206.48</v>
      </c>
      <c r="AL4086" t="s">
        <v>5011</v>
      </c>
      <c r="AM4086">
        <v>44042.72</v>
      </c>
      <c r="AS4086">
        <v>6.6</v>
      </c>
      <c r="AT4086" t="s">
        <v>495</v>
      </c>
      <c r="AU4086" t="s">
        <v>25285</v>
      </c>
      <c r="AV4086" t="s">
        <v>25335</v>
      </c>
      <c r="AW4086" t="s">
        <v>11447</v>
      </c>
    </row>
    <row r="4087" spans="1:49">
      <c r="A4087" s="1">
        <f>HYPERLINK("https://lsnyc.legalserver.org/matter/dynamic-profile/view/1914223","19-1914223")</f>
        <v>0</v>
      </c>
      <c r="B4087" t="s">
        <v>123</v>
      </c>
      <c r="C4087" t="s">
        <v>539</v>
      </c>
      <c r="E4087" t="s">
        <v>1487</v>
      </c>
      <c r="F4087" t="s">
        <v>4064</v>
      </c>
      <c r="G4087" t="s">
        <v>7377</v>
      </c>
      <c r="H4087" t="s">
        <v>11224</v>
      </c>
      <c r="I4087" t="s">
        <v>11385</v>
      </c>
      <c r="J4087">
        <v>11225</v>
      </c>
      <c r="K4087" t="s">
        <v>11446</v>
      </c>
      <c r="L4087" t="s">
        <v>13617</v>
      </c>
      <c r="M4087" t="s">
        <v>14744</v>
      </c>
      <c r="N4087" t="s">
        <v>14781</v>
      </c>
      <c r="P4087" t="s">
        <v>14804</v>
      </c>
      <c r="Q4087" t="s">
        <v>11448</v>
      </c>
      <c r="S4087" t="s">
        <v>14827</v>
      </c>
      <c r="T4087" t="s">
        <v>14832</v>
      </c>
      <c r="U4087" t="s">
        <v>580</v>
      </c>
      <c r="V4087">
        <v>15576</v>
      </c>
      <c r="W4087" t="s">
        <v>14859</v>
      </c>
      <c r="Z4087" t="s">
        <v>16120</v>
      </c>
      <c r="AA4087">
        <v>459146</v>
      </c>
      <c r="AC4087">
        <v>12</v>
      </c>
      <c r="AD4087" t="s">
        <v>24595</v>
      </c>
      <c r="AE4087" t="s">
        <v>24610</v>
      </c>
      <c r="AF4087">
        <v>17</v>
      </c>
      <c r="AG4087">
        <v>2</v>
      </c>
      <c r="AH4087">
        <v>0</v>
      </c>
      <c r="AI4087">
        <v>57.69</v>
      </c>
      <c r="AL4087" t="s">
        <v>24632</v>
      </c>
      <c r="AM4087">
        <v>9756</v>
      </c>
      <c r="AS4087">
        <v>1.5</v>
      </c>
      <c r="AT4087" t="s">
        <v>516</v>
      </c>
      <c r="AU4087" t="s">
        <v>123</v>
      </c>
      <c r="AV4087" t="s">
        <v>25335</v>
      </c>
      <c r="AW4087" t="s">
        <v>11447</v>
      </c>
    </row>
    <row r="4088" spans="1:49">
      <c r="A4088" s="1">
        <f>HYPERLINK("https://lsnyc.legalserver.org/matter/dynamic-profile/view/1914056","19-1914056")</f>
        <v>0</v>
      </c>
      <c r="B4088" t="s">
        <v>72</v>
      </c>
      <c r="C4088" t="s">
        <v>580</v>
      </c>
      <c r="E4088" t="s">
        <v>3044</v>
      </c>
      <c r="F4088" t="s">
        <v>5685</v>
      </c>
      <c r="G4088" t="s">
        <v>9380</v>
      </c>
      <c r="H4088" t="s">
        <v>10552</v>
      </c>
      <c r="I4088" t="s">
        <v>11385</v>
      </c>
      <c r="J4088">
        <v>11226</v>
      </c>
      <c r="K4088" t="s">
        <v>11446</v>
      </c>
      <c r="L4088" t="s">
        <v>13618</v>
      </c>
      <c r="M4088" t="s">
        <v>14744</v>
      </c>
      <c r="N4088" t="s">
        <v>14782</v>
      </c>
      <c r="P4088" t="s">
        <v>14804</v>
      </c>
      <c r="S4088" t="s">
        <v>14827</v>
      </c>
      <c r="U4088" t="s">
        <v>580</v>
      </c>
      <c r="V4088">
        <v>2026</v>
      </c>
      <c r="W4088" t="s">
        <v>14859</v>
      </c>
      <c r="X4088" t="s">
        <v>14865</v>
      </c>
      <c r="Z4088" t="s">
        <v>18282</v>
      </c>
      <c r="AB4088" t="s">
        <v>23394</v>
      </c>
      <c r="AC4088">
        <v>0</v>
      </c>
      <c r="AE4088" t="s">
        <v>11459</v>
      </c>
      <c r="AF4088">
        <v>13</v>
      </c>
      <c r="AG4088">
        <v>3</v>
      </c>
      <c r="AH4088">
        <v>0</v>
      </c>
      <c r="AI4088">
        <v>300.98</v>
      </c>
      <c r="AL4088" t="s">
        <v>5011</v>
      </c>
      <c r="AM4088">
        <v>64200</v>
      </c>
      <c r="AS4088">
        <v>1</v>
      </c>
      <c r="AT4088" t="s">
        <v>521</v>
      </c>
      <c r="AU4088" t="s">
        <v>25235</v>
      </c>
      <c r="AV4088" t="s">
        <v>25335</v>
      </c>
      <c r="AW4088" t="s">
        <v>11447</v>
      </c>
    </row>
    <row r="4089" spans="1:49">
      <c r="A4089" s="1">
        <f>HYPERLINK("https://lsnyc.legalserver.org/matter/dynamic-profile/view/1914244","19-1914244")</f>
        <v>0</v>
      </c>
      <c r="B4089" t="s">
        <v>238</v>
      </c>
      <c r="C4089" t="s">
        <v>539</v>
      </c>
      <c r="E4089" t="s">
        <v>1069</v>
      </c>
      <c r="F4089" t="s">
        <v>5686</v>
      </c>
      <c r="G4089" t="s">
        <v>9381</v>
      </c>
      <c r="H4089" t="s">
        <v>11225</v>
      </c>
      <c r="I4089" t="s">
        <v>11385</v>
      </c>
      <c r="J4089">
        <v>11226</v>
      </c>
      <c r="K4089" t="s">
        <v>11446</v>
      </c>
      <c r="L4089" t="s">
        <v>13619</v>
      </c>
      <c r="M4089" t="s">
        <v>14744</v>
      </c>
      <c r="N4089" t="s">
        <v>14782</v>
      </c>
      <c r="P4089" t="s">
        <v>14804</v>
      </c>
      <c r="S4089" t="s">
        <v>14827</v>
      </c>
      <c r="U4089" t="s">
        <v>539</v>
      </c>
      <c r="V4089">
        <v>868.85</v>
      </c>
      <c r="W4089" t="s">
        <v>14859</v>
      </c>
      <c r="X4089" t="s">
        <v>14865</v>
      </c>
      <c r="Z4089" t="s">
        <v>18283</v>
      </c>
      <c r="AB4089" t="s">
        <v>23395</v>
      </c>
      <c r="AC4089">
        <v>0</v>
      </c>
      <c r="AF4089">
        <v>11</v>
      </c>
      <c r="AG4089">
        <v>3</v>
      </c>
      <c r="AH4089">
        <v>1</v>
      </c>
      <c r="AI4089">
        <v>34.33</v>
      </c>
      <c r="AL4089" t="s">
        <v>5011</v>
      </c>
      <c r="AM4089">
        <v>8840</v>
      </c>
      <c r="AS4089">
        <v>0.1</v>
      </c>
      <c r="AT4089" t="s">
        <v>537</v>
      </c>
      <c r="AU4089" t="s">
        <v>25235</v>
      </c>
      <c r="AV4089" t="s">
        <v>25335</v>
      </c>
      <c r="AW4089" t="s">
        <v>11447</v>
      </c>
    </row>
    <row r="4090" spans="1:49">
      <c r="A4090" s="1">
        <f>HYPERLINK("https://lsnyc.legalserver.org/matter/dynamic-profile/view/1914447","19-1914447")</f>
        <v>0</v>
      </c>
      <c r="B4090" t="s">
        <v>262</v>
      </c>
      <c r="C4090" t="s">
        <v>506</v>
      </c>
      <c r="E4090" t="s">
        <v>3045</v>
      </c>
      <c r="F4090" t="s">
        <v>5687</v>
      </c>
      <c r="G4090" t="s">
        <v>9382</v>
      </c>
      <c r="H4090" t="s">
        <v>10464</v>
      </c>
      <c r="I4090" t="s">
        <v>11385</v>
      </c>
      <c r="J4090">
        <v>11212</v>
      </c>
      <c r="K4090" t="s">
        <v>11446</v>
      </c>
      <c r="L4090" t="s">
        <v>13620</v>
      </c>
      <c r="M4090" t="s">
        <v>14744</v>
      </c>
      <c r="N4090" t="s">
        <v>14778</v>
      </c>
      <c r="P4090" t="s">
        <v>14804</v>
      </c>
      <c r="Q4090" t="s">
        <v>11448</v>
      </c>
      <c r="S4090" t="s">
        <v>14827</v>
      </c>
      <c r="U4090" t="s">
        <v>506</v>
      </c>
      <c r="V4090">
        <v>1600</v>
      </c>
      <c r="W4090" t="s">
        <v>14859</v>
      </c>
      <c r="X4090" t="s">
        <v>14865</v>
      </c>
      <c r="Z4090" t="s">
        <v>18284</v>
      </c>
      <c r="AA4090" t="s">
        <v>19838</v>
      </c>
      <c r="AB4090" t="s">
        <v>23396</v>
      </c>
      <c r="AC4090">
        <v>3</v>
      </c>
      <c r="AD4090" t="s">
        <v>24600</v>
      </c>
      <c r="AF4090">
        <v>2</v>
      </c>
      <c r="AG4090">
        <v>1</v>
      </c>
      <c r="AH4090">
        <v>2</v>
      </c>
      <c r="AI4090">
        <v>82.40000000000001</v>
      </c>
      <c r="AL4090" t="s">
        <v>5011</v>
      </c>
      <c r="AM4090">
        <v>17576</v>
      </c>
      <c r="AS4090">
        <v>0</v>
      </c>
      <c r="AU4090" t="s">
        <v>25246</v>
      </c>
      <c r="AV4090" t="s">
        <v>25335</v>
      </c>
      <c r="AW4090" t="s">
        <v>11447</v>
      </c>
    </row>
    <row r="4091" spans="1:49">
      <c r="A4091" s="1">
        <f>HYPERLINK("https://lsnyc.legalserver.org/matter/dynamic-profile/view/1914371","19-1914371")</f>
        <v>0</v>
      </c>
      <c r="B4091" t="s">
        <v>262</v>
      </c>
      <c r="C4091" t="s">
        <v>506</v>
      </c>
      <c r="E4091" t="s">
        <v>1683</v>
      </c>
      <c r="F4091" t="s">
        <v>5688</v>
      </c>
      <c r="G4091" t="s">
        <v>9383</v>
      </c>
      <c r="H4091" t="s">
        <v>10894</v>
      </c>
      <c r="I4091" t="s">
        <v>11385</v>
      </c>
      <c r="J4091">
        <v>11226</v>
      </c>
      <c r="K4091" t="s">
        <v>11446</v>
      </c>
      <c r="L4091" t="s">
        <v>13621</v>
      </c>
      <c r="M4091" t="s">
        <v>14744</v>
      </c>
      <c r="N4091" t="s">
        <v>14782</v>
      </c>
      <c r="P4091" t="s">
        <v>14804</v>
      </c>
      <c r="Q4091" t="s">
        <v>11448</v>
      </c>
      <c r="S4091" t="s">
        <v>14827</v>
      </c>
      <c r="U4091" t="s">
        <v>506</v>
      </c>
      <c r="V4091">
        <v>1230</v>
      </c>
      <c r="W4091" t="s">
        <v>14859</v>
      </c>
      <c r="Z4091" t="s">
        <v>18285</v>
      </c>
      <c r="AB4091" t="s">
        <v>23397</v>
      </c>
      <c r="AC4091">
        <v>20</v>
      </c>
      <c r="AD4091" t="s">
        <v>24595</v>
      </c>
      <c r="AF4091">
        <v>8</v>
      </c>
      <c r="AG4091">
        <v>1</v>
      </c>
      <c r="AH4091">
        <v>2</v>
      </c>
      <c r="AI4091">
        <v>178.15</v>
      </c>
      <c r="AL4091" t="s">
        <v>5011</v>
      </c>
      <c r="AM4091">
        <v>38000</v>
      </c>
      <c r="AS4091">
        <v>1.3</v>
      </c>
      <c r="AT4091" t="s">
        <v>521</v>
      </c>
      <c r="AU4091" t="s">
        <v>25246</v>
      </c>
      <c r="AV4091" t="s">
        <v>25335</v>
      </c>
      <c r="AW4091" t="s">
        <v>11447</v>
      </c>
    </row>
    <row r="4092" spans="1:49">
      <c r="A4092" s="1">
        <f>HYPERLINK("https://lsnyc.legalserver.org/matter/dynamic-profile/view/1914352","19-1914352")</f>
        <v>0</v>
      </c>
      <c r="B4092" t="s">
        <v>150</v>
      </c>
      <c r="C4092" t="s">
        <v>506</v>
      </c>
      <c r="E4092" t="s">
        <v>3046</v>
      </c>
      <c r="F4092" t="s">
        <v>5689</v>
      </c>
      <c r="G4092" t="s">
        <v>9384</v>
      </c>
      <c r="H4092" t="s">
        <v>10589</v>
      </c>
      <c r="I4092" t="s">
        <v>11385</v>
      </c>
      <c r="J4092">
        <v>11225</v>
      </c>
      <c r="K4092" t="s">
        <v>11446</v>
      </c>
      <c r="L4092" t="s">
        <v>13622</v>
      </c>
      <c r="M4092" t="s">
        <v>14744</v>
      </c>
      <c r="N4092" t="s">
        <v>14778</v>
      </c>
      <c r="P4092" t="s">
        <v>14804</v>
      </c>
      <c r="Q4092" t="s">
        <v>11448</v>
      </c>
      <c r="S4092" t="s">
        <v>14827</v>
      </c>
      <c r="U4092" t="s">
        <v>506</v>
      </c>
      <c r="V4092">
        <v>1280</v>
      </c>
      <c r="W4092" t="s">
        <v>14859</v>
      </c>
      <c r="X4092" t="s">
        <v>14865</v>
      </c>
      <c r="Z4092" t="s">
        <v>16492</v>
      </c>
      <c r="AB4092" t="s">
        <v>23398</v>
      </c>
      <c r="AC4092">
        <v>16</v>
      </c>
      <c r="AD4092" t="s">
        <v>24595</v>
      </c>
      <c r="AF4092">
        <v>1</v>
      </c>
      <c r="AG4092">
        <v>2</v>
      </c>
      <c r="AH4092">
        <v>1</v>
      </c>
      <c r="AI4092">
        <v>196.91</v>
      </c>
      <c r="AL4092" t="s">
        <v>5011</v>
      </c>
      <c r="AM4092">
        <v>42000</v>
      </c>
      <c r="AS4092">
        <v>1</v>
      </c>
      <c r="AT4092" t="s">
        <v>495</v>
      </c>
      <c r="AU4092" t="s">
        <v>25246</v>
      </c>
      <c r="AV4092" t="s">
        <v>25335</v>
      </c>
      <c r="AW4092" t="s">
        <v>11447</v>
      </c>
    </row>
    <row r="4093" spans="1:49">
      <c r="A4093" s="1">
        <f>HYPERLINK("https://lsnyc.legalserver.org/matter/dynamic-profile/view/1914538","19-1914538")</f>
        <v>0</v>
      </c>
      <c r="B4093" t="s">
        <v>150</v>
      </c>
      <c r="C4093" t="s">
        <v>478</v>
      </c>
      <c r="E4093" t="s">
        <v>3047</v>
      </c>
      <c r="F4093" t="s">
        <v>3755</v>
      </c>
      <c r="G4093" t="s">
        <v>9385</v>
      </c>
      <c r="H4093" t="s">
        <v>10594</v>
      </c>
      <c r="I4093" t="s">
        <v>11385</v>
      </c>
      <c r="J4093">
        <v>11226</v>
      </c>
      <c r="K4093" t="s">
        <v>11446</v>
      </c>
      <c r="L4093" t="s">
        <v>13623</v>
      </c>
      <c r="M4093" t="s">
        <v>14744</v>
      </c>
      <c r="N4093" t="s">
        <v>14781</v>
      </c>
      <c r="P4093" t="s">
        <v>14804</v>
      </c>
      <c r="S4093" t="s">
        <v>14827</v>
      </c>
      <c r="U4093" t="s">
        <v>478</v>
      </c>
      <c r="V4093">
        <v>1093</v>
      </c>
      <c r="W4093" t="s">
        <v>14859</v>
      </c>
      <c r="X4093" t="s">
        <v>14865</v>
      </c>
      <c r="Z4093" t="s">
        <v>18286</v>
      </c>
      <c r="AB4093" t="s">
        <v>23399</v>
      </c>
      <c r="AC4093">
        <v>0</v>
      </c>
      <c r="AE4093" t="s">
        <v>11459</v>
      </c>
      <c r="AF4093">
        <v>20</v>
      </c>
      <c r="AG4093">
        <v>1</v>
      </c>
      <c r="AH4093">
        <v>1</v>
      </c>
      <c r="AI4093">
        <v>0</v>
      </c>
      <c r="AL4093" t="s">
        <v>5011</v>
      </c>
      <c r="AM4093">
        <v>0</v>
      </c>
      <c r="AS4093">
        <v>1.9</v>
      </c>
      <c r="AT4093" t="s">
        <v>521</v>
      </c>
      <c r="AU4093" t="s">
        <v>25235</v>
      </c>
      <c r="AV4093" t="s">
        <v>25335</v>
      </c>
      <c r="AW4093" t="s">
        <v>11447</v>
      </c>
    </row>
    <row r="4094" spans="1:49">
      <c r="A4094" s="1">
        <f>HYPERLINK("https://lsnyc.legalserver.org/matter/dynamic-profile/view/1914531","19-1914531")</f>
        <v>0</v>
      </c>
      <c r="B4094" t="s">
        <v>127</v>
      </c>
      <c r="C4094" t="s">
        <v>478</v>
      </c>
      <c r="E4094" t="s">
        <v>3048</v>
      </c>
      <c r="F4094" t="s">
        <v>5690</v>
      </c>
      <c r="G4094" t="s">
        <v>9386</v>
      </c>
      <c r="H4094" t="s">
        <v>10730</v>
      </c>
      <c r="I4094" t="s">
        <v>11385</v>
      </c>
      <c r="J4094">
        <v>11225</v>
      </c>
      <c r="K4094" t="s">
        <v>11446</v>
      </c>
      <c r="L4094" t="s">
        <v>13624</v>
      </c>
      <c r="M4094" t="s">
        <v>14744</v>
      </c>
      <c r="N4094" t="s">
        <v>14778</v>
      </c>
      <c r="P4094" t="s">
        <v>14804</v>
      </c>
      <c r="S4094" t="s">
        <v>14827</v>
      </c>
      <c r="U4094" t="s">
        <v>478</v>
      </c>
      <c r="V4094">
        <v>0</v>
      </c>
      <c r="W4094" t="s">
        <v>14859</v>
      </c>
      <c r="Z4094" t="s">
        <v>18287</v>
      </c>
      <c r="AB4094" t="s">
        <v>23400</v>
      </c>
      <c r="AC4094">
        <v>0</v>
      </c>
      <c r="AF4094">
        <v>0</v>
      </c>
      <c r="AG4094">
        <v>1</v>
      </c>
      <c r="AH4094">
        <v>0</v>
      </c>
      <c r="AI4094">
        <v>67.25</v>
      </c>
      <c r="AL4094" t="s">
        <v>5011</v>
      </c>
      <c r="AM4094">
        <v>8400</v>
      </c>
      <c r="AS4094">
        <v>0</v>
      </c>
      <c r="AU4094" t="s">
        <v>25277</v>
      </c>
      <c r="AV4094" t="s">
        <v>25335</v>
      </c>
      <c r="AW4094" t="s">
        <v>11447</v>
      </c>
    </row>
    <row r="4095" spans="1:49">
      <c r="A4095" s="1">
        <f>HYPERLINK("https://lsnyc.legalserver.org/matter/dynamic-profile/view/1914366","19-1914366")</f>
        <v>0</v>
      </c>
      <c r="B4095" t="s">
        <v>262</v>
      </c>
      <c r="C4095" t="s">
        <v>491</v>
      </c>
      <c r="E4095" t="s">
        <v>3049</v>
      </c>
      <c r="F4095" t="s">
        <v>5691</v>
      </c>
      <c r="I4095" t="s">
        <v>11385</v>
      </c>
      <c r="J4095">
        <v>11226</v>
      </c>
      <c r="K4095" t="s">
        <v>11446</v>
      </c>
      <c r="L4095" t="s">
        <v>13625</v>
      </c>
      <c r="M4095" t="s">
        <v>14744</v>
      </c>
      <c r="N4095" t="s">
        <v>14782</v>
      </c>
      <c r="P4095" t="s">
        <v>14804</v>
      </c>
      <c r="S4095" t="s">
        <v>14827</v>
      </c>
      <c r="U4095" t="s">
        <v>491</v>
      </c>
      <c r="V4095">
        <v>0</v>
      </c>
      <c r="W4095" t="s">
        <v>14859</v>
      </c>
      <c r="X4095" t="s">
        <v>14865</v>
      </c>
      <c r="Z4095" t="s">
        <v>543</v>
      </c>
      <c r="AB4095" t="s">
        <v>23401</v>
      </c>
      <c r="AC4095">
        <v>0</v>
      </c>
      <c r="AF4095">
        <v>5</v>
      </c>
      <c r="AG4095">
        <v>2</v>
      </c>
      <c r="AH4095">
        <v>2</v>
      </c>
      <c r="AI4095">
        <v>69.27</v>
      </c>
      <c r="AM4095">
        <v>17836</v>
      </c>
      <c r="AS4095">
        <v>1.3</v>
      </c>
      <c r="AT4095" t="s">
        <v>521</v>
      </c>
      <c r="AU4095" t="s">
        <v>25315</v>
      </c>
      <c r="AV4095" t="s">
        <v>25335</v>
      </c>
      <c r="AW4095" t="s">
        <v>11447</v>
      </c>
    </row>
    <row r="4096" spans="1:49">
      <c r="A4096" s="1">
        <f>HYPERLINK("https://lsnyc.legalserver.org/matter/dynamic-profile/view/1914618","19-1914618")</f>
        <v>0</v>
      </c>
      <c r="B4096" t="s">
        <v>267</v>
      </c>
      <c r="C4096" t="s">
        <v>491</v>
      </c>
      <c r="E4096" t="s">
        <v>3050</v>
      </c>
      <c r="F4096" t="s">
        <v>5692</v>
      </c>
      <c r="G4096" t="s">
        <v>9384</v>
      </c>
      <c r="H4096" t="s">
        <v>10581</v>
      </c>
      <c r="I4096" t="s">
        <v>11385</v>
      </c>
      <c r="J4096">
        <v>11225</v>
      </c>
      <c r="K4096" t="s">
        <v>11446</v>
      </c>
      <c r="L4096" t="s">
        <v>13626</v>
      </c>
      <c r="M4096" t="s">
        <v>14744</v>
      </c>
      <c r="N4096" t="s">
        <v>14781</v>
      </c>
      <c r="P4096" t="s">
        <v>14804</v>
      </c>
      <c r="S4096" t="s">
        <v>14827</v>
      </c>
      <c r="U4096" t="s">
        <v>491</v>
      </c>
      <c r="V4096">
        <v>929.89</v>
      </c>
      <c r="W4096" t="s">
        <v>14859</v>
      </c>
      <c r="X4096" t="s">
        <v>14881</v>
      </c>
      <c r="Z4096" t="s">
        <v>18288</v>
      </c>
      <c r="AB4096" t="s">
        <v>23402</v>
      </c>
      <c r="AC4096">
        <v>0</v>
      </c>
      <c r="AF4096">
        <v>14</v>
      </c>
      <c r="AG4096">
        <v>2</v>
      </c>
      <c r="AH4096">
        <v>1</v>
      </c>
      <c r="AI4096">
        <v>146.27</v>
      </c>
      <c r="AL4096" t="s">
        <v>5011</v>
      </c>
      <c r="AM4096">
        <v>31200</v>
      </c>
      <c r="AS4096">
        <v>0</v>
      </c>
      <c r="AU4096" t="s">
        <v>25235</v>
      </c>
      <c r="AV4096" t="s">
        <v>25335</v>
      </c>
      <c r="AW4096" t="s">
        <v>11447</v>
      </c>
    </row>
    <row r="4097" spans="1:49">
      <c r="A4097" s="1">
        <f>HYPERLINK("https://lsnyc.legalserver.org/matter/dynamic-profile/view/1914897","19-1914897")</f>
        <v>0</v>
      </c>
      <c r="B4097" t="s">
        <v>150</v>
      </c>
      <c r="C4097" t="s">
        <v>537</v>
      </c>
      <c r="E4097" t="s">
        <v>3051</v>
      </c>
      <c r="F4097" t="s">
        <v>5693</v>
      </c>
      <c r="G4097" t="s">
        <v>9387</v>
      </c>
      <c r="H4097" t="s">
        <v>10730</v>
      </c>
      <c r="I4097" t="s">
        <v>11385</v>
      </c>
      <c r="J4097">
        <v>11226</v>
      </c>
      <c r="K4097" t="s">
        <v>11446</v>
      </c>
      <c r="L4097" t="s">
        <v>13627</v>
      </c>
      <c r="M4097" t="s">
        <v>14744</v>
      </c>
      <c r="N4097" t="s">
        <v>14781</v>
      </c>
      <c r="P4097" t="s">
        <v>14804</v>
      </c>
      <c r="S4097" t="s">
        <v>14827</v>
      </c>
      <c r="U4097" t="s">
        <v>537</v>
      </c>
      <c r="V4097">
        <v>0</v>
      </c>
      <c r="W4097" t="s">
        <v>14859</v>
      </c>
      <c r="X4097" t="s">
        <v>14865</v>
      </c>
      <c r="Z4097" t="s">
        <v>18289</v>
      </c>
      <c r="AB4097" t="s">
        <v>23403</v>
      </c>
      <c r="AC4097">
        <v>0</v>
      </c>
      <c r="AF4097">
        <v>0</v>
      </c>
      <c r="AG4097">
        <v>2</v>
      </c>
      <c r="AH4097">
        <v>0</v>
      </c>
      <c r="AI4097">
        <v>58.76</v>
      </c>
      <c r="AL4097" t="s">
        <v>5011</v>
      </c>
      <c r="AM4097">
        <v>9936</v>
      </c>
      <c r="AS4097">
        <v>1.1</v>
      </c>
      <c r="AT4097" t="s">
        <v>495</v>
      </c>
      <c r="AU4097" t="s">
        <v>25235</v>
      </c>
      <c r="AV4097" t="s">
        <v>25335</v>
      </c>
      <c r="AW4097" t="s">
        <v>11447</v>
      </c>
    </row>
    <row r="4098" spans="1:49">
      <c r="A4098" s="1">
        <f>HYPERLINK("https://lsnyc.legalserver.org/matter/dynamic-profile/view/1915126","19-1915126")</f>
        <v>0</v>
      </c>
      <c r="B4098" t="s">
        <v>198</v>
      </c>
      <c r="C4098" t="s">
        <v>516</v>
      </c>
      <c r="E4098" t="s">
        <v>1045</v>
      </c>
      <c r="F4098" t="s">
        <v>5694</v>
      </c>
      <c r="G4098" t="s">
        <v>9388</v>
      </c>
      <c r="I4098" t="s">
        <v>11385</v>
      </c>
      <c r="J4098">
        <v>11221</v>
      </c>
      <c r="K4098" t="s">
        <v>11446</v>
      </c>
      <c r="L4098" t="s">
        <v>13628</v>
      </c>
      <c r="M4098" t="s">
        <v>14743</v>
      </c>
      <c r="N4098" t="s">
        <v>14778</v>
      </c>
      <c r="P4098" t="s">
        <v>14804</v>
      </c>
      <c r="S4098" t="s">
        <v>14827</v>
      </c>
      <c r="U4098" t="s">
        <v>516</v>
      </c>
      <c r="V4098">
        <v>0</v>
      </c>
      <c r="W4098" t="s">
        <v>14859</v>
      </c>
      <c r="Z4098" t="s">
        <v>18290</v>
      </c>
      <c r="AB4098" t="s">
        <v>23404</v>
      </c>
      <c r="AC4098">
        <v>0</v>
      </c>
      <c r="AF4098">
        <v>0</v>
      </c>
      <c r="AG4098">
        <v>2</v>
      </c>
      <c r="AH4098">
        <v>0</v>
      </c>
      <c r="AI4098">
        <v>0</v>
      </c>
      <c r="AL4098" t="s">
        <v>5011</v>
      </c>
      <c r="AM4098">
        <v>0</v>
      </c>
      <c r="AS4098">
        <v>0</v>
      </c>
      <c r="AU4098" t="s">
        <v>25277</v>
      </c>
      <c r="AV4098" t="s">
        <v>25335</v>
      </c>
      <c r="AW4098" t="s">
        <v>11447</v>
      </c>
    </row>
    <row r="4099" spans="1:49">
      <c r="A4099" s="1">
        <f>HYPERLINK("https://lsnyc.legalserver.org/matter/dynamic-profile/view/1915182","19-1915182")</f>
        <v>0</v>
      </c>
      <c r="B4099" t="s">
        <v>240</v>
      </c>
      <c r="C4099" t="s">
        <v>516</v>
      </c>
      <c r="E4099" t="s">
        <v>3052</v>
      </c>
      <c r="F4099" t="s">
        <v>5529</v>
      </c>
      <c r="G4099" t="s">
        <v>9357</v>
      </c>
      <c r="H4099" t="s">
        <v>10689</v>
      </c>
      <c r="I4099" t="s">
        <v>11385</v>
      </c>
      <c r="J4099">
        <v>11226</v>
      </c>
      <c r="K4099" t="s">
        <v>11446</v>
      </c>
      <c r="L4099" t="s">
        <v>13629</v>
      </c>
      <c r="M4099" t="s">
        <v>14744</v>
      </c>
      <c r="N4099" t="s">
        <v>14782</v>
      </c>
      <c r="P4099" t="s">
        <v>14804</v>
      </c>
      <c r="S4099" t="s">
        <v>14827</v>
      </c>
      <c r="U4099" t="s">
        <v>516</v>
      </c>
      <c r="V4099">
        <v>1266</v>
      </c>
      <c r="W4099" t="s">
        <v>14859</v>
      </c>
      <c r="X4099" t="s">
        <v>14865</v>
      </c>
      <c r="Z4099" t="s">
        <v>18291</v>
      </c>
      <c r="AB4099" t="s">
        <v>23405</v>
      </c>
      <c r="AC4099">
        <v>0</v>
      </c>
      <c r="AE4099" t="s">
        <v>24613</v>
      </c>
      <c r="AF4099">
        <v>30</v>
      </c>
      <c r="AG4099">
        <v>2</v>
      </c>
      <c r="AH4099">
        <v>2</v>
      </c>
      <c r="AI4099">
        <v>47.21</v>
      </c>
      <c r="AL4099" t="s">
        <v>5011</v>
      </c>
      <c r="AM4099">
        <v>12156</v>
      </c>
      <c r="AS4099">
        <v>0</v>
      </c>
      <c r="AU4099" t="s">
        <v>25235</v>
      </c>
      <c r="AV4099" t="s">
        <v>25335</v>
      </c>
      <c r="AW4099" t="s">
        <v>11447</v>
      </c>
    </row>
    <row r="4100" spans="1:49">
      <c r="A4100" s="1">
        <f>HYPERLINK("https://lsnyc.legalserver.org/matter/dynamic-profile/view/1915149","19-1915149")</f>
        <v>0</v>
      </c>
      <c r="B4100" t="s">
        <v>317</v>
      </c>
      <c r="C4100" t="s">
        <v>516</v>
      </c>
      <c r="E4100" t="s">
        <v>3024</v>
      </c>
      <c r="F4100" t="s">
        <v>3823</v>
      </c>
      <c r="G4100" t="s">
        <v>9389</v>
      </c>
      <c r="H4100" t="s">
        <v>11100</v>
      </c>
      <c r="I4100" t="s">
        <v>11385</v>
      </c>
      <c r="J4100">
        <v>11216</v>
      </c>
      <c r="K4100" t="s">
        <v>11446</v>
      </c>
      <c r="L4100" t="s">
        <v>13630</v>
      </c>
      <c r="M4100" t="s">
        <v>14744</v>
      </c>
      <c r="N4100" t="s">
        <v>14782</v>
      </c>
      <c r="P4100" t="s">
        <v>14804</v>
      </c>
      <c r="S4100" t="s">
        <v>14828</v>
      </c>
      <c r="U4100" t="s">
        <v>516</v>
      </c>
      <c r="V4100">
        <v>1097</v>
      </c>
      <c r="W4100" t="s">
        <v>14859</v>
      </c>
      <c r="X4100" t="s">
        <v>14865</v>
      </c>
      <c r="Z4100" t="s">
        <v>16747</v>
      </c>
      <c r="AB4100" t="s">
        <v>23406</v>
      </c>
      <c r="AC4100">
        <v>0</v>
      </c>
      <c r="AD4100" t="s">
        <v>24597</v>
      </c>
      <c r="AF4100">
        <v>22</v>
      </c>
      <c r="AG4100">
        <v>3</v>
      </c>
      <c r="AH4100">
        <v>0</v>
      </c>
      <c r="AI4100">
        <v>150.02</v>
      </c>
      <c r="AL4100" t="s">
        <v>24632</v>
      </c>
      <c r="AM4100">
        <v>32000</v>
      </c>
      <c r="AS4100">
        <v>0.2</v>
      </c>
      <c r="AT4100" t="s">
        <v>516</v>
      </c>
      <c r="AU4100" t="s">
        <v>25235</v>
      </c>
      <c r="AV4100" t="s">
        <v>25335</v>
      </c>
      <c r="AW4100" t="s">
        <v>11447</v>
      </c>
    </row>
    <row r="4101" spans="1:49">
      <c r="A4101" s="1">
        <f>HYPERLINK("https://lsnyc.legalserver.org/matter/dynamic-profile/view/1885364","18-1885364")</f>
        <v>0</v>
      </c>
      <c r="B4101" t="s">
        <v>282</v>
      </c>
      <c r="C4101" t="s">
        <v>591</v>
      </c>
      <c r="E4101" t="s">
        <v>1276</v>
      </c>
      <c r="F4101" t="s">
        <v>1736</v>
      </c>
      <c r="G4101" t="s">
        <v>9390</v>
      </c>
      <c r="H4101" t="s">
        <v>11226</v>
      </c>
      <c r="I4101" t="s">
        <v>11385</v>
      </c>
      <c r="J4101">
        <v>11226</v>
      </c>
      <c r="K4101" t="s">
        <v>11447</v>
      </c>
      <c r="L4101" t="s">
        <v>13631</v>
      </c>
      <c r="M4101" t="s">
        <v>14744</v>
      </c>
      <c r="N4101" t="s">
        <v>14781</v>
      </c>
      <c r="P4101" t="s">
        <v>14804</v>
      </c>
      <c r="Q4101" t="s">
        <v>11448</v>
      </c>
      <c r="S4101" t="s">
        <v>14827</v>
      </c>
      <c r="T4101" t="s">
        <v>14832</v>
      </c>
      <c r="V4101">
        <v>1361.93</v>
      </c>
      <c r="W4101" t="s">
        <v>14859</v>
      </c>
      <c r="X4101" t="s">
        <v>14864</v>
      </c>
      <c r="Z4101" t="s">
        <v>18292</v>
      </c>
      <c r="AB4101" t="s">
        <v>23407</v>
      </c>
      <c r="AC4101">
        <v>0</v>
      </c>
      <c r="AD4101" t="s">
        <v>24595</v>
      </c>
      <c r="AF4101">
        <v>8</v>
      </c>
      <c r="AG4101">
        <v>2</v>
      </c>
      <c r="AH4101">
        <v>0</v>
      </c>
      <c r="AI4101">
        <v>0</v>
      </c>
      <c r="AL4101" t="s">
        <v>24641</v>
      </c>
      <c r="AM4101">
        <v>0</v>
      </c>
      <c r="AS4101">
        <v>6.9</v>
      </c>
      <c r="AT4101" t="s">
        <v>353</v>
      </c>
      <c r="AU4101" t="s">
        <v>75</v>
      </c>
      <c r="AW4101" t="s">
        <v>11447</v>
      </c>
    </row>
    <row r="4102" spans="1:49">
      <c r="A4102" s="1">
        <f>HYPERLINK("https://lsnyc.legalserver.org/matter/dynamic-profile/view/1911515","19-1911515")</f>
        <v>0</v>
      </c>
      <c r="B4102" t="s">
        <v>282</v>
      </c>
      <c r="C4102" t="s">
        <v>486</v>
      </c>
      <c r="E4102" t="s">
        <v>1663</v>
      </c>
      <c r="F4102" t="s">
        <v>3829</v>
      </c>
      <c r="G4102" t="s">
        <v>9391</v>
      </c>
      <c r="H4102" t="s">
        <v>10542</v>
      </c>
      <c r="I4102" t="s">
        <v>11385</v>
      </c>
      <c r="J4102">
        <v>11226</v>
      </c>
      <c r="K4102" t="s">
        <v>11447</v>
      </c>
      <c r="L4102" t="s">
        <v>13632</v>
      </c>
      <c r="M4102" t="s">
        <v>14744</v>
      </c>
      <c r="N4102" t="s">
        <v>14778</v>
      </c>
      <c r="P4102" t="s">
        <v>14804</v>
      </c>
      <c r="S4102" t="s">
        <v>14827</v>
      </c>
      <c r="V4102">
        <v>0</v>
      </c>
      <c r="W4102" t="s">
        <v>14859</v>
      </c>
      <c r="Z4102" t="s">
        <v>18293</v>
      </c>
      <c r="AB4102" t="s">
        <v>23408</v>
      </c>
      <c r="AC4102">
        <v>0</v>
      </c>
      <c r="AF4102">
        <v>0</v>
      </c>
      <c r="AG4102">
        <v>1</v>
      </c>
      <c r="AH4102">
        <v>0</v>
      </c>
      <c r="AI4102">
        <v>0</v>
      </c>
      <c r="AL4102" t="s">
        <v>5011</v>
      </c>
      <c r="AM4102">
        <v>0</v>
      </c>
      <c r="AS4102">
        <v>9</v>
      </c>
      <c r="AT4102" t="s">
        <v>509</v>
      </c>
      <c r="AU4102" t="s">
        <v>25277</v>
      </c>
      <c r="AW4102" t="s">
        <v>11447</v>
      </c>
    </row>
    <row r="4103" spans="1:49">
      <c r="A4103" s="1">
        <f>HYPERLINK("https://lsnyc.legalserver.org/matter/dynamic-profile/view/1896882","19-1896882")</f>
        <v>0</v>
      </c>
      <c r="B4103" t="s">
        <v>275</v>
      </c>
      <c r="C4103" t="s">
        <v>758</v>
      </c>
      <c r="E4103" t="s">
        <v>3053</v>
      </c>
      <c r="F4103" t="s">
        <v>2640</v>
      </c>
      <c r="G4103" t="s">
        <v>9392</v>
      </c>
      <c r="H4103" t="s">
        <v>11227</v>
      </c>
      <c r="I4103" t="s">
        <v>11385</v>
      </c>
      <c r="J4103">
        <v>11225</v>
      </c>
      <c r="K4103" t="s">
        <v>11448</v>
      </c>
      <c r="L4103" t="s">
        <v>13633</v>
      </c>
      <c r="M4103" t="s">
        <v>14744</v>
      </c>
      <c r="N4103" t="s">
        <v>14781</v>
      </c>
      <c r="P4103" t="s">
        <v>14804</v>
      </c>
      <c r="S4103" t="s">
        <v>14827</v>
      </c>
      <c r="V4103">
        <v>975.76</v>
      </c>
      <c r="W4103" t="s">
        <v>14859</v>
      </c>
      <c r="X4103" t="s">
        <v>14868</v>
      </c>
      <c r="Z4103" t="s">
        <v>18294</v>
      </c>
      <c r="AB4103" t="s">
        <v>23409</v>
      </c>
      <c r="AC4103">
        <v>60</v>
      </c>
      <c r="AD4103" t="s">
        <v>24595</v>
      </c>
      <c r="AE4103" t="s">
        <v>24615</v>
      </c>
      <c r="AF4103">
        <v>21</v>
      </c>
      <c r="AG4103">
        <v>1</v>
      </c>
      <c r="AH4103">
        <v>3</v>
      </c>
      <c r="AI4103">
        <v>0</v>
      </c>
      <c r="AL4103" t="s">
        <v>5011</v>
      </c>
      <c r="AM4103">
        <v>0</v>
      </c>
      <c r="AS4103">
        <v>6.4</v>
      </c>
      <c r="AT4103" t="s">
        <v>362</v>
      </c>
      <c r="AU4103" t="s">
        <v>25275</v>
      </c>
      <c r="AW4103" t="s">
        <v>11448</v>
      </c>
    </row>
    <row r="4104" spans="1:49">
      <c r="A4104" s="1">
        <f>HYPERLINK("https://lsnyc.legalserver.org/matter/dynamic-profile/view/1909083","19-1909083")</f>
        <v>0</v>
      </c>
      <c r="B4104" t="s">
        <v>275</v>
      </c>
      <c r="C4104" t="s">
        <v>641</v>
      </c>
      <c r="E4104" t="s">
        <v>3053</v>
      </c>
      <c r="F4104" t="s">
        <v>2640</v>
      </c>
      <c r="G4104" t="s">
        <v>9392</v>
      </c>
      <c r="H4104" t="s">
        <v>11227</v>
      </c>
      <c r="I4104" t="s">
        <v>11385</v>
      </c>
      <c r="J4104">
        <v>11225</v>
      </c>
      <c r="K4104" t="s">
        <v>11447</v>
      </c>
      <c r="L4104" t="s">
        <v>13634</v>
      </c>
      <c r="M4104" t="s">
        <v>14744</v>
      </c>
      <c r="N4104" t="s">
        <v>14781</v>
      </c>
      <c r="P4104" t="s">
        <v>14804</v>
      </c>
      <c r="Q4104" t="s">
        <v>11448</v>
      </c>
      <c r="S4104" t="s">
        <v>14827</v>
      </c>
      <c r="T4104" t="s">
        <v>14832</v>
      </c>
      <c r="V4104">
        <v>975.76</v>
      </c>
      <c r="W4104" t="s">
        <v>14859</v>
      </c>
      <c r="X4104" t="s">
        <v>14868</v>
      </c>
      <c r="Z4104" t="s">
        <v>18294</v>
      </c>
      <c r="AB4104" t="s">
        <v>23409</v>
      </c>
      <c r="AC4104">
        <v>60</v>
      </c>
      <c r="AD4104" t="s">
        <v>24595</v>
      </c>
      <c r="AF4104">
        <v>21</v>
      </c>
      <c r="AG4104">
        <v>1</v>
      </c>
      <c r="AH4104">
        <v>3</v>
      </c>
      <c r="AI4104">
        <v>0</v>
      </c>
      <c r="AL4104" t="s">
        <v>5011</v>
      </c>
      <c r="AM4104">
        <v>0</v>
      </c>
      <c r="AS4104">
        <v>0.2</v>
      </c>
      <c r="AT4104" t="s">
        <v>468</v>
      </c>
      <c r="AU4104" t="s">
        <v>25299</v>
      </c>
      <c r="AW4104" t="s">
        <v>11447</v>
      </c>
    </row>
    <row r="4105" spans="1:49">
      <c r="A4105" s="1">
        <f>HYPERLINK("https://lsnyc.legalserver.org/matter/dynamic-profile/view/1906184","19-1906184")</f>
        <v>0</v>
      </c>
      <c r="B4105" t="s">
        <v>141</v>
      </c>
      <c r="C4105" t="s">
        <v>553</v>
      </c>
      <c r="E4105" t="s">
        <v>3054</v>
      </c>
      <c r="F4105" t="s">
        <v>2948</v>
      </c>
      <c r="G4105" t="s">
        <v>9393</v>
      </c>
      <c r="H4105" t="s">
        <v>10637</v>
      </c>
      <c r="I4105" t="s">
        <v>11385</v>
      </c>
      <c r="J4105">
        <v>11221</v>
      </c>
      <c r="K4105" t="s">
        <v>11446</v>
      </c>
      <c r="L4105" t="s">
        <v>13635</v>
      </c>
      <c r="M4105" t="s">
        <v>14743</v>
      </c>
      <c r="N4105" t="s">
        <v>14781</v>
      </c>
      <c r="P4105" t="s">
        <v>14804</v>
      </c>
      <c r="S4105" t="s">
        <v>14827</v>
      </c>
      <c r="V4105">
        <v>110</v>
      </c>
      <c r="W4105" t="s">
        <v>14859</v>
      </c>
      <c r="X4105" t="s">
        <v>14865</v>
      </c>
      <c r="Z4105" t="s">
        <v>18295</v>
      </c>
      <c r="AC4105">
        <v>3</v>
      </c>
      <c r="AE4105" t="s">
        <v>11459</v>
      </c>
      <c r="AF4105">
        <v>23</v>
      </c>
      <c r="AG4105">
        <v>1</v>
      </c>
      <c r="AH4105">
        <v>0</v>
      </c>
      <c r="AI4105">
        <v>0</v>
      </c>
      <c r="AL4105" t="s">
        <v>5011</v>
      </c>
      <c r="AM4105">
        <v>0</v>
      </c>
      <c r="AS4105">
        <v>63.3</v>
      </c>
      <c r="AT4105" t="s">
        <v>509</v>
      </c>
      <c r="AU4105" t="s">
        <v>25235</v>
      </c>
      <c r="AV4105" t="s">
        <v>25335</v>
      </c>
      <c r="AW4105" t="s">
        <v>11447</v>
      </c>
    </row>
    <row r="4106" spans="1:49">
      <c r="A4106" s="1">
        <f>HYPERLINK("https://lsnyc.legalserver.org/matter/dynamic-profile/view/1910533","19-1910533")</f>
        <v>0</v>
      </c>
      <c r="B4106" t="s">
        <v>106</v>
      </c>
      <c r="C4106" t="s">
        <v>602</v>
      </c>
      <c r="E4106" t="s">
        <v>3055</v>
      </c>
      <c r="F4106" t="s">
        <v>5557</v>
      </c>
      <c r="G4106" t="s">
        <v>8260</v>
      </c>
      <c r="H4106" t="s">
        <v>10598</v>
      </c>
      <c r="I4106" t="s">
        <v>11385</v>
      </c>
      <c r="J4106">
        <v>11226</v>
      </c>
      <c r="K4106" t="s">
        <v>11447</v>
      </c>
      <c r="L4106" t="s">
        <v>13636</v>
      </c>
      <c r="M4106" t="s">
        <v>14744</v>
      </c>
      <c r="N4106" t="s">
        <v>14781</v>
      </c>
      <c r="P4106" t="s">
        <v>14804</v>
      </c>
      <c r="S4106" t="s">
        <v>14827</v>
      </c>
      <c r="V4106">
        <v>0</v>
      </c>
      <c r="W4106" t="s">
        <v>14859</v>
      </c>
      <c r="X4106" t="s">
        <v>14865</v>
      </c>
      <c r="Z4106" t="s">
        <v>18296</v>
      </c>
      <c r="AB4106" t="s">
        <v>23410</v>
      </c>
      <c r="AC4106">
        <v>0</v>
      </c>
      <c r="AF4106">
        <v>0</v>
      </c>
      <c r="AG4106">
        <v>1</v>
      </c>
      <c r="AH4106">
        <v>1</v>
      </c>
      <c r="AI4106">
        <v>33.78</v>
      </c>
      <c r="AM4106">
        <v>5712</v>
      </c>
      <c r="AS4106">
        <v>24.1</v>
      </c>
      <c r="AT4106" t="s">
        <v>495</v>
      </c>
      <c r="AU4106" t="s">
        <v>25235</v>
      </c>
      <c r="AW4106" t="s">
        <v>11447</v>
      </c>
    </row>
    <row r="4107" spans="1:49">
      <c r="A4107" s="1">
        <f>HYPERLINK("https://lsnyc.legalserver.org/matter/dynamic-profile/view/1901641","19-1901641")</f>
        <v>0</v>
      </c>
      <c r="B4107" t="s">
        <v>267</v>
      </c>
      <c r="C4107" t="s">
        <v>459</v>
      </c>
      <c r="E4107" t="s">
        <v>1181</v>
      </c>
      <c r="F4107" t="s">
        <v>1816</v>
      </c>
      <c r="G4107" t="s">
        <v>7947</v>
      </c>
      <c r="H4107" t="s">
        <v>10448</v>
      </c>
      <c r="I4107" t="s">
        <v>11385</v>
      </c>
      <c r="J4107">
        <v>11226</v>
      </c>
      <c r="K4107" t="s">
        <v>11447</v>
      </c>
      <c r="L4107" t="s">
        <v>13637</v>
      </c>
      <c r="M4107" t="s">
        <v>14744</v>
      </c>
      <c r="N4107" t="s">
        <v>14781</v>
      </c>
      <c r="P4107" t="s">
        <v>14804</v>
      </c>
      <c r="Q4107" t="s">
        <v>11448</v>
      </c>
      <c r="S4107" t="s">
        <v>14827</v>
      </c>
      <c r="T4107" t="s">
        <v>14832</v>
      </c>
      <c r="V4107">
        <v>1378.1</v>
      </c>
      <c r="W4107" t="s">
        <v>14859</v>
      </c>
      <c r="X4107" t="s">
        <v>14868</v>
      </c>
      <c r="Z4107" t="s">
        <v>16912</v>
      </c>
      <c r="AB4107" t="s">
        <v>21935</v>
      </c>
      <c r="AC4107">
        <v>0</v>
      </c>
      <c r="AD4107" t="s">
        <v>24595</v>
      </c>
      <c r="AE4107" t="s">
        <v>24610</v>
      </c>
      <c r="AF4107">
        <v>35</v>
      </c>
      <c r="AG4107">
        <v>2</v>
      </c>
      <c r="AH4107">
        <v>2</v>
      </c>
      <c r="AI4107">
        <v>34.02</v>
      </c>
      <c r="AL4107" t="s">
        <v>5011</v>
      </c>
      <c r="AM4107">
        <v>8759.4</v>
      </c>
      <c r="AS4107">
        <v>24.7</v>
      </c>
      <c r="AT4107" t="s">
        <v>574</v>
      </c>
      <c r="AU4107" t="s">
        <v>267</v>
      </c>
      <c r="AW4107" t="s">
        <v>11447</v>
      </c>
    </row>
    <row r="4108" spans="1:49">
      <c r="A4108" s="1">
        <f>HYPERLINK("https://lsnyc.legalserver.org/matter/dynamic-profile/view/1915416","19-1915416")</f>
        <v>0</v>
      </c>
      <c r="B4108" t="s">
        <v>93</v>
      </c>
      <c r="C4108" t="s">
        <v>495</v>
      </c>
      <c r="E4108" t="s">
        <v>3056</v>
      </c>
      <c r="F4108" t="s">
        <v>3978</v>
      </c>
      <c r="I4108" t="s">
        <v>11385</v>
      </c>
      <c r="J4108">
        <v>11221</v>
      </c>
      <c r="K4108" t="s">
        <v>11447</v>
      </c>
      <c r="L4108" t="s">
        <v>13638</v>
      </c>
      <c r="M4108" t="s">
        <v>14744</v>
      </c>
      <c r="N4108" t="s">
        <v>14778</v>
      </c>
      <c r="P4108" t="s">
        <v>14804</v>
      </c>
      <c r="S4108" t="s">
        <v>14827</v>
      </c>
      <c r="V4108">
        <v>0</v>
      </c>
      <c r="W4108" t="s">
        <v>14859</v>
      </c>
      <c r="Z4108" t="s">
        <v>18297</v>
      </c>
      <c r="AB4108" t="s">
        <v>23411</v>
      </c>
      <c r="AC4108">
        <v>0</v>
      </c>
      <c r="AF4108">
        <v>0</v>
      </c>
      <c r="AG4108">
        <v>1</v>
      </c>
      <c r="AH4108">
        <v>0</v>
      </c>
      <c r="AI4108">
        <v>37.68</v>
      </c>
      <c r="AL4108" t="s">
        <v>5011</v>
      </c>
      <c r="AM4108">
        <v>4706</v>
      </c>
      <c r="AS4108">
        <v>0</v>
      </c>
      <c r="AU4108" t="s">
        <v>25277</v>
      </c>
      <c r="AW4108" t="s">
        <v>11447</v>
      </c>
    </row>
    <row r="4109" spans="1:49">
      <c r="A4109" s="1">
        <f>HYPERLINK("https://lsnyc.legalserver.org/matter/dynamic-profile/view/1847686","17-1847686")</f>
        <v>0</v>
      </c>
      <c r="B4109" t="s">
        <v>280</v>
      </c>
      <c r="C4109" t="s">
        <v>863</v>
      </c>
      <c r="E4109" t="s">
        <v>1029</v>
      </c>
      <c r="F4109" t="s">
        <v>5695</v>
      </c>
      <c r="G4109" t="s">
        <v>9394</v>
      </c>
      <c r="H4109" t="s">
        <v>11228</v>
      </c>
      <c r="I4109" t="s">
        <v>11385</v>
      </c>
      <c r="J4109">
        <v>11225</v>
      </c>
      <c r="K4109" t="s">
        <v>11448</v>
      </c>
      <c r="L4109" t="s">
        <v>13639</v>
      </c>
      <c r="M4109" t="s">
        <v>14764</v>
      </c>
      <c r="N4109" t="s">
        <v>14781</v>
      </c>
      <c r="P4109" t="s">
        <v>14804</v>
      </c>
      <c r="S4109" t="s">
        <v>14827</v>
      </c>
      <c r="V4109">
        <v>1400</v>
      </c>
      <c r="W4109" t="s">
        <v>14859</v>
      </c>
      <c r="X4109" t="s">
        <v>14874</v>
      </c>
      <c r="Z4109" t="s">
        <v>18298</v>
      </c>
      <c r="AB4109" t="s">
        <v>23412</v>
      </c>
      <c r="AC4109">
        <v>90</v>
      </c>
      <c r="AD4109" t="s">
        <v>24595</v>
      </c>
      <c r="AF4109">
        <v>14</v>
      </c>
      <c r="AG4109">
        <v>2</v>
      </c>
      <c r="AH4109">
        <v>2</v>
      </c>
      <c r="AI4109">
        <v>45.45</v>
      </c>
      <c r="AL4109" t="s">
        <v>5011</v>
      </c>
      <c r="AM4109">
        <v>11180</v>
      </c>
      <c r="AS4109">
        <v>77.3</v>
      </c>
      <c r="AT4109" t="s">
        <v>501</v>
      </c>
      <c r="AU4109" t="s">
        <v>25230</v>
      </c>
      <c r="AW4109" t="s">
        <v>11447</v>
      </c>
    </row>
    <row r="4110" spans="1:49">
      <c r="A4110" s="1">
        <f>HYPERLINK("https://lsnyc.legalserver.org/matter/dynamic-profile/view/1913102","19-1913102")</f>
        <v>0</v>
      </c>
      <c r="B4110" t="s">
        <v>240</v>
      </c>
      <c r="C4110" t="s">
        <v>571</v>
      </c>
      <c r="E4110" t="s">
        <v>1739</v>
      </c>
      <c r="F4110" t="s">
        <v>3978</v>
      </c>
      <c r="G4110" t="s">
        <v>9230</v>
      </c>
      <c r="H4110" t="s">
        <v>11229</v>
      </c>
      <c r="I4110" t="s">
        <v>11385</v>
      </c>
      <c r="J4110">
        <v>11226</v>
      </c>
      <c r="K4110" t="s">
        <v>11447</v>
      </c>
      <c r="L4110" t="s">
        <v>13640</v>
      </c>
      <c r="M4110" t="s">
        <v>14744</v>
      </c>
      <c r="P4110" t="s">
        <v>14804</v>
      </c>
      <c r="S4110" t="s">
        <v>14827</v>
      </c>
      <c r="V4110">
        <v>1830</v>
      </c>
      <c r="W4110" t="s">
        <v>14859</v>
      </c>
      <c r="X4110" t="s">
        <v>14865</v>
      </c>
      <c r="Z4110" t="s">
        <v>18299</v>
      </c>
      <c r="AB4110" t="s">
        <v>23413</v>
      </c>
      <c r="AC4110">
        <v>61</v>
      </c>
      <c r="AE4110" t="s">
        <v>24610</v>
      </c>
      <c r="AF4110">
        <v>20</v>
      </c>
      <c r="AG4110">
        <v>5</v>
      </c>
      <c r="AH4110">
        <v>0</v>
      </c>
      <c r="AI4110">
        <v>48.53</v>
      </c>
      <c r="AL4110" t="s">
        <v>5011</v>
      </c>
      <c r="AM4110">
        <v>14640</v>
      </c>
      <c r="AS4110">
        <v>1.75</v>
      </c>
      <c r="AT4110" t="s">
        <v>537</v>
      </c>
      <c r="AU4110" t="s">
        <v>25275</v>
      </c>
      <c r="AW4110" t="s">
        <v>11447</v>
      </c>
    </row>
    <row r="4111" spans="1:49">
      <c r="A4111" s="1">
        <f>HYPERLINK("https://lsnyc.legalserver.org/matter/dynamic-profile/view/1911171","19-1911171")</f>
        <v>0</v>
      </c>
      <c r="B4111" t="s">
        <v>106</v>
      </c>
      <c r="C4111" t="s">
        <v>475</v>
      </c>
      <c r="E4111" t="s">
        <v>3057</v>
      </c>
      <c r="F4111" t="s">
        <v>4037</v>
      </c>
      <c r="G4111" t="s">
        <v>9395</v>
      </c>
      <c r="I4111" t="s">
        <v>11385</v>
      </c>
      <c r="J4111">
        <v>11216</v>
      </c>
      <c r="K4111" t="s">
        <v>11446</v>
      </c>
      <c r="L4111" t="s">
        <v>13641</v>
      </c>
      <c r="N4111" t="s">
        <v>14778</v>
      </c>
      <c r="P4111" t="s">
        <v>14804</v>
      </c>
      <c r="S4111" t="s">
        <v>14827</v>
      </c>
      <c r="V4111">
        <v>500</v>
      </c>
      <c r="W4111" t="s">
        <v>14859</v>
      </c>
      <c r="X4111" t="s">
        <v>14755</v>
      </c>
      <c r="Z4111" t="s">
        <v>18300</v>
      </c>
      <c r="AB4111" t="s">
        <v>23414</v>
      </c>
      <c r="AC4111">
        <v>6</v>
      </c>
      <c r="AF4111">
        <v>1</v>
      </c>
      <c r="AG4111">
        <v>1</v>
      </c>
      <c r="AH4111">
        <v>0</v>
      </c>
      <c r="AI4111">
        <v>52.04</v>
      </c>
      <c r="AL4111" t="s">
        <v>5011</v>
      </c>
      <c r="AM4111">
        <v>6500</v>
      </c>
      <c r="AS4111">
        <v>2.4</v>
      </c>
      <c r="AT4111" t="s">
        <v>505</v>
      </c>
      <c r="AU4111" t="s">
        <v>25275</v>
      </c>
      <c r="AV4111" t="s">
        <v>25335</v>
      </c>
      <c r="AW4111" t="s">
        <v>11447</v>
      </c>
    </row>
    <row r="4112" spans="1:49">
      <c r="A4112" s="1">
        <f>HYPERLINK("https://lsnyc.legalserver.org/matter/dynamic-profile/view/1907989","19-1907989")</f>
        <v>0</v>
      </c>
      <c r="B4112" t="s">
        <v>133</v>
      </c>
      <c r="C4112" t="s">
        <v>458</v>
      </c>
      <c r="E4112" t="s">
        <v>3058</v>
      </c>
      <c r="F4112" t="s">
        <v>1502</v>
      </c>
      <c r="G4112" t="s">
        <v>9396</v>
      </c>
      <c r="H4112" t="s">
        <v>11230</v>
      </c>
      <c r="I4112" t="s">
        <v>11385</v>
      </c>
      <c r="J4112">
        <v>11226</v>
      </c>
      <c r="K4112" t="s">
        <v>11446</v>
      </c>
      <c r="L4112" t="s">
        <v>13642</v>
      </c>
      <c r="M4112" t="s">
        <v>14744</v>
      </c>
      <c r="N4112" t="s">
        <v>14781</v>
      </c>
      <c r="P4112" t="s">
        <v>14804</v>
      </c>
      <c r="Q4112" t="s">
        <v>11448</v>
      </c>
      <c r="S4112" t="s">
        <v>14827</v>
      </c>
      <c r="T4112" t="s">
        <v>14832</v>
      </c>
      <c r="V4112">
        <v>1377.91</v>
      </c>
      <c r="W4112" t="s">
        <v>14859</v>
      </c>
      <c r="X4112" t="s">
        <v>14872</v>
      </c>
      <c r="Z4112" t="s">
        <v>18301</v>
      </c>
      <c r="AB4112" t="s">
        <v>23415</v>
      </c>
      <c r="AC4112">
        <v>0</v>
      </c>
      <c r="AD4112" t="s">
        <v>24595</v>
      </c>
      <c r="AF4112">
        <v>20</v>
      </c>
      <c r="AG4112">
        <v>1</v>
      </c>
      <c r="AH4112">
        <v>0</v>
      </c>
      <c r="AI4112">
        <v>57.17</v>
      </c>
      <c r="AL4112" t="s">
        <v>5011</v>
      </c>
      <c r="AM4112">
        <v>7140</v>
      </c>
      <c r="AS4112">
        <v>13.5</v>
      </c>
      <c r="AT4112" t="s">
        <v>516</v>
      </c>
      <c r="AU4112" t="s">
        <v>133</v>
      </c>
      <c r="AW4112" t="s">
        <v>11447</v>
      </c>
    </row>
    <row r="4113" spans="1:49">
      <c r="A4113" s="1">
        <f>HYPERLINK("https://lsnyc.legalserver.org/matter/dynamic-profile/view/1903032","19-1903032")</f>
        <v>0</v>
      </c>
      <c r="B4113" t="s">
        <v>133</v>
      </c>
      <c r="C4113" t="s">
        <v>659</v>
      </c>
      <c r="E4113" t="s">
        <v>1075</v>
      </c>
      <c r="F4113" t="s">
        <v>5696</v>
      </c>
      <c r="G4113" t="s">
        <v>9273</v>
      </c>
      <c r="H4113">
        <v>521</v>
      </c>
      <c r="I4113" t="s">
        <v>11385</v>
      </c>
      <c r="J4113">
        <v>11226</v>
      </c>
      <c r="K4113" t="s">
        <v>11447</v>
      </c>
      <c r="L4113" t="s">
        <v>13643</v>
      </c>
      <c r="M4113" t="s">
        <v>14744</v>
      </c>
      <c r="N4113" t="s">
        <v>14781</v>
      </c>
      <c r="P4113" t="s">
        <v>14804</v>
      </c>
      <c r="S4113" t="s">
        <v>14827</v>
      </c>
      <c r="V4113">
        <v>1095</v>
      </c>
      <c r="W4113" t="s">
        <v>14859</v>
      </c>
      <c r="X4113" t="s">
        <v>14865</v>
      </c>
      <c r="Z4113" t="s">
        <v>18301</v>
      </c>
      <c r="AB4113" t="s">
        <v>23416</v>
      </c>
      <c r="AC4113">
        <v>100</v>
      </c>
      <c r="AE4113" t="s">
        <v>24613</v>
      </c>
      <c r="AF4113">
        <v>20</v>
      </c>
      <c r="AG4113">
        <v>2</v>
      </c>
      <c r="AH4113">
        <v>0</v>
      </c>
      <c r="AI4113">
        <v>62.02</v>
      </c>
      <c r="AL4113" t="s">
        <v>5011</v>
      </c>
      <c r="AM4113">
        <v>10488</v>
      </c>
      <c r="AS4113">
        <v>10.15</v>
      </c>
      <c r="AT4113" t="s">
        <v>516</v>
      </c>
      <c r="AU4113" t="s">
        <v>25235</v>
      </c>
      <c r="AW4113" t="s">
        <v>11447</v>
      </c>
    </row>
    <row r="4114" spans="1:49">
      <c r="A4114" s="1">
        <f>HYPERLINK("https://lsnyc.legalserver.org/matter/dynamic-profile/view/1915084","19-1915084")</f>
        <v>0</v>
      </c>
      <c r="B4114" t="s">
        <v>318</v>
      </c>
      <c r="C4114" t="s">
        <v>509</v>
      </c>
      <c r="E4114" t="s">
        <v>2944</v>
      </c>
      <c r="F4114" t="s">
        <v>5697</v>
      </c>
      <c r="G4114" t="s">
        <v>9397</v>
      </c>
      <c r="H4114" t="s">
        <v>10517</v>
      </c>
      <c r="I4114" t="s">
        <v>11385</v>
      </c>
      <c r="J4114">
        <v>11226</v>
      </c>
      <c r="K4114" t="s">
        <v>11446</v>
      </c>
      <c r="L4114" t="s">
        <v>13644</v>
      </c>
      <c r="M4114" t="s">
        <v>14744</v>
      </c>
      <c r="N4114" t="s">
        <v>14782</v>
      </c>
      <c r="P4114" t="s">
        <v>14804</v>
      </c>
      <c r="S4114" t="s">
        <v>14827</v>
      </c>
      <c r="V4114">
        <v>0</v>
      </c>
      <c r="W4114" t="s">
        <v>14859</v>
      </c>
      <c r="X4114" t="s">
        <v>14865</v>
      </c>
      <c r="Z4114" t="s">
        <v>18302</v>
      </c>
      <c r="AB4114" t="s">
        <v>19344</v>
      </c>
      <c r="AC4114">
        <v>0</v>
      </c>
      <c r="AF4114">
        <v>0</v>
      </c>
      <c r="AG4114">
        <v>1</v>
      </c>
      <c r="AH4114">
        <v>2</v>
      </c>
      <c r="AI4114">
        <v>73.08</v>
      </c>
      <c r="AL4114" t="s">
        <v>5011</v>
      </c>
      <c r="AM4114">
        <v>15588</v>
      </c>
      <c r="AS4114">
        <v>0.5</v>
      </c>
      <c r="AT4114" t="s">
        <v>495</v>
      </c>
      <c r="AU4114" t="s">
        <v>25306</v>
      </c>
      <c r="AV4114" t="s">
        <v>25335</v>
      </c>
      <c r="AW4114" t="s">
        <v>11447</v>
      </c>
    </row>
    <row r="4115" spans="1:49">
      <c r="A4115" s="1">
        <f>HYPERLINK("https://lsnyc.legalserver.org/matter/dynamic-profile/view/1915434","19-1915434")</f>
        <v>0</v>
      </c>
      <c r="B4115" t="s">
        <v>93</v>
      </c>
      <c r="C4115" t="s">
        <v>495</v>
      </c>
      <c r="E4115" t="s">
        <v>1248</v>
      </c>
      <c r="F4115" t="s">
        <v>3758</v>
      </c>
      <c r="G4115" t="s">
        <v>9398</v>
      </c>
      <c r="H4115" t="s">
        <v>10638</v>
      </c>
      <c r="I4115" t="s">
        <v>11385</v>
      </c>
      <c r="J4115">
        <v>11221</v>
      </c>
      <c r="K4115" t="s">
        <v>11447</v>
      </c>
      <c r="L4115" t="s">
        <v>13645</v>
      </c>
      <c r="M4115" t="s">
        <v>14744</v>
      </c>
      <c r="N4115" t="s">
        <v>14778</v>
      </c>
      <c r="P4115" t="s">
        <v>14804</v>
      </c>
      <c r="S4115" t="s">
        <v>14827</v>
      </c>
      <c r="V4115">
        <v>0</v>
      </c>
      <c r="W4115" t="s">
        <v>14859</v>
      </c>
      <c r="Z4115" t="s">
        <v>18303</v>
      </c>
      <c r="AB4115" t="s">
        <v>23417</v>
      </c>
      <c r="AC4115">
        <v>0</v>
      </c>
      <c r="AF4115">
        <v>0</v>
      </c>
      <c r="AG4115">
        <v>1</v>
      </c>
      <c r="AH4115">
        <v>0</v>
      </c>
      <c r="AI4115">
        <v>74.08</v>
      </c>
      <c r="AL4115" t="s">
        <v>5011</v>
      </c>
      <c r="AM4115">
        <v>9252</v>
      </c>
      <c r="AS4115">
        <v>0</v>
      </c>
      <c r="AU4115" t="s">
        <v>25277</v>
      </c>
      <c r="AW4115" t="s">
        <v>11447</v>
      </c>
    </row>
    <row r="4116" spans="1:49">
      <c r="A4116" s="1">
        <f>HYPERLINK("https://lsnyc.legalserver.org/matter/dynamic-profile/view/1911464","19-1911464")</f>
        <v>0</v>
      </c>
      <c r="B4116" t="s">
        <v>152</v>
      </c>
      <c r="C4116" t="s">
        <v>486</v>
      </c>
      <c r="E4116" t="s">
        <v>1841</v>
      </c>
      <c r="F4116" t="s">
        <v>3901</v>
      </c>
      <c r="G4116" t="s">
        <v>9275</v>
      </c>
      <c r="H4116" t="s">
        <v>10448</v>
      </c>
      <c r="I4116" t="s">
        <v>11385</v>
      </c>
      <c r="J4116">
        <v>11225</v>
      </c>
      <c r="K4116" t="s">
        <v>11447</v>
      </c>
      <c r="L4116" t="s">
        <v>13646</v>
      </c>
      <c r="M4116" t="s">
        <v>14744</v>
      </c>
      <c r="N4116" t="s">
        <v>14782</v>
      </c>
      <c r="P4116" t="s">
        <v>14804</v>
      </c>
      <c r="S4116" t="s">
        <v>14827</v>
      </c>
      <c r="V4116">
        <v>0</v>
      </c>
      <c r="W4116" t="s">
        <v>14859</v>
      </c>
      <c r="X4116" t="s">
        <v>14881</v>
      </c>
      <c r="Z4116" t="s">
        <v>18304</v>
      </c>
      <c r="AB4116" t="s">
        <v>23418</v>
      </c>
      <c r="AC4116">
        <v>0</v>
      </c>
      <c r="AF4116">
        <v>0</v>
      </c>
      <c r="AG4116">
        <v>3</v>
      </c>
      <c r="AH4116">
        <v>0</v>
      </c>
      <c r="AI4116">
        <v>79.51000000000001</v>
      </c>
      <c r="AL4116" t="s">
        <v>5011</v>
      </c>
      <c r="AM4116">
        <v>16959.96</v>
      </c>
      <c r="AS4116">
        <v>0.2</v>
      </c>
      <c r="AT4116" t="s">
        <v>484</v>
      </c>
      <c r="AU4116" t="s">
        <v>25235</v>
      </c>
      <c r="AW4116" t="s">
        <v>11447</v>
      </c>
    </row>
    <row r="4117" spans="1:49">
      <c r="A4117" s="1">
        <f>HYPERLINK("https://lsnyc.legalserver.org/matter/dynamic-profile/view/1878626","18-1878626")</f>
        <v>0</v>
      </c>
      <c r="B4117" t="s">
        <v>127</v>
      </c>
      <c r="C4117" t="s">
        <v>445</v>
      </c>
      <c r="E4117" t="s">
        <v>3059</v>
      </c>
      <c r="F4117" t="s">
        <v>4342</v>
      </c>
      <c r="G4117" t="s">
        <v>8143</v>
      </c>
      <c r="H4117">
        <v>611</v>
      </c>
      <c r="I4117" t="s">
        <v>11385</v>
      </c>
      <c r="J4117">
        <v>11216</v>
      </c>
      <c r="K4117" t="s">
        <v>11447</v>
      </c>
      <c r="M4117" t="s">
        <v>14744</v>
      </c>
      <c r="N4117" t="s">
        <v>14781</v>
      </c>
      <c r="P4117" t="s">
        <v>14804</v>
      </c>
      <c r="S4117" t="s">
        <v>14827</v>
      </c>
      <c r="V4117">
        <v>0</v>
      </c>
      <c r="W4117" t="s">
        <v>14859</v>
      </c>
      <c r="X4117" t="s">
        <v>14868</v>
      </c>
      <c r="Z4117" t="s">
        <v>18305</v>
      </c>
      <c r="AB4117" t="s">
        <v>23419</v>
      </c>
      <c r="AC4117">
        <v>0</v>
      </c>
      <c r="AF4117">
        <v>0</v>
      </c>
      <c r="AG4117">
        <v>1</v>
      </c>
      <c r="AH4117">
        <v>0</v>
      </c>
      <c r="AI4117">
        <v>81.05</v>
      </c>
      <c r="AL4117" t="s">
        <v>5011</v>
      </c>
      <c r="AM4117">
        <v>9840</v>
      </c>
      <c r="AS4117">
        <v>59.3</v>
      </c>
      <c r="AT4117" t="s">
        <v>708</v>
      </c>
      <c r="AU4117" t="s">
        <v>25230</v>
      </c>
      <c r="AW4117" t="s">
        <v>11447</v>
      </c>
    </row>
    <row r="4118" spans="1:49">
      <c r="A4118" s="1">
        <f>HYPERLINK("https://lsnyc.legalserver.org/matter/dynamic-profile/view/1901426","19-1901426")</f>
        <v>0</v>
      </c>
      <c r="B4118" t="s">
        <v>193</v>
      </c>
      <c r="C4118" t="s">
        <v>330</v>
      </c>
      <c r="E4118" t="s">
        <v>2122</v>
      </c>
      <c r="F4118" t="s">
        <v>3797</v>
      </c>
      <c r="G4118" t="s">
        <v>9221</v>
      </c>
      <c r="H4118" t="s">
        <v>10510</v>
      </c>
      <c r="I4118" t="s">
        <v>11385</v>
      </c>
      <c r="J4118">
        <v>11226</v>
      </c>
      <c r="K4118" t="s">
        <v>11447</v>
      </c>
      <c r="L4118" t="s">
        <v>13647</v>
      </c>
      <c r="M4118" t="s">
        <v>14744</v>
      </c>
      <c r="N4118" t="s">
        <v>14781</v>
      </c>
      <c r="P4118" t="s">
        <v>14804</v>
      </c>
      <c r="Q4118" t="s">
        <v>11448</v>
      </c>
      <c r="S4118" t="s">
        <v>14827</v>
      </c>
      <c r="V4118">
        <v>1294</v>
      </c>
      <c r="W4118" t="s">
        <v>14859</v>
      </c>
      <c r="X4118" t="s">
        <v>14864</v>
      </c>
      <c r="Z4118" t="s">
        <v>17736</v>
      </c>
      <c r="AB4118" t="s">
        <v>23420</v>
      </c>
      <c r="AC4118">
        <v>30</v>
      </c>
      <c r="AE4118" t="s">
        <v>24611</v>
      </c>
      <c r="AF4118">
        <v>10</v>
      </c>
      <c r="AG4118">
        <v>1</v>
      </c>
      <c r="AH4118">
        <v>0</v>
      </c>
      <c r="AI4118">
        <v>81.67</v>
      </c>
      <c r="AL4118" t="s">
        <v>5011</v>
      </c>
      <c r="AM4118">
        <v>10200</v>
      </c>
      <c r="AS4118">
        <v>6.35</v>
      </c>
      <c r="AT4118" t="s">
        <v>470</v>
      </c>
      <c r="AU4118" t="s">
        <v>25227</v>
      </c>
      <c r="AW4118" t="s">
        <v>11447</v>
      </c>
    </row>
    <row r="4119" spans="1:49">
      <c r="A4119" s="1">
        <f>HYPERLINK("https://lsnyc.legalserver.org/matter/dynamic-profile/view/1913035","19-1913035")</f>
        <v>0</v>
      </c>
      <c r="B4119" t="s">
        <v>282</v>
      </c>
      <c r="C4119" t="s">
        <v>603</v>
      </c>
      <c r="E4119" t="s">
        <v>3060</v>
      </c>
      <c r="F4119" t="s">
        <v>5698</v>
      </c>
      <c r="G4119" t="s">
        <v>6450</v>
      </c>
      <c r="H4119" t="s">
        <v>11231</v>
      </c>
      <c r="I4119" t="s">
        <v>11385</v>
      </c>
      <c r="J4119">
        <v>11225</v>
      </c>
      <c r="K4119" t="s">
        <v>11446</v>
      </c>
      <c r="L4119" t="s">
        <v>13648</v>
      </c>
      <c r="M4119" t="s">
        <v>14744</v>
      </c>
      <c r="N4119" t="s">
        <v>14778</v>
      </c>
      <c r="P4119" t="s">
        <v>14804</v>
      </c>
      <c r="S4119" t="s">
        <v>14827</v>
      </c>
      <c r="V4119">
        <v>1675</v>
      </c>
      <c r="W4119" t="s">
        <v>14859</v>
      </c>
      <c r="Z4119" t="s">
        <v>18306</v>
      </c>
      <c r="AB4119" t="s">
        <v>23421</v>
      </c>
      <c r="AC4119">
        <v>300</v>
      </c>
      <c r="AE4119" t="s">
        <v>24610</v>
      </c>
      <c r="AF4119">
        <v>20</v>
      </c>
      <c r="AG4119">
        <v>2</v>
      </c>
      <c r="AH4119">
        <v>1</v>
      </c>
      <c r="AI4119">
        <v>84.39</v>
      </c>
      <c r="AL4119" t="s">
        <v>5011</v>
      </c>
      <c r="AM4119">
        <v>18000</v>
      </c>
      <c r="AS4119">
        <v>5.6</v>
      </c>
      <c r="AT4119" t="s">
        <v>478</v>
      </c>
      <c r="AU4119" t="s">
        <v>25230</v>
      </c>
      <c r="AV4119" t="s">
        <v>25335</v>
      </c>
      <c r="AW4119" t="s">
        <v>11447</v>
      </c>
    </row>
    <row r="4120" spans="1:49">
      <c r="A4120" s="1">
        <f>HYPERLINK("https://lsnyc.legalserver.org/matter/dynamic-profile/view/1909236","19-1909236")</f>
        <v>0</v>
      </c>
      <c r="B4120" t="s">
        <v>146</v>
      </c>
      <c r="C4120" t="s">
        <v>462</v>
      </c>
      <c r="E4120" t="s">
        <v>1874</v>
      </c>
      <c r="F4120" t="s">
        <v>4697</v>
      </c>
      <c r="G4120" t="s">
        <v>9181</v>
      </c>
      <c r="H4120" t="s">
        <v>11189</v>
      </c>
      <c r="I4120" t="s">
        <v>11385</v>
      </c>
      <c r="J4120">
        <v>11225</v>
      </c>
      <c r="K4120" t="s">
        <v>11447</v>
      </c>
      <c r="L4120" t="s">
        <v>13649</v>
      </c>
      <c r="N4120" t="s">
        <v>14781</v>
      </c>
      <c r="P4120" t="s">
        <v>14804</v>
      </c>
      <c r="S4120" t="s">
        <v>14827</v>
      </c>
      <c r="V4120">
        <v>1100</v>
      </c>
      <c r="W4120" t="s">
        <v>14859</v>
      </c>
      <c r="X4120" t="s">
        <v>14868</v>
      </c>
      <c r="Z4120" t="s">
        <v>18070</v>
      </c>
      <c r="AB4120" t="s">
        <v>23422</v>
      </c>
      <c r="AC4120">
        <v>0</v>
      </c>
      <c r="AD4120" t="s">
        <v>24595</v>
      </c>
      <c r="AE4120" t="s">
        <v>11459</v>
      </c>
      <c r="AF4120">
        <v>8</v>
      </c>
      <c r="AG4120">
        <v>1</v>
      </c>
      <c r="AH4120">
        <v>1</v>
      </c>
      <c r="AI4120">
        <v>85.16</v>
      </c>
      <c r="AL4120" t="s">
        <v>5011</v>
      </c>
      <c r="AM4120">
        <v>14400</v>
      </c>
      <c r="AS4120">
        <v>68</v>
      </c>
      <c r="AT4120" t="s">
        <v>495</v>
      </c>
      <c r="AU4120" t="s">
        <v>25225</v>
      </c>
      <c r="AW4120" t="s">
        <v>11447</v>
      </c>
    </row>
    <row r="4121" spans="1:49">
      <c r="A4121" s="1">
        <f>HYPERLINK("https://lsnyc.legalserver.org/matter/dynamic-profile/view/1902550","19-1902550")</f>
        <v>0</v>
      </c>
      <c r="B4121" t="s">
        <v>193</v>
      </c>
      <c r="C4121" t="s">
        <v>517</v>
      </c>
      <c r="E4121" t="s">
        <v>1181</v>
      </c>
      <c r="F4121" t="s">
        <v>3797</v>
      </c>
      <c r="G4121" t="s">
        <v>9399</v>
      </c>
      <c r="H4121">
        <v>6</v>
      </c>
      <c r="I4121" t="s">
        <v>11385</v>
      </c>
      <c r="J4121">
        <v>11216</v>
      </c>
      <c r="K4121" t="s">
        <v>11447</v>
      </c>
      <c r="N4121" t="s">
        <v>14781</v>
      </c>
      <c r="P4121" t="s">
        <v>14804</v>
      </c>
      <c r="S4121" t="s">
        <v>14827</v>
      </c>
      <c r="V4121">
        <v>0</v>
      </c>
      <c r="W4121" t="s">
        <v>14859</v>
      </c>
      <c r="Z4121" t="s">
        <v>18307</v>
      </c>
      <c r="AB4121" t="s">
        <v>23423</v>
      </c>
      <c r="AC4121">
        <v>0</v>
      </c>
      <c r="AF4121">
        <v>0</v>
      </c>
      <c r="AG4121">
        <v>1</v>
      </c>
      <c r="AH4121">
        <v>0</v>
      </c>
      <c r="AI4121">
        <v>89.06</v>
      </c>
      <c r="AM4121">
        <v>11124</v>
      </c>
      <c r="AS4121">
        <v>11</v>
      </c>
      <c r="AT4121" t="s">
        <v>585</v>
      </c>
      <c r="AU4121" t="s">
        <v>91</v>
      </c>
      <c r="AW4121" t="s">
        <v>11447</v>
      </c>
    </row>
    <row r="4122" spans="1:49">
      <c r="A4122" s="1">
        <f>HYPERLINK("https://lsnyc.legalserver.org/matter/dynamic-profile/view/1906027","19-1906027")</f>
        <v>0</v>
      </c>
      <c r="B4122" t="s">
        <v>133</v>
      </c>
      <c r="C4122" t="s">
        <v>461</v>
      </c>
      <c r="E4122" t="s">
        <v>1075</v>
      </c>
      <c r="F4122" t="s">
        <v>5699</v>
      </c>
      <c r="G4122" t="s">
        <v>9400</v>
      </c>
      <c r="H4122" t="s">
        <v>10819</v>
      </c>
      <c r="I4122" t="s">
        <v>11385</v>
      </c>
      <c r="J4122">
        <v>11226</v>
      </c>
      <c r="K4122" t="s">
        <v>11448</v>
      </c>
      <c r="L4122" t="s">
        <v>13650</v>
      </c>
      <c r="M4122" t="s">
        <v>14744</v>
      </c>
      <c r="N4122" t="s">
        <v>14781</v>
      </c>
      <c r="P4122" t="s">
        <v>14804</v>
      </c>
      <c r="Q4122" t="s">
        <v>11448</v>
      </c>
      <c r="S4122" t="s">
        <v>14827</v>
      </c>
      <c r="T4122" t="s">
        <v>14837</v>
      </c>
      <c r="V4122">
        <v>1475.14</v>
      </c>
      <c r="W4122" t="s">
        <v>14859</v>
      </c>
      <c r="X4122" t="s">
        <v>14865</v>
      </c>
      <c r="Z4122" t="s">
        <v>18308</v>
      </c>
      <c r="AA4122">
        <v>37698537</v>
      </c>
      <c r="AB4122" t="s">
        <v>23424</v>
      </c>
      <c r="AC4122">
        <v>104</v>
      </c>
      <c r="AD4122" t="s">
        <v>24595</v>
      </c>
      <c r="AE4122" t="s">
        <v>11459</v>
      </c>
      <c r="AF4122">
        <v>20</v>
      </c>
      <c r="AG4122">
        <v>1</v>
      </c>
      <c r="AH4122">
        <v>0</v>
      </c>
      <c r="AI4122">
        <v>95.31</v>
      </c>
      <c r="AL4122" t="s">
        <v>5011</v>
      </c>
      <c r="AM4122">
        <v>11904</v>
      </c>
      <c r="AS4122">
        <v>9.9</v>
      </c>
      <c r="AT4122" t="s">
        <v>476</v>
      </c>
      <c r="AU4122" t="s">
        <v>25235</v>
      </c>
      <c r="AV4122" t="s">
        <v>25335</v>
      </c>
      <c r="AW4122" t="s">
        <v>11447</v>
      </c>
    </row>
    <row r="4123" spans="1:49">
      <c r="A4123" s="1">
        <f>HYPERLINK("https://lsnyc.legalserver.org/matter/dynamic-profile/view/1909710","19-1909710")</f>
        <v>0</v>
      </c>
      <c r="B4123" t="s">
        <v>281</v>
      </c>
      <c r="C4123" t="s">
        <v>519</v>
      </c>
      <c r="E4123" t="s">
        <v>1113</v>
      </c>
      <c r="F4123" t="s">
        <v>2317</v>
      </c>
      <c r="G4123" t="s">
        <v>9220</v>
      </c>
      <c r="H4123" t="s">
        <v>10464</v>
      </c>
      <c r="I4123" t="s">
        <v>11385</v>
      </c>
      <c r="J4123">
        <v>11221</v>
      </c>
      <c r="K4123" t="s">
        <v>11446</v>
      </c>
      <c r="L4123" t="s">
        <v>13651</v>
      </c>
      <c r="M4123" t="s">
        <v>14744</v>
      </c>
      <c r="N4123" t="s">
        <v>14781</v>
      </c>
      <c r="P4123" t="s">
        <v>14804</v>
      </c>
      <c r="Q4123" t="s">
        <v>11448</v>
      </c>
      <c r="S4123" t="s">
        <v>14827</v>
      </c>
      <c r="V4123">
        <v>0</v>
      </c>
      <c r="W4123" t="s">
        <v>14859</v>
      </c>
      <c r="X4123" t="s">
        <v>14881</v>
      </c>
      <c r="Z4123" t="s">
        <v>18309</v>
      </c>
      <c r="AB4123" t="s">
        <v>23425</v>
      </c>
      <c r="AC4123">
        <v>0</v>
      </c>
      <c r="AF4123">
        <v>0</v>
      </c>
      <c r="AG4123">
        <v>2</v>
      </c>
      <c r="AH4123">
        <v>2</v>
      </c>
      <c r="AI4123">
        <v>112.62</v>
      </c>
      <c r="AL4123" t="s">
        <v>5011</v>
      </c>
      <c r="AM4123">
        <v>29000</v>
      </c>
      <c r="AS4123">
        <v>9</v>
      </c>
      <c r="AT4123" t="s">
        <v>509</v>
      </c>
      <c r="AU4123" t="s">
        <v>25285</v>
      </c>
      <c r="AV4123" t="s">
        <v>25335</v>
      </c>
      <c r="AW4123" t="s">
        <v>11447</v>
      </c>
    </row>
    <row r="4124" spans="1:49">
      <c r="A4124" s="1">
        <f>HYPERLINK("https://lsnyc.legalserver.org/matter/dynamic-profile/view/1915018","19-1915018")</f>
        <v>0</v>
      </c>
      <c r="B4124" t="s">
        <v>151</v>
      </c>
      <c r="C4124" t="s">
        <v>495</v>
      </c>
      <c r="E4124" t="s">
        <v>3061</v>
      </c>
      <c r="F4124" t="s">
        <v>5700</v>
      </c>
      <c r="G4124" t="s">
        <v>9401</v>
      </c>
      <c r="H4124" t="s">
        <v>11221</v>
      </c>
      <c r="I4124" t="s">
        <v>11385</v>
      </c>
      <c r="J4124">
        <v>11225</v>
      </c>
      <c r="K4124" t="s">
        <v>11446</v>
      </c>
      <c r="L4124" t="s">
        <v>13652</v>
      </c>
      <c r="N4124" t="s">
        <v>14782</v>
      </c>
      <c r="P4124" t="s">
        <v>14804</v>
      </c>
      <c r="S4124" t="s">
        <v>14827</v>
      </c>
      <c r="V4124">
        <v>0</v>
      </c>
      <c r="W4124" t="s">
        <v>14859</v>
      </c>
      <c r="X4124" t="s">
        <v>14881</v>
      </c>
      <c r="Z4124" t="s">
        <v>18310</v>
      </c>
      <c r="AB4124" t="s">
        <v>23426</v>
      </c>
      <c r="AC4124">
        <v>0</v>
      </c>
      <c r="AF4124">
        <v>0</v>
      </c>
      <c r="AG4124">
        <v>2</v>
      </c>
      <c r="AH4124">
        <v>0</v>
      </c>
      <c r="AI4124">
        <v>112.95</v>
      </c>
      <c r="AL4124" t="s">
        <v>5011</v>
      </c>
      <c r="AM4124">
        <v>19100</v>
      </c>
      <c r="AS4124">
        <v>0</v>
      </c>
      <c r="AU4124" t="s">
        <v>25306</v>
      </c>
      <c r="AV4124" t="s">
        <v>25335</v>
      </c>
      <c r="AW4124" t="s">
        <v>11447</v>
      </c>
    </row>
    <row r="4125" spans="1:49">
      <c r="A4125" s="1">
        <f>HYPERLINK("https://lsnyc.legalserver.org/matter/dynamic-profile/view/1906004","19-1906004")</f>
        <v>0</v>
      </c>
      <c r="B4125" t="s">
        <v>150</v>
      </c>
      <c r="C4125" t="s">
        <v>461</v>
      </c>
      <c r="E4125" t="s">
        <v>3062</v>
      </c>
      <c r="F4125" t="s">
        <v>5701</v>
      </c>
      <c r="G4125" t="s">
        <v>9402</v>
      </c>
      <c r="H4125" t="s">
        <v>10533</v>
      </c>
      <c r="I4125" t="s">
        <v>11385</v>
      </c>
      <c r="J4125">
        <v>11216</v>
      </c>
      <c r="K4125" t="s">
        <v>11447</v>
      </c>
      <c r="L4125" t="s">
        <v>13653</v>
      </c>
      <c r="M4125" t="s">
        <v>14744</v>
      </c>
      <c r="N4125" t="s">
        <v>14781</v>
      </c>
      <c r="P4125" t="s">
        <v>14804</v>
      </c>
      <c r="Q4125" t="s">
        <v>11448</v>
      </c>
      <c r="S4125" t="s">
        <v>14827</v>
      </c>
      <c r="T4125" t="s">
        <v>14832</v>
      </c>
      <c r="V4125">
        <v>765.64</v>
      </c>
      <c r="W4125" t="s">
        <v>14859</v>
      </c>
      <c r="X4125" t="s">
        <v>14865</v>
      </c>
      <c r="Z4125" t="s">
        <v>18311</v>
      </c>
      <c r="AC4125">
        <v>18</v>
      </c>
      <c r="AD4125" t="s">
        <v>24599</v>
      </c>
      <c r="AE4125" t="s">
        <v>24613</v>
      </c>
      <c r="AF4125">
        <v>55</v>
      </c>
      <c r="AG4125">
        <v>1</v>
      </c>
      <c r="AH4125">
        <v>0</v>
      </c>
      <c r="AI4125">
        <v>115.29</v>
      </c>
      <c r="AL4125" t="s">
        <v>5011</v>
      </c>
      <c r="AM4125">
        <v>14400</v>
      </c>
      <c r="AP4125" t="s">
        <v>24972</v>
      </c>
      <c r="AQ4125" t="s">
        <v>24986</v>
      </c>
      <c r="AR4125" t="s">
        <v>25025</v>
      </c>
      <c r="AS4125">
        <v>6.1</v>
      </c>
      <c r="AT4125" t="s">
        <v>497</v>
      </c>
      <c r="AU4125" t="s">
        <v>25277</v>
      </c>
      <c r="AW4125" t="s">
        <v>11447</v>
      </c>
    </row>
    <row r="4126" spans="1:49">
      <c r="A4126" s="1">
        <f>HYPERLINK("https://lsnyc.legalserver.org/matter/dynamic-profile/view/1891694","19-1891694")</f>
        <v>0</v>
      </c>
      <c r="B4126" t="s">
        <v>152</v>
      </c>
      <c r="C4126" t="s">
        <v>596</v>
      </c>
      <c r="E4126" t="s">
        <v>3063</v>
      </c>
      <c r="F4126" t="s">
        <v>5702</v>
      </c>
      <c r="G4126" t="s">
        <v>8027</v>
      </c>
      <c r="H4126" t="s">
        <v>10730</v>
      </c>
      <c r="I4126" t="s">
        <v>11385</v>
      </c>
      <c r="J4126">
        <v>11226</v>
      </c>
      <c r="K4126" t="s">
        <v>11447</v>
      </c>
      <c r="L4126" t="s">
        <v>13654</v>
      </c>
      <c r="M4126" t="s">
        <v>14744</v>
      </c>
      <c r="N4126" t="s">
        <v>14781</v>
      </c>
      <c r="P4126" t="s">
        <v>14804</v>
      </c>
      <c r="S4126" t="s">
        <v>14827</v>
      </c>
      <c r="V4126">
        <v>0</v>
      </c>
      <c r="W4126" t="s">
        <v>14859</v>
      </c>
      <c r="X4126" t="s">
        <v>14865</v>
      </c>
      <c r="Z4126" t="s">
        <v>18312</v>
      </c>
      <c r="AB4126" t="s">
        <v>23427</v>
      </c>
      <c r="AC4126">
        <v>79</v>
      </c>
      <c r="AF4126">
        <v>45</v>
      </c>
      <c r="AG4126">
        <v>2</v>
      </c>
      <c r="AH4126">
        <v>2</v>
      </c>
      <c r="AI4126">
        <v>120.39</v>
      </c>
      <c r="AL4126" t="s">
        <v>5011</v>
      </c>
      <c r="AM4126">
        <v>31000</v>
      </c>
      <c r="AS4126">
        <v>2.8</v>
      </c>
      <c r="AT4126" t="s">
        <v>643</v>
      </c>
      <c r="AU4126" t="s">
        <v>25235</v>
      </c>
      <c r="AW4126" t="s">
        <v>11447</v>
      </c>
    </row>
    <row r="4127" spans="1:49">
      <c r="A4127" s="1">
        <f>HYPERLINK("https://lsnyc.legalserver.org/matter/dynamic-profile/view/1915235","19-1915235")</f>
        <v>0</v>
      </c>
      <c r="B4127" t="s">
        <v>317</v>
      </c>
      <c r="C4127" t="s">
        <v>509</v>
      </c>
      <c r="E4127" t="s">
        <v>3064</v>
      </c>
      <c r="F4127" t="s">
        <v>5703</v>
      </c>
      <c r="G4127" t="s">
        <v>9403</v>
      </c>
      <c r="H4127" t="s">
        <v>10616</v>
      </c>
      <c r="I4127" t="s">
        <v>11385</v>
      </c>
      <c r="J4127">
        <v>11221</v>
      </c>
      <c r="K4127" t="s">
        <v>11446</v>
      </c>
      <c r="L4127" t="s">
        <v>13655</v>
      </c>
      <c r="M4127" t="s">
        <v>14744</v>
      </c>
      <c r="P4127" t="s">
        <v>14804</v>
      </c>
      <c r="S4127" t="s">
        <v>14827</v>
      </c>
      <c r="V4127">
        <v>886.35</v>
      </c>
      <c r="W4127" t="s">
        <v>14859</v>
      </c>
      <c r="X4127" t="s">
        <v>14881</v>
      </c>
      <c r="Z4127" t="s">
        <v>18313</v>
      </c>
      <c r="AB4127" t="s">
        <v>23428</v>
      </c>
      <c r="AC4127">
        <v>0</v>
      </c>
      <c r="AF4127">
        <v>35</v>
      </c>
      <c r="AG4127">
        <v>2</v>
      </c>
      <c r="AH4127">
        <v>3</v>
      </c>
      <c r="AI4127">
        <v>122.64</v>
      </c>
      <c r="AL4127" t="s">
        <v>5011</v>
      </c>
      <c r="AM4127">
        <v>37000</v>
      </c>
      <c r="AS4127">
        <v>5</v>
      </c>
      <c r="AT4127" t="s">
        <v>654</v>
      </c>
      <c r="AU4127" t="s">
        <v>25235</v>
      </c>
      <c r="AV4127" t="s">
        <v>25335</v>
      </c>
      <c r="AW4127" t="s">
        <v>11447</v>
      </c>
    </row>
    <row r="4128" spans="1:49">
      <c r="A4128" s="1">
        <f>HYPERLINK("https://lsnyc.legalserver.org/matter/dynamic-profile/view/1911507","19-1911507")</f>
        <v>0</v>
      </c>
      <c r="B4128" t="s">
        <v>193</v>
      </c>
      <c r="C4128" t="s">
        <v>486</v>
      </c>
      <c r="E4128" t="s">
        <v>1324</v>
      </c>
      <c r="F4128" t="s">
        <v>3901</v>
      </c>
      <c r="G4128" t="s">
        <v>9404</v>
      </c>
      <c r="I4128" t="s">
        <v>11385</v>
      </c>
      <c r="J4128">
        <v>11225</v>
      </c>
      <c r="K4128" t="s">
        <v>11447</v>
      </c>
      <c r="M4128" t="s">
        <v>11601</v>
      </c>
      <c r="P4128" t="s">
        <v>14804</v>
      </c>
      <c r="S4128" t="s">
        <v>14827</v>
      </c>
      <c r="V4128">
        <v>820</v>
      </c>
      <c r="W4128" t="s">
        <v>14859</v>
      </c>
      <c r="Z4128" t="s">
        <v>18314</v>
      </c>
      <c r="AC4128">
        <v>0</v>
      </c>
      <c r="AD4128" t="s">
        <v>24595</v>
      </c>
      <c r="AE4128" t="s">
        <v>24613</v>
      </c>
      <c r="AF4128">
        <v>43</v>
      </c>
      <c r="AG4128">
        <v>1</v>
      </c>
      <c r="AH4128">
        <v>0</v>
      </c>
      <c r="AI4128">
        <v>123.75</v>
      </c>
      <c r="AL4128" t="s">
        <v>5011</v>
      </c>
      <c r="AM4128">
        <v>15456</v>
      </c>
      <c r="AS4128">
        <v>3.1</v>
      </c>
      <c r="AT4128" t="s">
        <v>484</v>
      </c>
      <c r="AU4128" t="s">
        <v>25231</v>
      </c>
      <c r="AW4128" t="s">
        <v>11447</v>
      </c>
    </row>
    <row r="4129" spans="1:49">
      <c r="A4129" s="1">
        <f>HYPERLINK("https://lsnyc.legalserver.org/matter/dynamic-profile/view/1914557","19-1914557")</f>
        <v>0</v>
      </c>
      <c r="B4129" t="s">
        <v>150</v>
      </c>
      <c r="C4129" t="s">
        <v>478</v>
      </c>
      <c r="E4129" t="s">
        <v>1104</v>
      </c>
      <c r="F4129" t="s">
        <v>4251</v>
      </c>
      <c r="G4129" t="s">
        <v>9405</v>
      </c>
      <c r="H4129">
        <v>205</v>
      </c>
      <c r="I4129" t="s">
        <v>11385</v>
      </c>
      <c r="J4129">
        <v>11226</v>
      </c>
      <c r="K4129" t="s">
        <v>11447</v>
      </c>
      <c r="L4129" t="s">
        <v>13656</v>
      </c>
      <c r="M4129" t="s">
        <v>14744</v>
      </c>
      <c r="N4129" t="s">
        <v>14781</v>
      </c>
      <c r="P4129" t="s">
        <v>14804</v>
      </c>
      <c r="S4129" t="s">
        <v>14828</v>
      </c>
      <c r="V4129">
        <v>0</v>
      </c>
      <c r="W4129" t="s">
        <v>14859</v>
      </c>
      <c r="Z4129" t="s">
        <v>18315</v>
      </c>
      <c r="AB4129" t="s">
        <v>23429</v>
      </c>
      <c r="AC4129">
        <v>0</v>
      </c>
      <c r="AF4129">
        <v>0</v>
      </c>
      <c r="AG4129">
        <v>2</v>
      </c>
      <c r="AH4129">
        <v>0</v>
      </c>
      <c r="AI4129">
        <v>124.99</v>
      </c>
      <c r="AL4129" t="s">
        <v>5011</v>
      </c>
      <c r="AM4129">
        <v>21136</v>
      </c>
      <c r="AS4129">
        <v>0.5</v>
      </c>
      <c r="AT4129" t="s">
        <v>495</v>
      </c>
      <c r="AU4129" t="s">
        <v>25277</v>
      </c>
      <c r="AW4129" t="s">
        <v>11447</v>
      </c>
    </row>
    <row r="4130" spans="1:49">
      <c r="A4130" s="1">
        <f>HYPERLINK("https://lsnyc.legalserver.org/matter/dynamic-profile/view/1915361","19-1915361")</f>
        <v>0</v>
      </c>
      <c r="B4130" t="s">
        <v>240</v>
      </c>
      <c r="C4130" t="s">
        <v>495</v>
      </c>
      <c r="E4130" t="s">
        <v>3065</v>
      </c>
      <c r="F4130" t="s">
        <v>1276</v>
      </c>
      <c r="G4130" t="s">
        <v>9179</v>
      </c>
      <c r="H4130" t="s">
        <v>11210</v>
      </c>
      <c r="I4130" t="s">
        <v>11385</v>
      </c>
      <c r="J4130">
        <v>11226</v>
      </c>
      <c r="K4130" t="s">
        <v>11446</v>
      </c>
      <c r="L4130" t="s">
        <v>13657</v>
      </c>
      <c r="M4130" t="s">
        <v>14744</v>
      </c>
      <c r="N4130" t="s">
        <v>14782</v>
      </c>
      <c r="P4130" t="s">
        <v>14804</v>
      </c>
      <c r="S4130" t="s">
        <v>14827</v>
      </c>
      <c r="V4130">
        <v>1373</v>
      </c>
      <c r="W4130" t="s">
        <v>14859</v>
      </c>
      <c r="X4130" t="s">
        <v>14865</v>
      </c>
      <c r="Z4130" t="s">
        <v>18316</v>
      </c>
      <c r="AB4130" t="s">
        <v>23430</v>
      </c>
      <c r="AC4130">
        <v>0</v>
      </c>
      <c r="AF4130">
        <v>20</v>
      </c>
      <c r="AG4130">
        <v>2</v>
      </c>
      <c r="AH4130">
        <v>0</v>
      </c>
      <c r="AI4130">
        <v>130.01</v>
      </c>
      <c r="AL4130" t="s">
        <v>24641</v>
      </c>
      <c r="AM4130">
        <v>21984</v>
      </c>
      <c r="AS4130">
        <v>0</v>
      </c>
      <c r="AU4130" t="s">
        <v>25235</v>
      </c>
      <c r="AV4130" t="s">
        <v>25335</v>
      </c>
      <c r="AW4130" t="s">
        <v>11447</v>
      </c>
    </row>
    <row r="4131" spans="1:49">
      <c r="A4131" s="1">
        <f>HYPERLINK("https://lsnyc.legalserver.org/matter/dynamic-profile/view/1903015","19-1903015")</f>
        <v>0</v>
      </c>
      <c r="B4131" t="s">
        <v>133</v>
      </c>
      <c r="C4131" t="s">
        <v>659</v>
      </c>
      <c r="E4131" t="s">
        <v>1270</v>
      </c>
      <c r="F4131" t="s">
        <v>3623</v>
      </c>
      <c r="G4131" t="s">
        <v>9406</v>
      </c>
      <c r="H4131" t="s">
        <v>10665</v>
      </c>
      <c r="I4131" t="s">
        <v>11385</v>
      </c>
      <c r="J4131">
        <v>11226</v>
      </c>
      <c r="K4131" t="s">
        <v>11448</v>
      </c>
      <c r="L4131" t="s">
        <v>13658</v>
      </c>
      <c r="M4131" t="s">
        <v>14744</v>
      </c>
      <c r="N4131" t="s">
        <v>14781</v>
      </c>
      <c r="P4131" t="s">
        <v>14804</v>
      </c>
      <c r="S4131" t="s">
        <v>14827</v>
      </c>
      <c r="T4131" t="s">
        <v>14832</v>
      </c>
      <c r="V4131">
        <v>1500</v>
      </c>
      <c r="W4131" t="s">
        <v>14859</v>
      </c>
      <c r="X4131" t="s">
        <v>14865</v>
      </c>
      <c r="Z4131" t="s">
        <v>18317</v>
      </c>
      <c r="AB4131" t="s">
        <v>22725</v>
      </c>
      <c r="AC4131">
        <v>24</v>
      </c>
      <c r="AE4131" t="s">
        <v>11459</v>
      </c>
      <c r="AF4131">
        <v>-1</v>
      </c>
      <c r="AG4131">
        <v>2</v>
      </c>
      <c r="AH4131">
        <v>2</v>
      </c>
      <c r="AI4131">
        <v>131.46</v>
      </c>
      <c r="AL4131" t="s">
        <v>5011</v>
      </c>
      <c r="AM4131">
        <v>33852</v>
      </c>
      <c r="AS4131">
        <v>15.75</v>
      </c>
      <c r="AT4131" t="s">
        <v>516</v>
      </c>
      <c r="AU4131" t="s">
        <v>25235</v>
      </c>
      <c r="AV4131" t="s">
        <v>25335</v>
      </c>
      <c r="AW4131" t="s">
        <v>11447</v>
      </c>
    </row>
    <row r="4132" spans="1:49">
      <c r="A4132" s="1">
        <f>HYPERLINK("https://lsnyc.legalserver.org/matter/dynamic-profile/view/1914365","19-1914365")</f>
        <v>0</v>
      </c>
      <c r="B4132" t="s">
        <v>150</v>
      </c>
      <c r="C4132" t="s">
        <v>506</v>
      </c>
      <c r="E4132" t="s">
        <v>1295</v>
      </c>
      <c r="F4132" t="s">
        <v>4673</v>
      </c>
      <c r="G4132" t="s">
        <v>9407</v>
      </c>
      <c r="H4132">
        <v>1</v>
      </c>
      <c r="I4132" t="s">
        <v>11385</v>
      </c>
      <c r="J4132">
        <v>11226</v>
      </c>
      <c r="K4132" t="s">
        <v>11446</v>
      </c>
      <c r="L4132" t="s">
        <v>13659</v>
      </c>
      <c r="M4132" t="s">
        <v>14744</v>
      </c>
      <c r="N4132" t="s">
        <v>14781</v>
      </c>
      <c r="P4132" t="s">
        <v>14804</v>
      </c>
      <c r="Q4132" t="s">
        <v>11448</v>
      </c>
      <c r="S4132" t="s">
        <v>14827</v>
      </c>
      <c r="V4132">
        <v>2300</v>
      </c>
      <c r="W4132" t="s">
        <v>14859</v>
      </c>
      <c r="X4132" t="s">
        <v>14863</v>
      </c>
      <c r="Z4132" t="s">
        <v>18318</v>
      </c>
      <c r="AB4132" t="s">
        <v>23431</v>
      </c>
      <c r="AC4132">
        <v>3</v>
      </c>
      <c r="AD4132" t="s">
        <v>24600</v>
      </c>
      <c r="AF4132">
        <v>1</v>
      </c>
      <c r="AG4132">
        <v>2</v>
      </c>
      <c r="AH4132">
        <v>0</v>
      </c>
      <c r="AI4132">
        <v>136.01</v>
      </c>
      <c r="AL4132" t="s">
        <v>5011</v>
      </c>
      <c r="AM4132">
        <v>23000</v>
      </c>
      <c r="AS4132">
        <v>1.2</v>
      </c>
      <c r="AT4132" t="s">
        <v>495</v>
      </c>
      <c r="AU4132" t="s">
        <v>25246</v>
      </c>
      <c r="AV4132" t="s">
        <v>25335</v>
      </c>
      <c r="AW4132" t="s">
        <v>11447</v>
      </c>
    </row>
    <row r="4133" spans="1:49">
      <c r="A4133" s="1">
        <f>HYPERLINK("https://lsnyc.legalserver.org/matter/dynamic-profile/view/1906756","19-1906756")</f>
        <v>0</v>
      </c>
      <c r="B4133" t="s">
        <v>151</v>
      </c>
      <c r="C4133" t="s">
        <v>620</v>
      </c>
      <c r="E4133" t="s">
        <v>1598</v>
      </c>
      <c r="F4133" t="s">
        <v>4777</v>
      </c>
      <c r="G4133" t="s">
        <v>9408</v>
      </c>
      <c r="H4133" t="s">
        <v>10569</v>
      </c>
      <c r="I4133" t="s">
        <v>11385</v>
      </c>
      <c r="J4133">
        <v>11210</v>
      </c>
      <c r="K4133" t="s">
        <v>11447</v>
      </c>
      <c r="M4133" t="s">
        <v>14744</v>
      </c>
      <c r="N4133" t="s">
        <v>14779</v>
      </c>
      <c r="P4133" t="s">
        <v>14804</v>
      </c>
      <c r="S4133" t="s">
        <v>14827</v>
      </c>
      <c r="V4133">
        <v>900</v>
      </c>
      <c r="W4133" t="s">
        <v>14859</v>
      </c>
      <c r="X4133" t="s">
        <v>14881</v>
      </c>
      <c r="Z4133" t="s">
        <v>18319</v>
      </c>
      <c r="AB4133" t="s">
        <v>23432</v>
      </c>
      <c r="AC4133">
        <v>0</v>
      </c>
      <c r="AF4133">
        <v>17</v>
      </c>
      <c r="AG4133">
        <v>1</v>
      </c>
      <c r="AH4133">
        <v>1</v>
      </c>
      <c r="AI4133">
        <v>142.14</v>
      </c>
      <c r="AL4133" t="s">
        <v>5011</v>
      </c>
      <c r="AM4133">
        <v>24036</v>
      </c>
      <c r="AS4133">
        <v>2.4</v>
      </c>
      <c r="AT4133" t="s">
        <v>703</v>
      </c>
      <c r="AU4133" t="s">
        <v>25230</v>
      </c>
      <c r="AW4133" t="s">
        <v>11447</v>
      </c>
    </row>
    <row r="4134" spans="1:49">
      <c r="A4134" s="1">
        <f>HYPERLINK("https://lsnyc.legalserver.org/matter/dynamic-profile/view/1911340","19-1911340")</f>
        <v>0</v>
      </c>
      <c r="B4134" t="s">
        <v>191</v>
      </c>
      <c r="C4134" t="s">
        <v>467</v>
      </c>
      <c r="E4134" t="s">
        <v>1364</v>
      </c>
      <c r="F4134" t="s">
        <v>5704</v>
      </c>
      <c r="G4134" t="s">
        <v>9409</v>
      </c>
      <c r="H4134" t="s">
        <v>11232</v>
      </c>
      <c r="I4134" t="s">
        <v>11385</v>
      </c>
      <c r="J4134">
        <v>11216</v>
      </c>
      <c r="K4134" t="s">
        <v>11446</v>
      </c>
      <c r="L4134" t="s">
        <v>13660</v>
      </c>
      <c r="M4134" t="s">
        <v>14744</v>
      </c>
      <c r="N4134" t="s">
        <v>14781</v>
      </c>
      <c r="P4134" t="s">
        <v>14804</v>
      </c>
      <c r="Q4134" t="s">
        <v>11448</v>
      </c>
      <c r="S4134" t="s">
        <v>14827</v>
      </c>
      <c r="V4134">
        <v>0</v>
      </c>
      <c r="W4134" t="s">
        <v>14859</v>
      </c>
      <c r="X4134" t="s">
        <v>14865</v>
      </c>
      <c r="Z4134" t="s">
        <v>18320</v>
      </c>
      <c r="AB4134" t="s">
        <v>23433</v>
      </c>
      <c r="AC4134">
        <v>0</v>
      </c>
      <c r="AD4134" t="s">
        <v>24595</v>
      </c>
      <c r="AE4134" t="s">
        <v>14755</v>
      </c>
      <c r="AF4134">
        <v>0</v>
      </c>
      <c r="AG4134">
        <v>2</v>
      </c>
      <c r="AH4134">
        <v>0</v>
      </c>
      <c r="AI4134">
        <v>157.75</v>
      </c>
      <c r="AL4134" t="s">
        <v>5011</v>
      </c>
      <c r="AM4134">
        <v>26676</v>
      </c>
      <c r="AS4134">
        <v>5.5</v>
      </c>
      <c r="AT4134" t="s">
        <v>533</v>
      </c>
      <c r="AU4134" t="s">
        <v>25246</v>
      </c>
      <c r="AV4134" t="s">
        <v>25335</v>
      </c>
      <c r="AW4134" t="s">
        <v>11447</v>
      </c>
    </row>
    <row r="4135" spans="1:49">
      <c r="A4135" s="1">
        <f>HYPERLINK("https://lsnyc.legalserver.org/matter/dynamic-profile/view/1886468","18-1886468")</f>
        <v>0</v>
      </c>
      <c r="B4135" t="s">
        <v>267</v>
      </c>
      <c r="C4135" t="s">
        <v>451</v>
      </c>
      <c r="E4135" t="s">
        <v>2057</v>
      </c>
      <c r="F4135" t="s">
        <v>5705</v>
      </c>
      <c r="G4135" t="s">
        <v>9410</v>
      </c>
      <c r="H4135" t="s">
        <v>10568</v>
      </c>
      <c r="I4135" t="s">
        <v>11385</v>
      </c>
      <c r="J4135">
        <v>11225</v>
      </c>
      <c r="K4135" t="s">
        <v>11447</v>
      </c>
      <c r="M4135" t="s">
        <v>11601</v>
      </c>
      <c r="N4135" t="s">
        <v>14780</v>
      </c>
      <c r="P4135" t="s">
        <v>14804</v>
      </c>
      <c r="Q4135" t="s">
        <v>11448</v>
      </c>
      <c r="S4135" t="s">
        <v>14827</v>
      </c>
      <c r="T4135" t="s">
        <v>14832</v>
      </c>
      <c r="V4135">
        <v>870</v>
      </c>
      <c r="W4135" t="s">
        <v>14859</v>
      </c>
      <c r="X4135" t="s">
        <v>14755</v>
      </c>
      <c r="Z4135" t="s">
        <v>18321</v>
      </c>
      <c r="AC4135">
        <v>59</v>
      </c>
      <c r="AD4135" t="s">
        <v>24595</v>
      </c>
      <c r="AE4135" t="s">
        <v>11459</v>
      </c>
      <c r="AF4135">
        <v>27</v>
      </c>
      <c r="AG4135">
        <v>1</v>
      </c>
      <c r="AH4135">
        <v>0</v>
      </c>
      <c r="AI4135">
        <v>164.74</v>
      </c>
      <c r="AL4135" t="s">
        <v>5011</v>
      </c>
      <c r="AM4135">
        <v>20000</v>
      </c>
      <c r="AS4135">
        <v>27.3</v>
      </c>
      <c r="AT4135" t="s">
        <v>574</v>
      </c>
      <c r="AU4135" t="s">
        <v>25285</v>
      </c>
      <c r="AW4135" t="s">
        <v>11447</v>
      </c>
    </row>
    <row r="4136" spans="1:49">
      <c r="A4136" s="1">
        <f>HYPERLINK("https://lsnyc.legalserver.org/matter/dynamic-profile/view/1862616","18-1862616")</f>
        <v>0</v>
      </c>
      <c r="B4136" t="s">
        <v>281</v>
      </c>
      <c r="C4136" t="s">
        <v>750</v>
      </c>
      <c r="E4136" t="s">
        <v>3066</v>
      </c>
      <c r="F4136" t="s">
        <v>5706</v>
      </c>
      <c r="G4136" t="s">
        <v>7961</v>
      </c>
      <c r="H4136" t="s">
        <v>10467</v>
      </c>
      <c r="I4136" t="s">
        <v>11385</v>
      </c>
      <c r="J4136">
        <v>11225</v>
      </c>
      <c r="K4136" t="s">
        <v>11448</v>
      </c>
      <c r="M4136" t="s">
        <v>14743</v>
      </c>
      <c r="N4136" t="s">
        <v>14781</v>
      </c>
      <c r="P4136" t="s">
        <v>14804</v>
      </c>
      <c r="Q4136" t="s">
        <v>11446</v>
      </c>
      <c r="S4136" t="s">
        <v>14827</v>
      </c>
      <c r="V4136">
        <v>2065</v>
      </c>
      <c r="W4136" t="s">
        <v>14859</v>
      </c>
      <c r="X4136" t="s">
        <v>14874</v>
      </c>
      <c r="Z4136" t="s">
        <v>18322</v>
      </c>
      <c r="AB4136" t="s">
        <v>23434</v>
      </c>
      <c r="AC4136">
        <v>828</v>
      </c>
      <c r="AD4136" t="s">
        <v>24600</v>
      </c>
      <c r="AF4136">
        <v>3</v>
      </c>
      <c r="AG4136">
        <v>3</v>
      </c>
      <c r="AH4136">
        <v>4</v>
      </c>
      <c r="AI4136">
        <v>179.72</v>
      </c>
      <c r="AL4136" t="s">
        <v>5011</v>
      </c>
      <c r="AM4136">
        <v>68400</v>
      </c>
      <c r="AS4136">
        <v>58.4</v>
      </c>
      <c r="AT4136" t="s">
        <v>758</v>
      </c>
      <c r="AU4136" t="s">
        <v>25245</v>
      </c>
      <c r="AW4136" t="s">
        <v>11447</v>
      </c>
    </row>
    <row r="4137" spans="1:49">
      <c r="A4137" s="1">
        <f>HYPERLINK("https://lsnyc.legalserver.org/matter/dynamic-profile/view/1915327","19-1915327")</f>
        <v>0</v>
      </c>
      <c r="B4137" t="s">
        <v>151</v>
      </c>
      <c r="C4137" t="s">
        <v>509</v>
      </c>
      <c r="E4137" t="s">
        <v>1301</v>
      </c>
      <c r="F4137" t="s">
        <v>5707</v>
      </c>
      <c r="G4137" t="s">
        <v>7961</v>
      </c>
      <c r="H4137" t="s">
        <v>10665</v>
      </c>
      <c r="I4137" t="s">
        <v>11385</v>
      </c>
      <c r="J4137">
        <v>11225</v>
      </c>
      <c r="K4137" t="s">
        <v>11446</v>
      </c>
      <c r="L4137" t="s">
        <v>13661</v>
      </c>
      <c r="M4137" t="s">
        <v>14744</v>
      </c>
      <c r="N4137" t="s">
        <v>14782</v>
      </c>
      <c r="P4137" t="s">
        <v>14804</v>
      </c>
      <c r="S4137" t="s">
        <v>14827</v>
      </c>
      <c r="V4137">
        <v>1800.75</v>
      </c>
      <c r="W4137" t="s">
        <v>14859</v>
      </c>
      <c r="X4137" t="s">
        <v>14881</v>
      </c>
      <c r="Z4137" t="s">
        <v>18323</v>
      </c>
      <c r="AB4137" t="s">
        <v>23435</v>
      </c>
      <c r="AC4137">
        <v>0</v>
      </c>
      <c r="AF4137">
        <v>7</v>
      </c>
      <c r="AG4137">
        <v>1</v>
      </c>
      <c r="AH4137">
        <v>1</v>
      </c>
      <c r="AI4137">
        <v>184.51</v>
      </c>
      <c r="AL4137" t="s">
        <v>5011</v>
      </c>
      <c r="AM4137">
        <v>31200</v>
      </c>
      <c r="AS4137">
        <v>0</v>
      </c>
      <c r="AU4137" t="s">
        <v>25235</v>
      </c>
      <c r="AV4137" t="s">
        <v>25335</v>
      </c>
      <c r="AW4137" t="s">
        <v>11447</v>
      </c>
    </row>
    <row r="4138" spans="1:49">
      <c r="A4138" s="1">
        <f>HYPERLINK("https://lsnyc.legalserver.org/matter/dynamic-profile/view/1906339","19-1906339")</f>
        <v>0</v>
      </c>
      <c r="B4138" t="s">
        <v>151</v>
      </c>
      <c r="C4138" t="s">
        <v>355</v>
      </c>
      <c r="E4138" t="s">
        <v>1099</v>
      </c>
      <c r="F4138" t="s">
        <v>3959</v>
      </c>
      <c r="G4138" t="s">
        <v>9411</v>
      </c>
      <c r="H4138" t="s">
        <v>10620</v>
      </c>
      <c r="I4138" t="s">
        <v>11385</v>
      </c>
      <c r="J4138">
        <v>11225</v>
      </c>
      <c r="K4138" t="s">
        <v>11448</v>
      </c>
      <c r="M4138" t="s">
        <v>11601</v>
      </c>
      <c r="N4138" t="s">
        <v>14778</v>
      </c>
      <c r="P4138" t="s">
        <v>14804</v>
      </c>
      <c r="S4138" t="s">
        <v>14827</v>
      </c>
      <c r="V4138">
        <v>1254.73</v>
      </c>
      <c r="W4138" t="s">
        <v>14859</v>
      </c>
      <c r="X4138" t="s">
        <v>14865</v>
      </c>
      <c r="Z4138" t="s">
        <v>18324</v>
      </c>
      <c r="AB4138" t="s">
        <v>23436</v>
      </c>
      <c r="AC4138">
        <v>60</v>
      </c>
      <c r="AD4138" t="s">
        <v>24595</v>
      </c>
      <c r="AF4138">
        <v>15</v>
      </c>
      <c r="AG4138">
        <v>1</v>
      </c>
      <c r="AH4138">
        <v>0</v>
      </c>
      <c r="AI4138">
        <v>187.35</v>
      </c>
      <c r="AL4138" t="s">
        <v>5011</v>
      </c>
      <c r="AM4138">
        <v>23400</v>
      </c>
      <c r="AS4138">
        <v>0.5</v>
      </c>
      <c r="AT4138" t="s">
        <v>373</v>
      </c>
      <c r="AU4138" t="s">
        <v>25230</v>
      </c>
      <c r="AW4138" t="s">
        <v>11447</v>
      </c>
    </row>
    <row r="4139" spans="1:49">
      <c r="A4139" s="1">
        <f>HYPERLINK("https://lsnyc.legalserver.org/matter/dynamic-profile/view/1906272","19-1906272")</f>
        <v>0</v>
      </c>
      <c r="B4139" t="s">
        <v>141</v>
      </c>
      <c r="C4139" t="s">
        <v>355</v>
      </c>
      <c r="E4139" t="s">
        <v>1557</v>
      </c>
      <c r="F4139" t="s">
        <v>5708</v>
      </c>
      <c r="G4139" t="s">
        <v>9412</v>
      </c>
      <c r="H4139">
        <v>69</v>
      </c>
      <c r="I4139" t="s">
        <v>11385</v>
      </c>
      <c r="J4139">
        <v>11226</v>
      </c>
      <c r="K4139" t="s">
        <v>11448</v>
      </c>
      <c r="L4139" t="s">
        <v>13662</v>
      </c>
      <c r="M4139" t="s">
        <v>14744</v>
      </c>
      <c r="N4139" t="s">
        <v>14781</v>
      </c>
      <c r="P4139" t="s">
        <v>14804</v>
      </c>
      <c r="S4139" t="s">
        <v>14827</v>
      </c>
      <c r="V4139">
        <v>869.96</v>
      </c>
      <c r="W4139" t="s">
        <v>14859</v>
      </c>
      <c r="Z4139" t="s">
        <v>18325</v>
      </c>
      <c r="AB4139" t="s">
        <v>23437</v>
      </c>
      <c r="AC4139">
        <v>0</v>
      </c>
      <c r="AD4139" t="s">
        <v>24595</v>
      </c>
      <c r="AF4139">
        <v>49</v>
      </c>
      <c r="AG4139">
        <v>1</v>
      </c>
      <c r="AH4139">
        <v>0</v>
      </c>
      <c r="AI4139">
        <v>200.13</v>
      </c>
      <c r="AJ4139" t="s">
        <v>455</v>
      </c>
      <c r="AK4139" t="s">
        <v>24629</v>
      </c>
      <c r="AL4139" t="s">
        <v>5011</v>
      </c>
      <c r="AM4139">
        <v>24996</v>
      </c>
      <c r="AS4139">
        <v>7.8</v>
      </c>
      <c r="AT4139" t="s">
        <v>468</v>
      </c>
      <c r="AU4139" t="s">
        <v>25230</v>
      </c>
      <c r="AW4139" t="s">
        <v>11447</v>
      </c>
    </row>
    <row r="4140" spans="1:49">
      <c r="A4140" s="1">
        <f>HYPERLINK("https://lsnyc.legalserver.org/matter/dynamic-profile/view/1872205","18-1872205")</f>
        <v>0</v>
      </c>
      <c r="B4140" t="s">
        <v>150</v>
      </c>
      <c r="C4140" t="s">
        <v>864</v>
      </c>
      <c r="E4140" t="s">
        <v>1584</v>
      </c>
      <c r="F4140" t="s">
        <v>3525</v>
      </c>
      <c r="G4140" t="s">
        <v>9413</v>
      </c>
      <c r="H4140" t="s">
        <v>11233</v>
      </c>
      <c r="I4140" t="s">
        <v>11385</v>
      </c>
      <c r="J4140">
        <v>11225</v>
      </c>
      <c r="K4140" t="s">
        <v>11448</v>
      </c>
      <c r="L4140" t="s">
        <v>13663</v>
      </c>
      <c r="M4140" t="s">
        <v>14743</v>
      </c>
      <c r="N4140" t="s">
        <v>14781</v>
      </c>
      <c r="P4140" t="s">
        <v>14804</v>
      </c>
      <c r="Q4140" t="s">
        <v>11448</v>
      </c>
      <c r="S4140" t="s">
        <v>14827</v>
      </c>
      <c r="T4140" t="s">
        <v>14832</v>
      </c>
      <c r="V4140">
        <v>857</v>
      </c>
      <c r="W4140" t="s">
        <v>14859</v>
      </c>
      <c r="X4140" t="s">
        <v>14881</v>
      </c>
      <c r="Z4140" t="s">
        <v>18326</v>
      </c>
      <c r="AB4140" t="s">
        <v>23438</v>
      </c>
      <c r="AC4140">
        <v>60</v>
      </c>
      <c r="AD4140" t="s">
        <v>24595</v>
      </c>
      <c r="AE4140" t="s">
        <v>24613</v>
      </c>
      <c r="AF4140">
        <v>21</v>
      </c>
      <c r="AG4140">
        <v>1</v>
      </c>
      <c r="AH4140">
        <v>0</v>
      </c>
      <c r="AI4140">
        <v>200.46</v>
      </c>
      <c r="AJ4140" t="s">
        <v>440</v>
      </c>
      <c r="AL4140" t="s">
        <v>5011</v>
      </c>
      <c r="AM4140">
        <v>24336</v>
      </c>
      <c r="AO4140" t="s">
        <v>24930</v>
      </c>
      <c r="AP4140" t="s">
        <v>24973</v>
      </c>
      <c r="AQ4140" t="s">
        <v>24986</v>
      </c>
      <c r="AR4140" t="s">
        <v>25094</v>
      </c>
      <c r="AS4140">
        <v>41.2</v>
      </c>
      <c r="AT4140" t="s">
        <v>361</v>
      </c>
      <c r="AU4140" t="s">
        <v>25275</v>
      </c>
      <c r="AW4140" t="s">
        <v>11447</v>
      </c>
    </row>
    <row r="4141" spans="1:49">
      <c r="A4141" s="1">
        <f>HYPERLINK("https://lsnyc.legalserver.org/matter/dynamic-profile/view/1904872","19-1904872")</f>
        <v>0</v>
      </c>
      <c r="B4141" t="s">
        <v>151</v>
      </c>
      <c r="C4141" t="s">
        <v>345</v>
      </c>
      <c r="E4141" t="s">
        <v>3067</v>
      </c>
      <c r="F4141" t="s">
        <v>5709</v>
      </c>
      <c r="G4141" t="s">
        <v>9414</v>
      </c>
      <c r="H4141" t="s">
        <v>10522</v>
      </c>
      <c r="I4141" t="s">
        <v>11385</v>
      </c>
      <c r="J4141">
        <v>11216</v>
      </c>
      <c r="K4141" t="s">
        <v>11447</v>
      </c>
      <c r="L4141" t="s">
        <v>13664</v>
      </c>
      <c r="M4141" t="s">
        <v>14743</v>
      </c>
      <c r="N4141" t="s">
        <v>14778</v>
      </c>
      <c r="P4141" t="s">
        <v>14804</v>
      </c>
      <c r="S4141" t="s">
        <v>14827</v>
      </c>
      <c r="V4141">
        <v>654</v>
      </c>
      <c r="W4141" t="s">
        <v>14859</v>
      </c>
      <c r="X4141" t="s">
        <v>14868</v>
      </c>
      <c r="Z4141" t="s">
        <v>18327</v>
      </c>
      <c r="AA4141" t="s">
        <v>19839</v>
      </c>
      <c r="AB4141" t="s">
        <v>23439</v>
      </c>
      <c r="AC4141">
        <v>40</v>
      </c>
      <c r="AD4141" t="s">
        <v>24595</v>
      </c>
      <c r="AF4141">
        <v>6</v>
      </c>
      <c r="AG4141">
        <v>1</v>
      </c>
      <c r="AH4141">
        <v>0</v>
      </c>
      <c r="AI4141">
        <v>208.17</v>
      </c>
      <c r="AJ4141" t="s">
        <v>455</v>
      </c>
      <c r="AK4141" t="s">
        <v>24629</v>
      </c>
      <c r="AL4141" t="s">
        <v>5011</v>
      </c>
      <c r="AM4141">
        <v>26000</v>
      </c>
      <c r="AS4141">
        <v>0.7</v>
      </c>
      <c r="AT4141" t="s">
        <v>355</v>
      </c>
      <c r="AU4141" t="s">
        <v>25230</v>
      </c>
      <c r="AW4141" t="s">
        <v>11447</v>
      </c>
    </row>
    <row r="4142" spans="1:49">
      <c r="A4142" s="1">
        <f>HYPERLINK("https://lsnyc.legalserver.org/matter/dynamic-profile/view/1903276","19-1903276")</f>
        <v>0</v>
      </c>
      <c r="B4142" t="s">
        <v>282</v>
      </c>
      <c r="C4142" t="s">
        <v>469</v>
      </c>
      <c r="E4142" t="s">
        <v>1104</v>
      </c>
      <c r="F4142" t="s">
        <v>4025</v>
      </c>
      <c r="G4142" t="s">
        <v>9415</v>
      </c>
      <c r="H4142">
        <v>1</v>
      </c>
      <c r="I4142" t="s">
        <v>11385</v>
      </c>
      <c r="J4142">
        <v>11225</v>
      </c>
      <c r="K4142" t="s">
        <v>11447</v>
      </c>
      <c r="L4142" t="s">
        <v>13665</v>
      </c>
      <c r="M4142" t="s">
        <v>14743</v>
      </c>
      <c r="N4142" t="s">
        <v>14781</v>
      </c>
      <c r="P4142" t="s">
        <v>14804</v>
      </c>
      <c r="S4142" t="s">
        <v>14827</v>
      </c>
      <c r="V4142">
        <v>1500</v>
      </c>
      <c r="W4142" t="s">
        <v>14859</v>
      </c>
      <c r="X4142" t="s">
        <v>14881</v>
      </c>
      <c r="Z4142" t="s">
        <v>18328</v>
      </c>
      <c r="AB4142" t="s">
        <v>23440</v>
      </c>
      <c r="AC4142">
        <v>0</v>
      </c>
      <c r="AE4142" t="s">
        <v>11459</v>
      </c>
      <c r="AF4142">
        <v>22</v>
      </c>
      <c r="AG4142">
        <v>1</v>
      </c>
      <c r="AH4142">
        <v>0</v>
      </c>
      <c r="AI4142">
        <v>211.37</v>
      </c>
      <c r="AM4142">
        <v>26400</v>
      </c>
      <c r="AS4142">
        <v>25.6</v>
      </c>
      <c r="AT4142" t="s">
        <v>491</v>
      </c>
      <c r="AU4142" t="s">
        <v>25235</v>
      </c>
      <c r="AW4142" t="s">
        <v>11447</v>
      </c>
    </row>
    <row r="4143" spans="1:49">
      <c r="A4143" s="1">
        <f>HYPERLINK("https://lsnyc.legalserver.org/matter/dynamic-profile/view/1912966","19-1912966")</f>
        <v>0</v>
      </c>
      <c r="B4143" t="s">
        <v>127</v>
      </c>
      <c r="C4143" t="s">
        <v>574</v>
      </c>
      <c r="E4143" t="s">
        <v>1663</v>
      </c>
      <c r="F4143" t="s">
        <v>3819</v>
      </c>
      <c r="G4143" t="s">
        <v>9416</v>
      </c>
      <c r="H4143" t="s">
        <v>11234</v>
      </c>
      <c r="I4143" t="s">
        <v>11385</v>
      </c>
      <c r="J4143">
        <v>11221</v>
      </c>
      <c r="K4143" t="s">
        <v>11448</v>
      </c>
      <c r="L4143" t="s">
        <v>13666</v>
      </c>
      <c r="M4143" t="s">
        <v>14744</v>
      </c>
      <c r="N4143" t="s">
        <v>14778</v>
      </c>
      <c r="P4143" t="s">
        <v>14804</v>
      </c>
      <c r="S4143" t="s">
        <v>14828</v>
      </c>
      <c r="V4143">
        <v>0</v>
      </c>
      <c r="W4143" t="s">
        <v>14859</v>
      </c>
      <c r="Z4143" t="s">
        <v>18329</v>
      </c>
      <c r="AB4143" t="s">
        <v>23441</v>
      </c>
      <c r="AC4143">
        <v>0</v>
      </c>
      <c r="AF4143">
        <v>0</v>
      </c>
      <c r="AG4143">
        <v>3</v>
      </c>
      <c r="AH4143">
        <v>1</v>
      </c>
      <c r="AI4143">
        <v>212.89</v>
      </c>
      <c r="AL4143" t="s">
        <v>5011</v>
      </c>
      <c r="AM4143">
        <v>54820</v>
      </c>
      <c r="AS4143">
        <v>2.5</v>
      </c>
      <c r="AT4143" t="s">
        <v>521</v>
      </c>
      <c r="AU4143" t="s">
        <v>25277</v>
      </c>
      <c r="AW4143" t="s">
        <v>11447</v>
      </c>
    </row>
    <row r="4144" spans="1:49">
      <c r="A4144" s="1">
        <f>HYPERLINK("https://lsnyc.legalserver.org/matter/dynamic-profile/view/1913464","19-1913464")</f>
        <v>0</v>
      </c>
      <c r="B4144" t="s">
        <v>284</v>
      </c>
      <c r="C4144" t="s">
        <v>484</v>
      </c>
      <c r="E4144" t="s">
        <v>3068</v>
      </c>
      <c r="F4144" t="s">
        <v>3796</v>
      </c>
      <c r="G4144" t="s">
        <v>9417</v>
      </c>
      <c r="H4144" t="s">
        <v>10802</v>
      </c>
      <c r="I4144" t="s">
        <v>11385</v>
      </c>
      <c r="J4144">
        <v>11226</v>
      </c>
      <c r="K4144" t="s">
        <v>11446</v>
      </c>
      <c r="L4144" t="s">
        <v>13667</v>
      </c>
      <c r="M4144" t="s">
        <v>14743</v>
      </c>
      <c r="N4144" t="s">
        <v>14782</v>
      </c>
      <c r="P4144" t="s">
        <v>14804</v>
      </c>
      <c r="S4144" t="s">
        <v>14827</v>
      </c>
      <c r="V4144">
        <v>0</v>
      </c>
      <c r="W4144" t="s">
        <v>14859</v>
      </c>
      <c r="X4144" t="s">
        <v>14865</v>
      </c>
      <c r="Z4144" t="s">
        <v>18330</v>
      </c>
      <c r="AB4144" t="s">
        <v>23442</v>
      </c>
      <c r="AC4144">
        <v>50</v>
      </c>
      <c r="AE4144" t="s">
        <v>11459</v>
      </c>
      <c r="AF4144">
        <v>0</v>
      </c>
      <c r="AG4144">
        <v>1</v>
      </c>
      <c r="AH4144">
        <v>0</v>
      </c>
      <c r="AI4144">
        <v>219.06</v>
      </c>
      <c r="AL4144" t="s">
        <v>5011</v>
      </c>
      <c r="AM4144">
        <v>27360</v>
      </c>
      <c r="AS4144">
        <v>3.5</v>
      </c>
      <c r="AT4144" t="s">
        <v>495</v>
      </c>
      <c r="AU4144" t="s">
        <v>25235</v>
      </c>
      <c r="AV4144" t="s">
        <v>25335</v>
      </c>
      <c r="AW4144" t="s">
        <v>11447</v>
      </c>
    </row>
    <row r="4145" spans="1:49">
      <c r="A4145" s="1">
        <f>HYPERLINK("https://lsnyc.legalserver.org/matter/dynamic-profile/view/1911276","19-1911276")</f>
        <v>0</v>
      </c>
      <c r="B4145" t="s">
        <v>255</v>
      </c>
      <c r="C4145" t="s">
        <v>511</v>
      </c>
      <c r="E4145" t="s">
        <v>2731</v>
      </c>
      <c r="F4145" t="s">
        <v>3623</v>
      </c>
      <c r="G4145" t="s">
        <v>9418</v>
      </c>
      <c r="I4145" t="s">
        <v>11385</v>
      </c>
      <c r="J4145">
        <v>11221</v>
      </c>
      <c r="K4145" t="s">
        <v>11446</v>
      </c>
      <c r="L4145" t="s">
        <v>13668</v>
      </c>
      <c r="M4145" t="s">
        <v>14744</v>
      </c>
      <c r="N4145" t="s">
        <v>14781</v>
      </c>
      <c r="P4145" t="s">
        <v>14804</v>
      </c>
      <c r="Q4145" t="s">
        <v>11448</v>
      </c>
      <c r="S4145" t="s">
        <v>14827</v>
      </c>
      <c r="V4145">
        <v>0</v>
      </c>
      <c r="W4145" t="s">
        <v>14859</v>
      </c>
      <c r="X4145" t="s">
        <v>14865</v>
      </c>
      <c r="Z4145" t="s">
        <v>18331</v>
      </c>
      <c r="AB4145" t="s">
        <v>23443</v>
      </c>
      <c r="AC4145">
        <v>0</v>
      </c>
      <c r="AD4145" t="s">
        <v>24595</v>
      </c>
      <c r="AF4145">
        <v>0</v>
      </c>
      <c r="AG4145">
        <v>1</v>
      </c>
      <c r="AH4145">
        <v>0</v>
      </c>
      <c r="AI4145">
        <v>246.47</v>
      </c>
      <c r="AL4145" t="s">
        <v>5011</v>
      </c>
      <c r="AM4145">
        <v>30784</v>
      </c>
      <c r="AS4145">
        <v>2.6</v>
      </c>
      <c r="AT4145" t="s">
        <v>559</v>
      </c>
      <c r="AU4145" t="s">
        <v>25275</v>
      </c>
      <c r="AV4145" t="s">
        <v>25335</v>
      </c>
      <c r="AW4145" t="s">
        <v>11447</v>
      </c>
    </row>
    <row r="4146" spans="1:49">
      <c r="A4146" s="1">
        <f>HYPERLINK("https://lsnyc.legalserver.org/matter/dynamic-profile/view/1899015","19-1899015")</f>
        <v>0</v>
      </c>
      <c r="B4146" t="s">
        <v>127</v>
      </c>
      <c r="C4146" t="s">
        <v>512</v>
      </c>
      <c r="E4146" t="s">
        <v>3069</v>
      </c>
      <c r="F4146" t="s">
        <v>5710</v>
      </c>
      <c r="G4146" t="s">
        <v>9419</v>
      </c>
      <c r="H4146" t="s">
        <v>10514</v>
      </c>
      <c r="I4146" t="s">
        <v>11385</v>
      </c>
      <c r="J4146">
        <v>11226</v>
      </c>
      <c r="K4146" t="s">
        <v>11448</v>
      </c>
      <c r="L4146" t="s">
        <v>13669</v>
      </c>
      <c r="M4146" t="s">
        <v>14744</v>
      </c>
      <c r="N4146" t="s">
        <v>14781</v>
      </c>
      <c r="P4146" t="s">
        <v>14804</v>
      </c>
      <c r="S4146" t="s">
        <v>14827</v>
      </c>
      <c r="V4146">
        <v>1070</v>
      </c>
      <c r="W4146" t="s">
        <v>14859</v>
      </c>
      <c r="X4146" t="s">
        <v>14865</v>
      </c>
      <c r="Z4146" t="s">
        <v>18332</v>
      </c>
      <c r="AA4146" t="s">
        <v>19840</v>
      </c>
      <c r="AB4146" t="s">
        <v>23444</v>
      </c>
      <c r="AC4146">
        <v>95</v>
      </c>
      <c r="AF4146">
        <v>9</v>
      </c>
      <c r="AG4146">
        <v>2</v>
      </c>
      <c r="AH4146">
        <v>0</v>
      </c>
      <c r="AI4146">
        <v>281.5</v>
      </c>
      <c r="AL4146" t="s">
        <v>5011</v>
      </c>
      <c r="AM4146">
        <v>47602</v>
      </c>
      <c r="AS4146">
        <v>51.9</v>
      </c>
      <c r="AT4146" t="s">
        <v>516</v>
      </c>
      <c r="AU4146" t="s">
        <v>25235</v>
      </c>
      <c r="AW4146" t="s">
        <v>11447</v>
      </c>
    </row>
    <row r="4147" spans="1:49">
      <c r="A4147" s="1">
        <f>HYPERLINK("https://lsnyc.legalserver.org/matter/dynamic-profile/view/1890388","19-1890388")</f>
        <v>0</v>
      </c>
      <c r="B4147" t="s">
        <v>233</v>
      </c>
      <c r="C4147" t="s">
        <v>676</v>
      </c>
      <c r="E4147" t="s">
        <v>1670</v>
      </c>
      <c r="F4147" t="s">
        <v>5711</v>
      </c>
      <c r="G4147" t="s">
        <v>9420</v>
      </c>
      <c r="H4147" t="s">
        <v>11235</v>
      </c>
      <c r="I4147" t="s">
        <v>11385</v>
      </c>
      <c r="J4147">
        <v>11225</v>
      </c>
      <c r="K4147" t="s">
        <v>11448</v>
      </c>
      <c r="L4147" t="s">
        <v>13670</v>
      </c>
      <c r="M4147" t="s">
        <v>14744</v>
      </c>
      <c r="N4147" t="s">
        <v>14781</v>
      </c>
      <c r="P4147" t="s">
        <v>14804</v>
      </c>
      <c r="Q4147" t="s">
        <v>11448</v>
      </c>
      <c r="S4147" t="s">
        <v>14827</v>
      </c>
      <c r="V4147">
        <v>850</v>
      </c>
      <c r="W4147" t="s">
        <v>14859</v>
      </c>
      <c r="X4147" t="s">
        <v>14881</v>
      </c>
      <c r="Z4147" t="s">
        <v>18333</v>
      </c>
      <c r="AB4147" t="s">
        <v>23445</v>
      </c>
      <c r="AC4147">
        <v>15</v>
      </c>
      <c r="AE4147" t="s">
        <v>11459</v>
      </c>
      <c r="AF4147">
        <v>8</v>
      </c>
      <c r="AG4147">
        <v>2</v>
      </c>
      <c r="AH4147">
        <v>0</v>
      </c>
      <c r="AI4147">
        <v>292.13</v>
      </c>
      <c r="AL4147" t="s">
        <v>5011</v>
      </c>
      <c r="AM4147">
        <v>49400</v>
      </c>
      <c r="AS4147">
        <v>33.5</v>
      </c>
      <c r="AT4147" t="s">
        <v>539</v>
      </c>
      <c r="AU4147" t="s">
        <v>25285</v>
      </c>
      <c r="AW4147" t="s">
        <v>11446</v>
      </c>
    </row>
    <row r="4148" spans="1:49">
      <c r="A4148" s="1">
        <f>HYPERLINK("https://lsnyc.legalserver.org/matter/dynamic-profile/view/1904213","19-1904213")</f>
        <v>0</v>
      </c>
      <c r="B4148" t="s">
        <v>257</v>
      </c>
      <c r="C4148" t="s">
        <v>338</v>
      </c>
      <c r="D4148" t="s">
        <v>456</v>
      </c>
      <c r="E4148" t="s">
        <v>1610</v>
      </c>
      <c r="F4148" t="s">
        <v>5712</v>
      </c>
      <c r="G4148" t="s">
        <v>9421</v>
      </c>
      <c r="H4148" t="s">
        <v>10527</v>
      </c>
      <c r="I4148" t="s">
        <v>11383</v>
      </c>
      <c r="J4148">
        <v>10467</v>
      </c>
      <c r="K4148" t="s">
        <v>11446</v>
      </c>
      <c r="L4148" t="s">
        <v>13671</v>
      </c>
      <c r="M4148" t="s">
        <v>14744</v>
      </c>
      <c r="N4148" t="s">
        <v>14781</v>
      </c>
      <c r="O4148" t="s">
        <v>14788</v>
      </c>
      <c r="P4148" t="s">
        <v>14805</v>
      </c>
      <c r="Q4148" t="s">
        <v>11448</v>
      </c>
      <c r="S4148" t="s">
        <v>14827</v>
      </c>
      <c r="T4148" t="s">
        <v>14836</v>
      </c>
      <c r="U4148" t="s">
        <v>338</v>
      </c>
      <c r="V4148">
        <v>1506.54</v>
      </c>
      <c r="W4148" t="s">
        <v>14858</v>
      </c>
      <c r="X4148" t="s">
        <v>14868</v>
      </c>
      <c r="Y4148" t="s">
        <v>14887</v>
      </c>
      <c r="Z4148" t="s">
        <v>18334</v>
      </c>
      <c r="AA4148" t="s">
        <v>19841</v>
      </c>
      <c r="AB4148" t="s">
        <v>23446</v>
      </c>
      <c r="AC4148">
        <v>0</v>
      </c>
      <c r="AD4148" t="s">
        <v>24595</v>
      </c>
      <c r="AE4148" t="s">
        <v>24610</v>
      </c>
      <c r="AF4148">
        <v>4</v>
      </c>
      <c r="AG4148">
        <v>3</v>
      </c>
      <c r="AH4148">
        <v>0</v>
      </c>
      <c r="AI4148">
        <v>196.91</v>
      </c>
      <c r="AL4148" t="s">
        <v>24632</v>
      </c>
      <c r="AM4148">
        <v>42000</v>
      </c>
      <c r="AO4148" t="s">
        <v>24932</v>
      </c>
      <c r="AP4148" t="s">
        <v>24964</v>
      </c>
      <c r="AQ4148" t="s">
        <v>24986</v>
      </c>
      <c r="AR4148" t="s">
        <v>25054</v>
      </c>
      <c r="AS4148">
        <v>6.3</v>
      </c>
      <c r="AT4148" t="s">
        <v>365</v>
      </c>
      <c r="AU4148" t="s">
        <v>25252</v>
      </c>
      <c r="AV4148" t="s">
        <v>25335</v>
      </c>
      <c r="AW4148" t="s">
        <v>11447</v>
      </c>
    </row>
    <row r="4149" spans="1:49">
      <c r="A4149" s="1">
        <f>HYPERLINK("https://lsnyc.legalserver.org/matter/dynamic-profile/view/1905491","19-1905491")</f>
        <v>0</v>
      </c>
      <c r="B4149" t="s">
        <v>81</v>
      </c>
      <c r="C4149" t="s">
        <v>520</v>
      </c>
      <c r="D4149" t="s">
        <v>618</v>
      </c>
      <c r="E4149" t="s">
        <v>1650</v>
      </c>
      <c r="F4149" t="s">
        <v>5713</v>
      </c>
      <c r="G4149" t="s">
        <v>9422</v>
      </c>
      <c r="H4149" t="s">
        <v>10510</v>
      </c>
      <c r="I4149" t="s">
        <v>11383</v>
      </c>
      <c r="J4149">
        <v>10468</v>
      </c>
      <c r="K4149" t="s">
        <v>11446</v>
      </c>
      <c r="N4149" t="s">
        <v>14778</v>
      </c>
      <c r="O4149" t="s">
        <v>14786</v>
      </c>
      <c r="P4149" t="s">
        <v>14805</v>
      </c>
      <c r="S4149" t="s">
        <v>14827</v>
      </c>
      <c r="V4149">
        <v>1160</v>
      </c>
      <c r="W4149" t="s">
        <v>14858</v>
      </c>
      <c r="Y4149" t="s">
        <v>14883</v>
      </c>
      <c r="Z4149" t="s">
        <v>18335</v>
      </c>
      <c r="AC4149">
        <v>0</v>
      </c>
      <c r="AF4149">
        <v>9</v>
      </c>
      <c r="AG4149">
        <v>2</v>
      </c>
      <c r="AH4149">
        <v>1</v>
      </c>
      <c r="AI4149">
        <v>248.48</v>
      </c>
      <c r="AL4149" t="s">
        <v>24632</v>
      </c>
      <c r="AM4149">
        <v>53000</v>
      </c>
      <c r="AS4149">
        <v>0.2</v>
      </c>
      <c r="AT4149" t="s">
        <v>618</v>
      </c>
      <c r="AU4149" t="s">
        <v>114</v>
      </c>
      <c r="AW4149" t="s">
        <v>11447</v>
      </c>
    </row>
    <row r="4150" spans="1:49">
      <c r="A4150" s="1">
        <f>HYPERLINK("https://lsnyc.legalserver.org/matter/dynamic-profile/view/1905513","19-1905513")</f>
        <v>0</v>
      </c>
      <c r="B4150" t="s">
        <v>81</v>
      </c>
      <c r="C4150" t="s">
        <v>520</v>
      </c>
      <c r="D4150" t="s">
        <v>618</v>
      </c>
      <c r="E4150" t="s">
        <v>2922</v>
      </c>
      <c r="F4150" t="s">
        <v>5714</v>
      </c>
      <c r="G4150" t="s">
        <v>9423</v>
      </c>
      <c r="H4150" t="s">
        <v>11236</v>
      </c>
      <c r="I4150" t="s">
        <v>11383</v>
      </c>
      <c r="J4150">
        <v>10457</v>
      </c>
      <c r="K4150" t="s">
        <v>11446</v>
      </c>
      <c r="N4150" t="s">
        <v>14778</v>
      </c>
      <c r="O4150" t="s">
        <v>14786</v>
      </c>
      <c r="P4150" t="s">
        <v>14805</v>
      </c>
      <c r="S4150" t="s">
        <v>14827</v>
      </c>
      <c r="V4150">
        <v>712.42</v>
      </c>
      <c r="W4150" t="s">
        <v>14858</v>
      </c>
      <c r="X4150" t="s">
        <v>14863</v>
      </c>
      <c r="Y4150" t="s">
        <v>14883</v>
      </c>
      <c r="Z4150" t="s">
        <v>18336</v>
      </c>
      <c r="AB4150" t="s">
        <v>23447</v>
      </c>
      <c r="AC4150">
        <v>40</v>
      </c>
      <c r="AF4150">
        <v>10</v>
      </c>
      <c r="AG4150">
        <v>1</v>
      </c>
      <c r="AH4150">
        <v>0</v>
      </c>
      <c r="AI4150">
        <v>304.24</v>
      </c>
      <c r="AM4150">
        <v>38000</v>
      </c>
      <c r="AS4150">
        <v>0.3</v>
      </c>
      <c r="AT4150" t="s">
        <v>618</v>
      </c>
      <c r="AU4150" t="s">
        <v>145</v>
      </c>
      <c r="AV4150" t="s">
        <v>25335</v>
      </c>
      <c r="AW4150" t="s">
        <v>11447</v>
      </c>
    </row>
    <row r="4151" spans="1:49">
      <c r="A4151" s="1">
        <f>HYPERLINK("https://lsnyc.legalserver.org/matter/dynamic-profile/view/1906649","19-1906649")</f>
        <v>0</v>
      </c>
      <c r="B4151" t="s">
        <v>96</v>
      </c>
      <c r="C4151" t="s">
        <v>380</v>
      </c>
      <c r="D4151" t="s">
        <v>355</v>
      </c>
      <c r="E4151" t="s">
        <v>1247</v>
      </c>
      <c r="F4151" t="s">
        <v>5715</v>
      </c>
      <c r="G4151" t="s">
        <v>9424</v>
      </c>
      <c r="H4151" t="s">
        <v>10468</v>
      </c>
      <c r="I4151" t="s">
        <v>11383</v>
      </c>
      <c r="J4151">
        <v>10457</v>
      </c>
      <c r="K4151" t="s">
        <v>11446</v>
      </c>
      <c r="L4151" t="s">
        <v>13672</v>
      </c>
      <c r="M4151" t="s">
        <v>14744</v>
      </c>
      <c r="N4151" t="s">
        <v>14781</v>
      </c>
      <c r="O4151" t="s">
        <v>14788</v>
      </c>
      <c r="P4151" t="s">
        <v>14805</v>
      </c>
      <c r="Q4151" t="s">
        <v>11448</v>
      </c>
      <c r="S4151" t="s">
        <v>14827</v>
      </c>
      <c r="T4151" t="s">
        <v>14836</v>
      </c>
      <c r="U4151" t="s">
        <v>380</v>
      </c>
      <c r="V4151">
        <v>1086</v>
      </c>
      <c r="W4151" t="s">
        <v>14858</v>
      </c>
      <c r="X4151" t="s">
        <v>14863</v>
      </c>
      <c r="Y4151" t="s">
        <v>14894</v>
      </c>
      <c r="Z4151" t="s">
        <v>18337</v>
      </c>
      <c r="AA4151" t="s">
        <v>19842</v>
      </c>
      <c r="AB4151" t="s">
        <v>23448</v>
      </c>
      <c r="AC4151">
        <v>0</v>
      </c>
      <c r="AD4151" t="s">
        <v>11479</v>
      </c>
      <c r="AE4151" t="s">
        <v>11459</v>
      </c>
      <c r="AF4151">
        <v>5</v>
      </c>
      <c r="AG4151">
        <v>2</v>
      </c>
      <c r="AH4151">
        <v>1</v>
      </c>
      <c r="AI4151">
        <v>113.98</v>
      </c>
      <c r="AL4151" t="s">
        <v>5011</v>
      </c>
      <c r="AM4151">
        <v>24312</v>
      </c>
      <c r="AO4151" t="s">
        <v>24933</v>
      </c>
      <c r="AQ4151" t="s">
        <v>24986</v>
      </c>
      <c r="AR4151" t="s">
        <v>25040</v>
      </c>
      <c r="AS4151">
        <v>1.25</v>
      </c>
      <c r="AT4151" t="s">
        <v>355</v>
      </c>
      <c r="AU4151" t="s">
        <v>25268</v>
      </c>
      <c r="AV4151" t="s">
        <v>25335</v>
      </c>
      <c r="AW4151" t="s">
        <v>11447</v>
      </c>
    </row>
    <row r="4152" spans="1:49">
      <c r="A4152" s="1">
        <f>HYPERLINK("https://lsnyc.legalserver.org/matter/dynamic-profile/view/1905175","19-1905175")</f>
        <v>0</v>
      </c>
      <c r="B4152" t="s">
        <v>111</v>
      </c>
      <c r="C4152" t="s">
        <v>480</v>
      </c>
      <c r="D4152" t="s">
        <v>380</v>
      </c>
      <c r="E4152" t="s">
        <v>1670</v>
      </c>
      <c r="F4152" t="s">
        <v>4532</v>
      </c>
      <c r="G4152" t="s">
        <v>9425</v>
      </c>
      <c r="H4152" t="s">
        <v>10666</v>
      </c>
      <c r="I4152" t="s">
        <v>11383</v>
      </c>
      <c r="J4152">
        <v>10468</v>
      </c>
      <c r="K4152" t="s">
        <v>11446</v>
      </c>
      <c r="L4152" t="s">
        <v>13673</v>
      </c>
      <c r="M4152" t="s">
        <v>14744</v>
      </c>
      <c r="N4152" t="s">
        <v>14781</v>
      </c>
      <c r="O4152" t="s">
        <v>14788</v>
      </c>
      <c r="P4152" t="s">
        <v>14805</v>
      </c>
      <c r="Q4152" t="s">
        <v>11448</v>
      </c>
      <c r="S4152" t="s">
        <v>14827</v>
      </c>
      <c r="T4152" t="s">
        <v>14834</v>
      </c>
      <c r="U4152" t="s">
        <v>553</v>
      </c>
      <c r="V4152">
        <v>1225</v>
      </c>
      <c r="W4152" t="s">
        <v>14858</v>
      </c>
      <c r="Y4152" t="s">
        <v>14887</v>
      </c>
      <c r="Z4152" t="s">
        <v>16627</v>
      </c>
      <c r="AA4152" t="s">
        <v>19843</v>
      </c>
      <c r="AC4152">
        <v>35</v>
      </c>
      <c r="AD4152" t="s">
        <v>24595</v>
      </c>
      <c r="AF4152">
        <v>8</v>
      </c>
      <c r="AG4152">
        <v>1</v>
      </c>
      <c r="AH4152">
        <v>1</v>
      </c>
      <c r="AI4152">
        <v>123</v>
      </c>
      <c r="AL4152" t="s">
        <v>24632</v>
      </c>
      <c r="AM4152">
        <v>20800</v>
      </c>
      <c r="AO4152" t="s">
        <v>24931</v>
      </c>
      <c r="AP4152" t="s">
        <v>24942</v>
      </c>
      <c r="AQ4152" t="s">
        <v>24986</v>
      </c>
      <c r="AR4152" t="s">
        <v>25093</v>
      </c>
      <c r="AS4152">
        <v>15.25</v>
      </c>
      <c r="AT4152" t="s">
        <v>553</v>
      </c>
      <c r="AU4152" t="s">
        <v>25232</v>
      </c>
      <c r="AV4152" t="s">
        <v>25335</v>
      </c>
      <c r="AW4152" t="s">
        <v>11447</v>
      </c>
    </row>
    <row r="4153" spans="1:49">
      <c r="A4153" s="1">
        <f>HYPERLINK("https://lsnyc.legalserver.org/matter/dynamic-profile/view/1899524","19-1899524")</f>
        <v>0</v>
      </c>
      <c r="B4153" t="s">
        <v>297</v>
      </c>
      <c r="C4153" t="s">
        <v>329</v>
      </c>
      <c r="D4153" t="s">
        <v>564</v>
      </c>
      <c r="E4153" t="s">
        <v>3070</v>
      </c>
      <c r="F4153" t="s">
        <v>1272</v>
      </c>
      <c r="G4153" t="s">
        <v>9426</v>
      </c>
      <c r="H4153" t="s">
        <v>11237</v>
      </c>
      <c r="I4153" t="s">
        <v>11383</v>
      </c>
      <c r="J4153">
        <v>10467</v>
      </c>
      <c r="K4153" t="s">
        <v>11446</v>
      </c>
      <c r="L4153" t="s">
        <v>13674</v>
      </c>
      <c r="M4153" t="s">
        <v>14743</v>
      </c>
      <c r="N4153" t="s">
        <v>14781</v>
      </c>
      <c r="O4153" t="s">
        <v>14788</v>
      </c>
      <c r="P4153" t="s">
        <v>14805</v>
      </c>
      <c r="Q4153" t="s">
        <v>11448</v>
      </c>
      <c r="S4153" t="s">
        <v>14827</v>
      </c>
      <c r="T4153" t="s">
        <v>14832</v>
      </c>
      <c r="U4153" t="s">
        <v>545</v>
      </c>
      <c r="V4153">
        <v>1515</v>
      </c>
      <c r="W4153" t="s">
        <v>14858</v>
      </c>
      <c r="X4153" t="s">
        <v>14865</v>
      </c>
      <c r="Y4153" t="s">
        <v>14889</v>
      </c>
      <c r="Z4153" t="s">
        <v>18338</v>
      </c>
      <c r="AC4153">
        <v>4</v>
      </c>
      <c r="AD4153" t="s">
        <v>24600</v>
      </c>
      <c r="AE4153" t="s">
        <v>24616</v>
      </c>
      <c r="AF4153">
        <v>4</v>
      </c>
      <c r="AG4153">
        <v>1</v>
      </c>
      <c r="AH4153">
        <v>2</v>
      </c>
      <c r="AI4153">
        <v>102.39</v>
      </c>
      <c r="AL4153" t="s">
        <v>5011</v>
      </c>
      <c r="AM4153">
        <v>21840</v>
      </c>
      <c r="AP4153" t="s">
        <v>24941</v>
      </c>
      <c r="AQ4153" t="s">
        <v>24987</v>
      </c>
      <c r="AR4153" t="s">
        <v>25079</v>
      </c>
      <c r="AS4153">
        <v>7.65</v>
      </c>
      <c r="AT4153" t="s">
        <v>564</v>
      </c>
      <c r="AU4153" t="s">
        <v>237</v>
      </c>
      <c r="AV4153" t="s">
        <v>25335</v>
      </c>
      <c r="AW4153" t="s">
        <v>11447</v>
      </c>
    </row>
    <row r="4154" spans="1:49">
      <c r="A4154" s="1">
        <f>HYPERLINK("https://lsnyc.legalserver.org/matter/dynamic-profile/view/1901750","19-1901750")</f>
        <v>0</v>
      </c>
      <c r="B4154" t="s">
        <v>297</v>
      </c>
      <c r="C4154" t="s">
        <v>459</v>
      </c>
      <c r="D4154" t="s">
        <v>564</v>
      </c>
      <c r="E4154" t="s">
        <v>1137</v>
      </c>
      <c r="F4154" t="s">
        <v>1925</v>
      </c>
      <c r="G4154" t="s">
        <v>9427</v>
      </c>
      <c r="H4154" t="s">
        <v>10598</v>
      </c>
      <c r="I4154" t="s">
        <v>11383</v>
      </c>
      <c r="J4154">
        <v>10467</v>
      </c>
      <c r="K4154" t="s">
        <v>11446</v>
      </c>
      <c r="L4154" t="s">
        <v>13675</v>
      </c>
      <c r="M4154" t="s">
        <v>14744</v>
      </c>
      <c r="N4154" t="s">
        <v>14781</v>
      </c>
      <c r="O4154" t="s">
        <v>14788</v>
      </c>
      <c r="P4154" t="s">
        <v>14805</v>
      </c>
      <c r="Q4154" t="s">
        <v>11448</v>
      </c>
      <c r="S4154" t="s">
        <v>14827</v>
      </c>
      <c r="T4154" t="s">
        <v>14832</v>
      </c>
      <c r="U4154" t="s">
        <v>545</v>
      </c>
      <c r="V4154">
        <v>1398</v>
      </c>
      <c r="W4154" t="s">
        <v>14858</v>
      </c>
      <c r="X4154" t="s">
        <v>14865</v>
      </c>
      <c r="Y4154" t="s">
        <v>14894</v>
      </c>
      <c r="Z4154" t="s">
        <v>15732</v>
      </c>
      <c r="AB4154" t="s">
        <v>23449</v>
      </c>
      <c r="AC4154">
        <v>49</v>
      </c>
      <c r="AD4154" t="s">
        <v>24595</v>
      </c>
      <c r="AE4154" t="s">
        <v>11459</v>
      </c>
      <c r="AF4154">
        <v>5</v>
      </c>
      <c r="AG4154">
        <v>2</v>
      </c>
      <c r="AH4154">
        <v>0</v>
      </c>
      <c r="AI4154">
        <v>215.26</v>
      </c>
      <c r="AL4154" t="s">
        <v>5011</v>
      </c>
      <c r="AM4154">
        <v>36400</v>
      </c>
      <c r="AP4154" t="s">
        <v>24959</v>
      </c>
      <c r="AQ4154" t="s">
        <v>24986</v>
      </c>
      <c r="AR4154" t="s">
        <v>25093</v>
      </c>
      <c r="AS4154">
        <v>6.6</v>
      </c>
      <c r="AT4154" t="s">
        <v>564</v>
      </c>
      <c r="AU4154" t="s">
        <v>237</v>
      </c>
      <c r="AV4154" t="s">
        <v>25335</v>
      </c>
      <c r="AW4154" t="s">
        <v>11447</v>
      </c>
    </row>
    <row r="4155" spans="1:49">
      <c r="A4155" s="1">
        <f>HYPERLINK("https://lsnyc.legalserver.org/matter/dynamic-profile/view/1904361","19-1904361")</f>
        <v>0</v>
      </c>
      <c r="B4155" t="s">
        <v>81</v>
      </c>
      <c r="C4155" t="s">
        <v>332</v>
      </c>
      <c r="D4155" t="s">
        <v>564</v>
      </c>
      <c r="E4155" t="s">
        <v>1406</v>
      </c>
      <c r="F4155" t="s">
        <v>3769</v>
      </c>
      <c r="G4155" t="s">
        <v>9428</v>
      </c>
      <c r="H4155" t="s">
        <v>10914</v>
      </c>
      <c r="I4155" t="s">
        <v>11383</v>
      </c>
      <c r="J4155">
        <v>10467</v>
      </c>
      <c r="K4155" t="s">
        <v>11446</v>
      </c>
      <c r="L4155" t="s">
        <v>13676</v>
      </c>
      <c r="M4155" t="s">
        <v>14744</v>
      </c>
      <c r="N4155" t="s">
        <v>14778</v>
      </c>
      <c r="O4155" t="s">
        <v>14786</v>
      </c>
      <c r="P4155" t="s">
        <v>14805</v>
      </c>
      <c r="Q4155" t="s">
        <v>11448</v>
      </c>
      <c r="S4155" t="s">
        <v>14827</v>
      </c>
      <c r="U4155" t="s">
        <v>485</v>
      </c>
      <c r="V4155">
        <v>1380</v>
      </c>
      <c r="W4155" t="s">
        <v>14858</v>
      </c>
      <c r="X4155" t="s">
        <v>14863</v>
      </c>
      <c r="Y4155" t="s">
        <v>14883</v>
      </c>
      <c r="Z4155" t="s">
        <v>18339</v>
      </c>
      <c r="AB4155" t="s">
        <v>23450</v>
      </c>
      <c r="AC4155">
        <v>40</v>
      </c>
      <c r="AD4155" t="s">
        <v>11479</v>
      </c>
      <c r="AE4155" t="s">
        <v>11459</v>
      </c>
      <c r="AF4155">
        <v>0</v>
      </c>
      <c r="AG4155">
        <v>2</v>
      </c>
      <c r="AH4155">
        <v>1</v>
      </c>
      <c r="AI4155">
        <v>245.66</v>
      </c>
      <c r="AL4155" t="s">
        <v>5011</v>
      </c>
      <c r="AM4155">
        <v>52400</v>
      </c>
      <c r="AN4155" t="s">
        <v>24887</v>
      </c>
      <c r="AS4155">
        <v>0.6</v>
      </c>
      <c r="AT4155" t="s">
        <v>496</v>
      </c>
      <c r="AU4155" t="s">
        <v>25252</v>
      </c>
      <c r="AV4155" t="s">
        <v>25335</v>
      </c>
      <c r="AW4155" t="s">
        <v>11447</v>
      </c>
    </row>
    <row r="4156" spans="1:49">
      <c r="A4156" s="1">
        <f>HYPERLINK("https://lsnyc.legalserver.org/matter/dynamic-profile/view/1906903","19-1906903")</f>
        <v>0</v>
      </c>
      <c r="B4156" t="s">
        <v>319</v>
      </c>
      <c r="C4156" t="s">
        <v>354</v>
      </c>
      <c r="D4156" t="s">
        <v>354</v>
      </c>
      <c r="E4156" t="s">
        <v>1653</v>
      </c>
      <c r="F4156" t="s">
        <v>4152</v>
      </c>
      <c r="G4156" t="s">
        <v>9429</v>
      </c>
      <c r="H4156" t="s">
        <v>10988</v>
      </c>
      <c r="I4156" t="s">
        <v>11383</v>
      </c>
      <c r="J4156">
        <v>10457</v>
      </c>
      <c r="K4156" t="s">
        <v>11446</v>
      </c>
      <c r="L4156" t="s">
        <v>13677</v>
      </c>
      <c r="M4156" t="s">
        <v>14744</v>
      </c>
      <c r="N4156" t="s">
        <v>14778</v>
      </c>
      <c r="O4156" t="s">
        <v>14786</v>
      </c>
      <c r="P4156" t="s">
        <v>14805</v>
      </c>
      <c r="Q4156" t="s">
        <v>11448</v>
      </c>
      <c r="S4156" t="s">
        <v>14827</v>
      </c>
      <c r="T4156" t="s">
        <v>14832</v>
      </c>
      <c r="U4156" t="s">
        <v>354</v>
      </c>
      <c r="V4156">
        <v>995</v>
      </c>
      <c r="W4156" t="s">
        <v>14858</v>
      </c>
      <c r="X4156" t="s">
        <v>14755</v>
      </c>
      <c r="Y4156" t="s">
        <v>14883</v>
      </c>
      <c r="Z4156" t="s">
        <v>18340</v>
      </c>
      <c r="AB4156" t="s">
        <v>23451</v>
      </c>
      <c r="AC4156">
        <v>21</v>
      </c>
      <c r="AD4156" t="s">
        <v>24595</v>
      </c>
      <c r="AE4156" t="s">
        <v>24612</v>
      </c>
      <c r="AF4156">
        <v>11</v>
      </c>
      <c r="AG4156">
        <v>1</v>
      </c>
      <c r="AH4156">
        <v>0</v>
      </c>
      <c r="AI4156">
        <v>82.43000000000001</v>
      </c>
      <c r="AL4156" t="s">
        <v>5011</v>
      </c>
      <c r="AM4156">
        <v>10296</v>
      </c>
      <c r="AN4156" t="s">
        <v>24888</v>
      </c>
      <c r="AS4156">
        <v>0.5</v>
      </c>
      <c r="AT4156" t="s">
        <v>564</v>
      </c>
      <c r="AU4156" t="s">
        <v>145</v>
      </c>
      <c r="AV4156" t="s">
        <v>25335</v>
      </c>
      <c r="AW4156" t="s">
        <v>11447</v>
      </c>
    </row>
    <row r="4157" spans="1:49">
      <c r="A4157" s="1">
        <f>HYPERLINK("https://lsnyc.legalserver.org/matter/dynamic-profile/view/1906825","19-1906825")</f>
        <v>0</v>
      </c>
      <c r="B4157" t="s">
        <v>81</v>
      </c>
      <c r="C4157" t="s">
        <v>564</v>
      </c>
      <c r="D4157" t="s">
        <v>379</v>
      </c>
      <c r="E4157" t="s">
        <v>3071</v>
      </c>
      <c r="F4157" t="s">
        <v>5716</v>
      </c>
      <c r="G4157" t="s">
        <v>9430</v>
      </c>
      <c r="H4157" t="s">
        <v>10954</v>
      </c>
      <c r="I4157" t="s">
        <v>11383</v>
      </c>
      <c r="J4157">
        <v>10467</v>
      </c>
      <c r="K4157" t="s">
        <v>11446</v>
      </c>
      <c r="L4157" t="s">
        <v>13678</v>
      </c>
      <c r="M4157" t="s">
        <v>14743</v>
      </c>
      <c r="N4157" t="s">
        <v>14778</v>
      </c>
      <c r="O4157" t="s">
        <v>14786</v>
      </c>
      <c r="P4157" t="s">
        <v>14805</v>
      </c>
      <c r="Q4157" t="s">
        <v>11448</v>
      </c>
      <c r="S4157" t="s">
        <v>14827</v>
      </c>
      <c r="T4157" t="s">
        <v>14832</v>
      </c>
      <c r="V4157">
        <v>1400</v>
      </c>
      <c r="W4157" t="s">
        <v>14858</v>
      </c>
      <c r="X4157" t="s">
        <v>14755</v>
      </c>
      <c r="Y4157" t="s">
        <v>14883</v>
      </c>
      <c r="Z4157" t="s">
        <v>18341</v>
      </c>
      <c r="AB4157" t="s">
        <v>23452</v>
      </c>
      <c r="AC4157">
        <v>67</v>
      </c>
      <c r="AD4157" t="s">
        <v>24595</v>
      </c>
      <c r="AF4157">
        <v>1</v>
      </c>
      <c r="AG4157">
        <v>2</v>
      </c>
      <c r="AH4157">
        <v>0</v>
      </c>
      <c r="AI4157">
        <v>508.57</v>
      </c>
      <c r="AL4157" t="s">
        <v>5011</v>
      </c>
      <c r="AM4157">
        <v>86000</v>
      </c>
      <c r="AS4157">
        <v>0.5</v>
      </c>
      <c r="AT4157" t="s">
        <v>379</v>
      </c>
      <c r="AU4157" t="s">
        <v>145</v>
      </c>
      <c r="AV4157" t="s">
        <v>25335</v>
      </c>
      <c r="AW4157" t="s">
        <v>11447</v>
      </c>
    </row>
    <row r="4158" spans="1:49">
      <c r="A4158" s="1">
        <f>HYPERLINK("https://lsnyc.legalserver.org/matter/dynamic-profile/view/1906479","19-1906479")</f>
        <v>0</v>
      </c>
      <c r="B4158" t="s">
        <v>49</v>
      </c>
      <c r="C4158" t="s">
        <v>380</v>
      </c>
      <c r="D4158" t="s">
        <v>630</v>
      </c>
      <c r="E4158" t="s">
        <v>3072</v>
      </c>
      <c r="F4158" t="s">
        <v>3695</v>
      </c>
      <c r="G4158" t="s">
        <v>9431</v>
      </c>
      <c r="H4158">
        <v>31</v>
      </c>
      <c r="I4158" t="s">
        <v>11383</v>
      </c>
      <c r="J4158">
        <v>10457</v>
      </c>
      <c r="K4158" t="s">
        <v>11446</v>
      </c>
      <c r="L4158" t="s">
        <v>13679</v>
      </c>
      <c r="M4158" t="s">
        <v>14744</v>
      </c>
      <c r="N4158" t="s">
        <v>14781</v>
      </c>
      <c r="O4158" t="s">
        <v>14788</v>
      </c>
      <c r="P4158" t="s">
        <v>14805</v>
      </c>
      <c r="Q4158" t="s">
        <v>11448</v>
      </c>
      <c r="S4158" t="s">
        <v>14827</v>
      </c>
      <c r="T4158" t="s">
        <v>14832</v>
      </c>
      <c r="U4158" t="s">
        <v>586</v>
      </c>
      <c r="V4158">
        <v>274</v>
      </c>
      <c r="W4158" t="s">
        <v>14858</v>
      </c>
      <c r="X4158" t="s">
        <v>14868</v>
      </c>
      <c r="Y4158" t="s">
        <v>14887</v>
      </c>
      <c r="Z4158" t="s">
        <v>18342</v>
      </c>
      <c r="AB4158" t="s">
        <v>23453</v>
      </c>
      <c r="AC4158">
        <v>33</v>
      </c>
      <c r="AD4158" t="s">
        <v>24596</v>
      </c>
      <c r="AF4158">
        <v>6</v>
      </c>
      <c r="AG4158">
        <v>1</v>
      </c>
      <c r="AH4158">
        <v>1</v>
      </c>
      <c r="AI4158">
        <v>82.95999999999999</v>
      </c>
      <c r="AM4158">
        <v>14028</v>
      </c>
      <c r="AP4158" t="s">
        <v>24959</v>
      </c>
      <c r="AQ4158" t="s">
        <v>24986</v>
      </c>
      <c r="AR4158" t="s">
        <v>25054</v>
      </c>
      <c r="AS4158">
        <v>0.1</v>
      </c>
      <c r="AT4158" t="s">
        <v>630</v>
      </c>
      <c r="AU4158" t="s">
        <v>114</v>
      </c>
      <c r="AV4158" t="s">
        <v>25335</v>
      </c>
      <c r="AW4158" t="s">
        <v>11447</v>
      </c>
    </row>
    <row r="4159" spans="1:49">
      <c r="A4159" s="1">
        <f>HYPERLINK("https://lsnyc.legalserver.org/matter/dynamic-profile/view/1903856","19-1903856")</f>
        <v>0</v>
      </c>
      <c r="B4159" t="s">
        <v>79</v>
      </c>
      <c r="C4159" t="s">
        <v>378</v>
      </c>
      <c r="D4159" t="s">
        <v>375</v>
      </c>
      <c r="E4159" t="s">
        <v>2012</v>
      </c>
      <c r="F4159" t="s">
        <v>4468</v>
      </c>
      <c r="G4159" t="s">
        <v>9432</v>
      </c>
      <c r="H4159">
        <v>5</v>
      </c>
      <c r="I4159" t="s">
        <v>11383</v>
      </c>
      <c r="J4159">
        <v>10467</v>
      </c>
      <c r="K4159" t="s">
        <v>11446</v>
      </c>
      <c r="L4159" t="s">
        <v>13680</v>
      </c>
      <c r="M4159" t="s">
        <v>14744</v>
      </c>
      <c r="N4159" t="s">
        <v>14781</v>
      </c>
      <c r="O4159" t="s">
        <v>14788</v>
      </c>
      <c r="P4159" t="s">
        <v>14805</v>
      </c>
      <c r="Q4159" t="s">
        <v>11448</v>
      </c>
      <c r="S4159" t="s">
        <v>14827</v>
      </c>
      <c r="U4159" t="s">
        <v>496</v>
      </c>
      <c r="V4159">
        <v>1224</v>
      </c>
      <c r="W4159" t="s">
        <v>14858</v>
      </c>
      <c r="X4159" t="s">
        <v>14865</v>
      </c>
      <c r="Y4159" t="s">
        <v>14887</v>
      </c>
      <c r="Z4159" t="s">
        <v>15379</v>
      </c>
      <c r="AA4159" t="s">
        <v>19844</v>
      </c>
      <c r="AB4159" t="s">
        <v>23454</v>
      </c>
      <c r="AC4159">
        <v>21</v>
      </c>
      <c r="AD4159" t="s">
        <v>24595</v>
      </c>
      <c r="AE4159" t="s">
        <v>11459</v>
      </c>
      <c r="AF4159">
        <v>4</v>
      </c>
      <c r="AG4159">
        <v>1</v>
      </c>
      <c r="AH4159">
        <v>0</v>
      </c>
      <c r="AI4159">
        <v>39.14</v>
      </c>
      <c r="AL4159" t="s">
        <v>5011</v>
      </c>
      <c r="AM4159">
        <v>4888</v>
      </c>
      <c r="AP4159" t="s">
        <v>24941</v>
      </c>
      <c r="AQ4159" t="s">
        <v>24986</v>
      </c>
      <c r="AR4159" t="s">
        <v>25095</v>
      </c>
      <c r="AS4159">
        <v>3</v>
      </c>
      <c r="AT4159" t="s">
        <v>379</v>
      </c>
      <c r="AU4159" t="s">
        <v>145</v>
      </c>
      <c r="AV4159" t="s">
        <v>25334</v>
      </c>
      <c r="AW4159" t="s">
        <v>11447</v>
      </c>
    </row>
    <row r="4160" spans="1:49">
      <c r="A4160" s="1">
        <f>HYPERLINK("https://lsnyc.legalserver.org/matter/dynamic-profile/view/1895169","19-1895169")</f>
        <v>0</v>
      </c>
      <c r="B4160" t="s">
        <v>82</v>
      </c>
      <c r="C4160" t="s">
        <v>666</v>
      </c>
      <c r="D4160" t="s">
        <v>375</v>
      </c>
      <c r="E4160" t="s">
        <v>1130</v>
      </c>
      <c r="F4160" t="s">
        <v>3717</v>
      </c>
      <c r="G4160" t="s">
        <v>9433</v>
      </c>
      <c r="H4160">
        <v>1</v>
      </c>
      <c r="I4160" t="s">
        <v>11383</v>
      </c>
      <c r="J4160">
        <v>10457</v>
      </c>
      <c r="K4160" t="s">
        <v>11447</v>
      </c>
      <c r="L4160" t="s">
        <v>13681</v>
      </c>
      <c r="M4160" t="s">
        <v>14744</v>
      </c>
      <c r="N4160" t="s">
        <v>14781</v>
      </c>
      <c r="O4160" t="s">
        <v>14793</v>
      </c>
      <c r="P4160" t="s">
        <v>14805</v>
      </c>
      <c r="S4160" t="s">
        <v>14827</v>
      </c>
      <c r="T4160" t="s">
        <v>14837</v>
      </c>
      <c r="V4160">
        <v>1934</v>
      </c>
      <c r="W4160" t="s">
        <v>14858</v>
      </c>
      <c r="X4160" t="s">
        <v>14755</v>
      </c>
      <c r="Y4160" t="s">
        <v>14891</v>
      </c>
      <c r="Z4160" t="s">
        <v>18343</v>
      </c>
      <c r="AA4160" t="s">
        <v>19845</v>
      </c>
      <c r="AB4160" t="s">
        <v>23455</v>
      </c>
      <c r="AC4160">
        <v>8</v>
      </c>
      <c r="AD4160" t="s">
        <v>24596</v>
      </c>
      <c r="AE4160" t="s">
        <v>24610</v>
      </c>
      <c r="AF4160">
        <v>10</v>
      </c>
      <c r="AG4160">
        <v>2</v>
      </c>
      <c r="AH4160">
        <v>2</v>
      </c>
      <c r="AI4160">
        <v>21.61</v>
      </c>
      <c r="AL4160" t="s">
        <v>5011</v>
      </c>
      <c r="AM4160">
        <v>5564</v>
      </c>
      <c r="AN4160" t="s">
        <v>24852</v>
      </c>
      <c r="AS4160">
        <v>34.6</v>
      </c>
      <c r="AT4160" t="s">
        <v>633</v>
      </c>
      <c r="AU4160" t="s">
        <v>25229</v>
      </c>
      <c r="AV4160" t="s">
        <v>25334</v>
      </c>
      <c r="AW4160" t="s">
        <v>11447</v>
      </c>
    </row>
    <row r="4161" spans="1:49">
      <c r="A4161" s="1">
        <f>HYPERLINK("https://lsnyc.legalserver.org/matter/dynamic-profile/view/1895872","19-1895872")</f>
        <v>0</v>
      </c>
      <c r="B4161" t="s">
        <v>86</v>
      </c>
      <c r="C4161" t="s">
        <v>415</v>
      </c>
      <c r="D4161" t="s">
        <v>410</v>
      </c>
      <c r="E4161" t="s">
        <v>3073</v>
      </c>
      <c r="F4161" t="s">
        <v>5717</v>
      </c>
      <c r="G4161" t="s">
        <v>9434</v>
      </c>
      <c r="H4161" t="s">
        <v>10489</v>
      </c>
      <c r="I4161" t="s">
        <v>11383</v>
      </c>
      <c r="J4161">
        <v>10467</v>
      </c>
      <c r="K4161" t="s">
        <v>11448</v>
      </c>
      <c r="L4161" t="s">
        <v>13682</v>
      </c>
      <c r="M4161" t="s">
        <v>14744</v>
      </c>
      <c r="N4161" t="s">
        <v>14781</v>
      </c>
      <c r="O4161" t="s">
        <v>14788</v>
      </c>
      <c r="P4161" t="s">
        <v>14805</v>
      </c>
      <c r="S4161" t="s">
        <v>14827</v>
      </c>
      <c r="T4161" t="s">
        <v>14836</v>
      </c>
      <c r="V4161">
        <v>1962.23</v>
      </c>
      <c r="W4161" t="s">
        <v>14858</v>
      </c>
      <c r="X4161" t="s">
        <v>14865</v>
      </c>
      <c r="Y4161" t="s">
        <v>14899</v>
      </c>
      <c r="Z4161" t="s">
        <v>18344</v>
      </c>
      <c r="AB4161" t="s">
        <v>23456</v>
      </c>
      <c r="AC4161">
        <v>32</v>
      </c>
      <c r="AD4161" t="s">
        <v>24595</v>
      </c>
      <c r="AE4161" t="s">
        <v>11459</v>
      </c>
      <c r="AF4161">
        <v>4</v>
      </c>
      <c r="AG4161">
        <v>2</v>
      </c>
      <c r="AH4161">
        <v>2</v>
      </c>
      <c r="AI4161">
        <v>184.98</v>
      </c>
      <c r="AL4161" t="s">
        <v>5011</v>
      </c>
      <c r="AM4161">
        <v>47632</v>
      </c>
      <c r="AN4161" t="s">
        <v>24889</v>
      </c>
      <c r="AS4161">
        <v>6.55</v>
      </c>
      <c r="AT4161" t="s">
        <v>510</v>
      </c>
      <c r="AU4161" t="s">
        <v>25251</v>
      </c>
      <c r="AW4161" t="s">
        <v>11446</v>
      </c>
    </row>
    <row r="4162" spans="1:49">
      <c r="A4162" s="1">
        <f>HYPERLINK("https://lsnyc.legalserver.org/matter/dynamic-profile/view/1903429","19-1903429")</f>
        <v>0</v>
      </c>
      <c r="B4162" t="s">
        <v>86</v>
      </c>
      <c r="C4162" t="s">
        <v>608</v>
      </c>
      <c r="D4162" t="s">
        <v>585</v>
      </c>
      <c r="E4162" t="s">
        <v>3074</v>
      </c>
      <c r="F4162" t="s">
        <v>5718</v>
      </c>
      <c r="G4162" t="s">
        <v>8965</v>
      </c>
      <c r="H4162">
        <v>7</v>
      </c>
      <c r="I4162" t="s">
        <v>11383</v>
      </c>
      <c r="J4162">
        <v>10462</v>
      </c>
      <c r="K4162" t="s">
        <v>11446</v>
      </c>
      <c r="L4162" t="s">
        <v>13683</v>
      </c>
      <c r="M4162" t="s">
        <v>14744</v>
      </c>
      <c r="N4162" t="s">
        <v>14781</v>
      </c>
      <c r="O4162" t="s">
        <v>14788</v>
      </c>
      <c r="P4162" t="s">
        <v>14805</v>
      </c>
      <c r="Q4162" t="s">
        <v>11448</v>
      </c>
      <c r="S4162" t="s">
        <v>14827</v>
      </c>
      <c r="T4162" t="s">
        <v>14832</v>
      </c>
      <c r="U4162" t="s">
        <v>630</v>
      </c>
      <c r="V4162">
        <v>1200</v>
      </c>
      <c r="W4162" t="s">
        <v>14858</v>
      </c>
      <c r="Y4162" t="s">
        <v>14887</v>
      </c>
      <c r="Z4162" t="s">
        <v>18345</v>
      </c>
      <c r="AC4162">
        <v>16</v>
      </c>
      <c r="AF4162">
        <v>2</v>
      </c>
      <c r="AG4162">
        <v>3</v>
      </c>
      <c r="AH4162">
        <v>0</v>
      </c>
      <c r="AI4162">
        <v>121.89</v>
      </c>
      <c r="AL4162" t="s">
        <v>24632</v>
      </c>
      <c r="AM4162">
        <v>26000</v>
      </c>
      <c r="AS4162">
        <v>5.6</v>
      </c>
      <c r="AT4162" t="s">
        <v>585</v>
      </c>
      <c r="AU4162" t="s">
        <v>145</v>
      </c>
      <c r="AV4162" t="s">
        <v>25335</v>
      </c>
      <c r="AW4162" t="s">
        <v>11447</v>
      </c>
    </row>
    <row r="4163" spans="1:49">
      <c r="A4163" s="1">
        <f>HYPERLINK("https://lsnyc.legalserver.org/matter/dynamic-profile/view/1908817","19-1908817")</f>
        <v>0</v>
      </c>
      <c r="B4163" t="s">
        <v>96</v>
      </c>
      <c r="C4163" t="s">
        <v>585</v>
      </c>
      <c r="D4163" t="s">
        <v>468</v>
      </c>
      <c r="E4163" t="s">
        <v>1786</v>
      </c>
      <c r="F4163" t="s">
        <v>5719</v>
      </c>
      <c r="G4163" t="s">
        <v>9435</v>
      </c>
      <c r="H4163" t="s">
        <v>10497</v>
      </c>
      <c r="I4163" t="s">
        <v>11383</v>
      </c>
      <c r="J4163">
        <v>10462</v>
      </c>
      <c r="K4163" t="s">
        <v>11446</v>
      </c>
      <c r="L4163" t="s">
        <v>13684</v>
      </c>
      <c r="M4163" t="s">
        <v>14744</v>
      </c>
      <c r="N4163" t="s">
        <v>14778</v>
      </c>
      <c r="O4163" t="s">
        <v>14786</v>
      </c>
      <c r="P4163" t="s">
        <v>14805</v>
      </c>
      <c r="Q4163" t="s">
        <v>11448</v>
      </c>
      <c r="S4163" t="s">
        <v>14827</v>
      </c>
      <c r="T4163" t="s">
        <v>14836</v>
      </c>
      <c r="U4163" t="s">
        <v>640</v>
      </c>
      <c r="V4163">
        <v>1243.03</v>
      </c>
      <c r="W4163" t="s">
        <v>14858</v>
      </c>
      <c r="X4163" t="s">
        <v>14866</v>
      </c>
      <c r="Y4163" t="s">
        <v>14883</v>
      </c>
      <c r="Z4163" t="s">
        <v>18346</v>
      </c>
      <c r="AA4163" t="s">
        <v>19846</v>
      </c>
      <c r="AB4163" t="s">
        <v>23457</v>
      </c>
      <c r="AC4163">
        <v>25</v>
      </c>
      <c r="AD4163" t="s">
        <v>24595</v>
      </c>
      <c r="AE4163" t="s">
        <v>11459</v>
      </c>
      <c r="AF4163">
        <v>28</v>
      </c>
      <c r="AG4163">
        <v>1</v>
      </c>
      <c r="AH4163">
        <v>0</v>
      </c>
      <c r="AI4163">
        <v>0</v>
      </c>
      <c r="AL4163" t="s">
        <v>5011</v>
      </c>
      <c r="AM4163">
        <v>0</v>
      </c>
      <c r="AR4163" t="s">
        <v>25011</v>
      </c>
      <c r="AS4163">
        <v>4.9</v>
      </c>
      <c r="AT4163" t="s">
        <v>468</v>
      </c>
      <c r="AU4163" t="s">
        <v>25241</v>
      </c>
      <c r="AV4163" t="s">
        <v>25335</v>
      </c>
      <c r="AW4163" t="s">
        <v>11447</v>
      </c>
    </row>
    <row r="4164" spans="1:49">
      <c r="A4164" s="1">
        <f>HYPERLINK("https://lsnyc.legalserver.org/matter/dynamic-profile/view/1903108","19-1903108")</f>
        <v>0</v>
      </c>
      <c r="B4164" t="s">
        <v>257</v>
      </c>
      <c r="C4164" t="s">
        <v>346</v>
      </c>
      <c r="D4164" t="s">
        <v>528</v>
      </c>
      <c r="E4164" t="s">
        <v>1025</v>
      </c>
      <c r="F4164" t="s">
        <v>5720</v>
      </c>
      <c r="G4164" t="s">
        <v>9436</v>
      </c>
      <c r="H4164" t="s">
        <v>10476</v>
      </c>
      <c r="I4164" t="s">
        <v>11383</v>
      </c>
      <c r="J4164">
        <v>10457</v>
      </c>
      <c r="K4164" t="s">
        <v>11446</v>
      </c>
      <c r="L4164" t="s">
        <v>13685</v>
      </c>
      <c r="M4164" t="s">
        <v>14744</v>
      </c>
      <c r="N4164" t="s">
        <v>14781</v>
      </c>
      <c r="O4164" t="s">
        <v>14788</v>
      </c>
      <c r="P4164" t="s">
        <v>14805</v>
      </c>
      <c r="Q4164" t="s">
        <v>11448</v>
      </c>
      <c r="S4164" t="s">
        <v>14827</v>
      </c>
      <c r="T4164" t="s">
        <v>14833</v>
      </c>
      <c r="U4164" t="s">
        <v>365</v>
      </c>
      <c r="V4164">
        <v>1162.09</v>
      </c>
      <c r="W4164" t="s">
        <v>14858</v>
      </c>
      <c r="Y4164" t="s">
        <v>14887</v>
      </c>
      <c r="Z4164" t="s">
        <v>18347</v>
      </c>
      <c r="AC4164">
        <v>49</v>
      </c>
      <c r="AD4164" t="s">
        <v>24595</v>
      </c>
      <c r="AE4164" t="s">
        <v>11459</v>
      </c>
      <c r="AF4164">
        <v>21</v>
      </c>
      <c r="AG4164">
        <v>5</v>
      </c>
      <c r="AH4164">
        <v>0</v>
      </c>
      <c r="AI4164">
        <v>156.4</v>
      </c>
      <c r="AL4164" t="s">
        <v>24632</v>
      </c>
      <c r="AM4164">
        <v>47186</v>
      </c>
      <c r="AO4164" t="s">
        <v>24930</v>
      </c>
      <c r="AP4164" t="s">
        <v>24941</v>
      </c>
      <c r="AQ4164" t="s">
        <v>24986</v>
      </c>
      <c r="AR4164" t="s">
        <v>25014</v>
      </c>
      <c r="AS4164">
        <v>7</v>
      </c>
      <c r="AT4164" t="s">
        <v>464</v>
      </c>
      <c r="AU4164" t="s">
        <v>145</v>
      </c>
      <c r="AV4164" t="s">
        <v>25335</v>
      </c>
      <c r="AW4164" t="s">
        <v>11447</v>
      </c>
    </row>
    <row r="4165" spans="1:49">
      <c r="A4165" s="1">
        <f>HYPERLINK("https://lsnyc.legalserver.org/matter/dynamic-profile/view/1903798","19-1903798")</f>
        <v>0</v>
      </c>
      <c r="B4165" t="s">
        <v>272</v>
      </c>
      <c r="C4165" t="s">
        <v>378</v>
      </c>
      <c r="D4165" t="s">
        <v>528</v>
      </c>
      <c r="E4165" t="s">
        <v>1741</v>
      </c>
      <c r="F4165" t="s">
        <v>3967</v>
      </c>
      <c r="G4165" t="s">
        <v>9437</v>
      </c>
      <c r="H4165" t="s">
        <v>10579</v>
      </c>
      <c r="I4165" t="s">
        <v>11383</v>
      </c>
      <c r="J4165">
        <v>10457</v>
      </c>
      <c r="K4165" t="s">
        <v>11446</v>
      </c>
      <c r="L4165" t="s">
        <v>13686</v>
      </c>
      <c r="M4165" t="s">
        <v>14744</v>
      </c>
      <c r="N4165" t="s">
        <v>14781</v>
      </c>
      <c r="O4165" t="s">
        <v>14788</v>
      </c>
      <c r="P4165" t="s">
        <v>14805</v>
      </c>
      <c r="Q4165" t="s">
        <v>11448</v>
      </c>
      <c r="S4165" t="s">
        <v>14827</v>
      </c>
      <c r="T4165" t="s">
        <v>14832</v>
      </c>
      <c r="U4165" t="s">
        <v>485</v>
      </c>
      <c r="V4165">
        <v>1229.62</v>
      </c>
      <c r="W4165" t="s">
        <v>14858</v>
      </c>
      <c r="X4165" t="s">
        <v>14865</v>
      </c>
      <c r="Y4165" t="s">
        <v>14887</v>
      </c>
      <c r="Z4165" t="s">
        <v>18348</v>
      </c>
      <c r="AA4165" t="s">
        <v>19847</v>
      </c>
      <c r="AB4165" t="s">
        <v>23458</v>
      </c>
      <c r="AC4165">
        <v>50</v>
      </c>
      <c r="AD4165" t="s">
        <v>24595</v>
      </c>
      <c r="AE4165" t="s">
        <v>24617</v>
      </c>
      <c r="AF4165">
        <v>3</v>
      </c>
      <c r="AG4165">
        <v>1</v>
      </c>
      <c r="AH4165">
        <v>0</v>
      </c>
      <c r="AI4165">
        <v>119.9</v>
      </c>
      <c r="AL4165" t="s">
        <v>5011</v>
      </c>
      <c r="AM4165">
        <v>14976</v>
      </c>
      <c r="AO4165" t="s">
        <v>24930</v>
      </c>
      <c r="AP4165" t="s">
        <v>24942</v>
      </c>
      <c r="AQ4165" t="s">
        <v>24986</v>
      </c>
      <c r="AR4165" t="s">
        <v>25096</v>
      </c>
      <c r="AS4165">
        <v>7.2</v>
      </c>
      <c r="AT4165" t="s">
        <v>528</v>
      </c>
      <c r="AU4165" t="s">
        <v>145</v>
      </c>
      <c r="AV4165" t="s">
        <v>25335</v>
      </c>
      <c r="AW4165" t="s">
        <v>11447</v>
      </c>
    </row>
    <row r="4166" spans="1:49">
      <c r="A4166" s="1">
        <f>HYPERLINK("https://lsnyc.legalserver.org/matter/dynamic-profile/view/1905992","19-1905992")</f>
        <v>0</v>
      </c>
      <c r="B4166" t="s">
        <v>257</v>
      </c>
      <c r="C4166" t="s">
        <v>461</v>
      </c>
      <c r="D4166" t="s">
        <v>528</v>
      </c>
      <c r="E4166" t="s">
        <v>1706</v>
      </c>
      <c r="F4166" t="s">
        <v>3843</v>
      </c>
      <c r="G4166" t="s">
        <v>9438</v>
      </c>
      <c r="I4166" t="s">
        <v>11383</v>
      </c>
      <c r="J4166">
        <v>10457</v>
      </c>
      <c r="K4166" t="s">
        <v>11446</v>
      </c>
      <c r="L4166" t="s">
        <v>13687</v>
      </c>
      <c r="M4166" t="s">
        <v>14743</v>
      </c>
      <c r="N4166" t="s">
        <v>14781</v>
      </c>
      <c r="O4166" t="s">
        <v>14788</v>
      </c>
      <c r="P4166" t="s">
        <v>14805</v>
      </c>
      <c r="S4166" t="s">
        <v>14827</v>
      </c>
      <c r="T4166" t="s">
        <v>14833</v>
      </c>
      <c r="U4166" t="s">
        <v>455</v>
      </c>
      <c r="V4166">
        <v>1200</v>
      </c>
      <c r="W4166" t="s">
        <v>14858</v>
      </c>
      <c r="X4166" t="s">
        <v>14865</v>
      </c>
      <c r="Y4166" t="s">
        <v>14887</v>
      </c>
      <c r="Z4166" t="s">
        <v>15541</v>
      </c>
      <c r="AC4166">
        <v>0</v>
      </c>
      <c r="AD4166" t="s">
        <v>24600</v>
      </c>
      <c r="AE4166" t="s">
        <v>11459</v>
      </c>
      <c r="AF4166">
        <v>3</v>
      </c>
      <c r="AG4166">
        <v>2</v>
      </c>
      <c r="AH4166">
        <v>1</v>
      </c>
      <c r="AI4166">
        <v>51.76</v>
      </c>
      <c r="AL4166" t="s">
        <v>24632</v>
      </c>
      <c r="AM4166">
        <v>11040</v>
      </c>
      <c r="AP4166" t="s">
        <v>24941</v>
      </c>
      <c r="AQ4166" t="s">
        <v>24986</v>
      </c>
      <c r="AR4166" t="s">
        <v>25050</v>
      </c>
      <c r="AS4166">
        <v>4.7</v>
      </c>
      <c r="AT4166" t="s">
        <v>640</v>
      </c>
      <c r="AU4166" t="s">
        <v>145</v>
      </c>
      <c r="AV4166" t="s">
        <v>25335</v>
      </c>
      <c r="AW4166" t="s">
        <v>11447</v>
      </c>
    </row>
    <row r="4167" spans="1:49">
      <c r="A4167" s="1">
        <f>HYPERLINK("https://lsnyc.legalserver.org/matter/dynamic-profile/view/1904399","19-1904399")</f>
        <v>0</v>
      </c>
      <c r="B4167" t="s">
        <v>69</v>
      </c>
      <c r="C4167" t="s">
        <v>474</v>
      </c>
      <c r="D4167" t="s">
        <v>508</v>
      </c>
      <c r="E4167" t="s">
        <v>2044</v>
      </c>
      <c r="F4167" t="s">
        <v>3901</v>
      </c>
      <c r="G4167" t="s">
        <v>7591</v>
      </c>
      <c r="H4167" t="s">
        <v>10452</v>
      </c>
      <c r="I4167" t="s">
        <v>11383</v>
      </c>
      <c r="J4167">
        <v>10462</v>
      </c>
      <c r="K4167" t="s">
        <v>11446</v>
      </c>
      <c r="L4167" t="s">
        <v>13688</v>
      </c>
      <c r="M4167" t="s">
        <v>14744</v>
      </c>
      <c r="N4167" t="s">
        <v>14781</v>
      </c>
      <c r="O4167" t="s">
        <v>14788</v>
      </c>
      <c r="P4167" t="s">
        <v>14805</v>
      </c>
      <c r="Q4167" t="s">
        <v>11448</v>
      </c>
      <c r="S4167" t="s">
        <v>14827</v>
      </c>
      <c r="T4167" t="s">
        <v>14837</v>
      </c>
      <c r="U4167" t="s">
        <v>474</v>
      </c>
      <c r="V4167">
        <v>0</v>
      </c>
      <c r="W4167" t="s">
        <v>14858</v>
      </c>
      <c r="X4167" t="s">
        <v>14863</v>
      </c>
      <c r="Y4167" t="s">
        <v>14887</v>
      </c>
      <c r="Z4167" t="s">
        <v>16447</v>
      </c>
      <c r="AA4167" t="s">
        <v>19466</v>
      </c>
      <c r="AB4167" t="s">
        <v>21491</v>
      </c>
      <c r="AC4167">
        <v>79</v>
      </c>
      <c r="AD4167" t="s">
        <v>24595</v>
      </c>
      <c r="AE4167" t="s">
        <v>24610</v>
      </c>
      <c r="AF4167">
        <v>8</v>
      </c>
      <c r="AG4167">
        <v>2</v>
      </c>
      <c r="AH4167">
        <v>0</v>
      </c>
      <c r="AI4167">
        <v>0</v>
      </c>
      <c r="AL4167" t="s">
        <v>5011</v>
      </c>
      <c r="AM4167">
        <v>0</v>
      </c>
      <c r="AS4167">
        <v>4.5</v>
      </c>
      <c r="AT4167" t="s">
        <v>463</v>
      </c>
      <c r="AU4167" t="s">
        <v>25268</v>
      </c>
      <c r="AV4167" t="s">
        <v>25334</v>
      </c>
      <c r="AW4167" t="s">
        <v>11447</v>
      </c>
    </row>
    <row r="4168" spans="1:49">
      <c r="A4168" s="1">
        <f>HYPERLINK("https://lsnyc.legalserver.org/matter/dynamic-profile/view/1904032","19-1904032")</f>
        <v>0</v>
      </c>
      <c r="B4168" t="s">
        <v>201</v>
      </c>
      <c r="C4168" t="s">
        <v>621</v>
      </c>
      <c r="D4168" t="s">
        <v>508</v>
      </c>
      <c r="E4168" t="s">
        <v>3075</v>
      </c>
      <c r="F4168" t="s">
        <v>5721</v>
      </c>
      <c r="G4168" t="s">
        <v>9439</v>
      </c>
      <c r="H4168" t="s">
        <v>10596</v>
      </c>
      <c r="I4168" t="s">
        <v>11383</v>
      </c>
      <c r="J4168">
        <v>10468</v>
      </c>
      <c r="K4168" t="s">
        <v>11446</v>
      </c>
      <c r="L4168" t="s">
        <v>13689</v>
      </c>
      <c r="M4168" t="s">
        <v>14744</v>
      </c>
      <c r="N4168" t="s">
        <v>14781</v>
      </c>
      <c r="O4168" t="s">
        <v>14788</v>
      </c>
      <c r="P4168" t="s">
        <v>14805</v>
      </c>
      <c r="Q4168" t="s">
        <v>11448</v>
      </c>
      <c r="S4168" t="s">
        <v>14827</v>
      </c>
      <c r="T4168" t="s">
        <v>14832</v>
      </c>
      <c r="U4168" t="s">
        <v>621</v>
      </c>
      <c r="V4168">
        <v>1450</v>
      </c>
      <c r="W4168" t="s">
        <v>14858</v>
      </c>
      <c r="X4168" t="s">
        <v>14865</v>
      </c>
      <c r="Y4168" t="s">
        <v>14887</v>
      </c>
      <c r="Z4168" t="s">
        <v>18349</v>
      </c>
      <c r="AA4168" t="s">
        <v>19848</v>
      </c>
      <c r="AB4168" t="s">
        <v>23459</v>
      </c>
      <c r="AC4168">
        <v>38</v>
      </c>
      <c r="AD4168" t="s">
        <v>24595</v>
      </c>
      <c r="AE4168" t="s">
        <v>14755</v>
      </c>
      <c r="AF4168">
        <v>9</v>
      </c>
      <c r="AG4168">
        <v>3</v>
      </c>
      <c r="AH4168">
        <v>2</v>
      </c>
      <c r="AI4168">
        <v>148.49</v>
      </c>
      <c r="AM4168">
        <v>44800</v>
      </c>
      <c r="AO4168" t="s">
        <v>24932</v>
      </c>
      <c r="AP4168" t="s">
        <v>24942</v>
      </c>
      <c r="AQ4168" t="s">
        <v>24986</v>
      </c>
      <c r="AR4168" t="s">
        <v>25011</v>
      </c>
      <c r="AS4168">
        <v>17.8</v>
      </c>
      <c r="AT4168" t="s">
        <v>508</v>
      </c>
      <c r="AU4168" t="s">
        <v>145</v>
      </c>
      <c r="AV4168" t="s">
        <v>25335</v>
      </c>
      <c r="AW4168" t="s">
        <v>11447</v>
      </c>
    </row>
    <row r="4169" spans="1:49">
      <c r="A4169" s="1">
        <f>HYPERLINK("https://lsnyc.legalserver.org/matter/dynamic-profile/view/1906907","19-1906907")</f>
        <v>0</v>
      </c>
      <c r="B4169" t="s">
        <v>319</v>
      </c>
      <c r="C4169" t="s">
        <v>354</v>
      </c>
      <c r="D4169" t="s">
        <v>508</v>
      </c>
      <c r="E4169" t="s">
        <v>3076</v>
      </c>
      <c r="F4169" t="s">
        <v>3901</v>
      </c>
      <c r="G4169" t="s">
        <v>6965</v>
      </c>
      <c r="H4169" t="s">
        <v>10932</v>
      </c>
      <c r="I4169" t="s">
        <v>11383</v>
      </c>
      <c r="J4169">
        <v>10457</v>
      </c>
      <c r="K4169" t="s">
        <v>11446</v>
      </c>
      <c r="L4169" t="s">
        <v>13690</v>
      </c>
      <c r="M4169" t="s">
        <v>14743</v>
      </c>
      <c r="N4169" t="s">
        <v>14781</v>
      </c>
      <c r="O4169" t="s">
        <v>14789</v>
      </c>
      <c r="P4169" t="s">
        <v>14805</v>
      </c>
      <c r="Q4169" t="s">
        <v>11448</v>
      </c>
      <c r="S4169" t="s">
        <v>14827</v>
      </c>
      <c r="T4169" t="s">
        <v>14832</v>
      </c>
      <c r="U4169" t="s">
        <v>564</v>
      </c>
      <c r="V4169">
        <v>1130</v>
      </c>
      <c r="W4169" t="s">
        <v>14858</v>
      </c>
      <c r="X4169" t="s">
        <v>14755</v>
      </c>
      <c r="Y4169" t="s">
        <v>14887</v>
      </c>
      <c r="Z4169" t="s">
        <v>18350</v>
      </c>
      <c r="AB4169" t="s">
        <v>23460</v>
      </c>
      <c r="AC4169">
        <v>90</v>
      </c>
      <c r="AD4169" t="s">
        <v>24595</v>
      </c>
      <c r="AE4169" t="s">
        <v>11459</v>
      </c>
      <c r="AF4169">
        <v>9</v>
      </c>
      <c r="AG4169">
        <v>1</v>
      </c>
      <c r="AH4169">
        <v>2</v>
      </c>
      <c r="AI4169">
        <v>230.66</v>
      </c>
      <c r="AJ4169" t="s">
        <v>462</v>
      </c>
      <c r="AK4169" t="s">
        <v>24629</v>
      </c>
      <c r="AL4169" t="s">
        <v>24632</v>
      </c>
      <c r="AM4169">
        <v>49200</v>
      </c>
      <c r="AP4169" t="s">
        <v>14755</v>
      </c>
      <c r="AQ4169" t="s">
        <v>24986</v>
      </c>
      <c r="AR4169" t="s">
        <v>25097</v>
      </c>
      <c r="AS4169">
        <v>0.8</v>
      </c>
      <c r="AT4169" t="s">
        <v>564</v>
      </c>
      <c r="AU4169" t="s">
        <v>145</v>
      </c>
      <c r="AV4169" t="s">
        <v>25335</v>
      </c>
      <c r="AW4169" t="s">
        <v>11447</v>
      </c>
    </row>
    <row r="4170" spans="1:49">
      <c r="A4170" s="1">
        <f>HYPERLINK("https://lsnyc.legalserver.org/matter/dynamic-profile/view/1906795","19-1906795")</f>
        <v>0</v>
      </c>
      <c r="B4170" t="s">
        <v>297</v>
      </c>
      <c r="C4170" t="s">
        <v>564</v>
      </c>
      <c r="D4170" t="s">
        <v>602</v>
      </c>
      <c r="E4170" t="s">
        <v>1115</v>
      </c>
      <c r="F4170" t="s">
        <v>5722</v>
      </c>
      <c r="G4170" t="s">
        <v>9440</v>
      </c>
      <c r="H4170" t="s">
        <v>10495</v>
      </c>
      <c r="I4170" t="s">
        <v>11383</v>
      </c>
      <c r="J4170">
        <v>10462</v>
      </c>
      <c r="K4170" t="s">
        <v>11446</v>
      </c>
      <c r="L4170" t="s">
        <v>13691</v>
      </c>
      <c r="M4170" t="s">
        <v>14744</v>
      </c>
      <c r="N4170" t="s">
        <v>14778</v>
      </c>
      <c r="O4170" t="s">
        <v>14786</v>
      </c>
      <c r="P4170" t="s">
        <v>14805</v>
      </c>
      <c r="Q4170" t="s">
        <v>11448</v>
      </c>
      <c r="S4170" t="s">
        <v>14827</v>
      </c>
      <c r="T4170" t="s">
        <v>14837</v>
      </c>
      <c r="V4170">
        <v>1367</v>
      </c>
      <c r="W4170" t="s">
        <v>14858</v>
      </c>
      <c r="X4170" t="s">
        <v>14867</v>
      </c>
      <c r="Y4170" t="s">
        <v>14883</v>
      </c>
      <c r="Z4170" t="s">
        <v>15286</v>
      </c>
      <c r="AA4170" t="s">
        <v>19849</v>
      </c>
      <c r="AB4170" t="s">
        <v>23461</v>
      </c>
      <c r="AC4170">
        <v>92</v>
      </c>
      <c r="AD4170" t="s">
        <v>24595</v>
      </c>
      <c r="AF4170">
        <v>5</v>
      </c>
      <c r="AG4170">
        <v>1</v>
      </c>
      <c r="AH4170">
        <v>0</v>
      </c>
      <c r="AI4170">
        <v>17.58</v>
      </c>
      <c r="AL4170" t="s">
        <v>5011</v>
      </c>
      <c r="AM4170">
        <v>2196</v>
      </c>
      <c r="AS4170">
        <v>8.5</v>
      </c>
      <c r="AT4170" t="s">
        <v>471</v>
      </c>
      <c r="AU4170" t="s">
        <v>25268</v>
      </c>
      <c r="AV4170" t="s">
        <v>25334</v>
      </c>
      <c r="AW4170" t="s">
        <v>11447</v>
      </c>
    </row>
    <row r="4171" spans="1:49">
      <c r="A4171" s="1">
        <f>HYPERLINK("https://lsnyc.legalserver.org/matter/dynamic-profile/view/1906104","19-1906104")</f>
        <v>0</v>
      </c>
      <c r="B4171" t="s">
        <v>299</v>
      </c>
      <c r="C4171" t="s">
        <v>618</v>
      </c>
      <c r="D4171" t="s">
        <v>604</v>
      </c>
      <c r="E4171" t="s">
        <v>3077</v>
      </c>
      <c r="F4171" t="s">
        <v>1395</v>
      </c>
      <c r="G4171" t="s">
        <v>9441</v>
      </c>
      <c r="H4171" t="s">
        <v>10589</v>
      </c>
      <c r="I4171" t="s">
        <v>11383</v>
      </c>
      <c r="J4171">
        <v>10457</v>
      </c>
      <c r="K4171" t="s">
        <v>11446</v>
      </c>
      <c r="L4171" t="s">
        <v>13692</v>
      </c>
      <c r="M4171" t="s">
        <v>14744</v>
      </c>
      <c r="N4171" t="s">
        <v>14781</v>
      </c>
      <c r="O4171" t="s">
        <v>14788</v>
      </c>
      <c r="P4171" t="s">
        <v>14805</v>
      </c>
      <c r="Q4171" t="s">
        <v>11448</v>
      </c>
      <c r="S4171" t="s">
        <v>14827</v>
      </c>
      <c r="V4171">
        <v>0</v>
      </c>
      <c r="W4171" t="s">
        <v>14858</v>
      </c>
      <c r="Y4171" t="s">
        <v>14897</v>
      </c>
      <c r="Z4171" t="s">
        <v>18351</v>
      </c>
      <c r="AC4171">
        <v>21</v>
      </c>
      <c r="AD4171" t="s">
        <v>24595</v>
      </c>
      <c r="AF4171">
        <v>0</v>
      </c>
      <c r="AG4171">
        <v>1</v>
      </c>
      <c r="AH4171">
        <v>1</v>
      </c>
      <c r="AI4171">
        <v>153.76</v>
      </c>
      <c r="AL4171" t="s">
        <v>5011</v>
      </c>
      <c r="AM4171">
        <v>26000</v>
      </c>
      <c r="AS4171">
        <v>8</v>
      </c>
      <c r="AT4171" t="s">
        <v>641</v>
      </c>
      <c r="AU4171" t="s">
        <v>145</v>
      </c>
      <c r="AV4171" t="s">
        <v>25335</v>
      </c>
      <c r="AW4171" t="s">
        <v>11447</v>
      </c>
    </row>
    <row r="4172" spans="1:49">
      <c r="A4172" s="1">
        <f>HYPERLINK("https://lsnyc.legalserver.org/matter/dynamic-profile/view/1904096","19-1904096")</f>
        <v>0</v>
      </c>
      <c r="B4172" t="s">
        <v>299</v>
      </c>
      <c r="C4172" t="s">
        <v>474</v>
      </c>
      <c r="D4172" t="s">
        <v>460</v>
      </c>
      <c r="E4172" t="s">
        <v>1244</v>
      </c>
      <c r="F4172" t="s">
        <v>2719</v>
      </c>
      <c r="G4172" t="s">
        <v>9442</v>
      </c>
      <c r="H4172" t="s">
        <v>10484</v>
      </c>
      <c r="I4172" t="s">
        <v>11383</v>
      </c>
      <c r="J4172">
        <v>10467</v>
      </c>
      <c r="K4172" t="s">
        <v>11446</v>
      </c>
      <c r="L4172" t="s">
        <v>13693</v>
      </c>
      <c r="M4172" t="s">
        <v>14744</v>
      </c>
      <c r="N4172" t="s">
        <v>14781</v>
      </c>
      <c r="O4172" t="s">
        <v>14788</v>
      </c>
      <c r="P4172" t="s">
        <v>14805</v>
      </c>
      <c r="Q4172" t="s">
        <v>11448</v>
      </c>
      <c r="S4172" t="s">
        <v>14827</v>
      </c>
      <c r="T4172" t="s">
        <v>14832</v>
      </c>
      <c r="U4172" t="s">
        <v>474</v>
      </c>
      <c r="V4172">
        <v>458</v>
      </c>
      <c r="W4172" t="s">
        <v>14858</v>
      </c>
      <c r="X4172" t="s">
        <v>14865</v>
      </c>
      <c r="Y4172" t="s">
        <v>14897</v>
      </c>
      <c r="Z4172" t="s">
        <v>18352</v>
      </c>
      <c r="AA4172" t="s">
        <v>19850</v>
      </c>
      <c r="AB4172" t="s">
        <v>23462</v>
      </c>
      <c r="AC4172">
        <v>8</v>
      </c>
      <c r="AD4172" t="s">
        <v>24595</v>
      </c>
      <c r="AE4172" t="s">
        <v>24610</v>
      </c>
      <c r="AF4172">
        <v>12</v>
      </c>
      <c r="AG4172">
        <v>2</v>
      </c>
      <c r="AH4172">
        <v>0</v>
      </c>
      <c r="AI4172">
        <v>69.26000000000001</v>
      </c>
      <c r="AL4172" t="s">
        <v>5011</v>
      </c>
      <c r="AM4172">
        <v>11712</v>
      </c>
      <c r="AS4172">
        <v>14.5</v>
      </c>
      <c r="AT4172" t="s">
        <v>465</v>
      </c>
      <c r="AU4172" t="s">
        <v>237</v>
      </c>
      <c r="AV4172" t="s">
        <v>25334</v>
      </c>
      <c r="AW4172" t="s">
        <v>11447</v>
      </c>
    </row>
    <row r="4173" spans="1:49">
      <c r="A4173" s="1">
        <f>HYPERLINK("https://lsnyc.legalserver.org/matter/dynamic-profile/view/1905959","19-1905959")</f>
        <v>0</v>
      </c>
      <c r="B4173" t="s">
        <v>89</v>
      </c>
      <c r="C4173" t="s">
        <v>461</v>
      </c>
      <c r="D4173" t="s">
        <v>460</v>
      </c>
      <c r="E4173" t="s">
        <v>3078</v>
      </c>
      <c r="F4173" t="s">
        <v>4372</v>
      </c>
      <c r="G4173" t="s">
        <v>9443</v>
      </c>
      <c r="H4173" t="s">
        <v>10665</v>
      </c>
      <c r="I4173" t="s">
        <v>11383</v>
      </c>
      <c r="J4173">
        <v>10457</v>
      </c>
      <c r="K4173" t="s">
        <v>11446</v>
      </c>
      <c r="L4173" t="s">
        <v>13694</v>
      </c>
      <c r="M4173" t="s">
        <v>14744</v>
      </c>
      <c r="N4173" t="s">
        <v>14781</v>
      </c>
      <c r="O4173" t="s">
        <v>14788</v>
      </c>
      <c r="P4173" t="s">
        <v>14805</v>
      </c>
      <c r="Q4173" t="s">
        <v>11448</v>
      </c>
      <c r="S4173" t="s">
        <v>14827</v>
      </c>
      <c r="T4173" t="s">
        <v>14833</v>
      </c>
      <c r="U4173" t="s">
        <v>461</v>
      </c>
      <c r="V4173">
        <v>1089</v>
      </c>
      <c r="W4173" t="s">
        <v>14858</v>
      </c>
      <c r="X4173" t="s">
        <v>14865</v>
      </c>
      <c r="Y4173" t="s">
        <v>14887</v>
      </c>
      <c r="Z4173" t="s">
        <v>16587</v>
      </c>
      <c r="AB4173" t="s">
        <v>23463</v>
      </c>
      <c r="AC4173">
        <v>54</v>
      </c>
      <c r="AD4173" t="s">
        <v>24595</v>
      </c>
      <c r="AF4173">
        <v>6</v>
      </c>
      <c r="AG4173">
        <v>1</v>
      </c>
      <c r="AH4173">
        <v>1</v>
      </c>
      <c r="AI4173">
        <v>178.83</v>
      </c>
      <c r="AM4173">
        <v>30240</v>
      </c>
      <c r="AO4173" t="s">
        <v>24930</v>
      </c>
      <c r="AP4173" t="s">
        <v>24969</v>
      </c>
      <c r="AQ4173" t="s">
        <v>24986</v>
      </c>
      <c r="AR4173" t="s">
        <v>25098</v>
      </c>
      <c r="AS4173">
        <v>3.05</v>
      </c>
      <c r="AT4173" t="s">
        <v>460</v>
      </c>
      <c r="AU4173" t="s">
        <v>145</v>
      </c>
      <c r="AV4173" t="s">
        <v>25335</v>
      </c>
      <c r="AW4173" t="s">
        <v>11447</v>
      </c>
    </row>
    <row r="4174" spans="1:49">
      <c r="A4174" s="1">
        <f>HYPERLINK("https://lsnyc.legalserver.org/matter/dynamic-profile/view/1904070","19-1904070")</f>
        <v>0</v>
      </c>
      <c r="B4174" t="s">
        <v>272</v>
      </c>
      <c r="C4174" t="s">
        <v>621</v>
      </c>
      <c r="D4174" t="s">
        <v>475</v>
      </c>
      <c r="E4174" t="s">
        <v>3079</v>
      </c>
      <c r="F4174" t="s">
        <v>5723</v>
      </c>
      <c r="G4174" t="s">
        <v>9444</v>
      </c>
      <c r="H4174" t="s">
        <v>10484</v>
      </c>
      <c r="I4174" t="s">
        <v>11383</v>
      </c>
      <c r="J4174">
        <v>10457</v>
      </c>
      <c r="K4174" t="s">
        <v>11446</v>
      </c>
      <c r="L4174" t="s">
        <v>13695</v>
      </c>
      <c r="M4174" t="s">
        <v>14744</v>
      </c>
      <c r="N4174" t="s">
        <v>14781</v>
      </c>
      <c r="O4174" t="s">
        <v>14788</v>
      </c>
      <c r="P4174" t="s">
        <v>14805</v>
      </c>
      <c r="Q4174" t="s">
        <v>11448</v>
      </c>
      <c r="S4174" t="s">
        <v>14827</v>
      </c>
      <c r="T4174" t="s">
        <v>14832</v>
      </c>
      <c r="U4174" t="s">
        <v>345</v>
      </c>
      <c r="V4174">
        <v>1515</v>
      </c>
      <c r="W4174" t="s">
        <v>14858</v>
      </c>
      <c r="X4174" t="s">
        <v>14863</v>
      </c>
      <c r="Y4174" t="s">
        <v>14887</v>
      </c>
      <c r="Z4174" t="s">
        <v>18353</v>
      </c>
      <c r="AA4174" t="s">
        <v>19851</v>
      </c>
      <c r="AB4174" t="s">
        <v>23464</v>
      </c>
      <c r="AC4174">
        <v>17</v>
      </c>
      <c r="AD4174" t="s">
        <v>24595</v>
      </c>
      <c r="AE4174" t="s">
        <v>24616</v>
      </c>
      <c r="AF4174">
        <v>1</v>
      </c>
      <c r="AG4174">
        <v>2</v>
      </c>
      <c r="AH4174">
        <v>1</v>
      </c>
      <c r="AI4174">
        <v>21.38</v>
      </c>
      <c r="AM4174">
        <v>4560</v>
      </c>
      <c r="AO4174" t="s">
        <v>24930</v>
      </c>
      <c r="AP4174" t="s">
        <v>24974</v>
      </c>
      <c r="AQ4174" t="s">
        <v>24986</v>
      </c>
      <c r="AR4174" t="s">
        <v>25099</v>
      </c>
      <c r="AS4174">
        <v>6.3</v>
      </c>
      <c r="AT4174" t="s">
        <v>475</v>
      </c>
      <c r="AU4174" t="s">
        <v>25242</v>
      </c>
      <c r="AV4174" t="s">
        <v>25334</v>
      </c>
      <c r="AW4174" t="s">
        <v>11447</v>
      </c>
    </row>
    <row r="4175" spans="1:49">
      <c r="A4175" s="1">
        <f>HYPERLINK("https://lsnyc.legalserver.org/matter/dynamic-profile/view/1908200","19-1908200")</f>
        <v>0</v>
      </c>
      <c r="B4175" t="s">
        <v>299</v>
      </c>
      <c r="C4175" t="s">
        <v>372</v>
      </c>
      <c r="D4175" t="s">
        <v>511</v>
      </c>
      <c r="E4175" t="s">
        <v>1132</v>
      </c>
      <c r="F4175" t="s">
        <v>4157</v>
      </c>
      <c r="G4175" t="s">
        <v>9445</v>
      </c>
      <c r="H4175" t="s">
        <v>10594</v>
      </c>
      <c r="I4175" t="s">
        <v>11383</v>
      </c>
      <c r="J4175">
        <v>10457</v>
      </c>
      <c r="K4175" t="s">
        <v>11446</v>
      </c>
      <c r="L4175" t="s">
        <v>13696</v>
      </c>
      <c r="M4175" t="s">
        <v>14744</v>
      </c>
      <c r="N4175" t="s">
        <v>14781</v>
      </c>
      <c r="O4175" t="s">
        <v>14788</v>
      </c>
      <c r="P4175" t="s">
        <v>14805</v>
      </c>
      <c r="Q4175" t="s">
        <v>11448</v>
      </c>
      <c r="S4175" t="s">
        <v>14827</v>
      </c>
      <c r="T4175" t="s">
        <v>14834</v>
      </c>
      <c r="U4175" t="s">
        <v>464</v>
      </c>
      <c r="V4175">
        <v>1900</v>
      </c>
      <c r="W4175" t="s">
        <v>14858</v>
      </c>
      <c r="X4175" t="s">
        <v>14873</v>
      </c>
      <c r="Y4175" t="s">
        <v>14897</v>
      </c>
      <c r="Z4175" t="s">
        <v>18354</v>
      </c>
      <c r="AA4175" t="s">
        <v>19852</v>
      </c>
      <c r="AB4175" t="s">
        <v>23465</v>
      </c>
      <c r="AC4175">
        <v>20</v>
      </c>
      <c r="AD4175" t="s">
        <v>24595</v>
      </c>
      <c r="AF4175">
        <v>3</v>
      </c>
      <c r="AG4175">
        <v>2</v>
      </c>
      <c r="AH4175">
        <v>0</v>
      </c>
      <c r="AI4175">
        <v>179.78</v>
      </c>
      <c r="AM4175">
        <v>30400</v>
      </c>
      <c r="AS4175">
        <v>18.5</v>
      </c>
      <c r="AT4175" t="s">
        <v>641</v>
      </c>
      <c r="AU4175" t="s">
        <v>145</v>
      </c>
      <c r="AV4175" t="s">
        <v>25334</v>
      </c>
      <c r="AW4175" t="s">
        <v>11447</v>
      </c>
    </row>
    <row r="4176" spans="1:49">
      <c r="A4176" s="1">
        <f>HYPERLINK("https://lsnyc.legalserver.org/matter/dynamic-profile/view/1903054","19-1903054")</f>
        <v>0</v>
      </c>
      <c r="B4176" t="s">
        <v>297</v>
      </c>
      <c r="C4176" t="s">
        <v>459</v>
      </c>
      <c r="D4176" t="s">
        <v>505</v>
      </c>
      <c r="E4176" t="s">
        <v>3080</v>
      </c>
      <c r="F4176" t="s">
        <v>4675</v>
      </c>
      <c r="G4176" t="s">
        <v>9446</v>
      </c>
      <c r="H4176" t="s">
        <v>10465</v>
      </c>
      <c r="I4176" t="s">
        <v>11383</v>
      </c>
      <c r="J4176">
        <v>10467</v>
      </c>
      <c r="K4176" t="s">
        <v>11446</v>
      </c>
      <c r="L4176" t="s">
        <v>13697</v>
      </c>
      <c r="M4176" t="s">
        <v>14743</v>
      </c>
      <c r="N4176" t="s">
        <v>14781</v>
      </c>
      <c r="O4176" t="s">
        <v>14788</v>
      </c>
      <c r="P4176" t="s">
        <v>14805</v>
      </c>
      <c r="Q4176" t="s">
        <v>11448</v>
      </c>
      <c r="S4176" t="s">
        <v>14827</v>
      </c>
      <c r="T4176" t="s">
        <v>14832</v>
      </c>
      <c r="U4176" t="s">
        <v>485</v>
      </c>
      <c r="V4176">
        <v>1383.75</v>
      </c>
      <c r="W4176" t="s">
        <v>14858</v>
      </c>
      <c r="X4176" t="s">
        <v>14863</v>
      </c>
      <c r="Y4176" t="s">
        <v>14887</v>
      </c>
      <c r="Z4176" t="s">
        <v>18355</v>
      </c>
      <c r="AC4176">
        <v>66</v>
      </c>
      <c r="AD4176" t="s">
        <v>11479</v>
      </c>
      <c r="AE4176" t="s">
        <v>11459</v>
      </c>
      <c r="AF4176">
        <v>4</v>
      </c>
      <c r="AG4176">
        <v>1</v>
      </c>
      <c r="AH4176">
        <v>1</v>
      </c>
      <c r="AI4176">
        <v>92.25</v>
      </c>
      <c r="AL4176" t="s">
        <v>24632</v>
      </c>
      <c r="AM4176">
        <v>15600</v>
      </c>
      <c r="AO4176" t="s">
        <v>24930</v>
      </c>
      <c r="AP4176" t="s">
        <v>24941</v>
      </c>
      <c r="AQ4176" t="s">
        <v>24986</v>
      </c>
      <c r="AR4176" t="s">
        <v>25034</v>
      </c>
      <c r="AS4176">
        <v>12.35</v>
      </c>
      <c r="AT4176" t="s">
        <v>505</v>
      </c>
      <c r="AU4176" t="s">
        <v>25268</v>
      </c>
      <c r="AV4176" t="s">
        <v>25334</v>
      </c>
      <c r="AW4176" t="s">
        <v>11447</v>
      </c>
    </row>
    <row r="4177" spans="1:49">
      <c r="A4177" s="1">
        <f>HYPERLINK("https://lsnyc.legalserver.org/matter/dynamic-profile/view/1899544","19-1899544")</f>
        <v>0</v>
      </c>
      <c r="B4177" t="s">
        <v>201</v>
      </c>
      <c r="C4177" t="s">
        <v>369</v>
      </c>
      <c r="D4177" t="s">
        <v>645</v>
      </c>
      <c r="E4177" t="s">
        <v>1930</v>
      </c>
      <c r="F4177" t="s">
        <v>3695</v>
      </c>
      <c r="G4177" t="s">
        <v>9447</v>
      </c>
      <c r="H4177" t="s">
        <v>10581</v>
      </c>
      <c r="I4177" t="s">
        <v>11383</v>
      </c>
      <c r="J4177">
        <v>10457</v>
      </c>
      <c r="K4177" t="s">
        <v>11446</v>
      </c>
      <c r="L4177" t="s">
        <v>13698</v>
      </c>
      <c r="M4177" t="s">
        <v>14744</v>
      </c>
      <c r="N4177" t="s">
        <v>14781</v>
      </c>
      <c r="O4177" t="s">
        <v>14788</v>
      </c>
      <c r="P4177" t="s">
        <v>14805</v>
      </c>
      <c r="Q4177" t="s">
        <v>11448</v>
      </c>
      <c r="S4177" t="s">
        <v>14827</v>
      </c>
      <c r="T4177" t="s">
        <v>14832</v>
      </c>
      <c r="U4177" t="s">
        <v>604</v>
      </c>
      <c r="V4177">
        <v>1303</v>
      </c>
      <c r="W4177" t="s">
        <v>14858</v>
      </c>
      <c r="X4177" t="s">
        <v>14863</v>
      </c>
      <c r="Y4177" t="s">
        <v>14887</v>
      </c>
      <c r="Z4177" t="s">
        <v>18356</v>
      </c>
      <c r="AA4177" t="s">
        <v>19853</v>
      </c>
      <c r="AB4177" t="s">
        <v>23466</v>
      </c>
      <c r="AC4177">
        <v>74</v>
      </c>
      <c r="AD4177" t="s">
        <v>24595</v>
      </c>
      <c r="AE4177" t="s">
        <v>24616</v>
      </c>
      <c r="AF4177">
        <v>1</v>
      </c>
      <c r="AG4177">
        <v>1</v>
      </c>
      <c r="AH4177">
        <v>1</v>
      </c>
      <c r="AI4177">
        <v>141.93</v>
      </c>
      <c r="AL4177" t="s">
        <v>5011</v>
      </c>
      <c r="AM4177">
        <v>24000</v>
      </c>
      <c r="AO4177" t="s">
        <v>24932</v>
      </c>
      <c r="AP4177" t="s">
        <v>24942</v>
      </c>
      <c r="AQ4177" t="s">
        <v>24986</v>
      </c>
      <c r="AR4177" t="s">
        <v>25020</v>
      </c>
      <c r="AS4177">
        <v>27.8</v>
      </c>
      <c r="AT4177" t="s">
        <v>645</v>
      </c>
      <c r="AU4177" t="s">
        <v>245</v>
      </c>
      <c r="AV4177" t="s">
        <v>25334</v>
      </c>
      <c r="AW4177" t="s">
        <v>11447</v>
      </c>
    </row>
    <row r="4178" spans="1:49">
      <c r="A4178" s="1">
        <f>HYPERLINK("https://lsnyc.legalserver.org/matter/dynamic-profile/view/1911027","19-1911027")</f>
        <v>0</v>
      </c>
      <c r="B4178" t="s">
        <v>69</v>
      </c>
      <c r="C4178" t="s">
        <v>460</v>
      </c>
      <c r="D4178" t="s">
        <v>645</v>
      </c>
      <c r="E4178" t="s">
        <v>1218</v>
      </c>
      <c r="F4178" t="s">
        <v>1210</v>
      </c>
      <c r="G4178" t="s">
        <v>9448</v>
      </c>
      <c r="H4178" t="s">
        <v>10448</v>
      </c>
      <c r="I4178" t="s">
        <v>11383</v>
      </c>
      <c r="J4178">
        <v>10457</v>
      </c>
      <c r="K4178" t="s">
        <v>11446</v>
      </c>
      <c r="L4178" t="s">
        <v>13699</v>
      </c>
      <c r="M4178" t="s">
        <v>14744</v>
      </c>
      <c r="N4178" t="s">
        <v>14781</v>
      </c>
      <c r="O4178" t="s">
        <v>14788</v>
      </c>
      <c r="P4178" t="s">
        <v>14805</v>
      </c>
      <c r="Q4178" t="s">
        <v>11448</v>
      </c>
      <c r="S4178" t="s">
        <v>14827</v>
      </c>
      <c r="T4178" t="s">
        <v>14836</v>
      </c>
      <c r="U4178" t="s">
        <v>460</v>
      </c>
      <c r="V4178">
        <v>687.34</v>
      </c>
      <c r="W4178" t="s">
        <v>14858</v>
      </c>
      <c r="X4178" t="s">
        <v>14863</v>
      </c>
      <c r="Y4178" t="s">
        <v>14887</v>
      </c>
      <c r="Z4178" t="s">
        <v>18357</v>
      </c>
      <c r="AB4178" t="s">
        <v>23467</v>
      </c>
      <c r="AC4178">
        <v>23</v>
      </c>
      <c r="AD4178" t="s">
        <v>24604</v>
      </c>
      <c r="AF4178">
        <v>25</v>
      </c>
      <c r="AG4178">
        <v>2</v>
      </c>
      <c r="AH4178">
        <v>0</v>
      </c>
      <c r="AI4178">
        <v>165.58</v>
      </c>
      <c r="AL4178" t="s">
        <v>5011</v>
      </c>
      <c r="AM4178">
        <v>28000</v>
      </c>
      <c r="AS4178">
        <v>6</v>
      </c>
      <c r="AT4178" t="s">
        <v>645</v>
      </c>
      <c r="AU4178" t="s">
        <v>145</v>
      </c>
      <c r="AV4178" t="s">
        <v>25335</v>
      </c>
      <c r="AW4178" t="s">
        <v>11447</v>
      </c>
    </row>
    <row r="4179" spans="1:49">
      <c r="A4179" s="1">
        <f>HYPERLINK("https://lsnyc.legalserver.org/matter/dynamic-profile/view/1899934","19-1899934")</f>
        <v>0</v>
      </c>
      <c r="B4179" t="s">
        <v>89</v>
      </c>
      <c r="C4179" t="s">
        <v>370</v>
      </c>
      <c r="D4179" t="s">
        <v>586</v>
      </c>
      <c r="E4179" t="s">
        <v>3081</v>
      </c>
      <c r="F4179" t="s">
        <v>5724</v>
      </c>
      <c r="G4179" t="s">
        <v>9449</v>
      </c>
      <c r="H4179" t="s">
        <v>10626</v>
      </c>
      <c r="I4179" t="s">
        <v>11383</v>
      </c>
      <c r="J4179">
        <v>10467</v>
      </c>
      <c r="K4179" t="s">
        <v>11446</v>
      </c>
      <c r="L4179" t="s">
        <v>13700</v>
      </c>
      <c r="M4179" t="s">
        <v>14743</v>
      </c>
      <c r="N4179" t="s">
        <v>14781</v>
      </c>
      <c r="O4179" t="s">
        <v>14788</v>
      </c>
      <c r="P4179" t="s">
        <v>14805</v>
      </c>
      <c r="Q4179" t="s">
        <v>11448</v>
      </c>
      <c r="S4179" t="s">
        <v>14827</v>
      </c>
      <c r="T4179" t="s">
        <v>14837</v>
      </c>
      <c r="U4179" t="s">
        <v>366</v>
      </c>
      <c r="V4179">
        <v>1</v>
      </c>
      <c r="W4179" t="s">
        <v>14858</v>
      </c>
      <c r="X4179" t="s">
        <v>14868</v>
      </c>
      <c r="Y4179" t="s">
        <v>14887</v>
      </c>
      <c r="Z4179" t="s">
        <v>17114</v>
      </c>
      <c r="AA4179" t="s">
        <v>19418</v>
      </c>
      <c r="AB4179" t="s">
        <v>23468</v>
      </c>
      <c r="AC4179">
        <v>135</v>
      </c>
      <c r="AD4179" t="s">
        <v>24595</v>
      </c>
      <c r="AE4179" t="s">
        <v>24610</v>
      </c>
      <c r="AF4179">
        <v>9</v>
      </c>
      <c r="AG4179">
        <v>3</v>
      </c>
      <c r="AH4179">
        <v>1</v>
      </c>
      <c r="AI4179">
        <v>43.01</v>
      </c>
      <c r="AL4179" t="s">
        <v>5011</v>
      </c>
      <c r="AM4179">
        <v>11076</v>
      </c>
      <c r="AO4179" t="s">
        <v>24930</v>
      </c>
      <c r="AP4179" t="s">
        <v>24975</v>
      </c>
      <c r="AQ4179" t="s">
        <v>24986</v>
      </c>
      <c r="AR4179" t="s">
        <v>25092</v>
      </c>
      <c r="AS4179">
        <v>2.8</v>
      </c>
      <c r="AT4179" t="s">
        <v>586</v>
      </c>
      <c r="AU4179" t="s">
        <v>89</v>
      </c>
      <c r="AV4179" t="s">
        <v>25335</v>
      </c>
      <c r="AW4179" t="s">
        <v>11447</v>
      </c>
    </row>
    <row r="4180" spans="1:49">
      <c r="A4180" s="1">
        <f>HYPERLINK("https://lsnyc.legalserver.org/matter/dynamic-profile/view/1908533","19-1908533")</f>
        <v>0</v>
      </c>
      <c r="B4180" t="s">
        <v>297</v>
      </c>
      <c r="C4180" t="s">
        <v>524</v>
      </c>
      <c r="D4180" t="s">
        <v>551</v>
      </c>
      <c r="E4180" t="s">
        <v>3082</v>
      </c>
      <c r="F4180" t="s">
        <v>5725</v>
      </c>
      <c r="G4180" t="s">
        <v>9450</v>
      </c>
      <c r="H4180">
        <v>33</v>
      </c>
      <c r="I4180" t="s">
        <v>11383</v>
      </c>
      <c r="J4180">
        <v>10467</v>
      </c>
      <c r="K4180" t="s">
        <v>11446</v>
      </c>
      <c r="L4180" t="s">
        <v>13701</v>
      </c>
      <c r="M4180" t="s">
        <v>14744</v>
      </c>
      <c r="N4180" t="s">
        <v>14781</v>
      </c>
      <c r="O4180" t="s">
        <v>14788</v>
      </c>
      <c r="P4180" t="s">
        <v>14805</v>
      </c>
      <c r="Q4180" t="s">
        <v>11448</v>
      </c>
      <c r="S4180" t="s">
        <v>14827</v>
      </c>
      <c r="T4180" t="s">
        <v>14837</v>
      </c>
      <c r="U4180" t="s">
        <v>602</v>
      </c>
      <c r="V4180">
        <v>1555.7</v>
      </c>
      <c r="W4180" t="s">
        <v>14858</v>
      </c>
      <c r="X4180" t="s">
        <v>14865</v>
      </c>
      <c r="Y4180" t="s">
        <v>14887</v>
      </c>
      <c r="Z4180" t="s">
        <v>18274</v>
      </c>
      <c r="AB4180" t="s">
        <v>23469</v>
      </c>
      <c r="AC4180">
        <v>29</v>
      </c>
      <c r="AD4180" t="s">
        <v>24595</v>
      </c>
      <c r="AF4180">
        <v>3</v>
      </c>
      <c r="AG4180">
        <v>1</v>
      </c>
      <c r="AH4180">
        <v>1</v>
      </c>
      <c r="AI4180">
        <v>162.98</v>
      </c>
      <c r="AL4180" t="s">
        <v>5011</v>
      </c>
      <c r="AM4180">
        <v>27560</v>
      </c>
      <c r="AO4180" t="s">
        <v>24931</v>
      </c>
      <c r="AP4180" t="s">
        <v>24959</v>
      </c>
      <c r="AQ4180" t="s">
        <v>24986</v>
      </c>
      <c r="AR4180" t="s">
        <v>25082</v>
      </c>
      <c r="AS4180">
        <v>7.2</v>
      </c>
      <c r="AT4180" t="s">
        <v>551</v>
      </c>
      <c r="AU4180" t="s">
        <v>237</v>
      </c>
      <c r="AV4180" t="s">
        <v>25335</v>
      </c>
      <c r="AW4180" t="s">
        <v>11447</v>
      </c>
    </row>
    <row r="4181" spans="1:49">
      <c r="A4181" s="1">
        <f>HYPERLINK("https://lsnyc.legalserver.org/matter/dynamic-profile/view/1902999","19-1902999")</f>
        <v>0</v>
      </c>
      <c r="B4181" t="s">
        <v>80</v>
      </c>
      <c r="C4181" t="s">
        <v>659</v>
      </c>
      <c r="D4181" t="s">
        <v>559</v>
      </c>
      <c r="E4181" t="s">
        <v>1670</v>
      </c>
      <c r="F4181" t="s">
        <v>5355</v>
      </c>
      <c r="G4181" t="s">
        <v>9451</v>
      </c>
      <c r="H4181" t="s">
        <v>10794</v>
      </c>
      <c r="I4181" t="s">
        <v>11383</v>
      </c>
      <c r="J4181">
        <v>10462</v>
      </c>
      <c r="K4181" t="s">
        <v>11446</v>
      </c>
      <c r="L4181" t="s">
        <v>13702</v>
      </c>
      <c r="M4181" t="s">
        <v>14744</v>
      </c>
      <c r="N4181" t="s">
        <v>14781</v>
      </c>
      <c r="O4181" t="s">
        <v>14788</v>
      </c>
      <c r="P4181" t="s">
        <v>14805</v>
      </c>
      <c r="Q4181" t="s">
        <v>11448</v>
      </c>
      <c r="S4181" t="s">
        <v>14827</v>
      </c>
      <c r="T4181" t="s">
        <v>14833</v>
      </c>
      <c r="U4181" t="s">
        <v>456</v>
      </c>
      <c r="V4181">
        <v>959</v>
      </c>
      <c r="W4181" t="s">
        <v>14858</v>
      </c>
      <c r="X4181" t="s">
        <v>14865</v>
      </c>
      <c r="Y4181" t="s">
        <v>14887</v>
      </c>
      <c r="Z4181" t="s">
        <v>18358</v>
      </c>
      <c r="AB4181" t="s">
        <v>23470</v>
      </c>
      <c r="AC4181">
        <v>85</v>
      </c>
      <c r="AF4181">
        <v>30</v>
      </c>
      <c r="AG4181">
        <v>2</v>
      </c>
      <c r="AH4181">
        <v>0</v>
      </c>
      <c r="AI4181">
        <v>74.87</v>
      </c>
      <c r="AL4181" t="s">
        <v>5011</v>
      </c>
      <c r="AM4181">
        <v>12660</v>
      </c>
      <c r="AS4181">
        <v>3</v>
      </c>
      <c r="AT4181" t="s">
        <v>456</v>
      </c>
      <c r="AU4181" t="s">
        <v>145</v>
      </c>
      <c r="AV4181" t="s">
        <v>25335</v>
      </c>
      <c r="AW4181" t="s">
        <v>11447</v>
      </c>
    </row>
    <row r="4182" spans="1:49">
      <c r="A4182" s="1">
        <f>HYPERLINK("https://lsnyc.legalserver.org/matter/dynamic-profile/view/1910371","19-1910371")</f>
        <v>0</v>
      </c>
      <c r="B4182" t="s">
        <v>69</v>
      </c>
      <c r="C4182" t="s">
        <v>540</v>
      </c>
      <c r="D4182" t="s">
        <v>489</v>
      </c>
      <c r="E4182" t="s">
        <v>2048</v>
      </c>
      <c r="F4182" t="s">
        <v>5726</v>
      </c>
      <c r="G4182" t="s">
        <v>9452</v>
      </c>
      <c r="H4182" t="s">
        <v>11238</v>
      </c>
      <c r="I4182" t="s">
        <v>11383</v>
      </c>
      <c r="J4182">
        <v>10457</v>
      </c>
      <c r="K4182" t="s">
        <v>11446</v>
      </c>
      <c r="L4182" t="s">
        <v>13703</v>
      </c>
      <c r="M4182" t="s">
        <v>14744</v>
      </c>
      <c r="N4182" t="s">
        <v>14781</v>
      </c>
      <c r="O4182" t="s">
        <v>14788</v>
      </c>
      <c r="P4182" t="s">
        <v>14805</v>
      </c>
      <c r="Q4182" t="s">
        <v>11448</v>
      </c>
      <c r="S4182" t="s">
        <v>14827</v>
      </c>
      <c r="T4182" t="s">
        <v>14832</v>
      </c>
      <c r="U4182" t="s">
        <v>540</v>
      </c>
      <c r="V4182">
        <v>1065</v>
      </c>
      <c r="W4182" t="s">
        <v>14858</v>
      </c>
      <c r="X4182" t="s">
        <v>14873</v>
      </c>
      <c r="Y4182" t="s">
        <v>14887</v>
      </c>
      <c r="Z4182" t="s">
        <v>17370</v>
      </c>
      <c r="AA4182">
        <v>37745103</v>
      </c>
      <c r="AB4182" t="s">
        <v>23471</v>
      </c>
      <c r="AC4182">
        <v>23</v>
      </c>
      <c r="AF4182">
        <v>4</v>
      </c>
      <c r="AG4182">
        <v>2</v>
      </c>
      <c r="AH4182">
        <v>1</v>
      </c>
      <c r="AI4182">
        <v>121.89</v>
      </c>
      <c r="AL4182" t="s">
        <v>5011</v>
      </c>
      <c r="AM4182">
        <v>26000</v>
      </c>
      <c r="AO4182" t="s">
        <v>24930</v>
      </c>
      <c r="AP4182" t="s">
        <v>24942</v>
      </c>
      <c r="AQ4182" t="s">
        <v>24986</v>
      </c>
      <c r="AR4182" t="s">
        <v>25022</v>
      </c>
      <c r="AS4182">
        <v>3.05</v>
      </c>
      <c r="AT4182" t="s">
        <v>559</v>
      </c>
      <c r="AU4182" t="s">
        <v>25252</v>
      </c>
      <c r="AV4182" t="s">
        <v>25335</v>
      </c>
      <c r="AW4182" t="s">
        <v>11447</v>
      </c>
    </row>
    <row r="4183" spans="1:49">
      <c r="A4183" s="1">
        <f>HYPERLINK("https://lsnyc.legalserver.org/matter/dynamic-profile/view/1910879","19-1910879")</f>
        <v>0</v>
      </c>
      <c r="B4183" t="s">
        <v>257</v>
      </c>
      <c r="C4183" t="s">
        <v>601</v>
      </c>
      <c r="D4183" t="s">
        <v>489</v>
      </c>
      <c r="E4183" t="s">
        <v>3083</v>
      </c>
      <c r="F4183" t="s">
        <v>3797</v>
      </c>
      <c r="G4183" t="s">
        <v>9453</v>
      </c>
      <c r="H4183" t="s">
        <v>10659</v>
      </c>
      <c r="I4183" t="s">
        <v>11383</v>
      </c>
      <c r="J4183">
        <v>10456</v>
      </c>
      <c r="K4183" t="s">
        <v>11447</v>
      </c>
      <c r="L4183" t="s">
        <v>13704</v>
      </c>
      <c r="M4183" t="s">
        <v>14744</v>
      </c>
      <c r="N4183" t="s">
        <v>14781</v>
      </c>
      <c r="O4183" t="s">
        <v>14788</v>
      </c>
      <c r="P4183" t="s">
        <v>14805</v>
      </c>
      <c r="Q4183" t="s">
        <v>11448</v>
      </c>
      <c r="S4183" t="s">
        <v>14827</v>
      </c>
      <c r="V4183">
        <v>850</v>
      </c>
      <c r="W4183" t="s">
        <v>14858</v>
      </c>
      <c r="X4183" t="s">
        <v>14864</v>
      </c>
      <c r="Y4183" t="s">
        <v>14887</v>
      </c>
      <c r="Z4183" t="s">
        <v>18359</v>
      </c>
      <c r="AB4183" t="s">
        <v>23472</v>
      </c>
      <c r="AC4183">
        <v>3</v>
      </c>
      <c r="AD4183" t="s">
        <v>24600</v>
      </c>
      <c r="AE4183" t="s">
        <v>11459</v>
      </c>
      <c r="AF4183">
        <v>7</v>
      </c>
      <c r="AG4183">
        <v>1</v>
      </c>
      <c r="AH4183">
        <v>0</v>
      </c>
      <c r="AI4183">
        <v>62.45</v>
      </c>
      <c r="AL4183" t="s">
        <v>5011</v>
      </c>
      <c r="AM4183">
        <v>7800</v>
      </c>
      <c r="AO4183" t="s">
        <v>24931</v>
      </c>
      <c r="AP4183" t="s">
        <v>24942</v>
      </c>
      <c r="AQ4183" t="s">
        <v>24986</v>
      </c>
      <c r="AR4183" t="s">
        <v>25022</v>
      </c>
      <c r="AS4183">
        <v>10.6</v>
      </c>
      <c r="AT4183" t="s">
        <v>489</v>
      </c>
      <c r="AU4183" t="s">
        <v>25252</v>
      </c>
      <c r="AW4183" t="s">
        <v>11447</v>
      </c>
    </row>
    <row r="4184" spans="1:49">
      <c r="A4184" s="1">
        <f>HYPERLINK("https://lsnyc.legalserver.org/matter/dynamic-profile/view/1909462","19-1909462")</f>
        <v>0</v>
      </c>
      <c r="B4184" t="s">
        <v>257</v>
      </c>
      <c r="C4184" t="s">
        <v>488</v>
      </c>
      <c r="D4184" t="s">
        <v>578</v>
      </c>
      <c r="E4184" t="s">
        <v>3084</v>
      </c>
      <c r="F4184" t="s">
        <v>5727</v>
      </c>
      <c r="G4184" t="s">
        <v>9454</v>
      </c>
      <c r="H4184" t="s">
        <v>10522</v>
      </c>
      <c r="I4184" t="s">
        <v>11383</v>
      </c>
      <c r="J4184">
        <v>10467</v>
      </c>
      <c r="K4184" t="s">
        <v>11446</v>
      </c>
      <c r="L4184" t="s">
        <v>13705</v>
      </c>
      <c r="M4184" t="s">
        <v>14744</v>
      </c>
      <c r="N4184" t="s">
        <v>14781</v>
      </c>
      <c r="O4184" t="s">
        <v>14788</v>
      </c>
      <c r="P4184" t="s">
        <v>14805</v>
      </c>
      <c r="Q4184" t="s">
        <v>11448</v>
      </c>
      <c r="S4184" t="s">
        <v>14827</v>
      </c>
      <c r="T4184" t="s">
        <v>14832</v>
      </c>
      <c r="U4184" t="s">
        <v>488</v>
      </c>
      <c r="V4184">
        <v>1350</v>
      </c>
      <c r="W4184" t="s">
        <v>14858</v>
      </c>
      <c r="Y4184" t="s">
        <v>14887</v>
      </c>
      <c r="Z4184" t="s">
        <v>18360</v>
      </c>
      <c r="AB4184" t="s">
        <v>23473</v>
      </c>
      <c r="AC4184">
        <v>66</v>
      </c>
      <c r="AD4184" t="s">
        <v>24595</v>
      </c>
      <c r="AE4184" t="s">
        <v>11459</v>
      </c>
      <c r="AF4184">
        <v>1</v>
      </c>
      <c r="AG4184">
        <v>1</v>
      </c>
      <c r="AH4184">
        <v>1</v>
      </c>
      <c r="AI4184">
        <v>171.5</v>
      </c>
      <c r="AL4184" t="s">
        <v>24632</v>
      </c>
      <c r="AM4184">
        <v>29000</v>
      </c>
      <c r="AP4184" t="s">
        <v>24941</v>
      </c>
      <c r="AQ4184" t="s">
        <v>24986</v>
      </c>
      <c r="AR4184" t="s">
        <v>25076</v>
      </c>
      <c r="AS4184">
        <v>4.5</v>
      </c>
      <c r="AT4184" t="s">
        <v>505</v>
      </c>
      <c r="AU4184" t="s">
        <v>145</v>
      </c>
      <c r="AV4184" t="s">
        <v>25335</v>
      </c>
      <c r="AW4184" t="s">
        <v>11447</v>
      </c>
    </row>
    <row r="4185" spans="1:49">
      <c r="A4185" s="1">
        <f>HYPERLINK("https://lsnyc.legalserver.org/matter/dynamic-profile/view/1904092","19-1904092")</f>
        <v>0</v>
      </c>
      <c r="B4185" t="s">
        <v>130</v>
      </c>
      <c r="C4185" t="s">
        <v>621</v>
      </c>
      <c r="D4185" t="s">
        <v>484</v>
      </c>
      <c r="E4185" t="s">
        <v>3085</v>
      </c>
      <c r="F4185" t="s">
        <v>5728</v>
      </c>
      <c r="G4185" t="s">
        <v>9455</v>
      </c>
      <c r="H4185" t="s">
        <v>10542</v>
      </c>
      <c r="I4185" t="s">
        <v>11383</v>
      </c>
      <c r="J4185">
        <v>10457</v>
      </c>
      <c r="K4185" t="s">
        <v>11446</v>
      </c>
      <c r="L4185" t="s">
        <v>13706</v>
      </c>
      <c r="M4185" t="s">
        <v>14744</v>
      </c>
      <c r="N4185" t="s">
        <v>14781</v>
      </c>
      <c r="O4185" t="s">
        <v>14788</v>
      </c>
      <c r="P4185" t="s">
        <v>14805</v>
      </c>
      <c r="Q4185" t="s">
        <v>11448</v>
      </c>
      <c r="S4185" t="s">
        <v>14827</v>
      </c>
      <c r="U4185" t="s">
        <v>621</v>
      </c>
      <c r="V4185">
        <v>1468.81</v>
      </c>
      <c r="W4185" t="s">
        <v>14858</v>
      </c>
      <c r="Y4185" t="s">
        <v>14887</v>
      </c>
      <c r="Z4185" t="s">
        <v>18361</v>
      </c>
      <c r="AA4185" t="s">
        <v>19854</v>
      </c>
      <c r="AB4185" t="s">
        <v>23474</v>
      </c>
      <c r="AC4185">
        <v>32</v>
      </c>
      <c r="AD4185" t="s">
        <v>24595</v>
      </c>
      <c r="AF4185">
        <v>18</v>
      </c>
      <c r="AG4185">
        <v>2</v>
      </c>
      <c r="AH4185">
        <v>7</v>
      </c>
      <c r="AI4185">
        <v>50.18</v>
      </c>
      <c r="AL4185" t="s">
        <v>5011</v>
      </c>
      <c r="AM4185">
        <v>24012</v>
      </c>
      <c r="AP4185" t="s">
        <v>24949</v>
      </c>
      <c r="AQ4185" t="s">
        <v>24986</v>
      </c>
      <c r="AR4185" t="s">
        <v>25025</v>
      </c>
      <c r="AS4185">
        <v>13</v>
      </c>
      <c r="AT4185" t="s">
        <v>484</v>
      </c>
      <c r="AU4185" t="s">
        <v>145</v>
      </c>
      <c r="AV4185" t="s">
        <v>25334</v>
      </c>
      <c r="AW4185" t="s">
        <v>11447</v>
      </c>
    </row>
    <row r="4186" spans="1:49">
      <c r="A4186" s="1">
        <f>HYPERLINK("https://lsnyc.legalserver.org/matter/dynamic-profile/view/1908387","19-1908387")</f>
        <v>0</v>
      </c>
      <c r="B4186" t="s">
        <v>298</v>
      </c>
      <c r="C4186" t="s">
        <v>464</v>
      </c>
      <c r="D4186" t="s">
        <v>484</v>
      </c>
      <c r="E4186" t="s">
        <v>2547</v>
      </c>
      <c r="F4186" t="s">
        <v>1101</v>
      </c>
      <c r="G4186" t="s">
        <v>9456</v>
      </c>
      <c r="H4186" t="s">
        <v>11239</v>
      </c>
      <c r="I4186" t="s">
        <v>11383</v>
      </c>
      <c r="J4186">
        <v>10467</v>
      </c>
      <c r="K4186" t="s">
        <v>11446</v>
      </c>
      <c r="L4186" t="s">
        <v>13707</v>
      </c>
      <c r="M4186" t="s">
        <v>14744</v>
      </c>
      <c r="N4186" t="s">
        <v>14781</v>
      </c>
      <c r="O4186" t="s">
        <v>14789</v>
      </c>
      <c r="P4186" t="s">
        <v>14805</v>
      </c>
      <c r="Q4186" t="s">
        <v>11448</v>
      </c>
      <c r="S4186" t="s">
        <v>14827</v>
      </c>
      <c r="U4186" t="s">
        <v>14839</v>
      </c>
      <c r="V4186">
        <v>330</v>
      </c>
      <c r="W4186" t="s">
        <v>14858</v>
      </c>
      <c r="X4186" t="s">
        <v>14863</v>
      </c>
      <c r="Y4186" t="s">
        <v>14889</v>
      </c>
      <c r="Z4186" t="s">
        <v>18362</v>
      </c>
      <c r="AA4186" t="s">
        <v>19855</v>
      </c>
      <c r="AB4186" t="s">
        <v>23475</v>
      </c>
      <c r="AC4186">
        <v>0</v>
      </c>
      <c r="AD4186" t="s">
        <v>11479</v>
      </c>
      <c r="AE4186" t="s">
        <v>24611</v>
      </c>
      <c r="AF4186">
        <v>5</v>
      </c>
      <c r="AG4186">
        <v>1</v>
      </c>
      <c r="AH4186">
        <v>0</v>
      </c>
      <c r="AI4186">
        <v>78.78</v>
      </c>
      <c r="AL4186" t="s">
        <v>5011</v>
      </c>
      <c r="AM4186">
        <v>9840</v>
      </c>
      <c r="AO4186" t="s">
        <v>24932</v>
      </c>
      <c r="AP4186" t="s">
        <v>24942</v>
      </c>
      <c r="AQ4186" t="s">
        <v>24986</v>
      </c>
      <c r="AR4186" t="s">
        <v>25050</v>
      </c>
      <c r="AS4186">
        <v>6</v>
      </c>
      <c r="AT4186" t="s">
        <v>466</v>
      </c>
      <c r="AU4186" t="s">
        <v>25239</v>
      </c>
      <c r="AV4186" t="s">
        <v>25334</v>
      </c>
      <c r="AW4186" t="s">
        <v>11447</v>
      </c>
    </row>
    <row r="4187" spans="1:49">
      <c r="A4187" s="1">
        <f>HYPERLINK("https://lsnyc.legalserver.org/matter/dynamic-profile/view/1898462","19-1898462")</f>
        <v>0</v>
      </c>
      <c r="B4187" t="s">
        <v>273</v>
      </c>
      <c r="C4187" t="s">
        <v>360</v>
      </c>
      <c r="D4187" t="s">
        <v>484</v>
      </c>
      <c r="E4187" t="s">
        <v>3086</v>
      </c>
      <c r="F4187" t="s">
        <v>4915</v>
      </c>
      <c r="G4187" t="s">
        <v>9457</v>
      </c>
      <c r="H4187" t="s">
        <v>11099</v>
      </c>
      <c r="I4187" t="s">
        <v>11383</v>
      </c>
      <c r="J4187">
        <v>10467</v>
      </c>
      <c r="K4187" t="s">
        <v>11446</v>
      </c>
      <c r="L4187" t="s">
        <v>13708</v>
      </c>
      <c r="M4187" t="s">
        <v>14744</v>
      </c>
      <c r="N4187" t="s">
        <v>14781</v>
      </c>
      <c r="O4187" t="s">
        <v>14788</v>
      </c>
      <c r="P4187" t="s">
        <v>14805</v>
      </c>
      <c r="Q4187" t="s">
        <v>11448</v>
      </c>
      <c r="S4187" t="s">
        <v>14827</v>
      </c>
      <c r="T4187" t="s">
        <v>14834</v>
      </c>
      <c r="U4187" t="s">
        <v>14839</v>
      </c>
      <c r="V4187">
        <v>1230</v>
      </c>
      <c r="W4187" t="s">
        <v>14858</v>
      </c>
      <c r="X4187" t="s">
        <v>14870</v>
      </c>
      <c r="Y4187" t="s">
        <v>14894</v>
      </c>
      <c r="Z4187" t="s">
        <v>18363</v>
      </c>
      <c r="AB4187" t="s">
        <v>23476</v>
      </c>
      <c r="AC4187">
        <v>83</v>
      </c>
      <c r="AD4187" t="s">
        <v>24600</v>
      </c>
      <c r="AE4187" t="s">
        <v>11459</v>
      </c>
      <c r="AF4187">
        <v>4</v>
      </c>
      <c r="AG4187">
        <v>1</v>
      </c>
      <c r="AH4187">
        <v>0</v>
      </c>
      <c r="AI4187">
        <v>296.43</v>
      </c>
      <c r="AL4187" t="s">
        <v>5011</v>
      </c>
      <c r="AM4187">
        <v>37024</v>
      </c>
      <c r="AN4187" t="s">
        <v>24880</v>
      </c>
      <c r="AO4187" t="s">
        <v>24930</v>
      </c>
      <c r="AP4187" t="s">
        <v>24942</v>
      </c>
      <c r="AQ4187" t="s">
        <v>24986</v>
      </c>
      <c r="AR4187" t="s">
        <v>24998</v>
      </c>
      <c r="AS4187">
        <v>33.8</v>
      </c>
      <c r="AT4187" t="s">
        <v>585</v>
      </c>
      <c r="AU4187" t="s">
        <v>25226</v>
      </c>
      <c r="AV4187" t="s">
        <v>25335</v>
      </c>
      <c r="AW4187" t="s">
        <v>11447</v>
      </c>
    </row>
    <row r="4188" spans="1:49">
      <c r="A4188" s="1">
        <f>HYPERLINK("https://lsnyc.legalserver.org/matter/dynamic-profile/view/1898462","19-1898462")</f>
        <v>0</v>
      </c>
      <c r="B4188" t="s">
        <v>273</v>
      </c>
      <c r="C4188" t="s">
        <v>360</v>
      </c>
      <c r="D4188" t="s">
        <v>484</v>
      </c>
      <c r="E4188" t="s">
        <v>3086</v>
      </c>
      <c r="F4188" t="s">
        <v>4915</v>
      </c>
      <c r="G4188" t="s">
        <v>9457</v>
      </c>
      <c r="H4188" t="s">
        <v>11099</v>
      </c>
      <c r="I4188" t="s">
        <v>11383</v>
      </c>
      <c r="J4188">
        <v>10467</v>
      </c>
      <c r="K4188" t="s">
        <v>11446</v>
      </c>
      <c r="L4188" t="s">
        <v>13708</v>
      </c>
      <c r="M4188" t="s">
        <v>14744</v>
      </c>
      <c r="N4188" t="s">
        <v>14781</v>
      </c>
      <c r="O4188" t="s">
        <v>14788</v>
      </c>
      <c r="P4188" t="s">
        <v>14805</v>
      </c>
      <c r="Q4188" t="s">
        <v>11448</v>
      </c>
      <c r="S4188" t="s">
        <v>14827</v>
      </c>
      <c r="T4188" t="s">
        <v>14834</v>
      </c>
      <c r="U4188" t="s">
        <v>14839</v>
      </c>
      <c r="V4188">
        <v>1230</v>
      </c>
      <c r="W4188" t="s">
        <v>14858</v>
      </c>
      <c r="X4188" t="s">
        <v>14870</v>
      </c>
      <c r="Y4188" t="s">
        <v>14887</v>
      </c>
      <c r="Z4188" t="s">
        <v>18363</v>
      </c>
      <c r="AB4188" t="s">
        <v>23476</v>
      </c>
      <c r="AC4188">
        <v>83</v>
      </c>
      <c r="AD4188" t="s">
        <v>24600</v>
      </c>
      <c r="AE4188" t="s">
        <v>11459</v>
      </c>
      <c r="AF4188">
        <v>4</v>
      </c>
      <c r="AG4188">
        <v>1</v>
      </c>
      <c r="AH4188">
        <v>0</v>
      </c>
      <c r="AI4188">
        <v>296.43</v>
      </c>
      <c r="AL4188" t="s">
        <v>5011</v>
      </c>
      <c r="AM4188">
        <v>37024</v>
      </c>
      <c r="AN4188" t="s">
        <v>24880</v>
      </c>
      <c r="AO4188" t="s">
        <v>24930</v>
      </c>
      <c r="AP4188" t="s">
        <v>24942</v>
      </c>
      <c r="AQ4188" t="s">
        <v>24986</v>
      </c>
      <c r="AR4188" t="s">
        <v>24998</v>
      </c>
      <c r="AS4188">
        <v>33.8</v>
      </c>
      <c r="AT4188" t="s">
        <v>585</v>
      </c>
      <c r="AU4188" t="s">
        <v>25226</v>
      </c>
      <c r="AV4188" t="s">
        <v>25335</v>
      </c>
      <c r="AW4188" t="s">
        <v>11447</v>
      </c>
    </row>
    <row r="4189" spans="1:49">
      <c r="A4189" s="1">
        <f>HYPERLINK("https://lsnyc.legalserver.org/matter/dynamic-profile/view/1909524","19-1909524")</f>
        <v>0</v>
      </c>
      <c r="B4189" t="s">
        <v>69</v>
      </c>
      <c r="C4189" t="s">
        <v>488</v>
      </c>
      <c r="D4189" t="s">
        <v>477</v>
      </c>
      <c r="E4189" t="s">
        <v>1621</v>
      </c>
      <c r="F4189" t="s">
        <v>5729</v>
      </c>
      <c r="G4189" t="s">
        <v>7646</v>
      </c>
      <c r="H4189" t="s">
        <v>10557</v>
      </c>
      <c r="I4189" t="s">
        <v>11383</v>
      </c>
      <c r="J4189">
        <v>10457</v>
      </c>
      <c r="K4189" t="s">
        <v>11446</v>
      </c>
      <c r="L4189" t="s">
        <v>13709</v>
      </c>
      <c r="M4189" t="s">
        <v>14744</v>
      </c>
      <c r="N4189" t="s">
        <v>14781</v>
      </c>
      <c r="O4189" t="s">
        <v>14788</v>
      </c>
      <c r="P4189" t="s">
        <v>14805</v>
      </c>
      <c r="Q4189" t="s">
        <v>11448</v>
      </c>
      <c r="S4189" t="s">
        <v>14827</v>
      </c>
      <c r="T4189" t="s">
        <v>14832</v>
      </c>
      <c r="U4189" t="s">
        <v>519</v>
      </c>
      <c r="V4189">
        <v>204</v>
      </c>
      <c r="W4189" t="s">
        <v>14858</v>
      </c>
      <c r="X4189" t="s">
        <v>14865</v>
      </c>
      <c r="Y4189" t="s">
        <v>14887</v>
      </c>
      <c r="Z4189" t="s">
        <v>18364</v>
      </c>
      <c r="AB4189" t="s">
        <v>23477</v>
      </c>
      <c r="AC4189">
        <v>73</v>
      </c>
      <c r="AD4189" t="s">
        <v>24595</v>
      </c>
      <c r="AE4189" t="s">
        <v>24610</v>
      </c>
      <c r="AF4189">
        <v>20</v>
      </c>
      <c r="AG4189">
        <v>1</v>
      </c>
      <c r="AH4189">
        <v>0</v>
      </c>
      <c r="AI4189">
        <v>89.93000000000001</v>
      </c>
      <c r="AL4189" t="s">
        <v>5011</v>
      </c>
      <c r="AM4189">
        <v>11232</v>
      </c>
      <c r="AO4189" t="s">
        <v>24930</v>
      </c>
      <c r="AP4189" t="s">
        <v>24941</v>
      </c>
      <c r="AQ4189" t="s">
        <v>24986</v>
      </c>
      <c r="AR4189" t="s">
        <v>25032</v>
      </c>
      <c r="AS4189">
        <v>6</v>
      </c>
      <c r="AT4189" t="s">
        <v>483</v>
      </c>
      <c r="AU4189" t="s">
        <v>25239</v>
      </c>
      <c r="AV4189" t="s">
        <v>25335</v>
      </c>
      <c r="AW4189" t="s">
        <v>11447</v>
      </c>
    </row>
    <row r="4190" spans="1:49">
      <c r="A4190" s="1">
        <f>HYPERLINK("https://lsnyc.legalserver.org/matter/dynamic-profile/view/1906657","19-1906657")</f>
        <v>0</v>
      </c>
      <c r="B4190" t="s">
        <v>60</v>
      </c>
      <c r="C4190" t="s">
        <v>373</v>
      </c>
      <c r="D4190" t="s">
        <v>1022</v>
      </c>
      <c r="E4190" t="s">
        <v>1407</v>
      </c>
      <c r="F4190" t="s">
        <v>3547</v>
      </c>
      <c r="G4190" t="s">
        <v>9458</v>
      </c>
      <c r="H4190" t="s">
        <v>10703</v>
      </c>
      <c r="I4190" t="s">
        <v>11383</v>
      </c>
      <c r="J4190">
        <v>10467</v>
      </c>
      <c r="K4190" t="s">
        <v>11446</v>
      </c>
      <c r="L4190" t="s">
        <v>13710</v>
      </c>
      <c r="M4190" t="s">
        <v>14743</v>
      </c>
      <c r="N4190" t="s">
        <v>14781</v>
      </c>
      <c r="O4190" t="s">
        <v>14788</v>
      </c>
      <c r="P4190" t="s">
        <v>14805</v>
      </c>
      <c r="Q4190" t="s">
        <v>11448</v>
      </c>
      <c r="S4190" t="s">
        <v>14827</v>
      </c>
      <c r="T4190" t="s">
        <v>14832</v>
      </c>
      <c r="U4190" t="s">
        <v>373</v>
      </c>
      <c r="V4190">
        <v>1350</v>
      </c>
      <c r="W4190" t="s">
        <v>14858</v>
      </c>
      <c r="X4190" t="s">
        <v>14865</v>
      </c>
      <c r="Y4190" t="s">
        <v>14887</v>
      </c>
      <c r="Z4190" t="s">
        <v>18365</v>
      </c>
      <c r="AB4190" t="s">
        <v>23478</v>
      </c>
      <c r="AC4190">
        <v>4</v>
      </c>
      <c r="AD4190" t="s">
        <v>24600</v>
      </c>
      <c r="AF4190">
        <v>8</v>
      </c>
      <c r="AG4190">
        <v>1</v>
      </c>
      <c r="AH4190">
        <v>3</v>
      </c>
      <c r="AI4190">
        <v>0</v>
      </c>
      <c r="AL4190" t="s">
        <v>24632</v>
      </c>
      <c r="AM4190">
        <v>0</v>
      </c>
      <c r="AP4190" t="s">
        <v>24941</v>
      </c>
      <c r="AQ4190" t="s">
        <v>24986</v>
      </c>
      <c r="AR4190" t="s">
        <v>25100</v>
      </c>
      <c r="AS4190">
        <v>3</v>
      </c>
      <c r="AT4190" t="s">
        <v>589</v>
      </c>
      <c r="AU4190" t="s">
        <v>25232</v>
      </c>
      <c r="AV4190" t="s">
        <v>25335</v>
      </c>
      <c r="AW4190" t="s">
        <v>11447</v>
      </c>
    </row>
    <row r="4191" spans="1:49">
      <c r="A4191" s="1">
        <f>HYPERLINK("https://lsnyc.legalserver.org/matter/dynamic-profile/view/1883678","18-1883678")</f>
        <v>0</v>
      </c>
      <c r="B4191" t="s">
        <v>86</v>
      </c>
      <c r="C4191" t="s">
        <v>818</v>
      </c>
      <c r="D4191" t="s">
        <v>490</v>
      </c>
      <c r="E4191" t="s">
        <v>2617</v>
      </c>
      <c r="F4191" t="s">
        <v>5730</v>
      </c>
      <c r="G4191" t="s">
        <v>9459</v>
      </c>
      <c r="H4191" t="s">
        <v>10794</v>
      </c>
      <c r="I4191" t="s">
        <v>11383</v>
      </c>
      <c r="J4191">
        <v>10457</v>
      </c>
      <c r="K4191" t="s">
        <v>11447</v>
      </c>
      <c r="L4191" t="s">
        <v>13711</v>
      </c>
      <c r="M4191" t="s">
        <v>14744</v>
      </c>
      <c r="N4191" t="s">
        <v>14781</v>
      </c>
      <c r="O4191" t="s">
        <v>14788</v>
      </c>
      <c r="P4191" t="s">
        <v>14805</v>
      </c>
      <c r="Q4191" t="s">
        <v>11448</v>
      </c>
      <c r="S4191" t="s">
        <v>14827</v>
      </c>
      <c r="T4191" t="s">
        <v>14832</v>
      </c>
      <c r="V4191">
        <v>765.5700000000001</v>
      </c>
      <c r="W4191" t="s">
        <v>14858</v>
      </c>
      <c r="X4191" t="s">
        <v>14868</v>
      </c>
      <c r="Y4191" t="s">
        <v>14888</v>
      </c>
      <c r="Z4191" t="s">
        <v>18366</v>
      </c>
      <c r="AB4191" t="s">
        <v>23479</v>
      </c>
      <c r="AC4191">
        <v>74</v>
      </c>
      <c r="AD4191" t="s">
        <v>24595</v>
      </c>
      <c r="AE4191" t="s">
        <v>11459</v>
      </c>
      <c r="AF4191">
        <v>13</v>
      </c>
      <c r="AG4191">
        <v>3</v>
      </c>
      <c r="AH4191">
        <v>2</v>
      </c>
      <c r="AI4191">
        <v>106.05</v>
      </c>
      <c r="AL4191" t="s">
        <v>5011</v>
      </c>
      <c r="AM4191">
        <v>31200</v>
      </c>
      <c r="AN4191" t="s">
        <v>24853</v>
      </c>
      <c r="AS4191">
        <v>46.95</v>
      </c>
      <c r="AT4191" t="s">
        <v>508</v>
      </c>
      <c r="AU4191" t="s">
        <v>86</v>
      </c>
      <c r="AW4191" t="s">
        <v>11447</v>
      </c>
    </row>
    <row r="4192" spans="1:49">
      <c r="A4192" s="1">
        <f>HYPERLINK("https://lsnyc.legalserver.org/matter/dynamic-profile/view/1902842","19-1902842")</f>
        <v>0</v>
      </c>
      <c r="B4192" t="s">
        <v>298</v>
      </c>
      <c r="C4192" t="s">
        <v>343</v>
      </c>
      <c r="D4192" t="s">
        <v>478</v>
      </c>
      <c r="E4192" t="s">
        <v>1074</v>
      </c>
      <c r="F4192" t="s">
        <v>3154</v>
      </c>
      <c r="G4192" t="s">
        <v>9460</v>
      </c>
      <c r="H4192" t="s">
        <v>11240</v>
      </c>
      <c r="I4192" t="s">
        <v>11383</v>
      </c>
      <c r="J4192">
        <v>10467</v>
      </c>
      <c r="K4192" t="s">
        <v>11446</v>
      </c>
      <c r="L4192" t="s">
        <v>13712</v>
      </c>
      <c r="M4192" t="s">
        <v>14744</v>
      </c>
      <c r="N4192" t="s">
        <v>14781</v>
      </c>
      <c r="O4192" t="s">
        <v>14788</v>
      </c>
      <c r="P4192" t="s">
        <v>14805</v>
      </c>
      <c r="Q4192" t="s">
        <v>11448</v>
      </c>
      <c r="S4192" t="s">
        <v>14827</v>
      </c>
      <c r="T4192" t="s">
        <v>14832</v>
      </c>
      <c r="U4192" t="s">
        <v>365</v>
      </c>
      <c r="V4192">
        <v>1300</v>
      </c>
      <c r="W4192" t="s">
        <v>14858</v>
      </c>
      <c r="X4192" t="s">
        <v>14867</v>
      </c>
      <c r="Y4192" t="s">
        <v>14887</v>
      </c>
      <c r="Z4192" t="s">
        <v>18367</v>
      </c>
      <c r="AB4192" t="s">
        <v>23480</v>
      </c>
      <c r="AC4192">
        <v>94</v>
      </c>
      <c r="AF4192">
        <v>1</v>
      </c>
      <c r="AG4192">
        <v>1</v>
      </c>
      <c r="AH4192">
        <v>1</v>
      </c>
      <c r="AI4192">
        <v>150.68</v>
      </c>
      <c r="AL4192" t="s">
        <v>5011</v>
      </c>
      <c r="AM4192">
        <v>25480</v>
      </c>
      <c r="AO4192" t="s">
        <v>24930</v>
      </c>
      <c r="AP4192" t="s">
        <v>24942</v>
      </c>
      <c r="AQ4192" t="s">
        <v>24986</v>
      </c>
      <c r="AR4192" t="s">
        <v>25064</v>
      </c>
      <c r="AS4192">
        <v>12.5</v>
      </c>
      <c r="AT4192" t="s">
        <v>473</v>
      </c>
      <c r="AU4192" t="s">
        <v>145</v>
      </c>
      <c r="AV4192" t="s">
        <v>25335</v>
      </c>
      <c r="AW4192" t="s">
        <v>11447</v>
      </c>
    </row>
    <row r="4193" spans="1:49">
      <c r="A4193" s="1">
        <f>HYPERLINK("https://lsnyc.legalserver.org/matter/dynamic-profile/view/1910715","19-1910715")</f>
        <v>0</v>
      </c>
      <c r="B4193" t="s">
        <v>60</v>
      </c>
      <c r="C4193" t="s">
        <v>663</v>
      </c>
      <c r="D4193" t="s">
        <v>592</v>
      </c>
      <c r="E4193" t="s">
        <v>2330</v>
      </c>
      <c r="F4193" t="s">
        <v>5731</v>
      </c>
      <c r="G4193" t="s">
        <v>9461</v>
      </c>
      <c r="H4193" t="s">
        <v>10575</v>
      </c>
      <c r="I4193" t="s">
        <v>11383</v>
      </c>
      <c r="J4193">
        <v>10457</v>
      </c>
      <c r="K4193" t="s">
        <v>11446</v>
      </c>
      <c r="L4193" t="s">
        <v>13713</v>
      </c>
      <c r="M4193" t="s">
        <v>14744</v>
      </c>
      <c r="N4193" t="s">
        <v>14781</v>
      </c>
      <c r="O4193" t="s">
        <v>14788</v>
      </c>
      <c r="P4193" t="s">
        <v>14805</v>
      </c>
      <c r="Q4193" t="s">
        <v>11448</v>
      </c>
      <c r="S4193" t="s">
        <v>14827</v>
      </c>
      <c r="U4193" t="s">
        <v>604</v>
      </c>
      <c r="V4193">
        <v>715</v>
      </c>
      <c r="W4193" t="s">
        <v>14858</v>
      </c>
      <c r="X4193" t="s">
        <v>14865</v>
      </c>
      <c r="Y4193" t="s">
        <v>14887</v>
      </c>
      <c r="Z4193" t="s">
        <v>15573</v>
      </c>
      <c r="AA4193" t="s">
        <v>19856</v>
      </c>
      <c r="AB4193" t="s">
        <v>23481</v>
      </c>
      <c r="AC4193">
        <v>16</v>
      </c>
      <c r="AD4193" t="s">
        <v>24595</v>
      </c>
      <c r="AE4193" t="s">
        <v>24613</v>
      </c>
      <c r="AF4193">
        <v>35</v>
      </c>
      <c r="AG4193">
        <v>1</v>
      </c>
      <c r="AH4193">
        <v>0</v>
      </c>
      <c r="AI4193">
        <v>79.73999999999999</v>
      </c>
      <c r="AL4193" t="s">
        <v>5011</v>
      </c>
      <c r="AM4193">
        <v>9960</v>
      </c>
      <c r="AP4193" t="s">
        <v>24959</v>
      </c>
      <c r="AQ4193" t="s">
        <v>24986</v>
      </c>
      <c r="AR4193" t="s">
        <v>25078</v>
      </c>
      <c r="AS4193">
        <v>4.8</v>
      </c>
      <c r="AT4193" t="s">
        <v>592</v>
      </c>
      <c r="AU4193" t="s">
        <v>145</v>
      </c>
      <c r="AV4193" t="s">
        <v>25335</v>
      </c>
      <c r="AW4193" t="s">
        <v>11447</v>
      </c>
    </row>
    <row r="4194" spans="1:49">
      <c r="A4194" s="1">
        <f>HYPERLINK("https://lsnyc.legalserver.org/matter/dynamic-profile/view/1896436","19-1896436")</f>
        <v>0</v>
      </c>
      <c r="B4194" t="s">
        <v>130</v>
      </c>
      <c r="C4194" t="s">
        <v>729</v>
      </c>
      <c r="D4194" t="s">
        <v>537</v>
      </c>
      <c r="E4194" t="s">
        <v>1323</v>
      </c>
      <c r="F4194" t="s">
        <v>5732</v>
      </c>
      <c r="G4194" t="s">
        <v>9462</v>
      </c>
      <c r="H4194" t="s">
        <v>10509</v>
      </c>
      <c r="I4194" t="s">
        <v>11383</v>
      </c>
      <c r="J4194">
        <v>10467</v>
      </c>
      <c r="K4194" t="s">
        <v>11447</v>
      </c>
      <c r="L4194" t="s">
        <v>13714</v>
      </c>
      <c r="N4194" t="s">
        <v>14781</v>
      </c>
      <c r="O4194" t="s">
        <v>14788</v>
      </c>
      <c r="P4194" t="s">
        <v>14805</v>
      </c>
      <c r="Q4194" t="s">
        <v>11448</v>
      </c>
      <c r="S4194" t="s">
        <v>14827</v>
      </c>
      <c r="V4194">
        <v>1375</v>
      </c>
      <c r="W4194" t="s">
        <v>14858</v>
      </c>
      <c r="Y4194" t="s">
        <v>14887</v>
      </c>
      <c r="Z4194" t="s">
        <v>18368</v>
      </c>
      <c r="AB4194" t="s">
        <v>23482</v>
      </c>
      <c r="AC4194">
        <v>6</v>
      </c>
      <c r="AE4194" t="s">
        <v>24611</v>
      </c>
      <c r="AF4194">
        <v>7</v>
      </c>
      <c r="AG4194">
        <v>1</v>
      </c>
      <c r="AH4194">
        <v>0</v>
      </c>
      <c r="AI4194">
        <v>84.06999999999999</v>
      </c>
      <c r="AL4194" t="s">
        <v>5011</v>
      </c>
      <c r="AM4194">
        <v>10500</v>
      </c>
      <c r="AP4194" t="s">
        <v>24976</v>
      </c>
      <c r="AQ4194" t="s">
        <v>24986</v>
      </c>
      <c r="AR4194" t="s">
        <v>25000</v>
      </c>
      <c r="AS4194">
        <v>31.8</v>
      </c>
      <c r="AT4194" t="s">
        <v>537</v>
      </c>
      <c r="AU4194" t="s">
        <v>237</v>
      </c>
      <c r="AW4194" t="s">
        <v>11446</v>
      </c>
    </row>
    <row r="4195" spans="1:49">
      <c r="A4195" s="1">
        <f>HYPERLINK("https://lsnyc.legalserver.org/matter/dynamic-profile/view/1910979","19-1910979")</f>
        <v>0</v>
      </c>
      <c r="B4195" t="s">
        <v>69</v>
      </c>
      <c r="C4195" t="s">
        <v>604</v>
      </c>
      <c r="D4195" t="s">
        <v>521</v>
      </c>
      <c r="E4195" t="s">
        <v>2992</v>
      </c>
      <c r="F4195" t="s">
        <v>5733</v>
      </c>
      <c r="G4195" t="s">
        <v>9463</v>
      </c>
      <c r="H4195" t="s">
        <v>10908</v>
      </c>
      <c r="I4195" t="s">
        <v>11383</v>
      </c>
      <c r="J4195">
        <v>10467</v>
      </c>
      <c r="K4195" t="s">
        <v>11446</v>
      </c>
      <c r="L4195" t="s">
        <v>13715</v>
      </c>
      <c r="M4195" t="s">
        <v>14743</v>
      </c>
      <c r="N4195" t="s">
        <v>14781</v>
      </c>
      <c r="O4195" t="s">
        <v>14792</v>
      </c>
      <c r="P4195" t="s">
        <v>14805</v>
      </c>
      <c r="Q4195" t="s">
        <v>11448</v>
      </c>
      <c r="S4195" t="s">
        <v>14827</v>
      </c>
      <c r="T4195" t="s">
        <v>14832</v>
      </c>
      <c r="U4195" t="s">
        <v>604</v>
      </c>
      <c r="V4195">
        <v>750</v>
      </c>
      <c r="W4195" t="s">
        <v>14858</v>
      </c>
      <c r="X4195" t="s">
        <v>14865</v>
      </c>
      <c r="Y4195" t="s">
        <v>14887</v>
      </c>
      <c r="Z4195" t="s">
        <v>18369</v>
      </c>
      <c r="AB4195" t="s">
        <v>23483</v>
      </c>
      <c r="AC4195">
        <v>2</v>
      </c>
      <c r="AD4195" t="s">
        <v>24600</v>
      </c>
      <c r="AE4195" t="s">
        <v>11459</v>
      </c>
      <c r="AF4195">
        <v>1</v>
      </c>
      <c r="AG4195">
        <v>1</v>
      </c>
      <c r="AH4195">
        <v>0</v>
      </c>
      <c r="AI4195">
        <v>0</v>
      </c>
      <c r="AL4195" t="s">
        <v>24643</v>
      </c>
      <c r="AM4195">
        <v>0</v>
      </c>
      <c r="AO4195" t="s">
        <v>24932</v>
      </c>
      <c r="AP4195" t="s">
        <v>24942</v>
      </c>
      <c r="AQ4195" t="s">
        <v>24986</v>
      </c>
      <c r="AR4195" t="s">
        <v>25101</v>
      </c>
      <c r="AS4195">
        <v>12.5</v>
      </c>
      <c r="AT4195" t="s">
        <v>537</v>
      </c>
      <c r="AU4195" t="s">
        <v>25239</v>
      </c>
      <c r="AV4195" t="s">
        <v>25335</v>
      </c>
      <c r="AW4195" t="s">
        <v>11447</v>
      </c>
    </row>
    <row r="4196" spans="1:49">
      <c r="A4196" s="1">
        <f>HYPERLINK("https://lsnyc.legalserver.org/matter/dynamic-profile/view/1905391","19-1905391")</f>
        <v>0</v>
      </c>
      <c r="B4196" t="s">
        <v>60</v>
      </c>
      <c r="C4196" t="s">
        <v>520</v>
      </c>
      <c r="D4196" t="s">
        <v>516</v>
      </c>
      <c r="E4196" t="s">
        <v>1245</v>
      </c>
      <c r="F4196" t="s">
        <v>4276</v>
      </c>
      <c r="G4196" t="s">
        <v>9464</v>
      </c>
      <c r="H4196" t="s">
        <v>10465</v>
      </c>
      <c r="I4196" t="s">
        <v>11383</v>
      </c>
      <c r="J4196">
        <v>10467</v>
      </c>
      <c r="K4196" t="s">
        <v>11446</v>
      </c>
      <c r="L4196" t="s">
        <v>13716</v>
      </c>
      <c r="M4196" t="s">
        <v>14744</v>
      </c>
      <c r="N4196" t="s">
        <v>14781</v>
      </c>
      <c r="O4196" t="s">
        <v>14788</v>
      </c>
      <c r="P4196" t="s">
        <v>14805</v>
      </c>
      <c r="Q4196" t="s">
        <v>11448</v>
      </c>
      <c r="S4196" t="s">
        <v>14827</v>
      </c>
      <c r="T4196" t="s">
        <v>14837</v>
      </c>
      <c r="U4196" t="s">
        <v>520</v>
      </c>
      <c r="V4196">
        <v>1625</v>
      </c>
      <c r="W4196" t="s">
        <v>14858</v>
      </c>
      <c r="X4196" t="s">
        <v>14865</v>
      </c>
      <c r="Y4196" t="s">
        <v>14887</v>
      </c>
      <c r="Z4196" t="s">
        <v>18370</v>
      </c>
      <c r="AA4196" t="s">
        <v>19857</v>
      </c>
      <c r="AB4196" t="s">
        <v>23484</v>
      </c>
      <c r="AC4196">
        <v>60</v>
      </c>
      <c r="AD4196" t="s">
        <v>11479</v>
      </c>
      <c r="AE4196" t="s">
        <v>24615</v>
      </c>
      <c r="AF4196">
        <v>1</v>
      </c>
      <c r="AG4196">
        <v>1</v>
      </c>
      <c r="AH4196">
        <v>2</v>
      </c>
      <c r="AI4196">
        <v>60.95</v>
      </c>
      <c r="AL4196" t="s">
        <v>5011</v>
      </c>
      <c r="AM4196">
        <v>13000</v>
      </c>
      <c r="AO4196" t="s">
        <v>24931</v>
      </c>
      <c r="AP4196" t="s">
        <v>24977</v>
      </c>
      <c r="AQ4196" t="s">
        <v>24986</v>
      </c>
      <c r="AR4196" t="s">
        <v>25102</v>
      </c>
      <c r="AS4196">
        <v>13.1</v>
      </c>
      <c r="AT4196" t="s">
        <v>516</v>
      </c>
      <c r="AU4196" t="s">
        <v>25252</v>
      </c>
      <c r="AV4196" t="s">
        <v>25335</v>
      </c>
      <c r="AW4196" t="s">
        <v>11447</v>
      </c>
    </row>
    <row r="4197" spans="1:49">
      <c r="A4197" s="1">
        <f>HYPERLINK("https://lsnyc.legalserver.org/matter/dynamic-profile/view/1905430","19-1905430")</f>
        <v>0</v>
      </c>
      <c r="B4197" t="s">
        <v>60</v>
      </c>
      <c r="C4197" t="s">
        <v>520</v>
      </c>
      <c r="D4197" t="s">
        <v>509</v>
      </c>
      <c r="E4197" t="s">
        <v>3087</v>
      </c>
      <c r="F4197" t="s">
        <v>3890</v>
      </c>
      <c r="G4197" t="s">
        <v>9465</v>
      </c>
      <c r="H4197" t="s">
        <v>10524</v>
      </c>
      <c r="I4197" t="s">
        <v>11383</v>
      </c>
      <c r="J4197">
        <v>10457</v>
      </c>
      <c r="K4197" t="s">
        <v>11446</v>
      </c>
      <c r="L4197" t="s">
        <v>13717</v>
      </c>
      <c r="M4197" t="s">
        <v>14744</v>
      </c>
      <c r="N4197" t="s">
        <v>14781</v>
      </c>
      <c r="O4197" t="s">
        <v>14791</v>
      </c>
      <c r="P4197" t="s">
        <v>14805</v>
      </c>
      <c r="Q4197" t="s">
        <v>11448</v>
      </c>
      <c r="S4197" t="s">
        <v>14827</v>
      </c>
      <c r="T4197" t="s">
        <v>14832</v>
      </c>
      <c r="U4197" t="s">
        <v>520</v>
      </c>
      <c r="V4197">
        <v>1500</v>
      </c>
      <c r="W4197" t="s">
        <v>14858</v>
      </c>
      <c r="X4197" t="s">
        <v>14863</v>
      </c>
      <c r="Y4197" t="s">
        <v>14883</v>
      </c>
      <c r="Z4197" t="s">
        <v>18371</v>
      </c>
      <c r="AA4197" t="s">
        <v>19858</v>
      </c>
      <c r="AB4197" t="s">
        <v>23485</v>
      </c>
      <c r="AC4197">
        <v>152</v>
      </c>
      <c r="AD4197" t="s">
        <v>24595</v>
      </c>
      <c r="AE4197" t="s">
        <v>24610</v>
      </c>
      <c r="AF4197">
        <v>6</v>
      </c>
      <c r="AG4197">
        <v>1</v>
      </c>
      <c r="AH4197">
        <v>2</v>
      </c>
      <c r="AI4197">
        <v>40.56</v>
      </c>
      <c r="AL4197" t="s">
        <v>5011</v>
      </c>
      <c r="AM4197">
        <v>8652</v>
      </c>
      <c r="AO4197" t="s">
        <v>24931</v>
      </c>
      <c r="AP4197" t="s">
        <v>14755</v>
      </c>
      <c r="AQ4197" t="s">
        <v>24988</v>
      </c>
      <c r="AR4197" t="s">
        <v>25080</v>
      </c>
      <c r="AS4197">
        <v>12.1</v>
      </c>
      <c r="AT4197" t="s">
        <v>509</v>
      </c>
      <c r="AU4197" t="s">
        <v>25252</v>
      </c>
      <c r="AV4197" t="s">
        <v>25335</v>
      </c>
      <c r="AW4197" t="s">
        <v>11447</v>
      </c>
    </row>
    <row r="4198" spans="1:49">
      <c r="A4198" s="1">
        <f>HYPERLINK("https://lsnyc.legalserver.org/matter/dynamic-profile/view/1903120","19-1903120")</f>
        <v>0</v>
      </c>
      <c r="B4198" t="s">
        <v>201</v>
      </c>
      <c r="C4198" t="s">
        <v>527</v>
      </c>
      <c r="D4198" t="s">
        <v>495</v>
      </c>
      <c r="E4198" t="s">
        <v>1320</v>
      </c>
      <c r="F4198" t="s">
        <v>5734</v>
      </c>
      <c r="G4198" t="s">
        <v>9466</v>
      </c>
      <c r="H4198">
        <v>3</v>
      </c>
      <c r="I4198" t="s">
        <v>11383</v>
      </c>
      <c r="J4198">
        <v>10467</v>
      </c>
      <c r="K4198" t="s">
        <v>11446</v>
      </c>
      <c r="L4198" t="s">
        <v>13718</v>
      </c>
      <c r="M4198" t="s">
        <v>14744</v>
      </c>
      <c r="N4198" t="s">
        <v>14781</v>
      </c>
      <c r="O4198" t="s">
        <v>14788</v>
      </c>
      <c r="P4198" t="s">
        <v>14805</v>
      </c>
      <c r="Q4198" t="s">
        <v>11448</v>
      </c>
      <c r="S4198" t="s">
        <v>14827</v>
      </c>
      <c r="T4198" t="s">
        <v>14837</v>
      </c>
      <c r="U4198" t="s">
        <v>484</v>
      </c>
      <c r="V4198">
        <v>1523.88</v>
      </c>
      <c r="W4198" t="s">
        <v>14858</v>
      </c>
      <c r="X4198" t="s">
        <v>14865</v>
      </c>
      <c r="Y4198" t="s">
        <v>14887</v>
      </c>
      <c r="Z4198" t="s">
        <v>18372</v>
      </c>
      <c r="AA4198" t="s">
        <v>19859</v>
      </c>
      <c r="AB4198" t="s">
        <v>23486</v>
      </c>
      <c r="AC4198">
        <v>3</v>
      </c>
      <c r="AD4198" t="s">
        <v>24600</v>
      </c>
      <c r="AE4198" t="s">
        <v>24610</v>
      </c>
      <c r="AF4198">
        <v>11</v>
      </c>
      <c r="AG4198">
        <v>4</v>
      </c>
      <c r="AH4198">
        <v>1</v>
      </c>
      <c r="AI4198">
        <v>48.26</v>
      </c>
      <c r="AL4198" t="s">
        <v>24632</v>
      </c>
      <c r="AM4198">
        <v>14559.6</v>
      </c>
      <c r="AO4198" t="s">
        <v>24931</v>
      </c>
      <c r="AP4198" t="s">
        <v>24978</v>
      </c>
      <c r="AQ4198" t="s">
        <v>24986</v>
      </c>
      <c r="AR4198" t="s">
        <v>24999</v>
      </c>
      <c r="AS4198">
        <v>45.2</v>
      </c>
      <c r="AT4198" t="s">
        <v>495</v>
      </c>
      <c r="AU4198" t="s">
        <v>237</v>
      </c>
      <c r="AV4198" t="s">
        <v>25335</v>
      </c>
      <c r="AW4198" t="s">
        <v>11447</v>
      </c>
    </row>
    <row r="4199" spans="1:49">
      <c r="A4199" s="1">
        <f>HYPERLINK("https://lsnyc.legalserver.org/matter/dynamic-profile/view/1898456","19-1898456")</f>
        <v>0</v>
      </c>
      <c r="B4199" t="s">
        <v>143</v>
      </c>
      <c r="C4199" t="s">
        <v>360</v>
      </c>
      <c r="E4199" t="s">
        <v>1856</v>
      </c>
      <c r="F4199" t="s">
        <v>5735</v>
      </c>
      <c r="G4199" t="s">
        <v>9467</v>
      </c>
      <c r="H4199" t="s">
        <v>10613</v>
      </c>
      <c r="I4199" t="s">
        <v>11383</v>
      </c>
      <c r="J4199">
        <v>10468</v>
      </c>
      <c r="K4199" t="s">
        <v>11446</v>
      </c>
      <c r="L4199" t="s">
        <v>13719</v>
      </c>
      <c r="M4199" t="s">
        <v>14743</v>
      </c>
      <c r="N4199" t="s">
        <v>14781</v>
      </c>
      <c r="P4199" t="s">
        <v>14805</v>
      </c>
      <c r="Q4199" t="s">
        <v>11448</v>
      </c>
      <c r="S4199" t="s">
        <v>14827</v>
      </c>
      <c r="U4199" t="s">
        <v>545</v>
      </c>
      <c r="V4199">
        <v>615</v>
      </c>
      <c r="W4199" t="s">
        <v>14858</v>
      </c>
      <c r="Z4199" t="s">
        <v>15301</v>
      </c>
      <c r="AA4199" t="s">
        <v>19860</v>
      </c>
      <c r="AC4199">
        <v>53</v>
      </c>
      <c r="AD4199" t="s">
        <v>11479</v>
      </c>
      <c r="AF4199">
        <v>6</v>
      </c>
      <c r="AG4199">
        <v>1</v>
      </c>
      <c r="AH4199">
        <v>0</v>
      </c>
      <c r="AI4199">
        <v>17.58</v>
      </c>
      <c r="AL4199" t="s">
        <v>24632</v>
      </c>
      <c r="AM4199">
        <v>2196</v>
      </c>
      <c r="AN4199" t="s">
        <v>24890</v>
      </c>
      <c r="AS4199">
        <v>1.5</v>
      </c>
      <c r="AT4199" t="s">
        <v>411</v>
      </c>
      <c r="AU4199" t="s">
        <v>25232</v>
      </c>
      <c r="AV4199" t="s">
        <v>25334</v>
      </c>
      <c r="AW4199" t="s">
        <v>11446</v>
      </c>
    </row>
    <row r="4200" spans="1:49">
      <c r="A4200" s="1">
        <f>HYPERLINK("https://lsnyc.legalserver.org/matter/dynamic-profile/view/1900241","19-1900241")</f>
        <v>0</v>
      </c>
      <c r="B4200" t="s">
        <v>80</v>
      </c>
      <c r="C4200" t="s">
        <v>337</v>
      </c>
      <c r="E4200" t="s">
        <v>3088</v>
      </c>
      <c r="F4200" t="s">
        <v>5736</v>
      </c>
      <c r="G4200" t="s">
        <v>9449</v>
      </c>
      <c r="H4200" t="s">
        <v>10738</v>
      </c>
      <c r="I4200" t="s">
        <v>11383</v>
      </c>
      <c r="J4200">
        <v>10467</v>
      </c>
      <c r="K4200" t="s">
        <v>11446</v>
      </c>
      <c r="L4200" t="s">
        <v>13720</v>
      </c>
      <c r="M4200" t="s">
        <v>14744</v>
      </c>
      <c r="N4200" t="s">
        <v>14781</v>
      </c>
      <c r="P4200" t="s">
        <v>14805</v>
      </c>
      <c r="Q4200" t="s">
        <v>11448</v>
      </c>
      <c r="S4200" t="s">
        <v>14827</v>
      </c>
      <c r="T4200" t="s">
        <v>14832</v>
      </c>
      <c r="U4200" t="s">
        <v>545</v>
      </c>
      <c r="V4200">
        <v>858</v>
      </c>
      <c r="W4200" t="s">
        <v>14858</v>
      </c>
      <c r="X4200" t="s">
        <v>14868</v>
      </c>
      <c r="Z4200" t="s">
        <v>18373</v>
      </c>
      <c r="AA4200" t="s">
        <v>19861</v>
      </c>
      <c r="AB4200" t="s">
        <v>23487</v>
      </c>
      <c r="AC4200">
        <v>137</v>
      </c>
      <c r="AD4200" t="s">
        <v>24595</v>
      </c>
      <c r="AF4200">
        <v>5</v>
      </c>
      <c r="AG4200">
        <v>1</v>
      </c>
      <c r="AH4200">
        <v>1</v>
      </c>
      <c r="AI4200">
        <v>59.04</v>
      </c>
      <c r="AL4200" t="s">
        <v>5011</v>
      </c>
      <c r="AM4200">
        <v>9984</v>
      </c>
      <c r="AO4200" t="s">
        <v>24930</v>
      </c>
      <c r="AP4200" t="s">
        <v>24943</v>
      </c>
      <c r="AQ4200" t="s">
        <v>24986</v>
      </c>
      <c r="AR4200" t="s">
        <v>25058</v>
      </c>
      <c r="AS4200">
        <v>0.5</v>
      </c>
      <c r="AT4200" t="s">
        <v>348</v>
      </c>
      <c r="AU4200" t="s">
        <v>145</v>
      </c>
      <c r="AV4200" t="s">
        <v>25334</v>
      </c>
      <c r="AW4200" t="s">
        <v>11447</v>
      </c>
    </row>
    <row r="4201" spans="1:49">
      <c r="A4201" s="1">
        <f>HYPERLINK("https://lsnyc.legalserver.org/matter/dynamic-profile/view/1901559","19-1901559")</f>
        <v>0</v>
      </c>
      <c r="B4201" t="s">
        <v>89</v>
      </c>
      <c r="C4201" t="s">
        <v>330</v>
      </c>
      <c r="E4201" t="s">
        <v>3089</v>
      </c>
      <c r="F4201" t="s">
        <v>1171</v>
      </c>
      <c r="G4201" t="s">
        <v>9468</v>
      </c>
      <c r="H4201">
        <v>415</v>
      </c>
      <c r="I4201" t="s">
        <v>11383</v>
      </c>
      <c r="J4201">
        <v>10462</v>
      </c>
      <c r="K4201" t="s">
        <v>11446</v>
      </c>
      <c r="L4201" t="s">
        <v>13721</v>
      </c>
      <c r="M4201" t="s">
        <v>14744</v>
      </c>
      <c r="N4201" t="s">
        <v>14781</v>
      </c>
      <c r="P4201" t="s">
        <v>14805</v>
      </c>
      <c r="Q4201" t="s">
        <v>11448</v>
      </c>
      <c r="S4201" t="s">
        <v>14827</v>
      </c>
      <c r="T4201" t="s">
        <v>14833</v>
      </c>
      <c r="U4201" t="s">
        <v>545</v>
      </c>
      <c r="V4201">
        <v>1125.56</v>
      </c>
      <c r="W4201" t="s">
        <v>14858</v>
      </c>
      <c r="X4201" t="s">
        <v>14865</v>
      </c>
      <c r="Z4201" t="s">
        <v>18374</v>
      </c>
      <c r="AA4201" t="s">
        <v>19862</v>
      </c>
      <c r="AB4201" t="s">
        <v>23488</v>
      </c>
      <c r="AC4201">
        <v>100</v>
      </c>
      <c r="AD4201" t="s">
        <v>11479</v>
      </c>
      <c r="AE4201" t="s">
        <v>24620</v>
      </c>
      <c r="AF4201">
        <v>4</v>
      </c>
      <c r="AG4201">
        <v>1</v>
      </c>
      <c r="AH4201">
        <v>1</v>
      </c>
      <c r="AI4201">
        <v>65.77</v>
      </c>
      <c r="AL4201" t="s">
        <v>5011</v>
      </c>
      <c r="AM4201">
        <v>11122</v>
      </c>
      <c r="AS4201">
        <v>19.75</v>
      </c>
      <c r="AT4201" t="s">
        <v>476</v>
      </c>
      <c r="AU4201" t="s">
        <v>25239</v>
      </c>
      <c r="AV4201" t="s">
        <v>25334</v>
      </c>
      <c r="AW4201" t="s">
        <v>11447</v>
      </c>
    </row>
    <row r="4202" spans="1:49">
      <c r="A4202" s="1">
        <f>HYPERLINK("https://lsnyc.legalserver.org/matter/dynamic-profile/view/1903709","19-1903709")</f>
        <v>0</v>
      </c>
      <c r="B4202" t="s">
        <v>130</v>
      </c>
      <c r="C4202" t="s">
        <v>545</v>
      </c>
      <c r="E4202" t="s">
        <v>3090</v>
      </c>
      <c r="F4202" t="s">
        <v>3839</v>
      </c>
      <c r="G4202" t="s">
        <v>9469</v>
      </c>
      <c r="H4202" t="s">
        <v>11241</v>
      </c>
      <c r="I4202" t="s">
        <v>11383</v>
      </c>
      <c r="J4202">
        <v>10468</v>
      </c>
      <c r="K4202" t="s">
        <v>11446</v>
      </c>
      <c r="L4202" t="s">
        <v>13722</v>
      </c>
      <c r="M4202" t="s">
        <v>14744</v>
      </c>
      <c r="N4202" t="s">
        <v>14781</v>
      </c>
      <c r="P4202" t="s">
        <v>14805</v>
      </c>
      <c r="Q4202" t="s">
        <v>11448</v>
      </c>
      <c r="S4202" t="s">
        <v>14827</v>
      </c>
      <c r="U4202" t="s">
        <v>545</v>
      </c>
      <c r="V4202">
        <v>871.26</v>
      </c>
      <c r="W4202" t="s">
        <v>14858</v>
      </c>
      <c r="X4202" t="s">
        <v>14868</v>
      </c>
      <c r="Z4202" t="s">
        <v>18375</v>
      </c>
      <c r="AA4202" t="s">
        <v>19863</v>
      </c>
      <c r="AB4202" t="s">
        <v>23489</v>
      </c>
      <c r="AC4202">
        <v>57</v>
      </c>
      <c r="AD4202" t="s">
        <v>11479</v>
      </c>
      <c r="AE4202" t="s">
        <v>24613</v>
      </c>
      <c r="AF4202">
        <v>26</v>
      </c>
      <c r="AG4202">
        <v>1</v>
      </c>
      <c r="AH4202">
        <v>1</v>
      </c>
      <c r="AI4202">
        <v>67.77</v>
      </c>
      <c r="AL4202" t="s">
        <v>24632</v>
      </c>
      <c r="AM4202">
        <v>11460</v>
      </c>
      <c r="AS4202">
        <v>14.4</v>
      </c>
      <c r="AT4202" t="s">
        <v>521</v>
      </c>
      <c r="AU4202" t="s">
        <v>245</v>
      </c>
      <c r="AV4202" t="s">
        <v>25334</v>
      </c>
      <c r="AW4202" t="s">
        <v>11447</v>
      </c>
    </row>
    <row r="4203" spans="1:49">
      <c r="A4203" s="1">
        <f>HYPERLINK("https://lsnyc.legalserver.org/matter/dynamic-profile/view/1903721","19-1903721")</f>
        <v>0</v>
      </c>
      <c r="B4203" t="s">
        <v>115</v>
      </c>
      <c r="C4203" t="s">
        <v>522</v>
      </c>
      <c r="E4203" t="s">
        <v>3091</v>
      </c>
      <c r="F4203" t="s">
        <v>4644</v>
      </c>
      <c r="G4203" t="s">
        <v>9470</v>
      </c>
      <c r="I4203" t="s">
        <v>11383</v>
      </c>
      <c r="J4203">
        <v>10467</v>
      </c>
      <c r="K4203" t="s">
        <v>11446</v>
      </c>
      <c r="L4203" t="s">
        <v>13723</v>
      </c>
      <c r="M4203" t="s">
        <v>14744</v>
      </c>
      <c r="N4203" t="s">
        <v>14781</v>
      </c>
      <c r="P4203" t="s">
        <v>14805</v>
      </c>
      <c r="Q4203" t="s">
        <v>11448</v>
      </c>
      <c r="S4203" t="s">
        <v>14827</v>
      </c>
      <c r="U4203" t="s">
        <v>545</v>
      </c>
      <c r="V4203">
        <v>1956</v>
      </c>
      <c r="W4203" t="s">
        <v>14858</v>
      </c>
      <c r="X4203" t="s">
        <v>14865</v>
      </c>
      <c r="Z4203" t="s">
        <v>18376</v>
      </c>
      <c r="AC4203">
        <v>27</v>
      </c>
      <c r="AE4203" t="s">
        <v>24616</v>
      </c>
      <c r="AF4203">
        <v>1</v>
      </c>
      <c r="AG4203">
        <v>1</v>
      </c>
      <c r="AH4203">
        <v>4</v>
      </c>
      <c r="AI4203">
        <v>69.61</v>
      </c>
      <c r="AL4203" t="s">
        <v>5011</v>
      </c>
      <c r="AM4203">
        <v>21000</v>
      </c>
      <c r="AS4203">
        <v>5.5</v>
      </c>
      <c r="AT4203" t="s">
        <v>472</v>
      </c>
      <c r="AU4203" t="s">
        <v>237</v>
      </c>
      <c r="AV4203" t="s">
        <v>25335</v>
      </c>
      <c r="AW4203" t="s">
        <v>11447</v>
      </c>
    </row>
    <row r="4204" spans="1:49">
      <c r="A4204" s="1">
        <f>HYPERLINK("https://lsnyc.legalserver.org/matter/dynamic-profile/view/1902275","19-1902275")</f>
        <v>0</v>
      </c>
      <c r="B4204" t="s">
        <v>112</v>
      </c>
      <c r="C4204" t="s">
        <v>362</v>
      </c>
      <c r="E4204" t="s">
        <v>3092</v>
      </c>
      <c r="F4204" t="s">
        <v>2939</v>
      </c>
      <c r="G4204" t="s">
        <v>9471</v>
      </c>
      <c r="H4204" t="s">
        <v>10569</v>
      </c>
      <c r="I4204" t="s">
        <v>11383</v>
      </c>
      <c r="J4204">
        <v>10457</v>
      </c>
      <c r="K4204" t="s">
        <v>11446</v>
      </c>
      <c r="L4204" t="s">
        <v>13724</v>
      </c>
      <c r="M4204" t="s">
        <v>14744</v>
      </c>
      <c r="N4204" t="s">
        <v>14781</v>
      </c>
      <c r="P4204" t="s">
        <v>14805</v>
      </c>
      <c r="Q4204" t="s">
        <v>11448</v>
      </c>
      <c r="S4204" t="s">
        <v>14827</v>
      </c>
      <c r="T4204" t="s">
        <v>14832</v>
      </c>
      <c r="U4204" t="s">
        <v>545</v>
      </c>
      <c r="V4204">
        <v>1145.45</v>
      </c>
      <c r="W4204" t="s">
        <v>14858</v>
      </c>
      <c r="X4204" t="s">
        <v>14865</v>
      </c>
      <c r="Z4204" t="s">
        <v>18377</v>
      </c>
      <c r="AB4204" t="s">
        <v>23490</v>
      </c>
      <c r="AC4204">
        <v>41</v>
      </c>
      <c r="AD4204" t="s">
        <v>24595</v>
      </c>
      <c r="AE4204" t="s">
        <v>11459</v>
      </c>
      <c r="AF4204">
        <v>2</v>
      </c>
      <c r="AG4204">
        <v>2</v>
      </c>
      <c r="AH4204">
        <v>1</v>
      </c>
      <c r="AI4204">
        <v>89.08</v>
      </c>
      <c r="AL4204" t="s">
        <v>5011</v>
      </c>
      <c r="AM4204">
        <v>19000</v>
      </c>
      <c r="AS4204">
        <v>5.3</v>
      </c>
      <c r="AT4204" t="s">
        <v>551</v>
      </c>
      <c r="AU4204" t="s">
        <v>25239</v>
      </c>
      <c r="AV4204" t="s">
        <v>25335</v>
      </c>
      <c r="AW4204" t="s">
        <v>11447</v>
      </c>
    </row>
    <row r="4205" spans="1:49">
      <c r="A4205" s="1">
        <f>HYPERLINK("https://lsnyc.legalserver.org/matter/dynamic-profile/view/1903736","19-1903736")</f>
        <v>0</v>
      </c>
      <c r="B4205" t="s">
        <v>201</v>
      </c>
      <c r="C4205" t="s">
        <v>522</v>
      </c>
      <c r="E4205" t="s">
        <v>1176</v>
      </c>
      <c r="F4205" t="s">
        <v>4001</v>
      </c>
      <c r="G4205" t="s">
        <v>9472</v>
      </c>
      <c r="H4205">
        <v>2</v>
      </c>
      <c r="I4205" t="s">
        <v>11383</v>
      </c>
      <c r="J4205">
        <v>10467</v>
      </c>
      <c r="K4205" t="s">
        <v>11446</v>
      </c>
      <c r="L4205" t="s">
        <v>13725</v>
      </c>
      <c r="M4205" t="s">
        <v>14744</v>
      </c>
      <c r="N4205" t="s">
        <v>14781</v>
      </c>
      <c r="P4205" t="s">
        <v>14805</v>
      </c>
      <c r="Q4205" t="s">
        <v>11448</v>
      </c>
      <c r="S4205" t="s">
        <v>14827</v>
      </c>
      <c r="T4205" t="s">
        <v>14832</v>
      </c>
      <c r="U4205" t="s">
        <v>545</v>
      </c>
      <c r="V4205">
        <v>2100</v>
      </c>
      <c r="W4205" t="s">
        <v>14858</v>
      </c>
      <c r="X4205" t="s">
        <v>14865</v>
      </c>
      <c r="Z4205" t="s">
        <v>17427</v>
      </c>
      <c r="AA4205" t="s">
        <v>19864</v>
      </c>
      <c r="AB4205" t="s">
        <v>23491</v>
      </c>
      <c r="AC4205">
        <v>3</v>
      </c>
      <c r="AD4205" t="s">
        <v>24600</v>
      </c>
      <c r="AE4205" t="s">
        <v>24615</v>
      </c>
      <c r="AF4205">
        <v>1</v>
      </c>
      <c r="AG4205">
        <v>1</v>
      </c>
      <c r="AH4205">
        <v>4</v>
      </c>
      <c r="AI4205">
        <v>104.61</v>
      </c>
      <c r="AL4205" t="s">
        <v>5011</v>
      </c>
      <c r="AM4205">
        <v>31560</v>
      </c>
      <c r="AS4205">
        <v>16.5</v>
      </c>
      <c r="AT4205" t="s">
        <v>585</v>
      </c>
      <c r="AU4205" t="s">
        <v>237</v>
      </c>
      <c r="AV4205" t="s">
        <v>25334</v>
      </c>
      <c r="AW4205" t="s">
        <v>11447</v>
      </c>
    </row>
    <row r="4206" spans="1:49">
      <c r="A4206" s="1">
        <f>HYPERLINK("https://lsnyc.legalserver.org/matter/dynamic-profile/view/1901996","19-1901996")</f>
        <v>0</v>
      </c>
      <c r="B4206" t="s">
        <v>157</v>
      </c>
      <c r="C4206" t="s">
        <v>349</v>
      </c>
      <c r="E4206" t="s">
        <v>1713</v>
      </c>
      <c r="F4206" t="s">
        <v>5737</v>
      </c>
      <c r="G4206" t="s">
        <v>9473</v>
      </c>
      <c r="H4206" t="s">
        <v>10542</v>
      </c>
      <c r="I4206" t="s">
        <v>11383</v>
      </c>
      <c r="J4206">
        <v>10467</v>
      </c>
      <c r="K4206" t="s">
        <v>11446</v>
      </c>
      <c r="L4206" t="s">
        <v>13726</v>
      </c>
      <c r="M4206" t="s">
        <v>14744</v>
      </c>
      <c r="N4206" t="s">
        <v>14781</v>
      </c>
      <c r="P4206" t="s">
        <v>14805</v>
      </c>
      <c r="Q4206" t="s">
        <v>11448</v>
      </c>
      <c r="S4206" t="s">
        <v>14827</v>
      </c>
      <c r="T4206" t="s">
        <v>14832</v>
      </c>
      <c r="U4206" t="s">
        <v>545</v>
      </c>
      <c r="V4206">
        <v>1354.91</v>
      </c>
      <c r="W4206" t="s">
        <v>14858</v>
      </c>
      <c r="X4206" t="s">
        <v>14865</v>
      </c>
      <c r="Z4206" t="s">
        <v>18378</v>
      </c>
      <c r="AB4206" t="s">
        <v>23492</v>
      </c>
      <c r="AC4206">
        <v>28</v>
      </c>
      <c r="AD4206" t="s">
        <v>24595</v>
      </c>
      <c r="AE4206" t="s">
        <v>11459</v>
      </c>
      <c r="AF4206">
        <v>5</v>
      </c>
      <c r="AG4206">
        <v>1</v>
      </c>
      <c r="AH4206">
        <v>0</v>
      </c>
      <c r="AI4206">
        <v>115.29</v>
      </c>
      <c r="AL4206" t="s">
        <v>5011</v>
      </c>
      <c r="AM4206">
        <v>14400</v>
      </c>
      <c r="AS4206">
        <v>19.2</v>
      </c>
      <c r="AT4206" t="s">
        <v>537</v>
      </c>
      <c r="AU4206" t="s">
        <v>145</v>
      </c>
      <c r="AV4206" t="s">
        <v>25335</v>
      </c>
      <c r="AW4206" t="s">
        <v>11447</v>
      </c>
    </row>
    <row r="4207" spans="1:49">
      <c r="A4207" s="1">
        <f>HYPERLINK("https://lsnyc.legalserver.org/matter/dynamic-profile/view/1901961","19-1901961")</f>
        <v>0</v>
      </c>
      <c r="B4207" t="s">
        <v>89</v>
      </c>
      <c r="C4207" t="s">
        <v>865</v>
      </c>
      <c r="E4207" t="s">
        <v>1999</v>
      </c>
      <c r="F4207" t="s">
        <v>5738</v>
      </c>
      <c r="G4207" t="s">
        <v>9474</v>
      </c>
      <c r="I4207" t="s">
        <v>11383</v>
      </c>
      <c r="J4207">
        <v>10462</v>
      </c>
      <c r="K4207" t="s">
        <v>11446</v>
      </c>
      <c r="L4207" t="s">
        <v>13727</v>
      </c>
      <c r="M4207" t="s">
        <v>14743</v>
      </c>
      <c r="N4207" t="s">
        <v>14781</v>
      </c>
      <c r="P4207" t="s">
        <v>14805</v>
      </c>
      <c r="Q4207" t="s">
        <v>11448</v>
      </c>
      <c r="S4207" t="s">
        <v>14827</v>
      </c>
      <c r="T4207" t="s">
        <v>14835</v>
      </c>
      <c r="U4207" t="s">
        <v>545</v>
      </c>
      <c r="V4207">
        <v>1467</v>
      </c>
      <c r="W4207" t="s">
        <v>14858</v>
      </c>
      <c r="X4207" t="s">
        <v>14863</v>
      </c>
      <c r="Z4207" t="s">
        <v>18379</v>
      </c>
      <c r="AB4207" t="s">
        <v>23493</v>
      </c>
      <c r="AC4207">
        <v>2659</v>
      </c>
      <c r="AD4207" t="s">
        <v>24599</v>
      </c>
      <c r="AE4207" t="s">
        <v>24613</v>
      </c>
      <c r="AF4207">
        <v>54</v>
      </c>
      <c r="AG4207">
        <v>1</v>
      </c>
      <c r="AH4207">
        <v>0</v>
      </c>
      <c r="AI4207">
        <v>136.43</v>
      </c>
      <c r="AL4207" t="s">
        <v>5011</v>
      </c>
      <c r="AM4207">
        <v>17040</v>
      </c>
      <c r="AN4207" t="s">
        <v>24891</v>
      </c>
      <c r="AS4207">
        <v>38</v>
      </c>
      <c r="AT4207" t="s">
        <v>592</v>
      </c>
      <c r="AU4207" t="s">
        <v>89</v>
      </c>
      <c r="AV4207" t="s">
        <v>25335</v>
      </c>
      <c r="AW4207" t="s">
        <v>11447</v>
      </c>
    </row>
    <row r="4208" spans="1:49">
      <c r="A4208" s="1">
        <f>HYPERLINK("https://lsnyc.legalserver.org/matter/dynamic-profile/view/1903041","19-1903041")</f>
        <v>0</v>
      </c>
      <c r="B4208" t="s">
        <v>157</v>
      </c>
      <c r="C4208" t="s">
        <v>659</v>
      </c>
      <c r="E4208" t="s">
        <v>3093</v>
      </c>
      <c r="F4208" t="s">
        <v>3547</v>
      </c>
      <c r="G4208" t="s">
        <v>9475</v>
      </c>
      <c r="H4208" t="s">
        <v>10542</v>
      </c>
      <c r="I4208" t="s">
        <v>11383</v>
      </c>
      <c r="J4208">
        <v>10457</v>
      </c>
      <c r="K4208" t="s">
        <v>11446</v>
      </c>
      <c r="L4208" t="s">
        <v>13728</v>
      </c>
      <c r="M4208" t="s">
        <v>14744</v>
      </c>
      <c r="N4208" t="s">
        <v>14781</v>
      </c>
      <c r="P4208" t="s">
        <v>14805</v>
      </c>
      <c r="Q4208" t="s">
        <v>11448</v>
      </c>
      <c r="S4208" t="s">
        <v>14827</v>
      </c>
      <c r="U4208" t="s">
        <v>378</v>
      </c>
      <c r="V4208">
        <v>1131</v>
      </c>
      <c r="W4208" t="s">
        <v>14858</v>
      </c>
      <c r="X4208" t="s">
        <v>14867</v>
      </c>
      <c r="Z4208" t="s">
        <v>18380</v>
      </c>
      <c r="AA4208" t="s">
        <v>19865</v>
      </c>
      <c r="AB4208" t="s">
        <v>23494</v>
      </c>
      <c r="AC4208">
        <v>11</v>
      </c>
      <c r="AD4208" t="s">
        <v>11479</v>
      </c>
      <c r="AF4208">
        <v>7</v>
      </c>
      <c r="AG4208">
        <v>1</v>
      </c>
      <c r="AH4208">
        <v>3</v>
      </c>
      <c r="AI4208">
        <v>31.27</v>
      </c>
      <c r="AL4208" t="s">
        <v>24632</v>
      </c>
      <c r="AM4208">
        <v>8052</v>
      </c>
      <c r="AS4208">
        <v>2.2</v>
      </c>
      <c r="AT4208" t="s">
        <v>354</v>
      </c>
      <c r="AU4208" t="s">
        <v>145</v>
      </c>
      <c r="AV4208" t="s">
        <v>25334</v>
      </c>
      <c r="AW4208" t="s">
        <v>11447</v>
      </c>
    </row>
    <row r="4209" spans="1:49">
      <c r="A4209" s="1">
        <f>HYPERLINK("https://lsnyc.legalserver.org/matter/dynamic-profile/view/1901732","19-1901732")</f>
        <v>0</v>
      </c>
      <c r="B4209" t="s">
        <v>157</v>
      </c>
      <c r="C4209" t="s">
        <v>487</v>
      </c>
      <c r="E4209" t="s">
        <v>1233</v>
      </c>
      <c r="F4209" t="s">
        <v>3814</v>
      </c>
      <c r="G4209" t="s">
        <v>9428</v>
      </c>
      <c r="I4209" t="s">
        <v>11383</v>
      </c>
      <c r="J4209">
        <v>10467</v>
      </c>
      <c r="K4209" t="s">
        <v>11446</v>
      </c>
      <c r="L4209" t="s">
        <v>13729</v>
      </c>
      <c r="M4209" t="s">
        <v>14744</v>
      </c>
      <c r="N4209" t="s">
        <v>14781</v>
      </c>
      <c r="P4209" t="s">
        <v>14805</v>
      </c>
      <c r="Q4209" t="s">
        <v>11448</v>
      </c>
      <c r="S4209" t="s">
        <v>14827</v>
      </c>
      <c r="T4209" t="s">
        <v>14834</v>
      </c>
      <c r="U4209" t="s">
        <v>378</v>
      </c>
      <c r="V4209">
        <v>1475</v>
      </c>
      <c r="W4209" t="s">
        <v>14858</v>
      </c>
      <c r="Z4209" t="s">
        <v>18381</v>
      </c>
      <c r="AB4209" t="s">
        <v>23495</v>
      </c>
      <c r="AC4209">
        <v>40</v>
      </c>
      <c r="AD4209" t="s">
        <v>24595</v>
      </c>
      <c r="AF4209">
        <v>3</v>
      </c>
      <c r="AG4209">
        <v>1</v>
      </c>
      <c r="AH4209">
        <v>0</v>
      </c>
      <c r="AI4209">
        <v>51.89</v>
      </c>
      <c r="AL4209" t="s">
        <v>5011</v>
      </c>
      <c r="AM4209">
        <v>6480.6</v>
      </c>
      <c r="AS4209">
        <v>45.4</v>
      </c>
      <c r="AT4209" t="s">
        <v>578</v>
      </c>
      <c r="AU4209" t="s">
        <v>145</v>
      </c>
      <c r="AV4209" t="s">
        <v>25335</v>
      </c>
      <c r="AW4209" t="s">
        <v>11447</v>
      </c>
    </row>
    <row r="4210" spans="1:49">
      <c r="A4210" s="1">
        <f>HYPERLINK("https://lsnyc.legalserver.org/matter/dynamic-profile/view/1903807","19-1903807")</f>
        <v>0</v>
      </c>
      <c r="B4210" t="s">
        <v>250</v>
      </c>
      <c r="C4210" t="s">
        <v>378</v>
      </c>
      <c r="E4210" t="s">
        <v>1241</v>
      </c>
      <c r="F4210" t="s">
        <v>3730</v>
      </c>
      <c r="G4210" t="s">
        <v>7779</v>
      </c>
      <c r="H4210" t="s">
        <v>10529</v>
      </c>
      <c r="I4210" t="s">
        <v>11383</v>
      </c>
      <c r="J4210">
        <v>10467</v>
      </c>
      <c r="K4210" t="s">
        <v>11446</v>
      </c>
      <c r="L4210" t="s">
        <v>13730</v>
      </c>
      <c r="M4210" t="s">
        <v>14744</v>
      </c>
      <c r="N4210" t="s">
        <v>14781</v>
      </c>
      <c r="P4210" t="s">
        <v>14805</v>
      </c>
      <c r="Q4210" t="s">
        <v>11448</v>
      </c>
      <c r="S4210" t="s">
        <v>14827</v>
      </c>
      <c r="T4210" t="s">
        <v>14832</v>
      </c>
      <c r="U4210" t="s">
        <v>378</v>
      </c>
      <c r="V4210">
        <v>1230.73</v>
      </c>
      <c r="W4210" t="s">
        <v>14858</v>
      </c>
      <c r="X4210" t="s">
        <v>14865</v>
      </c>
      <c r="Z4210" t="s">
        <v>16687</v>
      </c>
      <c r="AA4210" t="s">
        <v>19866</v>
      </c>
      <c r="AB4210" t="s">
        <v>21720</v>
      </c>
      <c r="AC4210">
        <v>55</v>
      </c>
      <c r="AD4210" t="s">
        <v>24595</v>
      </c>
      <c r="AE4210" t="s">
        <v>11459</v>
      </c>
      <c r="AF4210">
        <v>33</v>
      </c>
      <c r="AG4210">
        <v>2</v>
      </c>
      <c r="AH4210">
        <v>0</v>
      </c>
      <c r="AI4210">
        <v>125.68</v>
      </c>
      <c r="AL4210" t="s">
        <v>5011</v>
      </c>
      <c r="AM4210">
        <v>21252</v>
      </c>
      <c r="AS4210">
        <v>13.15</v>
      </c>
      <c r="AT4210" t="s">
        <v>506</v>
      </c>
      <c r="AU4210" t="s">
        <v>145</v>
      </c>
      <c r="AV4210" t="s">
        <v>25335</v>
      </c>
      <c r="AW4210" t="s">
        <v>11447</v>
      </c>
    </row>
    <row r="4211" spans="1:49">
      <c r="A4211" s="1">
        <f>HYPERLINK("https://lsnyc.legalserver.org/matter/dynamic-profile/view/1903840","19-1903840")</f>
        <v>0</v>
      </c>
      <c r="B4211" t="s">
        <v>257</v>
      </c>
      <c r="C4211" t="s">
        <v>378</v>
      </c>
      <c r="E4211" t="s">
        <v>2261</v>
      </c>
      <c r="F4211" t="s">
        <v>2218</v>
      </c>
      <c r="G4211" t="s">
        <v>9476</v>
      </c>
      <c r="H4211" t="s">
        <v>10575</v>
      </c>
      <c r="I4211" t="s">
        <v>11383</v>
      </c>
      <c r="J4211">
        <v>10457</v>
      </c>
      <c r="K4211" t="s">
        <v>11446</v>
      </c>
      <c r="L4211" t="s">
        <v>13731</v>
      </c>
      <c r="M4211" t="s">
        <v>14744</v>
      </c>
      <c r="N4211" t="s">
        <v>14781</v>
      </c>
      <c r="P4211" t="s">
        <v>14805</v>
      </c>
      <c r="Q4211" t="s">
        <v>11448</v>
      </c>
      <c r="S4211" t="s">
        <v>14827</v>
      </c>
      <c r="T4211" t="s">
        <v>14833</v>
      </c>
      <c r="U4211" t="s">
        <v>378</v>
      </c>
      <c r="V4211">
        <v>1077.46</v>
      </c>
      <c r="W4211" t="s">
        <v>14858</v>
      </c>
      <c r="X4211" t="s">
        <v>14755</v>
      </c>
      <c r="Z4211" t="s">
        <v>18382</v>
      </c>
      <c r="AB4211" t="s">
        <v>23496</v>
      </c>
      <c r="AC4211">
        <v>24</v>
      </c>
      <c r="AD4211" t="s">
        <v>24595</v>
      </c>
      <c r="AE4211" t="s">
        <v>11459</v>
      </c>
      <c r="AF4211">
        <v>11</v>
      </c>
      <c r="AG4211">
        <v>1</v>
      </c>
      <c r="AH4211">
        <v>0</v>
      </c>
      <c r="AI4211">
        <v>127.81</v>
      </c>
      <c r="AL4211" t="s">
        <v>5011</v>
      </c>
      <c r="AM4211">
        <v>15964</v>
      </c>
      <c r="AS4211">
        <v>15.8</v>
      </c>
      <c r="AT4211" t="s">
        <v>654</v>
      </c>
      <c r="AU4211" t="s">
        <v>145</v>
      </c>
      <c r="AV4211" t="s">
        <v>25335</v>
      </c>
      <c r="AW4211" t="s">
        <v>11447</v>
      </c>
    </row>
    <row r="4212" spans="1:49">
      <c r="A4212" s="1">
        <f>HYPERLINK("https://lsnyc.legalserver.org/matter/dynamic-profile/view/1901268","19-1901268")</f>
        <v>0</v>
      </c>
      <c r="B4212" t="s">
        <v>157</v>
      </c>
      <c r="C4212" t="s">
        <v>665</v>
      </c>
      <c r="E4212" t="s">
        <v>3094</v>
      </c>
      <c r="F4212" t="s">
        <v>5739</v>
      </c>
      <c r="G4212" t="s">
        <v>9477</v>
      </c>
      <c r="H4212" t="s">
        <v>10523</v>
      </c>
      <c r="I4212" t="s">
        <v>11383</v>
      </c>
      <c r="J4212">
        <v>10457</v>
      </c>
      <c r="K4212" t="s">
        <v>11446</v>
      </c>
      <c r="L4212" t="s">
        <v>13732</v>
      </c>
      <c r="M4212" t="s">
        <v>14744</v>
      </c>
      <c r="N4212" t="s">
        <v>14781</v>
      </c>
      <c r="P4212" t="s">
        <v>14805</v>
      </c>
      <c r="Q4212" t="s">
        <v>11448</v>
      </c>
      <c r="S4212" t="s">
        <v>14827</v>
      </c>
      <c r="T4212" t="s">
        <v>14832</v>
      </c>
      <c r="U4212" t="s">
        <v>378</v>
      </c>
      <c r="V4212">
        <v>1089</v>
      </c>
      <c r="W4212" t="s">
        <v>14858</v>
      </c>
      <c r="X4212" t="s">
        <v>14755</v>
      </c>
      <c r="Z4212" t="s">
        <v>18383</v>
      </c>
      <c r="AB4212" t="s">
        <v>23497</v>
      </c>
      <c r="AC4212">
        <v>55</v>
      </c>
      <c r="AD4212" t="s">
        <v>24595</v>
      </c>
      <c r="AF4212">
        <v>2</v>
      </c>
      <c r="AG4212">
        <v>1</v>
      </c>
      <c r="AH4212">
        <v>1</v>
      </c>
      <c r="AI4212">
        <v>179.18</v>
      </c>
      <c r="AL4212" t="s">
        <v>5011</v>
      </c>
      <c r="AM4212">
        <v>30300</v>
      </c>
      <c r="AS4212">
        <v>23.05</v>
      </c>
      <c r="AT4212" t="s">
        <v>654</v>
      </c>
      <c r="AU4212" t="s">
        <v>145</v>
      </c>
      <c r="AV4212" t="s">
        <v>25335</v>
      </c>
      <c r="AW4212" t="s">
        <v>11447</v>
      </c>
    </row>
    <row r="4213" spans="1:49">
      <c r="A4213" s="1">
        <f>HYPERLINK("https://lsnyc.legalserver.org/matter/dynamic-profile/view/1904467","19-1904467")</f>
        <v>0</v>
      </c>
      <c r="B4213" t="s">
        <v>69</v>
      </c>
      <c r="C4213" t="s">
        <v>474</v>
      </c>
      <c r="E4213" t="s">
        <v>2044</v>
      </c>
      <c r="F4213" t="s">
        <v>3901</v>
      </c>
      <c r="G4213" t="s">
        <v>7591</v>
      </c>
      <c r="H4213" t="s">
        <v>10452</v>
      </c>
      <c r="I4213" t="s">
        <v>11383</v>
      </c>
      <c r="J4213">
        <v>10462</v>
      </c>
      <c r="K4213" t="s">
        <v>11446</v>
      </c>
      <c r="L4213" t="s">
        <v>13733</v>
      </c>
      <c r="M4213" t="s">
        <v>14743</v>
      </c>
      <c r="N4213" t="s">
        <v>14781</v>
      </c>
      <c r="P4213" t="s">
        <v>14805</v>
      </c>
      <c r="Q4213" t="s">
        <v>11448</v>
      </c>
      <c r="S4213" t="s">
        <v>14827</v>
      </c>
      <c r="T4213" t="s">
        <v>14837</v>
      </c>
      <c r="U4213" t="s">
        <v>474</v>
      </c>
      <c r="V4213">
        <v>0</v>
      </c>
      <c r="W4213" t="s">
        <v>14858</v>
      </c>
      <c r="X4213" t="s">
        <v>14863</v>
      </c>
      <c r="Z4213" t="s">
        <v>16447</v>
      </c>
      <c r="AA4213" t="s">
        <v>19466</v>
      </c>
      <c r="AB4213" t="s">
        <v>21491</v>
      </c>
      <c r="AC4213">
        <v>79</v>
      </c>
      <c r="AD4213" t="s">
        <v>24595</v>
      </c>
      <c r="AE4213" t="s">
        <v>24610</v>
      </c>
      <c r="AF4213">
        <v>8</v>
      </c>
      <c r="AG4213">
        <v>2</v>
      </c>
      <c r="AH4213">
        <v>0</v>
      </c>
      <c r="AI4213">
        <v>0</v>
      </c>
      <c r="AL4213" t="s">
        <v>5011</v>
      </c>
      <c r="AM4213">
        <v>0</v>
      </c>
      <c r="AS4213">
        <v>5.75</v>
      </c>
      <c r="AT4213" t="s">
        <v>476</v>
      </c>
      <c r="AU4213" t="s">
        <v>25268</v>
      </c>
      <c r="AV4213" t="s">
        <v>25334</v>
      </c>
      <c r="AW4213" t="s">
        <v>11447</v>
      </c>
    </row>
    <row r="4214" spans="1:49">
      <c r="A4214" s="1">
        <f>HYPERLINK("https://lsnyc.legalserver.org/matter/dynamic-profile/view/1904103","19-1904103")</f>
        <v>0</v>
      </c>
      <c r="B4214" t="s">
        <v>299</v>
      </c>
      <c r="C4214" t="s">
        <v>474</v>
      </c>
      <c r="E4214" t="s">
        <v>3095</v>
      </c>
      <c r="F4214" t="s">
        <v>5740</v>
      </c>
      <c r="G4214" t="s">
        <v>9478</v>
      </c>
      <c r="H4214">
        <v>2</v>
      </c>
      <c r="I4214" t="s">
        <v>11383</v>
      </c>
      <c r="J4214">
        <v>10467</v>
      </c>
      <c r="K4214" t="s">
        <v>11446</v>
      </c>
      <c r="L4214" t="s">
        <v>13734</v>
      </c>
      <c r="M4214" t="s">
        <v>14743</v>
      </c>
      <c r="N4214" t="s">
        <v>14781</v>
      </c>
      <c r="P4214" t="s">
        <v>14805</v>
      </c>
      <c r="Q4214" t="s">
        <v>11448</v>
      </c>
      <c r="S4214" t="s">
        <v>14827</v>
      </c>
      <c r="T4214" t="s">
        <v>14832</v>
      </c>
      <c r="U4214" t="s">
        <v>474</v>
      </c>
      <c r="V4214">
        <v>975</v>
      </c>
      <c r="W4214" t="s">
        <v>14858</v>
      </c>
      <c r="X4214" t="s">
        <v>14755</v>
      </c>
      <c r="Z4214" t="s">
        <v>18384</v>
      </c>
      <c r="AA4214" t="s">
        <v>19867</v>
      </c>
      <c r="AB4214" t="s">
        <v>23498</v>
      </c>
      <c r="AC4214">
        <v>1</v>
      </c>
      <c r="AD4214" t="s">
        <v>24595</v>
      </c>
      <c r="AE4214" t="s">
        <v>11459</v>
      </c>
      <c r="AF4214">
        <v>16</v>
      </c>
      <c r="AG4214">
        <v>1</v>
      </c>
      <c r="AH4214">
        <v>0</v>
      </c>
      <c r="AI4214">
        <v>15.85</v>
      </c>
      <c r="AL4214" t="s">
        <v>5011</v>
      </c>
      <c r="AM4214">
        <v>1980</v>
      </c>
      <c r="AS4214">
        <v>22.5</v>
      </c>
      <c r="AT4214" t="s">
        <v>506</v>
      </c>
      <c r="AU4214" t="s">
        <v>237</v>
      </c>
      <c r="AV4214" t="s">
        <v>25334</v>
      </c>
      <c r="AW4214" t="s">
        <v>11447</v>
      </c>
    </row>
    <row r="4215" spans="1:49">
      <c r="A4215" s="1">
        <f>HYPERLINK("https://lsnyc.legalserver.org/matter/dynamic-profile/view/1903963","19-1903963")</f>
        <v>0</v>
      </c>
      <c r="B4215" t="s">
        <v>96</v>
      </c>
      <c r="C4215" t="s">
        <v>522</v>
      </c>
      <c r="E4215" t="s">
        <v>3096</v>
      </c>
      <c r="F4215" t="s">
        <v>3614</v>
      </c>
      <c r="G4215" t="s">
        <v>9471</v>
      </c>
      <c r="H4215" t="s">
        <v>10471</v>
      </c>
      <c r="I4215" t="s">
        <v>11383</v>
      </c>
      <c r="J4215">
        <v>10457</v>
      </c>
      <c r="K4215" t="s">
        <v>11446</v>
      </c>
      <c r="L4215" t="s">
        <v>13735</v>
      </c>
      <c r="M4215" t="s">
        <v>14744</v>
      </c>
      <c r="N4215" t="s">
        <v>14781</v>
      </c>
      <c r="P4215" t="s">
        <v>14805</v>
      </c>
      <c r="Q4215" t="s">
        <v>11448</v>
      </c>
      <c r="S4215" t="s">
        <v>14827</v>
      </c>
      <c r="T4215" t="s">
        <v>14832</v>
      </c>
      <c r="U4215" t="s">
        <v>474</v>
      </c>
      <c r="V4215">
        <v>1224.26</v>
      </c>
      <c r="W4215" t="s">
        <v>14858</v>
      </c>
      <c r="X4215" t="s">
        <v>14863</v>
      </c>
      <c r="Z4215" t="s">
        <v>18385</v>
      </c>
      <c r="AA4215" t="s">
        <v>19868</v>
      </c>
      <c r="AB4215" t="s">
        <v>23499</v>
      </c>
      <c r="AC4215">
        <v>41</v>
      </c>
      <c r="AD4215" t="s">
        <v>11479</v>
      </c>
      <c r="AE4215" t="s">
        <v>24617</v>
      </c>
      <c r="AF4215">
        <v>2</v>
      </c>
      <c r="AG4215">
        <v>1</v>
      </c>
      <c r="AH4215">
        <v>1</v>
      </c>
      <c r="AI4215">
        <v>65.45</v>
      </c>
      <c r="AL4215" t="s">
        <v>5011</v>
      </c>
      <c r="AM4215">
        <v>11066.8</v>
      </c>
      <c r="AS4215">
        <v>8.800000000000001</v>
      </c>
      <c r="AT4215" t="s">
        <v>478</v>
      </c>
      <c r="AU4215" t="s">
        <v>25268</v>
      </c>
      <c r="AV4215" t="s">
        <v>25334</v>
      </c>
      <c r="AW4215" t="s">
        <v>11447</v>
      </c>
    </row>
    <row r="4216" spans="1:49">
      <c r="A4216" s="1">
        <f>HYPERLINK("https://lsnyc.legalserver.org/matter/dynamic-profile/view/1903929","19-1903929")</f>
        <v>0</v>
      </c>
      <c r="B4216" t="s">
        <v>96</v>
      </c>
      <c r="C4216" t="s">
        <v>522</v>
      </c>
      <c r="E4216" t="s">
        <v>1353</v>
      </c>
      <c r="F4216" t="s">
        <v>1178</v>
      </c>
      <c r="G4216" t="s">
        <v>9479</v>
      </c>
      <c r="H4216">
        <v>108</v>
      </c>
      <c r="I4216" t="s">
        <v>11383</v>
      </c>
      <c r="J4216">
        <v>10468</v>
      </c>
      <c r="K4216" t="s">
        <v>11446</v>
      </c>
      <c r="L4216" t="s">
        <v>13736</v>
      </c>
      <c r="M4216" t="s">
        <v>14744</v>
      </c>
      <c r="N4216" t="s">
        <v>14781</v>
      </c>
      <c r="P4216" t="s">
        <v>14805</v>
      </c>
      <c r="Q4216" t="s">
        <v>11448</v>
      </c>
      <c r="S4216" t="s">
        <v>14827</v>
      </c>
      <c r="T4216" t="s">
        <v>14832</v>
      </c>
      <c r="U4216" t="s">
        <v>474</v>
      </c>
      <c r="V4216">
        <v>1126.53</v>
      </c>
      <c r="W4216" t="s">
        <v>14858</v>
      </c>
      <c r="X4216" t="s">
        <v>14865</v>
      </c>
      <c r="Z4216" t="s">
        <v>15801</v>
      </c>
      <c r="AB4216" t="s">
        <v>23500</v>
      </c>
      <c r="AC4216">
        <v>50</v>
      </c>
      <c r="AD4216" t="s">
        <v>24595</v>
      </c>
      <c r="AE4216" t="s">
        <v>11459</v>
      </c>
      <c r="AF4216">
        <v>18</v>
      </c>
      <c r="AG4216">
        <v>1</v>
      </c>
      <c r="AH4216">
        <v>0</v>
      </c>
      <c r="AI4216">
        <v>77.25</v>
      </c>
      <c r="AL4216" t="s">
        <v>5011</v>
      </c>
      <c r="AM4216">
        <v>9648</v>
      </c>
      <c r="AS4216">
        <v>10.6</v>
      </c>
      <c r="AT4216" t="s">
        <v>580</v>
      </c>
      <c r="AU4216" t="s">
        <v>237</v>
      </c>
      <c r="AV4216" t="s">
        <v>25335</v>
      </c>
      <c r="AW4216" t="s">
        <v>11447</v>
      </c>
    </row>
    <row r="4217" spans="1:49">
      <c r="A4217" s="1">
        <f>HYPERLINK("https://lsnyc.legalserver.org/matter/dynamic-profile/view/1904158","19-1904158")</f>
        <v>0</v>
      </c>
      <c r="B4217" t="s">
        <v>96</v>
      </c>
      <c r="C4217" t="s">
        <v>474</v>
      </c>
      <c r="E4217" t="s">
        <v>3097</v>
      </c>
      <c r="F4217" t="s">
        <v>1453</v>
      </c>
      <c r="G4217" t="s">
        <v>9480</v>
      </c>
      <c r="H4217" t="s">
        <v>10460</v>
      </c>
      <c r="I4217" t="s">
        <v>11383</v>
      </c>
      <c r="J4217">
        <v>10468</v>
      </c>
      <c r="K4217" t="s">
        <v>11446</v>
      </c>
      <c r="L4217" t="s">
        <v>13737</v>
      </c>
      <c r="M4217" t="s">
        <v>14744</v>
      </c>
      <c r="N4217" t="s">
        <v>14781</v>
      </c>
      <c r="P4217" t="s">
        <v>14805</v>
      </c>
      <c r="Q4217" t="s">
        <v>11448</v>
      </c>
      <c r="S4217" t="s">
        <v>14827</v>
      </c>
      <c r="T4217" t="s">
        <v>14832</v>
      </c>
      <c r="U4217" t="s">
        <v>474</v>
      </c>
      <c r="V4217">
        <v>931</v>
      </c>
      <c r="W4217" t="s">
        <v>14858</v>
      </c>
      <c r="X4217" t="s">
        <v>14863</v>
      </c>
      <c r="Z4217" t="s">
        <v>18386</v>
      </c>
      <c r="AB4217" t="s">
        <v>23501</v>
      </c>
      <c r="AC4217">
        <v>66</v>
      </c>
      <c r="AD4217" t="s">
        <v>24596</v>
      </c>
      <c r="AE4217" t="s">
        <v>24610</v>
      </c>
      <c r="AF4217">
        <v>2</v>
      </c>
      <c r="AG4217">
        <v>1</v>
      </c>
      <c r="AH4217">
        <v>1</v>
      </c>
      <c r="AI4217">
        <v>170.67</v>
      </c>
      <c r="AL4217" t="s">
        <v>5011</v>
      </c>
      <c r="AM4217">
        <v>28860</v>
      </c>
      <c r="AS4217">
        <v>28.7</v>
      </c>
      <c r="AT4217" t="s">
        <v>509</v>
      </c>
      <c r="AU4217" t="s">
        <v>25268</v>
      </c>
      <c r="AV4217" t="s">
        <v>25335</v>
      </c>
      <c r="AW4217" t="s">
        <v>11447</v>
      </c>
    </row>
    <row r="4218" spans="1:49">
      <c r="A4218" s="1">
        <f>HYPERLINK("https://lsnyc.legalserver.org/matter/dynamic-profile/view/1904089","19-1904089")</f>
        <v>0</v>
      </c>
      <c r="B4218" t="s">
        <v>111</v>
      </c>
      <c r="C4218" t="s">
        <v>621</v>
      </c>
      <c r="E4218" t="s">
        <v>3098</v>
      </c>
      <c r="F4218" t="s">
        <v>3628</v>
      </c>
      <c r="G4218" t="s">
        <v>9481</v>
      </c>
      <c r="H4218" t="s">
        <v>10464</v>
      </c>
      <c r="I4218" t="s">
        <v>11383</v>
      </c>
      <c r="J4218">
        <v>10468</v>
      </c>
      <c r="K4218" t="s">
        <v>11446</v>
      </c>
      <c r="L4218" t="s">
        <v>13738</v>
      </c>
      <c r="M4218" t="s">
        <v>14744</v>
      </c>
      <c r="N4218" t="s">
        <v>14781</v>
      </c>
      <c r="P4218" t="s">
        <v>14805</v>
      </c>
      <c r="Q4218" t="s">
        <v>11448</v>
      </c>
      <c r="S4218" t="s">
        <v>14827</v>
      </c>
      <c r="T4218" t="s">
        <v>14834</v>
      </c>
      <c r="U4218" t="s">
        <v>621</v>
      </c>
      <c r="V4218">
        <v>1214.21</v>
      </c>
      <c r="W4218" t="s">
        <v>14858</v>
      </c>
      <c r="X4218" t="s">
        <v>14863</v>
      </c>
      <c r="Z4218" t="s">
        <v>18387</v>
      </c>
      <c r="AA4218" t="s">
        <v>19869</v>
      </c>
      <c r="AB4218" t="s">
        <v>23502</v>
      </c>
      <c r="AC4218">
        <v>66</v>
      </c>
      <c r="AD4218" t="s">
        <v>24595</v>
      </c>
      <c r="AE4218" t="s">
        <v>24615</v>
      </c>
      <c r="AF4218">
        <v>13</v>
      </c>
      <c r="AG4218">
        <v>1</v>
      </c>
      <c r="AH4218">
        <v>2</v>
      </c>
      <c r="AI4218">
        <v>0</v>
      </c>
      <c r="AL4218" t="s">
        <v>5011</v>
      </c>
      <c r="AM4218">
        <v>0</v>
      </c>
      <c r="AS4218">
        <v>39.33</v>
      </c>
      <c r="AT4218" t="s">
        <v>509</v>
      </c>
      <c r="AU4218" t="s">
        <v>25242</v>
      </c>
      <c r="AV4218" t="s">
        <v>25335</v>
      </c>
      <c r="AW4218" t="s">
        <v>11447</v>
      </c>
    </row>
    <row r="4219" spans="1:49">
      <c r="A4219" s="1">
        <f>HYPERLINK("https://lsnyc.legalserver.org/matter/dynamic-profile/view/1904097","19-1904097")</f>
        <v>0</v>
      </c>
      <c r="B4219" t="s">
        <v>157</v>
      </c>
      <c r="C4219" t="s">
        <v>621</v>
      </c>
      <c r="E4219" t="s">
        <v>3099</v>
      </c>
      <c r="F4219" t="s">
        <v>5741</v>
      </c>
      <c r="G4219" t="s">
        <v>9482</v>
      </c>
      <c r="H4219" t="s">
        <v>10482</v>
      </c>
      <c r="I4219" t="s">
        <v>11383</v>
      </c>
      <c r="J4219">
        <v>10468</v>
      </c>
      <c r="K4219" t="s">
        <v>11446</v>
      </c>
      <c r="L4219" t="s">
        <v>13739</v>
      </c>
      <c r="M4219" t="s">
        <v>14744</v>
      </c>
      <c r="N4219" t="s">
        <v>14781</v>
      </c>
      <c r="P4219" t="s">
        <v>14805</v>
      </c>
      <c r="Q4219" t="s">
        <v>11448</v>
      </c>
      <c r="S4219" t="s">
        <v>14827</v>
      </c>
      <c r="T4219" t="s">
        <v>14832</v>
      </c>
      <c r="U4219" t="s">
        <v>621</v>
      </c>
      <c r="V4219">
        <v>472</v>
      </c>
      <c r="W4219" t="s">
        <v>14858</v>
      </c>
      <c r="X4219" t="s">
        <v>14865</v>
      </c>
      <c r="Z4219" t="s">
        <v>18388</v>
      </c>
      <c r="AA4219" t="s">
        <v>19870</v>
      </c>
      <c r="AB4219" t="s">
        <v>23503</v>
      </c>
      <c r="AC4219">
        <v>35</v>
      </c>
      <c r="AD4219" t="s">
        <v>24595</v>
      </c>
      <c r="AE4219" t="s">
        <v>24610</v>
      </c>
      <c r="AF4219">
        <v>23</v>
      </c>
      <c r="AG4219">
        <v>2</v>
      </c>
      <c r="AH4219">
        <v>1</v>
      </c>
      <c r="AI4219">
        <v>50.46</v>
      </c>
      <c r="AL4219" t="s">
        <v>24632</v>
      </c>
      <c r="AM4219">
        <v>10764</v>
      </c>
      <c r="AS4219">
        <v>4.8</v>
      </c>
      <c r="AT4219" t="s">
        <v>528</v>
      </c>
      <c r="AU4219" t="s">
        <v>145</v>
      </c>
      <c r="AV4219" t="s">
        <v>25334</v>
      </c>
      <c r="AW4219" t="s">
        <v>11447</v>
      </c>
    </row>
    <row r="4220" spans="1:49">
      <c r="A4220" s="1">
        <f>HYPERLINK("https://lsnyc.legalserver.org/matter/dynamic-profile/view/1903565","19-1903565")</f>
        <v>0</v>
      </c>
      <c r="B4220" t="s">
        <v>273</v>
      </c>
      <c r="C4220" t="s">
        <v>631</v>
      </c>
      <c r="E4220" t="s">
        <v>2548</v>
      </c>
      <c r="F4220" t="s">
        <v>5742</v>
      </c>
      <c r="G4220" t="s">
        <v>9483</v>
      </c>
      <c r="H4220" t="s">
        <v>10627</v>
      </c>
      <c r="I4220" t="s">
        <v>11383</v>
      </c>
      <c r="J4220">
        <v>10467</v>
      </c>
      <c r="K4220" t="s">
        <v>11446</v>
      </c>
      <c r="L4220" t="s">
        <v>13740</v>
      </c>
      <c r="M4220" t="s">
        <v>14743</v>
      </c>
      <c r="N4220" t="s">
        <v>14781</v>
      </c>
      <c r="P4220" t="s">
        <v>14805</v>
      </c>
      <c r="Q4220" t="s">
        <v>11448</v>
      </c>
      <c r="S4220" t="s">
        <v>14827</v>
      </c>
      <c r="T4220" t="s">
        <v>14832</v>
      </c>
      <c r="U4220" t="s">
        <v>621</v>
      </c>
      <c r="V4220">
        <v>0</v>
      </c>
      <c r="W4220" t="s">
        <v>14858</v>
      </c>
      <c r="X4220" t="s">
        <v>14755</v>
      </c>
      <c r="Z4220" t="s">
        <v>18389</v>
      </c>
      <c r="AB4220" t="s">
        <v>23504</v>
      </c>
      <c r="AC4220">
        <v>120</v>
      </c>
      <c r="AD4220" t="s">
        <v>24598</v>
      </c>
      <c r="AF4220">
        <v>8</v>
      </c>
      <c r="AG4220">
        <v>1</v>
      </c>
      <c r="AH4220">
        <v>0</v>
      </c>
      <c r="AI4220">
        <v>51.21</v>
      </c>
      <c r="AL4220" t="s">
        <v>5011</v>
      </c>
      <c r="AM4220">
        <v>6396</v>
      </c>
      <c r="AS4220">
        <v>9.1</v>
      </c>
      <c r="AT4220" t="s">
        <v>463</v>
      </c>
      <c r="AU4220" t="s">
        <v>145</v>
      </c>
      <c r="AV4220" t="s">
        <v>25335</v>
      </c>
      <c r="AW4220" t="s">
        <v>11447</v>
      </c>
    </row>
    <row r="4221" spans="1:49">
      <c r="A4221" s="1">
        <f>HYPERLINK("https://lsnyc.legalserver.org/matter/dynamic-profile/view/1904080","19-1904080")</f>
        <v>0</v>
      </c>
      <c r="B4221" t="s">
        <v>60</v>
      </c>
      <c r="C4221" t="s">
        <v>621</v>
      </c>
      <c r="E4221" t="s">
        <v>1959</v>
      </c>
      <c r="F4221" t="s">
        <v>2946</v>
      </c>
      <c r="G4221" t="s">
        <v>9484</v>
      </c>
      <c r="H4221" t="s">
        <v>10547</v>
      </c>
      <c r="I4221" t="s">
        <v>11383</v>
      </c>
      <c r="J4221">
        <v>10467</v>
      </c>
      <c r="K4221" t="s">
        <v>11446</v>
      </c>
      <c r="L4221" t="s">
        <v>13741</v>
      </c>
      <c r="M4221" t="s">
        <v>14744</v>
      </c>
      <c r="N4221" t="s">
        <v>14781</v>
      </c>
      <c r="P4221" t="s">
        <v>14805</v>
      </c>
      <c r="Q4221" t="s">
        <v>11448</v>
      </c>
      <c r="S4221" t="s">
        <v>14827</v>
      </c>
      <c r="T4221" t="s">
        <v>14832</v>
      </c>
      <c r="U4221" t="s">
        <v>621</v>
      </c>
      <c r="V4221">
        <v>1303.1</v>
      </c>
      <c r="W4221" t="s">
        <v>14858</v>
      </c>
      <c r="X4221" t="s">
        <v>14865</v>
      </c>
      <c r="Z4221" t="s">
        <v>16494</v>
      </c>
      <c r="AA4221" t="s">
        <v>19871</v>
      </c>
      <c r="AB4221" t="s">
        <v>23505</v>
      </c>
      <c r="AC4221">
        <v>118</v>
      </c>
      <c r="AD4221" t="s">
        <v>11479</v>
      </c>
      <c r="AE4221" t="s">
        <v>24617</v>
      </c>
      <c r="AF4221">
        <v>2</v>
      </c>
      <c r="AG4221">
        <v>1</v>
      </c>
      <c r="AH4221">
        <v>1</v>
      </c>
      <c r="AI4221">
        <v>83.64</v>
      </c>
      <c r="AL4221" t="s">
        <v>5011</v>
      </c>
      <c r="AM4221">
        <v>14144</v>
      </c>
      <c r="AS4221">
        <v>4</v>
      </c>
      <c r="AT4221" t="s">
        <v>483</v>
      </c>
      <c r="AU4221" t="s">
        <v>145</v>
      </c>
      <c r="AV4221" t="s">
        <v>25334</v>
      </c>
      <c r="AW4221" t="s">
        <v>11447</v>
      </c>
    </row>
    <row r="4222" spans="1:49">
      <c r="A4222" s="1">
        <f>HYPERLINK("https://lsnyc.legalserver.org/matter/dynamic-profile/view/1904101","19-1904101")</f>
        <v>0</v>
      </c>
      <c r="B4222" t="s">
        <v>300</v>
      </c>
      <c r="C4222" t="s">
        <v>621</v>
      </c>
      <c r="E4222" t="s">
        <v>1320</v>
      </c>
      <c r="F4222" t="s">
        <v>5743</v>
      </c>
      <c r="G4222" t="s">
        <v>9485</v>
      </c>
      <c r="H4222" t="s">
        <v>11242</v>
      </c>
      <c r="I4222" t="s">
        <v>11383</v>
      </c>
      <c r="J4222">
        <v>10457</v>
      </c>
      <c r="K4222" t="s">
        <v>11446</v>
      </c>
      <c r="L4222" t="s">
        <v>13742</v>
      </c>
      <c r="M4222" t="s">
        <v>14744</v>
      </c>
      <c r="N4222" t="s">
        <v>14781</v>
      </c>
      <c r="P4222" t="s">
        <v>14805</v>
      </c>
      <c r="Q4222" t="s">
        <v>11448</v>
      </c>
      <c r="S4222" t="s">
        <v>14827</v>
      </c>
      <c r="T4222" t="s">
        <v>14833</v>
      </c>
      <c r="U4222" t="s">
        <v>621</v>
      </c>
      <c r="V4222">
        <v>1375</v>
      </c>
      <c r="W4222" t="s">
        <v>14858</v>
      </c>
      <c r="X4222" t="s">
        <v>14755</v>
      </c>
      <c r="Z4222" t="s">
        <v>18390</v>
      </c>
      <c r="AA4222" t="s">
        <v>19872</v>
      </c>
      <c r="AB4222" t="s">
        <v>23506</v>
      </c>
      <c r="AC4222">
        <v>32</v>
      </c>
      <c r="AE4222" t="s">
        <v>11459</v>
      </c>
      <c r="AF4222">
        <v>3</v>
      </c>
      <c r="AG4222">
        <v>2</v>
      </c>
      <c r="AH4222">
        <v>0</v>
      </c>
      <c r="AI4222">
        <v>92.25</v>
      </c>
      <c r="AL4222" t="s">
        <v>24632</v>
      </c>
      <c r="AM4222">
        <v>15600</v>
      </c>
      <c r="AS4222">
        <v>50.15</v>
      </c>
      <c r="AT4222" t="s">
        <v>490</v>
      </c>
      <c r="AU4222" t="s">
        <v>145</v>
      </c>
      <c r="AV4222" t="s">
        <v>25334</v>
      </c>
      <c r="AW4222" t="s">
        <v>11447</v>
      </c>
    </row>
    <row r="4223" spans="1:49">
      <c r="A4223" s="1">
        <f>HYPERLINK("https://lsnyc.legalserver.org/matter/dynamic-profile/view/1904036","19-1904036")</f>
        <v>0</v>
      </c>
      <c r="B4223" t="s">
        <v>143</v>
      </c>
      <c r="C4223" t="s">
        <v>621</v>
      </c>
      <c r="E4223" t="s">
        <v>3100</v>
      </c>
      <c r="F4223" t="s">
        <v>5744</v>
      </c>
      <c r="G4223" t="s">
        <v>9486</v>
      </c>
      <c r="H4223" t="s">
        <v>10951</v>
      </c>
      <c r="I4223" t="s">
        <v>11383</v>
      </c>
      <c r="J4223">
        <v>10468</v>
      </c>
      <c r="K4223" t="s">
        <v>11446</v>
      </c>
      <c r="L4223" t="s">
        <v>13743</v>
      </c>
      <c r="M4223" t="s">
        <v>14744</v>
      </c>
      <c r="N4223" t="s">
        <v>14781</v>
      </c>
      <c r="P4223" t="s">
        <v>14805</v>
      </c>
      <c r="Q4223" t="s">
        <v>11448</v>
      </c>
      <c r="S4223" t="s">
        <v>14827</v>
      </c>
      <c r="U4223" t="s">
        <v>621</v>
      </c>
      <c r="V4223">
        <v>1091</v>
      </c>
      <c r="W4223" t="s">
        <v>14858</v>
      </c>
      <c r="Z4223" t="s">
        <v>18391</v>
      </c>
      <c r="AB4223" t="s">
        <v>23507</v>
      </c>
      <c r="AC4223">
        <v>86</v>
      </c>
      <c r="AD4223" t="s">
        <v>24595</v>
      </c>
      <c r="AF4223">
        <v>50</v>
      </c>
      <c r="AG4223">
        <v>3</v>
      </c>
      <c r="AH4223">
        <v>1</v>
      </c>
      <c r="AI4223">
        <v>174</v>
      </c>
      <c r="AL4223" t="s">
        <v>5011</v>
      </c>
      <c r="AM4223">
        <v>44806.18</v>
      </c>
      <c r="AS4223">
        <v>8.9</v>
      </c>
      <c r="AT4223" t="s">
        <v>478</v>
      </c>
      <c r="AU4223" t="s">
        <v>145</v>
      </c>
      <c r="AV4223" t="s">
        <v>25335</v>
      </c>
      <c r="AW4223" t="s">
        <v>11447</v>
      </c>
    </row>
    <row r="4224" spans="1:49">
      <c r="A4224" s="1">
        <f>HYPERLINK("https://lsnyc.legalserver.org/matter/dynamic-profile/view/1903763","19-1903763")</f>
        <v>0</v>
      </c>
      <c r="B4224" t="s">
        <v>96</v>
      </c>
      <c r="C4224" t="s">
        <v>522</v>
      </c>
      <c r="E4224" t="s">
        <v>1554</v>
      </c>
      <c r="F4224" t="s">
        <v>5745</v>
      </c>
      <c r="G4224" t="s">
        <v>9487</v>
      </c>
      <c r="H4224" t="s">
        <v>10471</v>
      </c>
      <c r="I4224" t="s">
        <v>11383</v>
      </c>
      <c r="J4224">
        <v>10468</v>
      </c>
      <c r="K4224" t="s">
        <v>11446</v>
      </c>
      <c r="L4224" t="s">
        <v>13744</v>
      </c>
      <c r="M4224" t="s">
        <v>14744</v>
      </c>
      <c r="N4224" t="s">
        <v>14781</v>
      </c>
      <c r="P4224" t="s">
        <v>14805</v>
      </c>
      <c r="Q4224" t="s">
        <v>11448</v>
      </c>
      <c r="S4224" t="s">
        <v>14827</v>
      </c>
      <c r="T4224" t="s">
        <v>14833</v>
      </c>
      <c r="U4224" t="s">
        <v>338</v>
      </c>
      <c r="V4224">
        <v>1501</v>
      </c>
      <c r="W4224" t="s">
        <v>14858</v>
      </c>
      <c r="X4224" t="s">
        <v>14863</v>
      </c>
      <c r="Z4224" t="s">
        <v>18392</v>
      </c>
      <c r="AA4224" t="s">
        <v>19873</v>
      </c>
      <c r="AB4224" t="s">
        <v>23508</v>
      </c>
      <c r="AC4224">
        <v>49</v>
      </c>
      <c r="AD4224" t="s">
        <v>24602</v>
      </c>
      <c r="AE4224" t="s">
        <v>24610</v>
      </c>
      <c r="AF4224">
        <v>8</v>
      </c>
      <c r="AG4224">
        <v>1</v>
      </c>
      <c r="AH4224">
        <v>2</v>
      </c>
      <c r="AI4224">
        <v>53.28</v>
      </c>
      <c r="AL4224" t="s">
        <v>5011</v>
      </c>
      <c r="AM4224">
        <v>11364</v>
      </c>
      <c r="AS4224">
        <v>6.2</v>
      </c>
      <c r="AT4224" t="s">
        <v>477</v>
      </c>
      <c r="AU4224" t="s">
        <v>25268</v>
      </c>
      <c r="AV4224" t="s">
        <v>25334</v>
      </c>
      <c r="AW4224" t="s">
        <v>11447</v>
      </c>
    </row>
    <row r="4225" spans="1:49">
      <c r="A4225" s="1">
        <f>HYPERLINK("https://lsnyc.legalserver.org/matter/dynamic-profile/view/1903875","19-1903875")</f>
        <v>0</v>
      </c>
      <c r="B4225" t="s">
        <v>134</v>
      </c>
      <c r="C4225" t="s">
        <v>378</v>
      </c>
      <c r="E4225" t="s">
        <v>3101</v>
      </c>
      <c r="F4225" t="s">
        <v>5746</v>
      </c>
      <c r="G4225" t="s">
        <v>9488</v>
      </c>
      <c r="H4225" t="s">
        <v>10568</v>
      </c>
      <c r="I4225" t="s">
        <v>11383</v>
      </c>
      <c r="J4225">
        <v>10467</v>
      </c>
      <c r="K4225" t="s">
        <v>11446</v>
      </c>
      <c r="L4225" t="s">
        <v>13745</v>
      </c>
      <c r="M4225" t="s">
        <v>14744</v>
      </c>
      <c r="N4225" t="s">
        <v>14781</v>
      </c>
      <c r="P4225" t="s">
        <v>14805</v>
      </c>
      <c r="Q4225" t="s">
        <v>11448</v>
      </c>
      <c r="S4225" t="s">
        <v>14827</v>
      </c>
      <c r="T4225" t="s">
        <v>14832</v>
      </c>
      <c r="U4225" t="s">
        <v>332</v>
      </c>
      <c r="V4225">
        <v>1235</v>
      </c>
      <c r="W4225" t="s">
        <v>14858</v>
      </c>
      <c r="Z4225" t="s">
        <v>18393</v>
      </c>
      <c r="AA4225" t="s">
        <v>19874</v>
      </c>
      <c r="AB4225" t="s">
        <v>23509</v>
      </c>
      <c r="AC4225">
        <v>48</v>
      </c>
      <c r="AD4225" t="s">
        <v>24595</v>
      </c>
      <c r="AF4225">
        <v>3</v>
      </c>
      <c r="AG4225">
        <v>1</v>
      </c>
      <c r="AH4225">
        <v>0</v>
      </c>
      <c r="AI4225">
        <v>45.86</v>
      </c>
      <c r="AM4225">
        <v>5728</v>
      </c>
      <c r="AS4225">
        <v>5</v>
      </c>
      <c r="AT4225" t="s">
        <v>603</v>
      </c>
      <c r="AU4225" t="s">
        <v>145</v>
      </c>
      <c r="AV4225" t="s">
        <v>25334</v>
      </c>
      <c r="AW4225" t="s">
        <v>11447</v>
      </c>
    </row>
    <row r="4226" spans="1:49">
      <c r="A4226" s="1">
        <f>HYPERLINK("https://lsnyc.legalserver.org/matter/dynamic-profile/view/1901593","19-1901593")</f>
        <v>0</v>
      </c>
      <c r="B4226" t="s">
        <v>257</v>
      </c>
      <c r="C4226" t="s">
        <v>459</v>
      </c>
      <c r="E4226" t="s">
        <v>1601</v>
      </c>
      <c r="F4226" t="s">
        <v>3848</v>
      </c>
      <c r="G4226" t="s">
        <v>9489</v>
      </c>
      <c r="H4226" t="s">
        <v>10448</v>
      </c>
      <c r="I4226" t="s">
        <v>11383</v>
      </c>
      <c r="J4226">
        <v>10457</v>
      </c>
      <c r="K4226" t="s">
        <v>11446</v>
      </c>
      <c r="L4226" t="s">
        <v>13746</v>
      </c>
      <c r="M4226" t="s">
        <v>14744</v>
      </c>
      <c r="N4226" t="s">
        <v>14781</v>
      </c>
      <c r="P4226" t="s">
        <v>14805</v>
      </c>
      <c r="Q4226" t="s">
        <v>11448</v>
      </c>
      <c r="S4226" t="s">
        <v>14827</v>
      </c>
      <c r="T4226" t="s">
        <v>14833</v>
      </c>
      <c r="U4226" t="s">
        <v>332</v>
      </c>
      <c r="V4226">
        <v>1534</v>
      </c>
      <c r="W4226" t="s">
        <v>14858</v>
      </c>
      <c r="X4226" t="s">
        <v>14863</v>
      </c>
      <c r="Z4226" t="s">
        <v>18394</v>
      </c>
      <c r="AA4226" t="s">
        <v>19875</v>
      </c>
      <c r="AB4226" t="s">
        <v>23510</v>
      </c>
      <c r="AC4226">
        <v>27</v>
      </c>
      <c r="AD4226" t="s">
        <v>24595</v>
      </c>
      <c r="AE4226" t="s">
        <v>24615</v>
      </c>
      <c r="AF4226">
        <v>5</v>
      </c>
      <c r="AG4226">
        <v>1</v>
      </c>
      <c r="AH4226">
        <v>2</v>
      </c>
      <c r="AI4226">
        <v>66.16</v>
      </c>
      <c r="AL4226" t="s">
        <v>5011</v>
      </c>
      <c r="AM4226">
        <v>14112</v>
      </c>
      <c r="AS4226">
        <v>16.45</v>
      </c>
      <c r="AT4226" t="s">
        <v>495</v>
      </c>
      <c r="AU4226" t="s">
        <v>25252</v>
      </c>
      <c r="AV4226" t="s">
        <v>25335</v>
      </c>
      <c r="AW4226" t="s">
        <v>11447</v>
      </c>
    </row>
    <row r="4227" spans="1:49">
      <c r="A4227" s="1">
        <f>HYPERLINK("https://lsnyc.legalserver.org/matter/dynamic-profile/view/1903916","19-1903916")</f>
        <v>0</v>
      </c>
      <c r="B4227" t="s">
        <v>60</v>
      </c>
      <c r="C4227" t="s">
        <v>378</v>
      </c>
      <c r="E4227" t="s">
        <v>3102</v>
      </c>
      <c r="F4227" t="s">
        <v>5747</v>
      </c>
      <c r="G4227" t="s">
        <v>9490</v>
      </c>
      <c r="H4227" t="s">
        <v>10948</v>
      </c>
      <c r="I4227" t="s">
        <v>11383</v>
      </c>
      <c r="J4227">
        <v>10457</v>
      </c>
      <c r="K4227" t="s">
        <v>11446</v>
      </c>
      <c r="L4227" t="s">
        <v>13747</v>
      </c>
      <c r="M4227" t="s">
        <v>14744</v>
      </c>
      <c r="N4227" t="s">
        <v>14781</v>
      </c>
      <c r="P4227" t="s">
        <v>14805</v>
      </c>
      <c r="Q4227" t="s">
        <v>11448</v>
      </c>
      <c r="S4227" t="s">
        <v>14827</v>
      </c>
      <c r="T4227" t="s">
        <v>14832</v>
      </c>
      <c r="U4227" t="s">
        <v>607</v>
      </c>
      <c r="V4227">
        <v>1621</v>
      </c>
      <c r="W4227" t="s">
        <v>14858</v>
      </c>
      <c r="X4227" t="s">
        <v>14865</v>
      </c>
      <c r="Z4227" t="s">
        <v>18395</v>
      </c>
      <c r="AB4227" t="s">
        <v>23511</v>
      </c>
      <c r="AC4227">
        <v>120</v>
      </c>
      <c r="AD4227" t="s">
        <v>24595</v>
      </c>
      <c r="AE4227" t="s">
        <v>11459</v>
      </c>
      <c r="AF4227">
        <v>18</v>
      </c>
      <c r="AG4227">
        <v>3</v>
      </c>
      <c r="AH4227">
        <v>1</v>
      </c>
      <c r="AI4227">
        <v>7.67</v>
      </c>
      <c r="AL4227" t="s">
        <v>5011</v>
      </c>
      <c r="AM4227">
        <v>1976</v>
      </c>
      <c r="AS4227">
        <v>7.5</v>
      </c>
      <c r="AT4227" t="s">
        <v>516</v>
      </c>
      <c r="AU4227" t="s">
        <v>145</v>
      </c>
      <c r="AV4227" t="s">
        <v>25335</v>
      </c>
      <c r="AW4227" t="s">
        <v>11447</v>
      </c>
    </row>
    <row r="4228" spans="1:49">
      <c r="A4228" s="1">
        <f>HYPERLINK("https://lsnyc.legalserver.org/matter/dynamic-profile/view/1904749","19-1904749")</f>
        <v>0</v>
      </c>
      <c r="B4228" t="s">
        <v>115</v>
      </c>
      <c r="C4228" t="s">
        <v>607</v>
      </c>
      <c r="E4228" t="s">
        <v>1749</v>
      </c>
      <c r="F4228" t="s">
        <v>5748</v>
      </c>
      <c r="G4228" t="s">
        <v>9491</v>
      </c>
      <c r="H4228" t="s">
        <v>10598</v>
      </c>
      <c r="I4228" t="s">
        <v>11383</v>
      </c>
      <c r="J4228">
        <v>10462</v>
      </c>
      <c r="K4228" t="s">
        <v>11446</v>
      </c>
      <c r="L4228" t="s">
        <v>13748</v>
      </c>
      <c r="M4228" t="s">
        <v>14744</v>
      </c>
      <c r="N4228" t="s">
        <v>14781</v>
      </c>
      <c r="P4228" t="s">
        <v>14805</v>
      </c>
      <c r="Q4228" t="s">
        <v>11448</v>
      </c>
      <c r="S4228" t="s">
        <v>14827</v>
      </c>
      <c r="T4228" t="s">
        <v>14834</v>
      </c>
      <c r="U4228" t="s">
        <v>607</v>
      </c>
      <c r="V4228">
        <v>1173.94</v>
      </c>
      <c r="W4228" t="s">
        <v>14858</v>
      </c>
      <c r="X4228" t="s">
        <v>14863</v>
      </c>
      <c r="Z4228" t="s">
        <v>18396</v>
      </c>
      <c r="AA4228" t="s">
        <v>19876</v>
      </c>
      <c r="AB4228" t="s">
        <v>23512</v>
      </c>
      <c r="AC4228">
        <v>2121</v>
      </c>
      <c r="AD4228" t="s">
        <v>24596</v>
      </c>
      <c r="AE4228" t="s">
        <v>24610</v>
      </c>
      <c r="AF4228">
        <v>10</v>
      </c>
      <c r="AG4228">
        <v>2</v>
      </c>
      <c r="AH4228">
        <v>1</v>
      </c>
      <c r="AI4228">
        <v>105.8</v>
      </c>
      <c r="AL4228" t="s">
        <v>5011</v>
      </c>
      <c r="AM4228">
        <v>22568</v>
      </c>
      <c r="AS4228">
        <v>9.1</v>
      </c>
      <c r="AT4228" t="s">
        <v>497</v>
      </c>
      <c r="AU4228" t="s">
        <v>25268</v>
      </c>
      <c r="AV4228" t="s">
        <v>25334</v>
      </c>
      <c r="AW4228" t="s">
        <v>11447</v>
      </c>
    </row>
    <row r="4229" spans="1:49">
      <c r="A4229" s="1">
        <f>HYPERLINK("https://lsnyc.legalserver.org/matter/dynamic-profile/view/1902308","19-1902308")</f>
        <v>0</v>
      </c>
      <c r="B4229" t="s">
        <v>295</v>
      </c>
      <c r="C4229" t="s">
        <v>362</v>
      </c>
      <c r="E4229" t="s">
        <v>3103</v>
      </c>
      <c r="F4229" t="s">
        <v>3555</v>
      </c>
      <c r="G4229" t="s">
        <v>9492</v>
      </c>
      <c r="H4229" t="s">
        <v>10547</v>
      </c>
      <c r="I4229" t="s">
        <v>11383</v>
      </c>
      <c r="J4229">
        <v>10457</v>
      </c>
      <c r="K4229" t="s">
        <v>11446</v>
      </c>
      <c r="L4229" t="s">
        <v>13749</v>
      </c>
      <c r="M4229" t="s">
        <v>14744</v>
      </c>
      <c r="N4229" t="s">
        <v>14781</v>
      </c>
      <c r="P4229" t="s">
        <v>14805</v>
      </c>
      <c r="Q4229" t="s">
        <v>11448</v>
      </c>
      <c r="S4229" t="s">
        <v>14827</v>
      </c>
      <c r="T4229" t="s">
        <v>14832</v>
      </c>
      <c r="U4229" t="s">
        <v>607</v>
      </c>
      <c r="V4229">
        <v>1358.75</v>
      </c>
      <c r="W4229" t="s">
        <v>14858</v>
      </c>
      <c r="X4229" t="s">
        <v>14865</v>
      </c>
      <c r="Z4229" t="s">
        <v>18397</v>
      </c>
      <c r="AB4229" t="s">
        <v>23513</v>
      </c>
      <c r="AC4229">
        <v>75</v>
      </c>
      <c r="AD4229" t="s">
        <v>24595</v>
      </c>
      <c r="AE4229" t="s">
        <v>11459</v>
      </c>
      <c r="AF4229">
        <v>7</v>
      </c>
      <c r="AG4229">
        <v>5</v>
      </c>
      <c r="AH4229">
        <v>3</v>
      </c>
      <c r="AI4229">
        <v>119.73</v>
      </c>
      <c r="AL4229" t="s">
        <v>24632</v>
      </c>
      <c r="AM4229">
        <v>52000</v>
      </c>
      <c r="AS4229">
        <v>14.4</v>
      </c>
      <c r="AT4229" t="s">
        <v>483</v>
      </c>
      <c r="AU4229" t="s">
        <v>25232</v>
      </c>
      <c r="AV4229" t="s">
        <v>25335</v>
      </c>
      <c r="AW4229" t="s">
        <v>11447</v>
      </c>
    </row>
    <row r="4230" spans="1:49">
      <c r="A4230" s="1">
        <f>HYPERLINK("https://lsnyc.legalserver.org/matter/dynamic-profile/view/1903134","19-1903134")</f>
        <v>0</v>
      </c>
      <c r="B4230" t="s">
        <v>257</v>
      </c>
      <c r="C4230" t="s">
        <v>346</v>
      </c>
      <c r="E4230" t="s">
        <v>3104</v>
      </c>
      <c r="F4230" t="s">
        <v>5749</v>
      </c>
      <c r="G4230" t="s">
        <v>9493</v>
      </c>
      <c r="H4230" t="s">
        <v>10450</v>
      </c>
      <c r="I4230" t="s">
        <v>11383</v>
      </c>
      <c r="J4230">
        <v>10468</v>
      </c>
      <c r="K4230" t="s">
        <v>11446</v>
      </c>
      <c r="L4230" t="s">
        <v>13750</v>
      </c>
      <c r="M4230" t="s">
        <v>14744</v>
      </c>
      <c r="N4230" t="s">
        <v>14781</v>
      </c>
      <c r="P4230" t="s">
        <v>14805</v>
      </c>
      <c r="Q4230" t="s">
        <v>11448</v>
      </c>
      <c r="S4230" t="s">
        <v>14827</v>
      </c>
      <c r="T4230" t="s">
        <v>14834</v>
      </c>
      <c r="U4230" t="s">
        <v>493</v>
      </c>
      <c r="V4230">
        <v>940</v>
      </c>
      <c r="W4230" t="s">
        <v>14858</v>
      </c>
      <c r="X4230" t="s">
        <v>14867</v>
      </c>
      <c r="Z4230" t="s">
        <v>18398</v>
      </c>
      <c r="AB4230" t="s">
        <v>23514</v>
      </c>
      <c r="AC4230">
        <v>37</v>
      </c>
      <c r="AD4230" t="s">
        <v>24595</v>
      </c>
      <c r="AF4230">
        <v>30</v>
      </c>
      <c r="AG4230">
        <v>1</v>
      </c>
      <c r="AH4230">
        <v>0</v>
      </c>
      <c r="AI4230">
        <v>145.72</v>
      </c>
      <c r="AL4230" t="s">
        <v>5011</v>
      </c>
      <c r="AM4230">
        <v>18200</v>
      </c>
      <c r="AS4230">
        <v>18.8</v>
      </c>
      <c r="AT4230" t="s">
        <v>654</v>
      </c>
      <c r="AU4230" t="s">
        <v>145</v>
      </c>
      <c r="AV4230" t="s">
        <v>25335</v>
      </c>
      <c r="AW4230" t="s">
        <v>11447</v>
      </c>
    </row>
    <row r="4231" spans="1:49">
      <c r="A4231" s="1">
        <f>HYPERLINK("https://lsnyc.legalserver.org/matter/dynamic-profile/view/1902367","19-1902367")</f>
        <v>0</v>
      </c>
      <c r="B4231" t="s">
        <v>273</v>
      </c>
      <c r="C4231" t="s">
        <v>362</v>
      </c>
      <c r="E4231" t="s">
        <v>3105</v>
      </c>
      <c r="F4231" t="s">
        <v>3547</v>
      </c>
      <c r="G4231" t="s">
        <v>9494</v>
      </c>
      <c r="H4231" t="s">
        <v>10523</v>
      </c>
      <c r="I4231" t="s">
        <v>11383</v>
      </c>
      <c r="J4231">
        <v>10457</v>
      </c>
      <c r="K4231" t="s">
        <v>11446</v>
      </c>
      <c r="L4231" t="s">
        <v>13751</v>
      </c>
      <c r="M4231" t="s">
        <v>14744</v>
      </c>
      <c r="N4231" t="s">
        <v>14781</v>
      </c>
      <c r="P4231" t="s">
        <v>14805</v>
      </c>
      <c r="Q4231" t="s">
        <v>11448</v>
      </c>
      <c r="S4231" t="s">
        <v>14827</v>
      </c>
      <c r="U4231" t="s">
        <v>345</v>
      </c>
      <c r="V4231">
        <v>1122</v>
      </c>
      <c r="W4231" t="s">
        <v>14858</v>
      </c>
      <c r="X4231" t="s">
        <v>14755</v>
      </c>
      <c r="Z4231" t="s">
        <v>18399</v>
      </c>
      <c r="AB4231" t="s">
        <v>23515</v>
      </c>
      <c r="AC4231">
        <v>67</v>
      </c>
      <c r="AD4231" t="s">
        <v>24595</v>
      </c>
      <c r="AF4231">
        <v>3</v>
      </c>
      <c r="AG4231">
        <v>3</v>
      </c>
      <c r="AH4231">
        <v>1</v>
      </c>
      <c r="AI4231">
        <v>157.67</v>
      </c>
      <c r="AL4231" t="s">
        <v>24632</v>
      </c>
      <c r="AM4231">
        <v>40600</v>
      </c>
      <c r="AS4231">
        <v>19.5</v>
      </c>
      <c r="AT4231" t="s">
        <v>571</v>
      </c>
      <c r="AU4231" t="s">
        <v>145</v>
      </c>
      <c r="AV4231" t="s">
        <v>25335</v>
      </c>
      <c r="AW4231" t="s">
        <v>11447</v>
      </c>
    </row>
    <row r="4232" spans="1:49">
      <c r="A4232" s="1">
        <f>HYPERLINK("https://lsnyc.legalserver.org/matter/dynamic-profile/view/1904071","19-1904071")</f>
        <v>0</v>
      </c>
      <c r="B4232" t="s">
        <v>60</v>
      </c>
      <c r="C4232" t="s">
        <v>621</v>
      </c>
      <c r="E4232" t="s">
        <v>3106</v>
      </c>
      <c r="F4232" t="s">
        <v>5638</v>
      </c>
      <c r="G4232" t="s">
        <v>9495</v>
      </c>
      <c r="H4232">
        <v>45</v>
      </c>
      <c r="I4232" t="s">
        <v>11383</v>
      </c>
      <c r="J4232">
        <v>10468</v>
      </c>
      <c r="K4232" t="s">
        <v>11446</v>
      </c>
      <c r="L4232" t="s">
        <v>13752</v>
      </c>
      <c r="M4232" t="s">
        <v>14744</v>
      </c>
      <c r="N4232" t="s">
        <v>14781</v>
      </c>
      <c r="P4232" t="s">
        <v>14805</v>
      </c>
      <c r="Q4232" t="s">
        <v>11448</v>
      </c>
      <c r="S4232" t="s">
        <v>14827</v>
      </c>
      <c r="T4232" t="s">
        <v>14832</v>
      </c>
      <c r="U4232" t="s">
        <v>456</v>
      </c>
      <c r="V4232">
        <v>1956</v>
      </c>
      <c r="W4232" t="s">
        <v>14858</v>
      </c>
      <c r="Z4232" t="s">
        <v>18400</v>
      </c>
      <c r="AA4232" t="s">
        <v>19877</v>
      </c>
      <c r="AB4232" t="s">
        <v>23516</v>
      </c>
      <c r="AC4232">
        <v>26</v>
      </c>
      <c r="AD4232" t="s">
        <v>24600</v>
      </c>
      <c r="AE4232" t="s">
        <v>24616</v>
      </c>
      <c r="AF4232">
        <v>3</v>
      </c>
      <c r="AG4232">
        <v>1</v>
      </c>
      <c r="AH4232">
        <v>3</v>
      </c>
      <c r="AI4232">
        <v>16.96</v>
      </c>
      <c r="AL4232" t="s">
        <v>5011</v>
      </c>
      <c r="AM4232">
        <v>4368</v>
      </c>
      <c r="AS4232">
        <v>17</v>
      </c>
      <c r="AT4232" t="s">
        <v>478</v>
      </c>
      <c r="AU4232" t="s">
        <v>145</v>
      </c>
      <c r="AV4232" t="s">
        <v>25334</v>
      </c>
      <c r="AW4232" t="s">
        <v>11447</v>
      </c>
    </row>
    <row r="4233" spans="1:49">
      <c r="A4233" s="1">
        <f>HYPERLINK("https://lsnyc.legalserver.org/matter/dynamic-profile/view/1905296","19-1905296")</f>
        <v>0</v>
      </c>
      <c r="B4233" t="s">
        <v>89</v>
      </c>
      <c r="C4233" t="s">
        <v>480</v>
      </c>
      <c r="E4233" t="s">
        <v>3107</v>
      </c>
      <c r="F4233" t="s">
        <v>5750</v>
      </c>
      <c r="G4233" t="s">
        <v>9496</v>
      </c>
      <c r="H4233">
        <v>51</v>
      </c>
      <c r="I4233" t="s">
        <v>11383</v>
      </c>
      <c r="J4233">
        <v>10467</v>
      </c>
      <c r="K4233" t="s">
        <v>11446</v>
      </c>
      <c r="L4233" t="s">
        <v>13753</v>
      </c>
      <c r="M4233" t="s">
        <v>14744</v>
      </c>
      <c r="N4233" t="s">
        <v>14781</v>
      </c>
      <c r="P4233" t="s">
        <v>14805</v>
      </c>
      <c r="Q4233" t="s">
        <v>11448</v>
      </c>
      <c r="S4233" t="s">
        <v>14827</v>
      </c>
      <c r="T4233" t="s">
        <v>14832</v>
      </c>
      <c r="U4233" t="s">
        <v>480</v>
      </c>
      <c r="V4233">
        <v>1400</v>
      </c>
      <c r="W4233" t="s">
        <v>14858</v>
      </c>
      <c r="X4233" t="s">
        <v>14865</v>
      </c>
      <c r="Z4233" t="s">
        <v>18401</v>
      </c>
      <c r="AA4233" t="s">
        <v>19878</v>
      </c>
      <c r="AC4233">
        <v>49</v>
      </c>
      <c r="AD4233" t="s">
        <v>24595</v>
      </c>
      <c r="AE4233" t="s">
        <v>11459</v>
      </c>
      <c r="AF4233">
        <v>1</v>
      </c>
      <c r="AG4233">
        <v>1</v>
      </c>
      <c r="AH4233">
        <v>2</v>
      </c>
      <c r="AI4233">
        <v>17.67</v>
      </c>
      <c r="AL4233" t="s">
        <v>5011</v>
      </c>
      <c r="AM4233">
        <v>3770</v>
      </c>
      <c r="AS4233">
        <v>13</v>
      </c>
      <c r="AT4233" t="s">
        <v>516</v>
      </c>
      <c r="AU4233" t="s">
        <v>145</v>
      </c>
      <c r="AV4233" t="s">
        <v>25335</v>
      </c>
      <c r="AW4233" t="s">
        <v>11447</v>
      </c>
    </row>
    <row r="4234" spans="1:49">
      <c r="A4234" s="1">
        <f>HYPERLINK("https://lsnyc.legalserver.org/matter/dynamic-profile/view/1905213","19-1905213")</f>
        <v>0</v>
      </c>
      <c r="B4234" t="s">
        <v>305</v>
      </c>
      <c r="C4234" t="s">
        <v>480</v>
      </c>
      <c r="E4234" t="s">
        <v>2455</v>
      </c>
      <c r="F4234" t="s">
        <v>2515</v>
      </c>
      <c r="G4234" t="s">
        <v>9497</v>
      </c>
      <c r="H4234" t="s">
        <v>11229</v>
      </c>
      <c r="I4234" t="s">
        <v>11383</v>
      </c>
      <c r="J4234">
        <v>10467</v>
      </c>
      <c r="K4234" t="s">
        <v>11446</v>
      </c>
      <c r="L4234" t="s">
        <v>13754</v>
      </c>
      <c r="M4234" t="s">
        <v>14744</v>
      </c>
      <c r="N4234" t="s">
        <v>14781</v>
      </c>
      <c r="P4234" t="s">
        <v>14805</v>
      </c>
      <c r="Q4234" t="s">
        <v>11448</v>
      </c>
      <c r="S4234" t="s">
        <v>14827</v>
      </c>
      <c r="T4234" t="s">
        <v>14834</v>
      </c>
      <c r="U4234" t="s">
        <v>480</v>
      </c>
      <c r="V4234">
        <v>1477</v>
      </c>
      <c r="W4234" t="s">
        <v>14858</v>
      </c>
      <c r="X4234" t="s">
        <v>14865</v>
      </c>
      <c r="Z4234" t="s">
        <v>18402</v>
      </c>
      <c r="AB4234" t="s">
        <v>23517</v>
      </c>
      <c r="AC4234">
        <v>85</v>
      </c>
      <c r="AD4234" t="s">
        <v>24595</v>
      </c>
      <c r="AE4234" t="s">
        <v>24610</v>
      </c>
      <c r="AF4234">
        <v>22</v>
      </c>
      <c r="AG4234">
        <v>2</v>
      </c>
      <c r="AH4234">
        <v>2</v>
      </c>
      <c r="AI4234">
        <v>35.18</v>
      </c>
      <c r="AL4234" t="s">
        <v>5011</v>
      </c>
      <c r="AM4234">
        <v>9060</v>
      </c>
      <c r="AS4234">
        <v>34.3</v>
      </c>
      <c r="AT4234" t="s">
        <v>495</v>
      </c>
      <c r="AU4234" t="s">
        <v>25252</v>
      </c>
      <c r="AV4234" t="s">
        <v>25335</v>
      </c>
      <c r="AW4234" t="s">
        <v>11447</v>
      </c>
    </row>
    <row r="4235" spans="1:49">
      <c r="A4235" s="1">
        <f>HYPERLINK("https://lsnyc.legalserver.org/matter/dynamic-profile/view/1905318","19-1905318")</f>
        <v>0</v>
      </c>
      <c r="B4235" t="s">
        <v>79</v>
      </c>
      <c r="C4235" t="s">
        <v>480</v>
      </c>
      <c r="E4235" t="s">
        <v>1249</v>
      </c>
      <c r="F4235" t="s">
        <v>4079</v>
      </c>
      <c r="G4235" t="s">
        <v>9489</v>
      </c>
      <c r="H4235" t="s">
        <v>10450</v>
      </c>
      <c r="I4235" t="s">
        <v>11383</v>
      </c>
      <c r="J4235">
        <v>10457</v>
      </c>
      <c r="K4235" t="s">
        <v>11446</v>
      </c>
      <c r="L4235" t="s">
        <v>13755</v>
      </c>
      <c r="M4235" t="s">
        <v>14744</v>
      </c>
      <c r="N4235" t="s">
        <v>14781</v>
      </c>
      <c r="P4235" t="s">
        <v>14805</v>
      </c>
      <c r="Q4235" t="s">
        <v>11448</v>
      </c>
      <c r="S4235" t="s">
        <v>14827</v>
      </c>
      <c r="T4235" t="s">
        <v>14832</v>
      </c>
      <c r="U4235" t="s">
        <v>480</v>
      </c>
      <c r="V4235">
        <v>1650</v>
      </c>
      <c r="W4235" t="s">
        <v>14858</v>
      </c>
      <c r="X4235" t="s">
        <v>14868</v>
      </c>
      <c r="Z4235" t="s">
        <v>18403</v>
      </c>
      <c r="AB4235" t="s">
        <v>23518</v>
      </c>
      <c r="AC4235">
        <v>27</v>
      </c>
      <c r="AD4235" t="s">
        <v>24595</v>
      </c>
      <c r="AE4235" t="s">
        <v>24610</v>
      </c>
      <c r="AF4235">
        <v>3</v>
      </c>
      <c r="AG4235">
        <v>1</v>
      </c>
      <c r="AH4235">
        <v>1</v>
      </c>
      <c r="AI4235">
        <v>58.05</v>
      </c>
      <c r="AL4235" t="s">
        <v>24632</v>
      </c>
      <c r="AM4235">
        <v>9816</v>
      </c>
      <c r="AS4235">
        <v>6.9</v>
      </c>
      <c r="AT4235" t="s">
        <v>559</v>
      </c>
      <c r="AU4235" t="s">
        <v>25239</v>
      </c>
      <c r="AV4235" t="s">
        <v>25335</v>
      </c>
      <c r="AW4235" t="s">
        <v>11447</v>
      </c>
    </row>
    <row r="4236" spans="1:49">
      <c r="A4236" s="1">
        <f>HYPERLINK("https://lsnyc.legalserver.org/matter/dynamic-profile/view/1903930","19-1903930")</f>
        <v>0</v>
      </c>
      <c r="B4236" t="s">
        <v>79</v>
      </c>
      <c r="C4236" t="s">
        <v>378</v>
      </c>
      <c r="E4236" t="s">
        <v>3108</v>
      </c>
      <c r="F4236" t="s">
        <v>5751</v>
      </c>
      <c r="G4236" t="s">
        <v>9452</v>
      </c>
      <c r="H4236">
        <v>314</v>
      </c>
      <c r="I4236" t="s">
        <v>11383</v>
      </c>
      <c r="J4236">
        <v>10457</v>
      </c>
      <c r="K4236" t="s">
        <v>11446</v>
      </c>
      <c r="L4236" t="s">
        <v>13756</v>
      </c>
      <c r="M4236" t="s">
        <v>14744</v>
      </c>
      <c r="N4236" t="s">
        <v>14781</v>
      </c>
      <c r="P4236" t="s">
        <v>14805</v>
      </c>
      <c r="Q4236" t="s">
        <v>11448</v>
      </c>
      <c r="S4236" t="s">
        <v>14827</v>
      </c>
      <c r="U4236" t="s">
        <v>480</v>
      </c>
      <c r="V4236">
        <v>1038</v>
      </c>
      <c r="W4236" t="s">
        <v>14858</v>
      </c>
      <c r="X4236" t="s">
        <v>14865</v>
      </c>
      <c r="Z4236" t="s">
        <v>18404</v>
      </c>
      <c r="AB4236" t="s">
        <v>23519</v>
      </c>
      <c r="AC4236">
        <v>0</v>
      </c>
      <c r="AD4236" t="s">
        <v>24595</v>
      </c>
      <c r="AE4236" t="s">
        <v>11459</v>
      </c>
      <c r="AF4236">
        <v>1</v>
      </c>
      <c r="AG4236">
        <v>1</v>
      </c>
      <c r="AH4236">
        <v>1</v>
      </c>
      <c r="AI4236">
        <v>177.41</v>
      </c>
      <c r="AL4236" t="s">
        <v>5011</v>
      </c>
      <c r="AM4236">
        <v>30000</v>
      </c>
      <c r="AP4236" t="s">
        <v>24941</v>
      </c>
      <c r="AQ4236" t="s">
        <v>24986</v>
      </c>
      <c r="AR4236" t="s">
        <v>25025</v>
      </c>
      <c r="AS4236">
        <v>6.6</v>
      </c>
      <c r="AT4236" t="s">
        <v>489</v>
      </c>
      <c r="AU4236" t="s">
        <v>145</v>
      </c>
      <c r="AV4236" t="s">
        <v>25335</v>
      </c>
      <c r="AW4236" t="s">
        <v>11447</v>
      </c>
    </row>
    <row r="4237" spans="1:49">
      <c r="A4237" s="1">
        <f>HYPERLINK("https://lsnyc.legalserver.org/matter/dynamic-profile/view/1905309","19-1905309")</f>
        <v>0</v>
      </c>
      <c r="B4237" t="s">
        <v>111</v>
      </c>
      <c r="C4237" t="s">
        <v>480</v>
      </c>
      <c r="E4237" t="s">
        <v>1198</v>
      </c>
      <c r="F4237" t="s">
        <v>5752</v>
      </c>
      <c r="G4237" t="s">
        <v>9498</v>
      </c>
      <c r="H4237" t="s">
        <v>10552</v>
      </c>
      <c r="I4237" t="s">
        <v>11383</v>
      </c>
      <c r="J4237">
        <v>10457</v>
      </c>
      <c r="K4237" t="s">
        <v>11446</v>
      </c>
      <c r="L4237" t="s">
        <v>13757</v>
      </c>
      <c r="M4237" t="s">
        <v>14744</v>
      </c>
      <c r="N4237" t="s">
        <v>14781</v>
      </c>
      <c r="P4237" t="s">
        <v>14805</v>
      </c>
      <c r="Q4237" t="s">
        <v>11448</v>
      </c>
      <c r="S4237" t="s">
        <v>14827</v>
      </c>
      <c r="T4237" t="s">
        <v>14832</v>
      </c>
      <c r="U4237" t="s">
        <v>480</v>
      </c>
      <c r="V4237">
        <v>1250</v>
      </c>
      <c r="W4237" t="s">
        <v>14858</v>
      </c>
      <c r="X4237" t="s">
        <v>14867</v>
      </c>
      <c r="Z4237" t="s">
        <v>15312</v>
      </c>
      <c r="AB4237" t="s">
        <v>23520</v>
      </c>
      <c r="AC4237">
        <v>21</v>
      </c>
      <c r="AD4237" t="s">
        <v>24595</v>
      </c>
      <c r="AF4237">
        <v>0</v>
      </c>
      <c r="AG4237">
        <v>3</v>
      </c>
      <c r="AH4237">
        <v>3</v>
      </c>
      <c r="AI4237">
        <v>184.39</v>
      </c>
      <c r="AM4237">
        <v>63780</v>
      </c>
      <c r="AS4237">
        <v>11.05</v>
      </c>
      <c r="AT4237" t="s">
        <v>586</v>
      </c>
      <c r="AU4237" t="s">
        <v>145</v>
      </c>
      <c r="AV4237" t="s">
        <v>25335</v>
      </c>
      <c r="AW4237" t="s">
        <v>11447</v>
      </c>
    </row>
    <row r="4238" spans="1:49">
      <c r="A4238" s="1">
        <f>HYPERLINK("https://lsnyc.legalserver.org/matter/dynamic-profile/view/1901768","19-1901768")</f>
        <v>0</v>
      </c>
      <c r="B4238" t="s">
        <v>115</v>
      </c>
      <c r="C4238" t="s">
        <v>487</v>
      </c>
      <c r="E4238" t="s">
        <v>1552</v>
      </c>
      <c r="F4238" t="s">
        <v>5753</v>
      </c>
      <c r="G4238" t="s">
        <v>9499</v>
      </c>
      <c r="H4238" t="s">
        <v>10481</v>
      </c>
      <c r="I4238" t="s">
        <v>11383</v>
      </c>
      <c r="J4238">
        <v>10457</v>
      </c>
      <c r="K4238" t="s">
        <v>11446</v>
      </c>
      <c r="L4238" t="s">
        <v>13758</v>
      </c>
      <c r="M4238" t="s">
        <v>14744</v>
      </c>
      <c r="N4238" t="s">
        <v>14781</v>
      </c>
      <c r="P4238" t="s">
        <v>14805</v>
      </c>
      <c r="Q4238" t="s">
        <v>11448</v>
      </c>
      <c r="S4238" t="s">
        <v>14827</v>
      </c>
      <c r="T4238" t="s">
        <v>14832</v>
      </c>
      <c r="U4238" t="s">
        <v>619</v>
      </c>
      <c r="V4238">
        <v>912.1799999999999</v>
      </c>
      <c r="W4238" t="s">
        <v>14858</v>
      </c>
      <c r="X4238" t="s">
        <v>14755</v>
      </c>
      <c r="Z4238" t="s">
        <v>18405</v>
      </c>
      <c r="AA4238" t="s">
        <v>19879</v>
      </c>
      <c r="AB4238" t="s">
        <v>23521</v>
      </c>
      <c r="AC4238">
        <v>40</v>
      </c>
      <c r="AD4238" t="s">
        <v>24595</v>
      </c>
      <c r="AE4238" t="s">
        <v>24615</v>
      </c>
      <c r="AF4238">
        <v>6</v>
      </c>
      <c r="AG4238">
        <v>2</v>
      </c>
      <c r="AH4238">
        <v>6</v>
      </c>
      <c r="AI4238">
        <v>17.02</v>
      </c>
      <c r="AL4238" t="s">
        <v>24632</v>
      </c>
      <c r="AM4238">
        <v>7392</v>
      </c>
      <c r="AS4238">
        <v>17.5</v>
      </c>
      <c r="AT4238" t="s">
        <v>478</v>
      </c>
      <c r="AU4238" t="s">
        <v>145</v>
      </c>
      <c r="AV4238" t="s">
        <v>25335</v>
      </c>
      <c r="AW4238" t="s">
        <v>11447</v>
      </c>
    </row>
    <row r="4239" spans="1:49">
      <c r="A4239" s="1">
        <f>HYPERLINK("https://lsnyc.legalserver.org/matter/dynamic-profile/view/1905327","19-1905327")</f>
        <v>0</v>
      </c>
      <c r="B4239" t="s">
        <v>60</v>
      </c>
      <c r="C4239" t="s">
        <v>619</v>
      </c>
      <c r="E4239" t="s">
        <v>2533</v>
      </c>
      <c r="F4239" t="s">
        <v>3299</v>
      </c>
      <c r="G4239" t="s">
        <v>9495</v>
      </c>
      <c r="H4239">
        <v>51</v>
      </c>
      <c r="I4239" t="s">
        <v>11383</v>
      </c>
      <c r="J4239">
        <v>10468</v>
      </c>
      <c r="K4239" t="s">
        <v>11446</v>
      </c>
      <c r="L4239" t="s">
        <v>13759</v>
      </c>
      <c r="M4239" t="s">
        <v>14744</v>
      </c>
      <c r="N4239" t="s">
        <v>14781</v>
      </c>
      <c r="P4239" t="s">
        <v>14805</v>
      </c>
      <c r="Q4239" t="s">
        <v>11448</v>
      </c>
      <c r="S4239" t="s">
        <v>14827</v>
      </c>
      <c r="T4239" t="s">
        <v>14832</v>
      </c>
      <c r="U4239" t="s">
        <v>619</v>
      </c>
      <c r="V4239">
        <v>1515</v>
      </c>
      <c r="W4239" t="s">
        <v>14858</v>
      </c>
      <c r="X4239" t="s">
        <v>14865</v>
      </c>
      <c r="Z4239" t="s">
        <v>17427</v>
      </c>
      <c r="AA4239">
        <v>7969441</v>
      </c>
      <c r="AB4239" t="s">
        <v>23522</v>
      </c>
      <c r="AC4239">
        <v>30</v>
      </c>
      <c r="AD4239" t="s">
        <v>24595</v>
      </c>
      <c r="AE4239" t="s">
        <v>24616</v>
      </c>
      <c r="AF4239">
        <v>4</v>
      </c>
      <c r="AG4239">
        <v>1</v>
      </c>
      <c r="AH4239">
        <v>2</v>
      </c>
      <c r="AI4239">
        <v>18.89</v>
      </c>
      <c r="AL4239" t="s">
        <v>5011</v>
      </c>
      <c r="AM4239">
        <v>4030</v>
      </c>
      <c r="AS4239">
        <v>10.2</v>
      </c>
      <c r="AT4239" t="s">
        <v>472</v>
      </c>
      <c r="AU4239" t="s">
        <v>145</v>
      </c>
      <c r="AV4239" t="s">
        <v>25335</v>
      </c>
      <c r="AW4239" t="s">
        <v>11447</v>
      </c>
    </row>
    <row r="4240" spans="1:49">
      <c r="A4240" s="1">
        <f>HYPERLINK("https://lsnyc.legalserver.org/matter/dynamic-profile/view/1902441","19-1902441")</f>
        <v>0</v>
      </c>
      <c r="B4240" t="s">
        <v>273</v>
      </c>
      <c r="C4240" t="s">
        <v>498</v>
      </c>
      <c r="E4240" t="s">
        <v>3109</v>
      </c>
      <c r="F4240" t="s">
        <v>3623</v>
      </c>
      <c r="G4240" t="s">
        <v>9500</v>
      </c>
      <c r="H4240" t="s">
        <v>11243</v>
      </c>
      <c r="I4240" t="s">
        <v>11383</v>
      </c>
      <c r="J4240">
        <v>10467</v>
      </c>
      <c r="K4240" t="s">
        <v>11446</v>
      </c>
      <c r="L4240" t="s">
        <v>13760</v>
      </c>
      <c r="M4240" t="s">
        <v>14744</v>
      </c>
      <c r="N4240" t="s">
        <v>14778</v>
      </c>
      <c r="P4240" t="s">
        <v>14805</v>
      </c>
      <c r="Q4240" t="s">
        <v>11448</v>
      </c>
      <c r="S4240" t="s">
        <v>14827</v>
      </c>
      <c r="U4240" t="s">
        <v>520</v>
      </c>
      <c r="V4240">
        <v>1200</v>
      </c>
      <c r="W4240" t="s">
        <v>14858</v>
      </c>
      <c r="Z4240" t="s">
        <v>18406</v>
      </c>
      <c r="AA4240" t="s">
        <v>19880</v>
      </c>
      <c r="AB4240" t="s">
        <v>23523</v>
      </c>
      <c r="AC4240">
        <v>1</v>
      </c>
      <c r="AD4240" t="s">
        <v>24595</v>
      </c>
      <c r="AF4240">
        <v>2</v>
      </c>
      <c r="AG4240">
        <v>2</v>
      </c>
      <c r="AH4240">
        <v>0</v>
      </c>
      <c r="AI4240">
        <v>0</v>
      </c>
      <c r="AL4240" t="s">
        <v>5011</v>
      </c>
      <c r="AM4240">
        <v>0</v>
      </c>
      <c r="AS4240">
        <v>2.8</v>
      </c>
      <c r="AT4240" t="s">
        <v>485</v>
      </c>
      <c r="AU4240" t="s">
        <v>145</v>
      </c>
      <c r="AV4240" t="s">
        <v>25334</v>
      </c>
      <c r="AW4240" t="s">
        <v>11447</v>
      </c>
    </row>
    <row r="4241" spans="1:49">
      <c r="A4241" s="1">
        <f>HYPERLINK("https://lsnyc.legalserver.org/matter/dynamic-profile/view/1901215","19-1901215")</f>
        <v>0</v>
      </c>
      <c r="B4241" t="s">
        <v>134</v>
      </c>
      <c r="C4241" t="s">
        <v>665</v>
      </c>
      <c r="E4241" t="s">
        <v>2375</v>
      </c>
      <c r="F4241" t="s">
        <v>5754</v>
      </c>
      <c r="G4241" t="s">
        <v>9501</v>
      </c>
      <c r="H4241">
        <v>55</v>
      </c>
      <c r="I4241" t="s">
        <v>11383</v>
      </c>
      <c r="J4241">
        <v>10468</v>
      </c>
      <c r="K4241" t="s">
        <v>11446</v>
      </c>
      <c r="L4241" t="s">
        <v>13761</v>
      </c>
      <c r="M4241" t="s">
        <v>14744</v>
      </c>
      <c r="N4241" t="s">
        <v>14781</v>
      </c>
      <c r="P4241" t="s">
        <v>14805</v>
      </c>
      <c r="Q4241" t="s">
        <v>11448</v>
      </c>
      <c r="S4241" t="s">
        <v>14827</v>
      </c>
      <c r="T4241" t="s">
        <v>14832</v>
      </c>
      <c r="U4241" t="s">
        <v>520</v>
      </c>
      <c r="V4241">
        <v>1215</v>
      </c>
      <c r="W4241" t="s">
        <v>14858</v>
      </c>
      <c r="X4241" t="s">
        <v>14755</v>
      </c>
      <c r="Z4241" t="s">
        <v>17779</v>
      </c>
      <c r="AC4241">
        <v>31</v>
      </c>
      <c r="AD4241" t="s">
        <v>24595</v>
      </c>
      <c r="AF4241">
        <v>5</v>
      </c>
      <c r="AG4241">
        <v>1</v>
      </c>
      <c r="AH4241">
        <v>3</v>
      </c>
      <c r="AI4241">
        <v>100.97</v>
      </c>
      <c r="AL4241" t="s">
        <v>5011</v>
      </c>
      <c r="AM4241">
        <v>26000</v>
      </c>
      <c r="AS4241">
        <v>5.5</v>
      </c>
      <c r="AT4241" t="s">
        <v>472</v>
      </c>
      <c r="AU4241" t="s">
        <v>145</v>
      </c>
      <c r="AV4241" t="s">
        <v>25335</v>
      </c>
      <c r="AW4241" t="s">
        <v>11447</v>
      </c>
    </row>
    <row r="4242" spans="1:49">
      <c r="A4242" s="1">
        <f>HYPERLINK("https://lsnyc.legalserver.org/matter/dynamic-profile/view/1905495","19-1905495")</f>
        <v>0</v>
      </c>
      <c r="B4242" t="s">
        <v>268</v>
      </c>
      <c r="C4242" t="s">
        <v>520</v>
      </c>
      <c r="E4242" t="s">
        <v>1056</v>
      </c>
      <c r="F4242" t="s">
        <v>5755</v>
      </c>
      <c r="G4242" t="s">
        <v>7067</v>
      </c>
      <c r="H4242" t="s">
        <v>10542</v>
      </c>
      <c r="I4242" t="s">
        <v>11383</v>
      </c>
      <c r="J4242">
        <v>10457</v>
      </c>
      <c r="K4242" t="s">
        <v>11446</v>
      </c>
      <c r="L4242" t="s">
        <v>13762</v>
      </c>
      <c r="M4242" t="s">
        <v>14744</v>
      </c>
      <c r="N4242" t="s">
        <v>14781</v>
      </c>
      <c r="P4242" t="s">
        <v>14805</v>
      </c>
      <c r="Q4242" t="s">
        <v>11448</v>
      </c>
      <c r="S4242" t="s">
        <v>14827</v>
      </c>
      <c r="U4242" t="s">
        <v>520</v>
      </c>
      <c r="V4242">
        <v>1500</v>
      </c>
      <c r="W4242" t="s">
        <v>14858</v>
      </c>
      <c r="Z4242" t="s">
        <v>18407</v>
      </c>
      <c r="AB4242" t="s">
        <v>23524</v>
      </c>
      <c r="AC4242">
        <v>59</v>
      </c>
      <c r="AF4242">
        <v>8</v>
      </c>
      <c r="AG4242">
        <v>2</v>
      </c>
      <c r="AH4242">
        <v>0</v>
      </c>
      <c r="AI4242">
        <v>118.27</v>
      </c>
      <c r="AL4242" t="s">
        <v>5011</v>
      </c>
      <c r="AM4242">
        <v>20000</v>
      </c>
      <c r="AS4242">
        <v>13.83</v>
      </c>
      <c r="AT4242" t="s">
        <v>483</v>
      </c>
      <c r="AU4242" t="s">
        <v>25232</v>
      </c>
      <c r="AV4242" t="s">
        <v>25335</v>
      </c>
      <c r="AW4242" t="s">
        <v>11447</v>
      </c>
    </row>
    <row r="4243" spans="1:49">
      <c r="A4243" s="1">
        <f>HYPERLINK("https://lsnyc.legalserver.org/matter/dynamic-profile/view/1905473","19-1905473")</f>
        <v>0</v>
      </c>
      <c r="B4243" t="s">
        <v>303</v>
      </c>
      <c r="C4243" t="s">
        <v>520</v>
      </c>
      <c r="E4243" t="s">
        <v>3110</v>
      </c>
      <c r="F4243" t="s">
        <v>3561</v>
      </c>
      <c r="G4243" t="s">
        <v>9502</v>
      </c>
      <c r="H4243" t="s">
        <v>10452</v>
      </c>
      <c r="I4243" t="s">
        <v>11383</v>
      </c>
      <c r="J4243">
        <v>10467</v>
      </c>
      <c r="K4243" t="s">
        <v>11446</v>
      </c>
      <c r="L4243" t="s">
        <v>13763</v>
      </c>
      <c r="M4243" t="s">
        <v>14744</v>
      </c>
      <c r="N4243" t="s">
        <v>14781</v>
      </c>
      <c r="P4243" t="s">
        <v>14805</v>
      </c>
      <c r="Q4243" t="s">
        <v>11448</v>
      </c>
      <c r="S4243" t="s">
        <v>14827</v>
      </c>
      <c r="T4243" t="s">
        <v>14832</v>
      </c>
      <c r="U4243" t="s">
        <v>520</v>
      </c>
      <c r="V4243">
        <v>998.72</v>
      </c>
      <c r="W4243" t="s">
        <v>14858</v>
      </c>
      <c r="X4243" t="s">
        <v>14755</v>
      </c>
      <c r="Z4243" t="s">
        <v>16861</v>
      </c>
      <c r="AB4243" t="s">
        <v>23525</v>
      </c>
      <c r="AC4243">
        <v>60</v>
      </c>
      <c r="AD4243" t="s">
        <v>24596</v>
      </c>
      <c r="AF4243">
        <v>35</v>
      </c>
      <c r="AG4243">
        <v>1</v>
      </c>
      <c r="AH4243">
        <v>1</v>
      </c>
      <c r="AI4243">
        <v>118.7</v>
      </c>
      <c r="AL4243" t="s">
        <v>5011</v>
      </c>
      <c r="AM4243">
        <v>20072</v>
      </c>
      <c r="AS4243">
        <v>25.4</v>
      </c>
      <c r="AT4243" t="s">
        <v>495</v>
      </c>
      <c r="AU4243" t="s">
        <v>25232</v>
      </c>
      <c r="AV4243" t="s">
        <v>25335</v>
      </c>
      <c r="AW4243" t="s">
        <v>11447</v>
      </c>
    </row>
    <row r="4244" spans="1:49">
      <c r="A4244" s="1">
        <f>HYPERLINK("https://lsnyc.legalserver.org/matter/dynamic-profile/view/1905520","19-1905520")</f>
        <v>0</v>
      </c>
      <c r="B4244" t="s">
        <v>298</v>
      </c>
      <c r="C4244" t="s">
        <v>555</v>
      </c>
      <c r="E4244" t="s">
        <v>3111</v>
      </c>
      <c r="F4244" t="s">
        <v>5756</v>
      </c>
      <c r="G4244" t="s">
        <v>9503</v>
      </c>
      <c r="H4244" t="s">
        <v>10894</v>
      </c>
      <c r="I4244" t="s">
        <v>11383</v>
      </c>
      <c r="J4244">
        <v>10467</v>
      </c>
      <c r="K4244" t="s">
        <v>11446</v>
      </c>
      <c r="L4244" t="s">
        <v>13764</v>
      </c>
      <c r="M4244" t="s">
        <v>14744</v>
      </c>
      <c r="N4244" t="s">
        <v>14781</v>
      </c>
      <c r="P4244" t="s">
        <v>14805</v>
      </c>
      <c r="Q4244" t="s">
        <v>11448</v>
      </c>
      <c r="S4244" t="s">
        <v>14827</v>
      </c>
      <c r="T4244" t="s">
        <v>14832</v>
      </c>
      <c r="U4244" t="s">
        <v>555</v>
      </c>
      <c r="V4244">
        <v>2000</v>
      </c>
      <c r="W4244" t="s">
        <v>14858</v>
      </c>
      <c r="X4244" t="s">
        <v>14863</v>
      </c>
      <c r="Z4244" t="s">
        <v>18408</v>
      </c>
      <c r="AB4244" t="s">
        <v>23526</v>
      </c>
      <c r="AC4244">
        <v>68</v>
      </c>
      <c r="AD4244" t="s">
        <v>11479</v>
      </c>
      <c r="AE4244" t="s">
        <v>11459</v>
      </c>
      <c r="AF4244">
        <v>15</v>
      </c>
      <c r="AG4244">
        <v>2</v>
      </c>
      <c r="AH4244">
        <v>1</v>
      </c>
      <c r="AI4244">
        <v>168.78</v>
      </c>
      <c r="AL4244" t="s">
        <v>5011</v>
      </c>
      <c r="AM4244">
        <v>36000</v>
      </c>
      <c r="AS4244">
        <v>19.95</v>
      </c>
      <c r="AT4244" t="s">
        <v>476</v>
      </c>
      <c r="AU4244" t="s">
        <v>25252</v>
      </c>
      <c r="AV4244" t="s">
        <v>25335</v>
      </c>
      <c r="AW4244" t="s">
        <v>11447</v>
      </c>
    </row>
    <row r="4245" spans="1:49">
      <c r="A4245" s="1">
        <f>HYPERLINK("https://lsnyc.legalserver.org/matter/dynamic-profile/view/1902425","19-1902425")</f>
        <v>0</v>
      </c>
      <c r="B4245" t="s">
        <v>300</v>
      </c>
      <c r="C4245" t="s">
        <v>498</v>
      </c>
      <c r="E4245" t="s">
        <v>2624</v>
      </c>
      <c r="F4245" t="s">
        <v>3730</v>
      </c>
      <c r="G4245" t="s">
        <v>9504</v>
      </c>
      <c r="H4245" t="s">
        <v>10974</v>
      </c>
      <c r="I4245" t="s">
        <v>11383</v>
      </c>
      <c r="J4245">
        <v>10468</v>
      </c>
      <c r="K4245" t="s">
        <v>11446</v>
      </c>
      <c r="L4245" t="s">
        <v>13765</v>
      </c>
      <c r="M4245" t="s">
        <v>14744</v>
      </c>
      <c r="N4245" t="s">
        <v>14781</v>
      </c>
      <c r="P4245" t="s">
        <v>14805</v>
      </c>
      <c r="Q4245" t="s">
        <v>11448</v>
      </c>
      <c r="S4245" t="s">
        <v>14827</v>
      </c>
      <c r="U4245" t="s">
        <v>500</v>
      </c>
      <c r="V4245">
        <v>1271.72</v>
      </c>
      <c r="W4245" t="s">
        <v>14858</v>
      </c>
      <c r="X4245" t="s">
        <v>14755</v>
      </c>
      <c r="Z4245" t="s">
        <v>16104</v>
      </c>
      <c r="AA4245" t="s">
        <v>19881</v>
      </c>
      <c r="AB4245" t="s">
        <v>23527</v>
      </c>
      <c r="AC4245">
        <v>35</v>
      </c>
      <c r="AD4245" t="s">
        <v>24595</v>
      </c>
      <c r="AE4245" t="s">
        <v>24610</v>
      </c>
      <c r="AF4245">
        <v>10</v>
      </c>
      <c r="AG4245">
        <v>1</v>
      </c>
      <c r="AH4245">
        <v>0</v>
      </c>
      <c r="AI4245">
        <v>19.05</v>
      </c>
      <c r="AL4245" t="s">
        <v>5011</v>
      </c>
      <c r="AM4245">
        <v>2379</v>
      </c>
      <c r="AS4245">
        <v>85</v>
      </c>
      <c r="AT4245" t="s">
        <v>521</v>
      </c>
      <c r="AU4245" t="s">
        <v>145</v>
      </c>
      <c r="AV4245" t="s">
        <v>25334</v>
      </c>
      <c r="AW4245" t="s">
        <v>11447</v>
      </c>
    </row>
    <row r="4246" spans="1:49">
      <c r="A4246" s="1">
        <f>HYPERLINK("https://lsnyc.legalserver.org/matter/dynamic-profile/view/1903575","19-1903575")</f>
        <v>0</v>
      </c>
      <c r="B4246" t="s">
        <v>134</v>
      </c>
      <c r="C4246" t="s">
        <v>631</v>
      </c>
      <c r="E4246" t="s">
        <v>1359</v>
      </c>
      <c r="F4246" t="s">
        <v>5401</v>
      </c>
      <c r="G4246" t="s">
        <v>9505</v>
      </c>
      <c r="H4246" t="s">
        <v>10627</v>
      </c>
      <c r="I4246" t="s">
        <v>11383</v>
      </c>
      <c r="J4246">
        <v>10468</v>
      </c>
      <c r="K4246" t="s">
        <v>11446</v>
      </c>
      <c r="L4246" t="s">
        <v>13766</v>
      </c>
      <c r="M4246" t="s">
        <v>14743</v>
      </c>
      <c r="N4246" t="s">
        <v>14781</v>
      </c>
      <c r="P4246" t="s">
        <v>14805</v>
      </c>
      <c r="Q4246" t="s">
        <v>11448</v>
      </c>
      <c r="S4246" t="s">
        <v>14827</v>
      </c>
      <c r="T4246" t="s">
        <v>14832</v>
      </c>
      <c r="U4246" t="s">
        <v>500</v>
      </c>
      <c r="V4246">
        <v>800</v>
      </c>
      <c r="W4246" t="s">
        <v>14858</v>
      </c>
      <c r="X4246" t="s">
        <v>14755</v>
      </c>
      <c r="Z4246" t="s">
        <v>18409</v>
      </c>
      <c r="AB4246" t="s">
        <v>23528</v>
      </c>
      <c r="AC4246">
        <v>120</v>
      </c>
      <c r="AD4246" t="s">
        <v>24598</v>
      </c>
      <c r="AF4246">
        <v>4</v>
      </c>
      <c r="AG4246">
        <v>1</v>
      </c>
      <c r="AH4246">
        <v>2</v>
      </c>
      <c r="AI4246">
        <v>90.01000000000001</v>
      </c>
      <c r="AM4246">
        <v>19200</v>
      </c>
      <c r="AS4246">
        <v>9</v>
      </c>
      <c r="AT4246" t="s">
        <v>509</v>
      </c>
      <c r="AU4246" t="s">
        <v>145</v>
      </c>
      <c r="AV4246" t="s">
        <v>25335</v>
      </c>
      <c r="AW4246" t="s">
        <v>11447</v>
      </c>
    </row>
    <row r="4247" spans="1:49">
      <c r="A4247" s="1">
        <f>HYPERLINK("https://lsnyc.legalserver.org/matter/dynamic-profile/view/1904771","19-1904771")</f>
        <v>0</v>
      </c>
      <c r="B4247" t="s">
        <v>257</v>
      </c>
      <c r="C4247" t="s">
        <v>345</v>
      </c>
      <c r="E4247" t="s">
        <v>1670</v>
      </c>
      <c r="F4247" t="s">
        <v>4996</v>
      </c>
      <c r="G4247" t="s">
        <v>9436</v>
      </c>
      <c r="H4247" t="s">
        <v>10464</v>
      </c>
      <c r="I4247" t="s">
        <v>11383</v>
      </c>
      <c r="J4247">
        <v>10457</v>
      </c>
      <c r="K4247" t="s">
        <v>11446</v>
      </c>
      <c r="L4247" t="s">
        <v>13767</v>
      </c>
      <c r="M4247" t="s">
        <v>14744</v>
      </c>
      <c r="N4247" t="s">
        <v>14781</v>
      </c>
      <c r="P4247" t="s">
        <v>14805</v>
      </c>
      <c r="Q4247" t="s">
        <v>11448</v>
      </c>
      <c r="S4247" t="s">
        <v>14827</v>
      </c>
      <c r="T4247" t="s">
        <v>14833</v>
      </c>
      <c r="U4247" t="s">
        <v>618</v>
      </c>
      <c r="V4247">
        <v>848.87</v>
      </c>
      <c r="W4247" t="s">
        <v>14858</v>
      </c>
      <c r="X4247" t="s">
        <v>14755</v>
      </c>
      <c r="Z4247" t="s">
        <v>18410</v>
      </c>
      <c r="AB4247" t="s">
        <v>23529</v>
      </c>
      <c r="AC4247">
        <v>48</v>
      </c>
      <c r="AD4247" t="s">
        <v>24595</v>
      </c>
      <c r="AE4247" t="s">
        <v>24610</v>
      </c>
      <c r="AF4247">
        <v>45</v>
      </c>
      <c r="AG4247">
        <v>2</v>
      </c>
      <c r="AH4247">
        <v>2</v>
      </c>
      <c r="AI4247">
        <v>35.93</v>
      </c>
      <c r="AL4247" t="s">
        <v>5011</v>
      </c>
      <c r="AM4247">
        <v>9252</v>
      </c>
      <c r="AS4247">
        <v>11.5</v>
      </c>
      <c r="AT4247" t="s">
        <v>509</v>
      </c>
      <c r="AU4247" t="s">
        <v>25252</v>
      </c>
      <c r="AV4247" t="s">
        <v>25335</v>
      </c>
      <c r="AW4247" t="s">
        <v>11447</v>
      </c>
    </row>
    <row r="4248" spans="1:49">
      <c r="A4248" s="1">
        <f>HYPERLINK("https://lsnyc.legalserver.org/matter/dynamic-profile/view/1904063","19-1904063")</f>
        <v>0</v>
      </c>
      <c r="B4248" t="s">
        <v>298</v>
      </c>
      <c r="C4248" t="s">
        <v>621</v>
      </c>
      <c r="E4248" t="s">
        <v>1653</v>
      </c>
      <c r="F4248" t="s">
        <v>3662</v>
      </c>
      <c r="G4248" t="s">
        <v>9506</v>
      </c>
      <c r="H4248" t="s">
        <v>10458</v>
      </c>
      <c r="I4248" t="s">
        <v>11383</v>
      </c>
      <c r="J4248">
        <v>10457</v>
      </c>
      <c r="K4248" t="s">
        <v>11446</v>
      </c>
      <c r="L4248" t="s">
        <v>13768</v>
      </c>
      <c r="M4248" t="s">
        <v>14744</v>
      </c>
      <c r="N4248" t="s">
        <v>14781</v>
      </c>
      <c r="P4248" t="s">
        <v>14805</v>
      </c>
      <c r="Q4248" t="s">
        <v>11448</v>
      </c>
      <c r="S4248" t="s">
        <v>14827</v>
      </c>
      <c r="T4248" t="s">
        <v>14832</v>
      </c>
      <c r="U4248" t="s">
        <v>355</v>
      </c>
      <c r="V4248">
        <v>1053.93</v>
      </c>
      <c r="W4248" t="s">
        <v>14858</v>
      </c>
      <c r="Z4248" t="s">
        <v>15959</v>
      </c>
      <c r="AB4248" t="s">
        <v>23530</v>
      </c>
      <c r="AC4248">
        <v>118</v>
      </c>
      <c r="AD4248" t="s">
        <v>24595</v>
      </c>
      <c r="AF4248">
        <v>7</v>
      </c>
      <c r="AG4248">
        <v>1</v>
      </c>
      <c r="AH4248">
        <v>1</v>
      </c>
      <c r="AI4248">
        <v>92.25</v>
      </c>
      <c r="AL4248" t="s">
        <v>5011</v>
      </c>
      <c r="AM4248">
        <v>15600</v>
      </c>
      <c r="AS4248">
        <v>10.5</v>
      </c>
      <c r="AT4248" t="s">
        <v>578</v>
      </c>
      <c r="AU4248" t="s">
        <v>145</v>
      </c>
      <c r="AV4248" t="s">
        <v>25335</v>
      </c>
      <c r="AW4248" t="s">
        <v>11447</v>
      </c>
    </row>
    <row r="4249" spans="1:49">
      <c r="A4249" s="1">
        <f>HYPERLINK("https://lsnyc.legalserver.org/matter/dynamic-profile/view/1906261","19-1906261")</f>
        <v>0</v>
      </c>
      <c r="B4249" t="s">
        <v>302</v>
      </c>
      <c r="C4249" t="s">
        <v>355</v>
      </c>
      <c r="E4249" t="s">
        <v>3112</v>
      </c>
      <c r="F4249" t="s">
        <v>5589</v>
      </c>
      <c r="G4249" t="s">
        <v>9507</v>
      </c>
      <c r="H4249" t="s">
        <v>10921</v>
      </c>
      <c r="I4249" t="s">
        <v>11383</v>
      </c>
      <c r="J4249">
        <v>10462</v>
      </c>
      <c r="K4249" t="s">
        <v>11446</v>
      </c>
      <c r="L4249" t="s">
        <v>13769</v>
      </c>
      <c r="M4249" t="s">
        <v>14743</v>
      </c>
      <c r="N4249" t="s">
        <v>14781</v>
      </c>
      <c r="P4249" t="s">
        <v>14805</v>
      </c>
      <c r="Q4249" t="s">
        <v>11448</v>
      </c>
      <c r="S4249" t="s">
        <v>14827</v>
      </c>
      <c r="T4249" t="s">
        <v>14833</v>
      </c>
      <c r="U4249" t="s">
        <v>355</v>
      </c>
      <c r="V4249">
        <v>2206</v>
      </c>
      <c r="W4249" t="s">
        <v>14858</v>
      </c>
      <c r="X4249" t="s">
        <v>14865</v>
      </c>
      <c r="Z4249" t="s">
        <v>18411</v>
      </c>
      <c r="AB4249" t="s">
        <v>23531</v>
      </c>
      <c r="AC4249">
        <v>122</v>
      </c>
      <c r="AD4249" t="s">
        <v>24595</v>
      </c>
      <c r="AE4249" t="s">
        <v>11459</v>
      </c>
      <c r="AF4249">
        <v>22</v>
      </c>
      <c r="AG4249">
        <v>2</v>
      </c>
      <c r="AH4249">
        <v>1</v>
      </c>
      <c r="AI4249">
        <v>185.85</v>
      </c>
      <c r="AL4249" t="s">
        <v>5011</v>
      </c>
      <c r="AM4249">
        <v>39642</v>
      </c>
      <c r="AS4249">
        <v>25</v>
      </c>
      <c r="AT4249" t="s">
        <v>537</v>
      </c>
      <c r="AU4249" t="s">
        <v>25239</v>
      </c>
      <c r="AV4249" t="s">
        <v>25335</v>
      </c>
      <c r="AW4249" t="s">
        <v>11447</v>
      </c>
    </row>
    <row r="4250" spans="1:49">
      <c r="A4250" s="1">
        <f>HYPERLINK("https://lsnyc.legalserver.org/matter/dynamic-profile/view/1905523","19-1905523")</f>
        <v>0</v>
      </c>
      <c r="B4250" t="s">
        <v>79</v>
      </c>
      <c r="C4250" t="s">
        <v>555</v>
      </c>
      <c r="E4250" t="s">
        <v>1426</v>
      </c>
      <c r="F4250" t="s">
        <v>5757</v>
      </c>
      <c r="G4250" t="s">
        <v>7070</v>
      </c>
      <c r="H4250" t="s">
        <v>10450</v>
      </c>
      <c r="I4250" t="s">
        <v>11383</v>
      </c>
      <c r="J4250">
        <v>10457</v>
      </c>
      <c r="K4250" t="s">
        <v>11446</v>
      </c>
      <c r="L4250" t="s">
        <v>13770</v>
      </c>
      <c r="M4250" t="s">
        <v>14743</v>
      </c>
      <c r="N4250" t="s">
        <v>14781</v>
      </c>
      <c r="P4250" t="s">
        <v>14805</v>
      </c>
      <c r="Q4250" t="s">
        <v>11448</v>
      </c>
      <c r="S4250" t="s">
        <v>14827</v>
      </c>
      <c r="U4250" t="s">
        <v>485</v>
      </c>
      <c r="V4250">
        <v>514.45</v>
      </c>
      <c r="W4250" t="s">
        <v>14858</v>
      </c>
      <c r="X4250" t="s">
        <v>14881</v>
      </c>
      <c r="Z4250" t="s">
        <v>18412</v>
      </c>
      <c r="AA4250" t="s">
        <v>19882</v>
      </c>
      <c r="AB4250" t="s">
        <v>23532</v>
      </c>
      <c r="AC4250">
        <v>0</v>
      </c>
      <c r="AD4250" t="s">
        <v>24595</v>
      </c>
      <c r="AF4250">
        <v>41</v>
      </c>
      <c r="AG4250">
        <v>5</v>
      </c>
      <c r="AH4250">
        <v>1</v>
      </c>
      <c r="AI4250">
        <v>10.23</v>
      </c>
      <c r="AL4250" t="s">
        <v>5011</v>
      </c>
      <c r="AM4250">
        <v>3540</v>
      </c>
      <c r="AS4250">
        <v>5.8</v>
      </c>
      <c r="AT4250" t="s">
        <v>654</v>
      </c>
      <c r="AU4250" t="s">
        <v>25232</v>
      </c>
      <c r="AV4250" t="s">
        <v>25334</v>
      </c>
      <c r="AW4250" t="s">
        <v>11447</v>
      </c>
    </row>
    <row r="4251" spans="1:49">
      <c r="A4251" s="1">
        <f>HYPERLINK("https://lsnyc.legalserver.org/matter/dynamic-profile/view/1900489","19-1900489")</f>
        <v>0</v>
      </c>
      <c r="B4251" t="s">
        <v>272</v>
      </c>
      <c r="C4251" t="s">
        <v>348</v>
      </c>
      <c r="E4251" t="s">
        <v>2624</v>
      </c>
      <c r="F4251" t="s">
        <v>5758</v>
      </c>
      <c r="G4251" t="s">
        <v>7594</v>
      </c>
      <c r="H4251">
        <v>323</v>
      </c>
      <c r="I4251" t="s">
        <v>11383</v>
      </c>
      <c r="J4251">
        <v>10457</v>
      </c>
      <c r="K4251" t="s">
        <v>11446</v>
      </c>
      <c r="L4251" t="s">
        <v>13771</v>
      </c>
      <c r="M4251" t="s">
        <v>14744</v>
      </c>
      <c r="N4251" t="s">
        <v>14781</v>
      </c>
      <c r="P4251" t="s">
        <v>14805</v>
      </c>
      <c r="Q4251" t="s">
        <v>11448</v>
      </c>
      <c r="S4251" t="s">
        <v>14827</v>
      </c>
      <c r="T4251" t="s">
        <v>14832</v>
      </c>
      <c r="U4251" t="s">
        <v>485</v>
      </c>
      <c r="V4251">
        <v>2393</v>
      </c>
      <c r="W4251" t="s">
        <v>14858</v>
      </c>
      <c r="Z4251" t="s">
        <v>18413</v>
      </c>
      <c r="AA4251" t="s">
        <v>19883</v>
      </c>
      <c r="AB4251" t="s">
        <v>23533</v>
      </c>
      <c r="AC4251">
        <v>84</v>
      </c>
      <c r="AD4251" t="s">
        <v>24605</v>
      </c>
      <c r="AE4251" t="s">
        <v>24610</v>
      </c>
      <c r="AF4251">
        <v>30</v>
      </c>
      <c r="AG4251">
        <v>2</v>
      </c>
      <c r="AH4251">
        <v>0</v>
      </c>
      <c r="AI4251">
        <v>14.76</v>
      </c>
      <c r="AL4251" t="s">
        <v>5011</v>
      </c>
      <c r="AM4251">
        <v>2496</v>
      </c>
      <c r="AS4251">
        <v>13</v>
      </c>
      <c r="AT4251" t="s">
        <v>478</v>
      </c>
      <c r="AU4251" t="s">
        <v>145</v>
      </c>
      <c r="AV4251" t="s">
        <v>25334</v>
      </c>
      <c r="AW4251" t="s">
        <v>11447</v>
      </c>
    </row>
    <row r="4252" spans="1:49">
      <c r="A4252" s="1">
        <f>HYPERLINK("https://lsnyc.legalserver.org/matter/dynamic-profile/view/1903551","19-1903551")</f>
        <v>0</v>
      </c>
      <c r="B4252" t="s">
        <v>111</v>
      </c>
      <c r="C4252" t="s">
        <v>631</v>
      </c>
      <c r="E4252" t="s">
        <v>2063</v>
      </c>
      <c r="F4252" t="s">
        <v>5759</v>
      </c>
      <c r="G4252" t="s">
        <v>9508</v>
      </c>
      <c r="H4252" t="s">
        <v>10489</v>
      </c>
      <c r="I4252" t="s">
        <v>11383</v>
      </c>
      <c r="J4252">
        <v>10457</v>
      </c>
      <c r="K4252" t="s">
        <v>11446</v>
      </c>
      <c r="L4252" t="s">
        <v>13772</v>
      </c>
      <c r="M4252" t="s">
        <v>14744</v>
      </c>
      <c r="N4252" t="s">
        <v>14781</v>
      </c>
      <c r="P4252" t="s">
        <v>14805</v>
      </c>
      <c r="Q4252" t="s">
        <v>11448</v>
      </c>
      <c r="S4252" t="s">
        <v>14827</v>
      </c>
      <c r="T4252" t="s">
        <v>14832</v>
      </c>
      <c r="U4252" t="s">
        <v>485</v>
      </c>
      <c r="V4252">
        <v>1400</v>
      </c>
      <c r="W4252" t="s">
        <v>14858</v>
      </c>
      <c r="Z4252" t="s">
        <v>18414</v>
      </c>
      <c r="AA4252" t="s">
        <v>19884</v>
      </c>
      <c r="AB4252" t="s">
        <v>23534</v>
      </c>
      <c r="AC4252">
        <v>30</v>
      </c>
      <c r="AD4252" t="s">
        <v>24595</v>
      </c>
      <c r="AE4252" t="s">
        <v>11459</v>
      </c>
      <c r="AF4252">
        <v>6</v>
      </c>
      <c r="AG4252">
        <v>2</v>
      </c>
      <c r="AH4252">
        <v>1</v>
      </c>
      <c r="AI4252">
        <v>34.09</v>
      </c>
      <c r="AL4252" t="s">
        <v>24632</v>
      </c>
      <c r="AM4252">
        <v>7272</v>
      </c>
      <c r="AS4252">
        <v>26.95</v>
      </c>
      <c r="AT4252" t="s">
        <v>483</v>
      </c>
      <c r="AU4252" t="s">
        <v>145</v>
      </c>
      <c r="AV4252" t="s">
        <v>25335</v>
      </c>
      <c r="AW4252" t="s">
        <v>11447</v>
      </c>
    </row>
    <row r="4253" spans="1:49">
      <c r="A4253" s="1">
        <f>HYPERLINK("https://lsnyc.legalserver.org/matter/dynamic-profile/view/1905970","19-1905970")</f>
        <v>0</v>
      </c>
      <c r="B4253" t="s">
        <v>82</v>
      </c>
      <c r="C4253" t="s">
        <v>461</v>
      </c>
      <c r="E4253" t="s">
        <v>3113</v>
      </c>
      <c r="F4253" t="s">
        <v>5760</v>
      </c>
      <c r="G4253" t="s">
        <v>9509</v>
      </c>
      <c r="H4253">
        <v>3</v>
      </c>
      <c r="I4253" t="s">
        <v>11383</v>
      </c>
      <c r="J4253">
        <v>10457</v>
      </c>
      <c r="K4253" t="s">
        <v>11446</v>
      </c>
      <c r="L4253" t="s">
        <v>13773</v>
      </c>
      <c r="M4253" t="s">
        <v>14744</v>
      </c>
      <c r="N4253" t="s">
        <v>14781</v>
      </c>
      <c r="P4253" t="s">
        <v>14805</v>
      </c>
      <c r="Q4253" t="s">
        <v>11448</v>
      </c>
      <c r="S4253" t="s">
        <v>14827</v>
      </c>
      <c r="U4253" t="s">
        <v>485</v>
      </c>
      <c r="V4253">
        <v>2200</v>
      </c>
      <c r="W4253" t="s">
        <v>14858</v>
      </c>
      <c r="X4253" t="s">
        <v>14863</v>
      </c>
      <c r="Z4253" t="s">
        <v>18415</v>
      </c>
      <c r="AA4253" t="s">
        <v>19885</v>
      </c>
      <c r="AB4253" t="s">
        <v>23535</v>
      </c>
      <c r="AC4253">
        <v>3</v>
      </c>
      <c r="AD4253" t="s">
        <v>24600</v>
      </c>
      <c r="AE4253" t="s">
        <v>11459</v>
      </c>
      <c r="AF4253">
        <v>2</v>
      </c>
      <c r="AG4253">
        <v>2</v>
      </c>
      <c r="AH4253">
        <v>5</v>
      </c>
      <c r="AI4253">
        <v>42.73</v>
      </c>
      <c r="AL4253" t="s">
        <v>5011</v>
      </c>
      <c r="AM4253">
        <v>16668</v>
      </c>
      <c r="AS4253">
        <v>8.449999999999999</v>
      </c>
      <c r="AT4253" t="s">
        <v>516</v>
      </c>
      <c r="AU4253" t="s">
        <v>245</v>
      </c>
      <c r="AV4253" t="s">
        <v>25334</v>
      </c>
      <c r="AW4253" t="s">
        <v>11447</v>
      </c>
    </row>
    <row r="4254" spans="1:49">
      <c r="A4254" s="1">
        <f>HYPERLINK("https://lsnyc.legalserver.org/matter/dynamic-profile/view/1905648","19-1905648")</f>
        <v>0</v>
      </c>
      <c r="B4254" t="s">
        <v>143</v>
      </c>
      <c r="C4254" t="s">
        <v>496</v>
      </c>
      <c r="E4254" t="s">
        <v>1209</v>
      </c>
      <c r="F4254" t="s">
        <v>5761</v>
      </c>
      <c r="G4254" t="s">
        <v>9510</v>
      </c>
      <c r="H4254" t="s">
        <v>10448</v>
      </c>
      <c r="I4254" t="s">
        <v>11383</v>
      </c>
      <c r="J4254">
        <v>10457</v>
      </c>
      <c r="K4254" t="s">
        <v>11446</v>
      </c>
      <c r="L4254" t="s">
        <v>13774</v>
      </c>
      <c r="M4254" t="s">
        <v>14744</v>
      </c>
      <c r="N4254" t="s">
        <v>14781</v>
      </c>
      <c r="P4254" t="s">
        <v>14805</v>
      </c>
      <c r="Q4254" t="s">
        <v>11448</v>
      </c>
      <c r="S4254" t="s">
        <v>14827</v>
      </c>
      <c r="U4254" t="s">
        <v>485</v>
      </c>
      <c r="V4254">
        <v>1800</v>
      </c>
      <c r="W4254" t="s">
        <v>14858</v>
      </c>
      <c r="X4254" t="s">
        <v>14868</v>
      </c>
      <c r="Z4254" t="s">
        <v>18416</v>
      </c>
      <c r="AB4254" t="s">
        <v>23536</v>
      </c>
      <c r="AC4254">
        <v>0</v>
      </c>
      <c r="AD4254" t="s">
        <v>11479</v>
      </c>
      <c r="AE4254" t="s">
        <v>11459</v>
      </c>
      <c r="AF4254">
        <v>5</v>
      </c>
      <c r="AG4254">
        <v>1</v>
      </c>
      <c r="AH4254">
        <v>0</v>
      </c>
      <c r="AI4254">
        <v>48.04</v>
      </c>
      <c r="AL4254" t="s">
        <v>5011</v>
      </c>
      <c r="AM4254">
        <v>6000</v>
      </c>
      <c r="AS4254">
        <v>16.3</v>
      </c>
      <c r="AT4254" t="s">
        <v>477</v>
      </c>
      <c r="AU4254" t="s">
        <v>25239</v>
      </c>
      <c r="AV4254" t="s">
        <v>25335</v>
      </c>
      <c r="AW4254" t="s">
        <v>11447</v>
      </c>
    </row>
    <row r="4255" spans="1:49">
      <c r="A4255" s="1">
        <f>HYPERLINK("https://lsnyc.legalserver.org/matter/dynamic-profile/view/1903008","19-1903008")</f>
        <v>0</v>
      </c>
      <c r="B4255" t="s">
        <v>142</v>
      </c>
      <c r="C4255" t="s">
        <v>527</v>
      </c>
      <c r="E4255" t="s">
        <v>1462</v>
      </c>
      <c r="F4255" t="s">
        <v>3765</v>
      </c>
      <c r="I4255" t="s">
        <v>11383</v>
      </c>
      <c r="J4255">
        <v>10467</v>
      </c>
      <c r="K4255" t="s">
        <v>11446</v>
      </c>
      <c r="L4255" t="s">
        <v>13775</v>
      </c>
      <c r="M4255" t="s">
        <v>14743</v>
      </c>
      <c r="N4255" t="s">
        <v>14781</v>
      </c>
      <c r="P4255" t="s">
        <v>14805</v>
      </c>
      <c r="Q4255" t="s">
        <v>11448</v>
      </c>
      <c r="S4255" t="s">
        <v>14827</v>
      </c>
      <c r="U4255" t="s">
        <v>485</v>
      </c>
      <c r="V4255">
        <v>1775</v>
      </c>
      <c r="W4255" t="s">
        <v>14858</v>
      </c>
      <c r="X4255" t="s">
        <v>14865</v>
      </c>
      <c r="Z4255" t="s">
        <v>18417</v>
      </c>
      <c r="AB4255" t="s">
        <v>23537</v>
      </c>
      <c r="AC4255">
        <v>10</v>
      </c>
      <c r="AD4255" t="s">
        <v>24605</v>
      </c>
      <c r="AE4255" t="s">
        <v>14755</v>
      </c>
      <c r="AF4255">
        <v>2</v>
      </c>
      <c r="AG4255">
        <v>2</v>
      </c>
      <c r="AH4255">
        <v>0</v>
      </c>
      <c r="AI4255">
        <v>49.39</v>
      </c>
      <c r="AL4255" t="s">
        <v>5011</v>
      </c>
      <c r="AM4255">
        <v>8352</v>
      </c>
      <c r="AS4255">
        <v>54.5</v>
      </c>
      <c r="AT4255" t="s">
        <v>484</v>
      </c>
      <c r="AU4255" t="s">
        <v>237</v>
      </c>
      <c r="AV4255" t="s">
        <v>25335</v>
      </c>
      <c r="AW4255" t="s">
        <v>11447</v>
      </c>
    </row>
    <row r="4256" spans="1:49">
      <c r="A4256" s="1">
        <f>HYPERLINK("https://lsnyc.legalserver.org/matter/dynamic-profile/view/1901338","19-1901338")</f>
        <v>0</v>
      </c>
      <c r="B4256" t="s">
        <v>79</v>
      </c>
      <c r="C4256" t="s">
        <v>649</v>
      </c>
      <c r="E4256" t="s">
        <v>3114</v>
      </c>
      <c r="F4256" t="s">
        <v>5762</v>
      </c>
      <c r="G4256" t="s">
        <v>9511</v>
      </c>
      <c r="H4256" t="s">
        <v>10575</v>
      </c>
      <c r="I4256" t="s">
        <v>11383</v>
      </c>
      <c r="J4256">
        <v>10462</v>
      </c>
      <c r="K4256" t="s">
        <v>11446</v>
      </c>
      <c r="L4256" t="s">
        <v>13776</v>
      </c>
      <c r="M4256" t="s">
        <v>14744</v>
      </c>
      <c r="N4256" t="s">
        <v>14781</v>
      </c>
      <c r="P4256" t="s">
        <v>14805</v>
      </c>
      <c r="Q4256" t="s">
        <v>11448</v>
      </c>
      <c r="S4256" t="s">
        <v>14827</v>
      </c>
      <c r="T4256" t="s">
        <v>14832</v>
      </c>
      <c r="U4256" t="s">
        <v>485</v>
      </c>
      <c r="V4256">
        <v>1608</v>
      </c>
      <c r="W4256" t="s">
        <v>14858</v>
      </c>
      <c r="X4256" t="s">
        <v>14863</v>
      </c>
      <c r="Z4256" t="s">
        <v>18418</v>
      </c>
      <c r="AA4256" t="s">
        <v>19886</v>
      </c>
      <c r="AB4256" t="s">
        <v>23538</v>
      </c>
      <c r="AC4256">
        <v>6</v>
      </c>
      <c r="AD4256" t="s">
        <v>24595</v>
      </c>
      <c r="AE4256" t="s">
        <v>24616</v>
      </c>
      <c r="AF4256">
        <v>3</v>
      </c>
      <c r="AG4256">
        <v>2</v>
      </c>
      <c r="AH4256">
        <v>0</v>
      </c>
      <c r="AI4256">
        <v>66.56</v>
      </c>
      <c r="AL4256" t="s">
        <v>5011</v>
      </c>
      <c r="AM4256">
        <v>11256</v>
      </c>
      <c r="AS4256">
        <v>18.6</v>
      </c>
      <c r="AT4256" t="s">
        <v>521</v>
      </c>
      <c r="AU4256" t="s">
        <v>25251</v>
      </c>
      <c r="AV4256" t="s">
        <v>25334</v>
      </c>
      <c r="AW4256" t="s">
        <v>11447</v>
      </c>
    </row>
    <row r="4257" spans="1:49">
      <c r="A4257" s="1">
        <f>HYPERLINK("https://lsnyc.legalserver.org/matter/dynamic-profile/view/1905424","19-1905424")</f>
        <v>0</v>
      </c>
      <c r="B4257" t="s">
        <v>273</v>
      </c>
      <c r="C4257" t="s">
        <v>520</v>
      </c>
      <c r="E4257" t="s">
        <v>3115</v>
      </c>
      <c r="F4257" t="s">
        <v>3896</v>
      </c>
      <c r="G4257" t="s">
        <v>9512</v>
      </c>
      <c r="H4257">
        <v>406</v>
      </c>
      <c r="I4257" t="s">
        <v>11383</v>
      </c>
      <c r="J4257">
        <v>10457</v>
      </c>
      <c r="K4257" t="s">
        <v>11446</v>
      </c>
      <c r="L4257" t="s">
        <v>13777</v>
      </c>
      <c r="M4257" t="s">
        <v>14744</v>
      </c>
      <c r="N4257" t="s">
        <v>14781</v>
      </c>
      <c r="P4257" t="s">
        <v>14805</v>
      </c>
      <c r="Q4257" t="s">
        <v>11448</v>
      </c>
      <c r="S4257" t="s">
        <v>14827</v>
      </c>
      <c r="U4257" t="s">
        <v>485</v>
      </c>
      <c r="V4257">
        <v>1053</v>
      </c>
      <c r="W4257" t="s">
        <v>14858</v>
      </c>
      <c r="X4257" t="s">
        <v>14865</v>
      </c>
      <c r="Z4257" t="s">
        <v>18419</v>
      </c>
      <c r="AB4257" t="s">
        <v>23539</v>
      </c>
      <c r="AC4257">
        <v>354</v>
      </c>
      <c r="AD4257" t="s">
        <v>24596</v>
      </c>
      <c r="AF4257">
        <v>9</v>
      </c>
      <c r="AG4257">
        <v>1</v>
      </c>
      <c r="AH4257">
        <v>0</v>
      </c>
      <c r="AI4257">
        <v>70.14</v>
      </c>
      <c r="AL4257" t="s">
        <v>5011</v>
      </c>
      <c r="AM4257">
        <v>8760</v>
      </c>
      <c r="AS4257">
        <v>18.9</v>
      </c>
      <c r="AT4257" t="s">
        <v>491</v>
      </c>
      <c r="AU4257" t="s">
        <v>145</v>
      </c>
      <c r="AV4257" t="s">
        <v>25335</v>
      </c>
      <c r="AW4257" t="s">
        <v>11447</v>
      </c>
    </row>
    <row r="4258" spans="1:49">
      <c r="A4258" s="1">
        <f>HYPERLINK("https://lsnyc.legalserver.org/matter/dynamic-profile/view/1900559","19-1900559")</f>
        <v>0</v>
      </c>
      <c r="B4258" t="s">
        <v>134</v>
      </c>
      <c r="C4258" t="s">
        <v>336</v>
      </c>
      <c r="E4258" t="s">
        <v>1619</v>
      </c>
      <c r="F4258" t="s">
        <v>5763</v>
      </c>
      <c r="G4258" t="s">
        <v>9513</v>
      </c>
      <c r="H4258" t="s">
        <v>10496</v>
      </c>
      <c r="I4258" t="s">
        <v>11383</v>
      </c>
      <c r="J4258">
        <v>10462</v>
      </c>
      <c r="K4258" t="s">
        <v>11446</v>
      </c>
      <c r="L4258" t="s">
        <v>13778</v>
      </c>
      <c r="M4258" t="s">
        <v>14743</v>
      </c>
      <c r="N4258" t="s">
        <v>14781</v>
      </c>
      <c r="P4258" t="s">
        <v>14805</v>
      </c>
      <c r="Q4258" t="s">
        <v>11448</v>
      </c>
      <c r="S4258" t="s">
        <v>14827</v>
      </c>
      <c r="T4258" t="s">
        <v>14832</v>
      </c>
      <c r="U4258" t="s">
        <v>485</v>
      </c>
      <c r="V4258">
        <v>1470</v>
      </c>
      <c r="W4258" t="s">
        <v>14858</v>
      </c>
      <c r="Z4258" t="s">
        <v>18420</v>
      </c>
      <c r="AA4258" t="s">
        <v>19887</v>
      </c>
      <c r="AB4258" t="s">
        <v>23540</v>
      </c>
      <c r="AC4258">
        <v>2</v>
      </c>
      <c r="AD4258" t="s">
        <v>24600</v>
      </c>
      <c r="AF4258">
        <v>0</v>
      </c>
      <c r="AG4258">
        <v>1</v>
      </c>
      <c r="AH4258">
        <v>0</v>
      </c>
      <c r="AI4258">
        <v>72.06</v>
      </c>
      <c r="AL4258" t="s">
        <v>5011</v>
      </c>
      <c r="AM4258">
        <v>9000</v>
      </c>
      <c r="AS4258">
        <v>14</v>
      </c>
      <c r="AT4258" t="s">
        <v>580</v>
      </c>
      <c r="AU4258" t="s">
        <v>145</v>
      </c>
      <c r="AV4258" t="s">
        <v>25334</v>
      </c>
      <c r="AW4258" t="s">
        <v>11447</v>
      </c>
    </row>
    <row r="4259" spans="1:49">
      <c r="A4259" s="1">
        <f>HYPERLINK("https://lsnyc.legalserver.org/matter/dynamic-profile/view/1902058","19-1902058")</f>
        <v>0</v>
      </c>
      <c r="B4259" t="s">
        <v>134</v>
      </c>
      <c r="C4259" t="s">
        <v>349</v>
      </c>
      <c r="E4259" t="s">
        <v>1048</v>
      </c>
      <c r="F4259" t="s">
        <v>5764</v>
      </c>
      <c r="G4259" t="s">
        <v>9514</v>
      </c>
      <c r="H4259" t="s">
        <v>11244</v>
      </c>
      <c r="I4259" t="s">
        <v>11383</v>
      </c>
      <c r="J4259">
        <v>10468</v>
      </c>
      <c r="K4259" t="s">
        <v>11446</v>
      </c>
      <c r="L4259" t="s">
        <v>13779</v>
      </c>
      <c r="M4259" t="s">
        <v>14744</v>
      </c>
      <c r="N4259" t="s">
        <v>14781</v>
      </c>
      <c r="P4259" t="s">
        <v>14805</v>
      </c>
      <c r="Q4259" t="s">
        <v>11448</v>
      </c>
      <c r="S4259" t="s">
        <v>14827</v>
      </c>
      <c r="T4259" t="s">
        <v>14832</v>
      </c>
      <c r="U4259" t="s">
        <v>485</v>
      </c>
      <c r="V4259">
        <v>1518</v>
      </c>
      <c r="W4259" t="s">
        <v>14858</v>
      </c>
      <c r="Z4259" t="s">
        <v>18421</v>
      </c>
      <c r="AC4259">
        <v>59</v>
      </c>
      <c r="AD4259" t="s">
        <v>24595</v>
      </c>
      <c r="AE4259" t="s">
        <v>24610</v>
      </c>
      <c r="AF4259">
        <v>14</v>
      </c>
      <c r="AG4259">
        <v>1</v>
      </c>
      <c r="AH4259">
        <v>0</v>
      </c>
      <c r="AI4259">
        <v>73.02</v>
      </c>
      <c r="AL4259" t="s">
        <v>5011</v>
      </c>
      <c r="AM4259">
        <v>9120</v>
      </c>
      <c r="AS4259">
        <v>7.5</v>
      </c>
      <c r="AT4259" t="s">
        <v>589</v>
      </c>
      <c r="AU4259" t="s">
        <v>145</v>
      </c>
      <c r="AV4259" t="s">
        <v>25335</v>
      </c>
      <c r="AW4259" t="s">
        <v>11447</v>
      </c>
    </row>
    <row r="4260" spans="1:49">
      <c r="A4260" s="1">
        <f>HYPERLINK("https://lsnyc.legalserver.org/matter/dynamic-profile/view/1905538","19-1905538")</f>
        <v>0</v>
      </c>
      <c r="B4260" t="s">
        <v>157</v>
      </c>
      <c r="C4260" t="s">
        <v>555</v>
      </c>
      <c r="E4260" t="s">
        <v>3116</v>
      </c>
      <c r="F4260" t="s">
        <v>3799</v>
      </c>
      <c r="G4260" t="s">
        <v>9515</v>
      </c>
      <c r="H4260" t="s">
        <v>10541</v>
      </c>
      <c r="I4260" t="s">
        <v>11383</v>
      </c>
      <c r="J4260">
        <v>10467</v>
      </c>
      <c r="K4260" t="s">
        <v>11446</v>
      </c>
      <c r="L4260" t="s">
        <v>13780</v>
      </c>
      <c r="M4260" t="s">
        <v>14743</v>
      </c>
      <c r="N4260" t="s">
        <v>14781</v>
      </c>
      <c r="P4260" t="s">
        <v>14805</v>
      </c>
      <c r="Q4260" t="s">
        <v>11448</v>
      </c>
      <c r="S4260" t="s">
        <v>14827</v>
      </c>
      <c r="U4260" t="s">
        <v>485</v>
      </c>
      <c r="V4260">
        <v>0</v>
      </c>
      <c r="W4260" t="s">
        <v>14858</v>
      </c>
      <c r="X4260" t="s">
        <v>14755</v>
      </c>
      <c r="AC4260">
        <v>49</v>
      </c>
      <c r="AE4260" t="s">
        <v>24614</v>
      </c>
      <c r="AF4260">
        <v>2</v>
      </c>
      <c r="AG4260">
        <v>1</v>
      </c>
      <c r="AH4260">
        <v>0</v>
      </c>
      <c r="AI4260">
        <v>74.08</v>
      </c>
      <c r="AL4260" t="s">
        <v>5011</v>
      </c>
      <c r="AM4260">
        <v>9252</v>
      </c>
      <c r="AS4260">
        <v>0.2</v>
      </c>
      <c r="AT4260" t="s">
        <v>555</v>
      </c>
      <c r="AU4260" t="s">
        <v>25252</v>
      </c>
      <c r="AV4260" t="s">
        <v>25335</v>
      </c>
      <c r="AW4260" t="s">
        <v>11447</v>
      </c>
    </row>
    <row r="4261" spans="1:49">
      <c r="A4261" s="1">
        <f>HYPERLINK("https://lsnyc.legalserver.org/matter/dynamic-profile/view/1902998","19-1902998")</f>
        <v>0</v>
      </c>
      <c r="B4261" t="s">
        <v>142</v>
      </c>
      <c r="C4261" t="s">
        <v>527</v>
      </c>
      <c r="E4261" t="s">
        <v>1198</v>
      </c>
      <c r="F4261" t="s">
        <v>4823</v>
      </c>
      <c r="G4261" t="s">
        <v>9516</v>
      </c>
      <c r="H4261">
        <v>805</v>
      </c>
      <c r="I4261" t="s">
        <v>11383</v>
      </c>
      <c r="J4261">
        <v>10457</v>
      </c>
      <c r="K4261" t="s">
        <v>11446</v>
      </c>
      <c r="L4261" t="s">
        <v>13781</v>
      </c>
      <c r="M4261" t="s">
        <v>14744</v>
      </c>
      <c r="N4261" t="s">
        <v>14781</v>
      </c>
      <c r="P4261" t="s">
        <v>14805</v>
      </c>
      <c r="Q4261" t="s">
        <v>11448</v>
      </c>
      <c r="S4261" t="s">
        <v>14827</v>
      </c>
      <c r="U4261" t="s">
        <v>485</v>
      </c>
      <c r="V4261">
        <v>547.1</v>
      </c>
      <c r="W4261" t="s">
        <v>14858</v>
      </c>
      <c r="X4261" t="s">
        <v>14865</v>
      </c>
      <c r="Z4261" t="s">
        <v>18396</v>
      </c>
      <c r="AB4261" t="s">
        <v>23541</v>
      </c>
      <c r="AC4261">
        <v>281</v>
      </c>
      <c r="AF4261">
        <v>7</v>
      </c>
      <c r="AG4261">
        <v>1</v>
      </c>
      <c r="AH4261">
        <v>0</v>
      </c>
      <c r="AI4261">
        <v>74.08</v>
      </c>
      <c r="AL4261" t="s">
        <v>5011</v>
      </c>
      <c r="AM4261">
        <v>9252</v>
      </c>
      <c r="AS4261">
        <v>11</v>
      </c>
      <c r="AT4261" t="s">
        <v>515</v>
      </c>
      <c r="AU4261" t="s">
        <v>237</v>
      </c>
      <c r="AV4261" t="s">
        <v>25335</v>
      </c>
      <c r="AW4261" t="s">
        <v>11447</v>
      </c>
    </row>
    <row r="4262" spans="1:49">
      <c r="A4262" s="1">
        <f>HYPERLINK("https://lsnyc.legalserver.org/matter/dynamic-profile/view/1896888","19-1896888")</f>
        <v>0</v>
      </c>
      <c r="B4262" t="s">
        <v>142</v>
      </c>
      <c r="C4262" t="s">
        <v>758</v>
      </c>
      <c r="E4262" t="s">
        <v>3117</v>
      </c>
      <c r="F4262" t="s">
        <v>2002</v>
      </c>
      <c r="G4262" t="s">
        <v>9517</v>
      </c>
      <c r="H4262" t="s">
        <v>10509</v>
      </c>
      <c r="I4262" t="s">
        <v>11383</v>
      </c>
      <c r="J4262">
        <v>10457</v>
      </c>
      <c r="K4262" t="s">
        <v>11446</v>
      </c>
      <c r="L4262" t="s">
        <v>13782</v>
      </c>
      <c r="M4262" t="s">
        <v>14744</v>
      </c>
      <c r="N4262" t="s">
        <v>14781</v>
      </c>
      <c r="P4262" t="s">
        <v>14805</v>
      </c>
      <c r="Q4262" t="s">
        <v>11448</v>
      </c>
      <c r="S4262" t="s">
        <v>14827</v>
      </c>
      <c r="U4262" t="s">
        <v>485</v>
      </c>
      <c r="V4262">
        <v>1300</v>
      </c>
      <c r="W4262" t="s">
        <v>14858</v>
      </c>
      <c r="X4262" t="s">
        <v>14866</v>
      </c>
      <c r="Z4262" t="s">
        <v>18422</v>
      </c>
      <c r="AB4262" t="s">
        <v>23542</v>
      </c>
      <c r="AC4262">
        <v>44</v>
      </c>
      <c r="AD4262" t="s">
        <v>24595</v>
      </c>
      <c r="AE4262" t="s">
        <v>11459</v>
      </c>
      <c r="AF4262">
        <v>6</v>
      </c>
      <c r="AG4262">
        <v>2</v>
      </c>
      <c r="AH4262">
        <v>0</v>
      </c>
      <c r="AI4262">
        <v>92.25</v>
      </c>
      <c r="AL4262" t="s">
        <v>5011</v>
      </c>
      <c r="AM4262">
        <v>15600</v>
      </c>
      <c r="AN4262" t="s">
        <v>24892</v>
      </c>
      <c r="AS4262">
        <v>61.84</v>
      </c>
      <c r="AT4262" t="s">
        <v>592</v>
      </c>
      <c r="AU4262" t="s">
        <v>25240</v>
      </c>
      <c r="AV4262" t="s">
        <v>25335</v>
      </c>
      <c r="AW4262" t="s">
        <v>11447</v>
      </c>
    </row>
    <row r="4263" spans="1:49">
      <c r="A4263" s="1">
        <f>HYPERLINK("https://lsnyc.legalserver.org/matter/dynamic-profile/view/1903973","19-1903973")</f>
        <v>0</v>
      </c>
      <c r="B4263" t="s">
        <v>142</v>
      </c>
      <c r="C4263" t="s">
        <v>474</v>
      </c>
      <c r="E4263" t="s">
        <v>1698</v>
      </c>
      <c r="F4263" t="s">
        <v>4248</v>
      </c>
      <c r="G4263" t="s">
        <v>7962</v>
      </c>
      <c r="H4263" t="s">
        <v>10497</v>
      </c>
      <c r="I4263" t="s">
        <v>11383</v>
      </c>
      <c r="J4263">
        <v>10467</v>
      </c>
      <c r="K4263" t="s">
        <v>11446</v>
      </c>
      <c r="L4263" t="s">
        <v>13783</v>
      </c>
      <c r="M4263" t="s">
        <v>14744</v>
      </c>
      <c r="N4263" t="s">
        <v>14781</v>
      </c>
      <c r="P4263" t="s">
        <v>14805</v>
      </c>
      <c r="Q4263" t="s">
        <v>11448</v>
      </c>
      <c r="S4263" t="s">
        <v>14827</v>
      </c>
      <c r="T4263" t="s">
        <v>14832</v>
      </c>
      <c r="U4263" t="s">
        <v>485</v>
      </c>
      <c r="V4263">
        <v>484</v>
      </c>
      <c r="W4263" t="s">
        <v>14858</v>
      </c>
      <c r="X4263" t="s">
        <v>14868</v>
      </c>
      <c r="Z4263" t="s">
        <v>18423</v>
      </c>
      <c r="AA4263" t="s">
        <v>19888</v>
      </c>
      <c r="AB4263" t="s">
        <v>23543</v>
      </c>
      <c r="AC4263">
        <v>733</v>
      </c>
      <c r="AD4263" t="s">
        <v>24597</v>
      </c>
      <c r="AE4263" t="s">
        <v>11459</v>
      </c>
      <c r="AF4263">
        <v>18</v>
      </c>
      <c r="AG4263">
        <v>3</v>
      </c>
      <c r="AH4263">
        <v>0</v>
      </c>
      <c r="AI4263">
        <v>97.52</v>
      </c>
      <c r="AL4263" t="s">
        <v>5011</v>
      </c>
      <c r="AM4263">
        <v>20800</v>
      </c>
      <c r="AS4263">
        <v>13</v>
      </c>
      <c r="AT4263" t="s">
        <v>618</v>
      </c>
      <c r="AU4263" t="s">
        <v>237</v>
      </c>
      <c r="AV4263" t="s">
        <v>25335</v>
      </c>
      <c r="AW4263" t="s">
        <v>11447</v>
      </c>
    </row>
    <row r="4264" spans="1:49">
      <c r="A4264" s="1">
        <f>HYPERLINK("https://lsnyc.legalserver.org/matter/dynamic-profile/view/1901312","19-1901312")</f>
        <v>0</v>
      </c>
      <c r="B4264" t="s">
        <v>49</v>
      </c>
      <c r="C4264" t="s">
        <v>649</v>
      </c>
      <c r="E4264" t="s">
        <v>1538</v>
      </c>
      <c r="F4264" t="s">
        <v>5765</v>
      </c>
      <c r="G4264" t="s">
        <v>9518</v>
      </c>
      <c r="H4264" t="s">
        <v>11245</v>
      </c>
      <c r="I4264" t="s">
        <v>11383</v>
      </c>
      <c r="J4264">
        <v>10468</v>
      </c>
      <c r="K4264" t="s">
        <v>11446</v>
      </c>
      <c r="L4264" t="s">
        <v>13784</v>
      </c>
      <c r="M4264" t="s">
        <v>14744</v>
      </c>
      <c r="N4264" t="s">
        <v>14781</v>
      </c>
      <c r="P4264" t="s">
        <v>14805</v>
      </c>
      <c r="Q4264" t="s">
        <v>11448</v>
      </c>
      <c r="S4264" t="s">
        <v>14827</v>
      </c>
      <c r="T4264" t="s">
        <v>14832</v>
      </c>
      <c r="U4264" t="s">
        <v>485</v>
      </c>
      <c r="V4264">
        <v>1086.26</v>
      </c>
      <c r="W4264" t="s">
        <v>14858</v>
      </c>
      <c r="X4264" t="s">
        <v>14865</v>
      </c>
      <c r="Z4264" t="s">
        <v>18424</v>
      </c>
      <c r="AA4264" t="s">
        <v>19889</v>
      </c>
      <c r="AB4264" t="s">
        <v>23544</v>
      </c>
      <c r="AC4264">
        <v>871</v>
      </c>
      <c r="AD4264" t="s">
        <v>24605</v>
      </c>
      <c r="AE4264" t="s">
        <v>24610</v>
      </c>
      <c r="AF4264">
        <v>5</v>
      </c>
      <c r="AG4264">
        <v>1</v>
      </c>
      <c r="AH4264">
        <v>0</v>
      </c>
      <c r="AI4264">
        <v>104.08</v>
      </c>
      <c r="AL4264" t="s">
        <v>5011</v>
      </c>
      <c r="AM4264">
        <v>13000</v>
      </c>
      <c r="AS4264">
        <v>4</v>
      </c>
      <c r="AT4264" t="s">
        <v>663</v>
      </c>
      <c r="AU4264" t="s">
        <v>25251</v>
      </c>
      <c r="AV4264" t="s">
        <v>25334</v>
      </c>
      <c r="AW4264" t="s">
        <v>11447</v>
      </c>
    </row>
    <row r="4265" spans="1:49">
      <c r="A4265" s="1">
        <f>HYPERLINK("https://lsnyc.legalserver.org/matter/dynamic-profile/view/1901387","19-1901387")</f>
        <v>0</v>
      </c>
      <c r="B4265" t="s">
        <v>82</v>
      </c>
      <c r="C4265" t="s">
        <v>649</v>
      </c>
      <c r="E4265" t="s">
        <v>3118</v>
      </c>
      <c r="F4265" t="s">
        <v>5766</v>
      </c>
      <c r="G4265" t="s">
        <v>9449</v>
      </c>
      <c r="H4265" t="s">
        <v>10652</v>
      </c>
      <c r="I4265" t="s">
        <v>11383</v>
      </c>
      <c r="J4265">
        <v>10467</v>
      </c>
      <c r="K4265" t="s">
        <v>11446</v>
      </c>
      <c r="L4265" t="s">
        <v>13785</v>
      </c>
      <c r="M4265" t="s">
        <v>14744</v>
      </c>
      <c r="N4265" t="s">
        <v>14781</v>
      </c>
      <c r="P4265" t="s">
        <v>14805</v>
      </c>
      <c r="Q4265" t="s">
        <v>11448</v>
      </c>
      <c r="S4265" t="s">
        <v>14827</v>
      </c>
      <c r="T4265" t="s">
        <v>14832</v>
      </c>
      <c r="U4265" t="s">
        <v>485</v>
      </c>
      <c r="V4265">
        <v>1202</v>
      </c>
      <c r="W4265" t="s">
        <v>14858</v>
      </c>
      <c r="X4265" t="s">
        <v>14865</v>
      </c>
      <c r="Z4265" t="s">
        <v>18425</v>
      </c>
      <c r="AA4265" t="s">
        <v>19890</v>
      </c>
      <c r="AB4265" t="s">
        <v>23545</v>
      </c>
      <c r="AC4265">
        <v>3</v>
      </c>
      <c r="AD4265" t="s">
        <v>24595</v>
      </c>
      <c r="AE4265" t="s">
        <v>24617</v>
      </c>
      <c r="AF4265">
        <v>3</v>
      </c>
      <c r="AG4265">
        <v>2</v>
      </c>
      <c r="AH4265">
        <v>2</v>
      </c>
      <c r="AI4265">
        <v>119.1</v>
      </c>
      <c r="AL4265" t="s">
        <v>5011</v>
      </c>
      <c r="AM4265">
        <v>30668</v>
      </c>
      <c r="AS4265">
        <v>1.8</v>
      </c>
      <c r="AT4265" t="s">
        <v>618</v>
      </c>
      <c r="AU4265" t="s">
        <v>245</v>
      </c>
      <c r="AV4265" t="s">
        <v>25334</v>
      </c>
      <c r="AW4265" t="s">
        <v>11447</v>
      </c>
    </row>
    <row r="4266" spans="1:49">
      <c r="A4266" s="1">
        <f>HYPERLINK("https://lsnyc.legalserver.org/matter/dynamic-profile/view/1902860","19-1902860")</f>
        <v>0</v>
      </c>
      <c r="B4266" t="s">
        <v>273</v>
      </c>
      <c r="C4266" t="s">
        <v>343</v>
      </c>
      <c r="E4266" t="s">
        <v>1650</v>
      </c>
      <c r="F4266" t="s">
        <v>4403</v>
      </c>
      <c r="G4266" t="s">
        <v>9519</v>
      </c>
      <c r="H4266" t="s">
        <v>10574</v>
      </c>
      <c r="I4266" t="s">
        <v>11383</v>
      </c>
      <c r="J4266">
        <v>10467</v>
      </c>
      <c r="K4266" t="s">
        <v>11446</v>
      </c>
      <c r="L4266" t="s">
        <v>13786</v>
      </c>
      <c r="M4266" t="s">
        <v>14744</v>
      </c>
      <c r="N4266" t="s">
        <v>14781</v>
      </c>
      <c r="P4266" t="s">
        <v>14805</v>
      </c>
      <c r="Q4266" t="s">
        <v>11448</v>
      </c>
      <c r="S4266" t="s">
        <v>14827</v>
      </c>
      <c r="U4266" t="s">
        <v>485</v>
      </c>
      <c r="V4266">
        <v>1500</v>
      </c>
      <c r="W4266" t="s">
        <v>14858</v>
      </c>
      <c r="Z4266" t="s">
        <v>18426</v>
      </c>
      <c r="AB4266" t="s">
        <v>23546</v>
      </c>
      <c r="AC4266">
        <v>48</v>
      </c>
      <c r="AD4266" t="s">
        <v>24595</v>
      </c>
      <c r="AF4266">
        <v>0</v>
      </c>
      <c r="AG4266">
        <v>2</v>
      </c>
      <c r="AH4266">
        <v>0</v>
      </c>
      <c r="AI4266">
        <v>123</v>
      </c>
      <c r="AL4266" t="s">
        <v>5011</v>
      </c>
      <c r="AM4266">
        <v>20800</v>
      </c>
      <c r="AS4266">
        <v>11.9</v>
      </c>
      <c r="AT4266" t="s">
        <v>603</v>
      </c>
      <c r="AU4266" t="s">
        <v>145</v>
      </c>
      <c r="AV4266" t="s">
        <v>25335</v>
      </c>
      <c r="AW4266" t="s">
        <v>11447</v>
      </c>
    </row>
    <row r="4267" spans="1:49">
      <c r="A4267" s="1">
        <f>HYPERLINK("https://lsnyc.legalserver.org/matter/dynamic-profile/view/1898504","19-1898504")</f>
        <v>0</v>
      </c>
      <c r="B4267" t="s">
        <v>143</v>
      </c>
      <c r="C4267" t="s">
        <v>411</v>
      </c>
      <c r="E4267" t="s">
        <v>3119</v>
      </c>
      <c r="F4267" t="s">
        <v>1706</v>
      </c>
      <c r="G4267" t="s">
        <v>9515</v>
      </c>
      <c r="H4267" t="s">
        <v>10464</v>
      </c>
      <c r="I4267" t="s">
        <v>11383</v>
      </c>
      <c r="J4267">
        <v>10467</v>
      </c>
      <c r="K4267" t="s">
        <v>11446</v>
      </c>
      <c r="L4267" t="s">
        <v>13787</v>
      </c>
      <c r="M4267" t="s">
        <v>14744</v>
      </c>
      <c r="N4267" t="s">
        <v>14781</v>
      </c>
      <c r="P4267" t="s">
        <v>14805</v>
      </c>
      <c r="Q4267" t="s">
        <v>11448</v>
      </c>
      <c r="S4267" t="s">
        <v>14827</v>
      </c>
      <c r="U4267" t="s">
        <v>485</v>
      </c>
      <c r="V4267">
        <v>0</v>
      </c>
      <c r="W4267" t="s">
        <v>14858</v>
      </c>
      <c r="X4267" t="s">
        <v>14863</v>
      </c>
      <c r="Z4267" t="s">
        <v>18427</v>
      </c>
      <c r="AC4267">
        <v>49</v>
      </c>
      <c r="AD4267" t="s">
        <v>11479</v>
      </c>
      <c r="AF4267">
        <v>0</v>
      </c>
      <c r="AG4267">
        <v>2</v>
      </c>
      <c r="AH4267">
        <v>0</v>
      </c>
      <c r="AI4267">
        <v>131.78</v>
      </c>
      <c r="AL4267" t="s">
        <v>5011</v>
      </c>
      <c r="AM4267">
        <v>22284</v>
      </c>
      <c r="AN4267" t="s">
        <v>24893</v>
      </c>
      <c r="AS4267">
        <v>12</v>
      </c>
      <c r="AT4267" t="s">
        <v>477</v>
      </c>
      <c r="AU4267" t="s">
        <v>25251</v>
      </c>
      <c r="AV4267" t="s">
        <v>25335</v>
      </c>
      <c r="AW4267" t="s">
        <v>11447</v>
      </c>
    </row>
    <row r="4268" spans="1:49">
      <c r="A4268" s="1">
        <f>HYPERLINK("https://lsnyc.legalserver.org/matter/dynamic-profile/view/1904085","19-1904085")</f>
        <v>0</v>
      </c>
      <c r="B4268" t="s">
        <v>143</v>
      </c>
      <c r="C4268" t="s">
        <v>621</v>
      </c>
      <c r="E4268" t="s">
        <v>3120</v>
      </c>
      <c r="F4268" t="s">
        <v>4374</v>
      </c>
      <c r="G4268" t="s">
        <v>9520</v>
      </c>
      <c r="H4268" t="s">
        <v>10542</v>
      </c>
      <c r="I4268" t="s">
        <v>11383</v>
      </c>
      <c r="J4268">
        <v>10468</v>
      </c>
      <c r="K4268" t="s">
        <v>11446</v>
      </c>
      <c r="L4268" t="s">
        <v>13788</v>
      </c>
      <c r="M4268" t="s">
        <v>14744</v>
      </c>
      <c r="N4268" t="s">
        <v>14781</v>
      </c>
      <c r="P4268" t="s">
        <v>14805</v>
      </c>
      <c r="Q4268" t="s">
        <v>11448</v>
      </c>
      <c r="S4268" t="s">
        <v>14827</v>
      </c>
      <c r="T4268" t="s">
        <v>14832</v>
      </c>
      <c r="U4268" t="s">
        <v>485</v>
      </c>
      <c r="V4268">
        <v>1705</v>
      </c>
      <c r="W4268" t="s">
        <v>14858</v>
      </c>
      <c r="Z4268" t="s">
        <v>18428</v>
      </c>
      <c r="AB4268" t="s">
        <v>23547</v>
      </c>
      <c r="AC4268">
        <v>0</v>
      </c>
      <c r="AD4268" t="s">
        <v>24595</v>
      </c>
      <c r="AF4268">
        <v>2</v>
      </c>
      <c r="AG4268">
        <v>2</v>
      </c>
      <c r="AH4268">
        <v>2</v>
      </c>
      <c r="AI4268">
        <v>136.31</v>
      </c>
      <c r="AL4268" t="s">
        <v>24632</v>
      </c>
      <c r="AM4268">
        <v>35100</v>
      </c>
      <c r="AS4268">
        <v>47.6</v>
      </c>
      <c r="AT4268" t="s">
        <v>537</v>
      </c>
      <c r="AU4268" t="s">
        <v>145</v>
      </c>
      <c r="AV4268" t="s">
        <v>25335</v>
      </c>
      <c r="AW4268" t="s">
        <v>11447</v>
      </c>
    </row>
    <row r="4269" spans="1:49">
      <c r="A4269" s="1">
        <f>HYPERLINK("https://lsnyc.legalserver.org/matter/dynamic-profile/view/1904570","19-1904570")</f>
        <v>0</v>
      </c>
      <c r="B4269" t="s">
        <v>157</v>
      </c>
      <c r="C4269" t="s">
        <v>493</v>
      </c>
      <c r="E4269" t="s">
        <v>1652</v>
      </c>
      <c r="F4269" t="s">
        <v>3731</v>
      </c>
      <c r="G4269" t="s">
        <v>9443</v>
      </c>
      <c r="H4269" t="s">
        <v>10759</v>
      </c>
      <c r="I4269" t="s">
        <v>11383</v>
      </c>
      <c r="J4269">
        <v>10457</v>
      </c>
      <c r="K4269" t="s">
        <v>11446</v>
      </c>
      <c r="L4269" t="s">
        <v>13789</v>
      </c>
      <c r="M4269" t="s">
        <v>14744</v>
      </c>
      <c r="N4269" t="s">
        <v>14781</v>
      </c>
      <c r="P4269" t="s">
        <v>14805</v>
      </c>
      <c r="Q4269" t="s">
        <v>11448</v>
      </c>
      <c r="S4269" t="s">
        <v>14827</v>
      </c>
      <c r="T4269" t="s">
        <v>14834</v>
      </c>
      <c r="U4269" t="s">
        <v>485</v>
      </c>
      <c r="V4269">
        <v>1201</v>
      </c>
      <c r="W4269" t="s">
        <v>14858</v>
      </c>
      <c r="Z4269" t="s">
        <v>15317</v>
      </c>
      <c r="AB4269" t="s">
        <v>23548</v>
      </c>
      <c r="AC4269">
        <v>60</v>
      </c>
      <c r="AD4269" t="s">
        <v>24595</v>
      </c>
      <c r="AF4269">
        <v>10</v>
      </c>
      <c r="AG4269">
        <v>2</v>
      </c>
      <c r="AH4269">
        <v>0</v>
      </c>
      <c r="AI4269">
        <v>155.99</v>
      </c>
      <c r="AL4269" t="s">
        <v>5011</v>
      </c>
      <c r="AM4269">
        <v>26377.56</v>
      </c>
      <c r="AN4269" t="s">
        <v>24894</v>
      </c>
      <c r="AS4269">
        <v>7</v>
      </c>
      <c r="AT4269" t="s">
        <v>500</v>
      </c>
      <c r="AU4269" t="s">
        <v>25232</v>
      </c>
      <c r="AV4269" t="s">
        <v>25335</v>
      </c>
      <c r="AW4269" t="s">
        <v>11447</v>
      </c>
    </row>
    <row r="4270" spans="1:49">
      <c r="A4270" s="1">
        <f>HYPERLINK("https://lsnyc.legalserver.org/matter/dynamic-profile/view/1905279","19-1905279")</f>
        <v>0</v>
      </c>
      <c r="B4270" t="s">
        <v>273</v>
      </c>
      <c r="C4270" t="s">
        <v>480</v>
      </c>
      <c r="E4270" t="s">
        <v>3121</v>
      </c>
      <c r="F4270" t="s">
        <v>4456</v>
      </c>
      <c r="G4270" t="s">
        <v>9521</v>
      </c>
      <c r="H4270" t="s">
        <v>10552</v>
      </c>
      <c r="I4270" t="s">
        <v>11383</v>
      </c>
      <c r="J4270">
        <v>10467</v>
      </c>
      <c r="K4270" t="s">
        <v>11446</v>
      </c>
      <c r="L4270" t="s">
        <v>13790</v>
      </c>
      <c r="M4270" t="s">
        <v>14744</v>
      </c>
      <c r="N4270" t="s">
        <v>14781</v>
      </c>
      <c r="P4270" t="s">
        <v>14805</v>
      </c>
      <c r="Q4270" t="s">
        <v>11448</v>
      </c>
      <c r="S4270" t="s">
        <v>14827</v>
      </c>
      <c r="U4270" t="s">
        <v>485</v>
      </c>
      <c r="V4270">
        <v>712</v>
      </c>
      <c r="W4270" t="s">
        <v>14858</v>
      </c>
      <c r="X4270" t="s">
        <v>14865</v>
      </c>
      <c r="Z4270" t="s">
        <v>18429</v>
      </c>
      <c r="AB4270" t="s">
        <v>23549</v>
      </c>
      <c r="AC4270">
        <v>336</v>
      </c>
      <c r="AD4270" t="s">
        <v>24597</v>
      </c>
      <c r="AE4270" t="s">
        <v>11459</v>
      </c>
      <c r="AF4270">
        <v>1</v>
      </c>
      <c r="AG4270">
        <v>1</v>
      </c>
      <c r="AH4270">
        <v>1</v>
      </c>
      <c r="AI4270">
        <v>161.44</v>
      </c>
      <c r="AL4270" t="s">
        <v>24632</v>
      </c>
      <c r="AM4270">
        <v>27300</v>
      </c>
      <c r="AS4270">
        <v>15.1</v>
      </c>
      <c r="AT4270" t="s">
        <v>463</v>
      </c>
      <c r="AU4270" t="s">
        <v>25239</v>
      </c>
      <c r="AV4270" t="s">
        <v>25335</v>
      </c>
      <c r="AW4270" t="s">
        <v>11447</v>
      </c>
    </row>
    <row r="4271" spans="1:49">
      <c r="A4271" s="1">
        <f>HYPERLINK("https://lsnyc.legalserver.org/matter/dynamic-profile/view/1904049","19-1904049")</f>
        <v>0</v>
      </c>
      <c r="B4271" t="s">
        <v>272</v>
      </c>
      <c r="C4271" t="s">
        <v>474</v>
      </c>
      <c r="E4271" t="s">
        <v>3122</v>
      </c>
      <c r="F4271" t="s">
        <v>3729</v>
      </c>
      <c r="G4271" t="s">
        <v>9522</v>
      </c>
      <c r="H4271">
        <v>52</v>
      </c>
      <c r="I4271" t="s">
        <v>11383</v>
      </c>
      <c r="J4271">
        <v>10457</v>
      </c>
      <c r="K4271" t="s">
        <v>11446</v>
      </c>
      <c r="L4271" t="s">
        <v>13791</v>
      </c>
      <c r="M4271" t="s">
        <v>14744</v>
      </c>
      <c r="N4271" t="s">
        <v>14781</v>
      </c>
      <c r="P4271" t="s">
        <v>14805</v>
      </c>
      <c r="Q4271" t="s">
        <v>11448</v>
      </c>
      <c r="S4271" t="s">
        <v>14827</v>
      </c>
      <c r="T4271" t="s">
        <v>14832</v>
      </c>
      <c r="U4271" t="s">
        <v>485</v>
      </c>
      <c r="V4271">
        <v>1675</v>
      </c>
      <c r="W4271" t="s">
        <v>14858</v>
      </c>
      <c r="X4271" t="s">
        <v>14863</v>
      </c>
      <c r="Z4271" t="s">
        <v>18430</v>
      </c>
      <c r="AB4271" t="s">
        <v>23550</v>
      </c>
      <c r="AC4271">
        <v>27</v>
      </c>
      <c r="AD4271" t="s">
        <v>24595</v>
      </c>
      <c r="AE4271" t="s">
        <v>11459</v>
      </c>
      <c r="AF4271">
        <v>1</v>
      </c>
      <c r="AG4271">
        <v>1</v>
      </c>
      <c r="AH4271">
        <v>1</v>
      </c>
      <c r="AI4271">
        <v>164.36</v>
      </c>
      <c r="AL4271" t="s">
        <v>24632</v>
      </c>
      <c r="AM4271">
        <v>27794</v>
      </c>
      <c r="AS4271">
        <v>9.4</v>
      </c>
      <c r="AT4271" t="s">
        <v>478</v>
      </c>
      <c r="AU4271" t="s">
        <v>25242</v>
      </c>
      <c r="AV4271" t="s">
        <v>25335</v>
      </c>
      <c r="AW4271" t="s">
        <v>11447</v>
      </c>
    </row>
    <row r="4272" spans="1:49">
      <c r="A4272" s="1">
        <f>HYPERLINK("https://lsnyc.legalserver.org/matter/dynamic-profile/view/1902831","19-1902831")</f>
        <v>0</v>
      </c>
      <c r="B4272" t="s">
        <v>142</v>
      </c>
      <c r="C4272" t="s">
        <v>343</v>
      </c>
      <c r="E4272" t="s">
        <v>3123</v>
      </c>
      <c r="F4272" t="s">
        <v>2485</v>
      </c>
      <c r="G4272" t="s">
        <v>9523</v>
      </c>
      <c r="H4272" t="s">
        <v>11246</v>
      </c>
      <c r="I4272" t="s">
        <v>11383</v>
      </c>
      <c r="J4272">
        <v>10467</v>
      </c>
      <c r="K4272" t="s">
        <v>11446</v>
      </c>
      <c r="L4272" t="s">
        <v>13792</v>
      </c>
      <c r="M4272" t="s">
        <v>14744</v>
      </c>
      <c r="N4272" t="s">
        <v>14781</v>
      </c>
      <c r="P4272" t="s">
        <v>14805</v>
      </c>
      <c r="Q4272" t="s">
        <v>11448</v>
      </c>
      <c r="S4272" t="s">
        <v>14827</v>
      </c>
      <c r="T4272" t="s">
        <v>14833</v>
      </c>
      <c r="U4272" t="s">
        <v>485</v>
      </c>
      <c r="V4272">
        <v>1285.2</v>
      </c>
      <c r="W4272" t="s">
        <v>14858</v>
      </c>
      <c r="X4272" t="s">
        <v>14863</v>
      </c>
      <c r="Z4272" t="s">
        <v>18431</v>
      </c>
      <c r="AB4272" t="s">
        <v>23551</v>
      </c>
      <c r="AC4272">
        <v>48</v>
      </c>
      <c r="AD4272" t="s">
        <v>11479</v>
      </c>
      <c r="AE4272" t="s">
        <v>11459</v>
      </c>
      <c r="AF4272">
        <v>3</v>
      </c>
      <c r="AG4272">
        <v>2</v>
      </c>
      <c r="AH4272">
        <v>0</v>
      </c>
      <c r="AI4272">
        <v>178.05</v>
      </c>
      <c r="AL4272" t="s">
        <v>24632</v>
      </c>
      <c r="AM4272">
        <v>30108</v>
      </c>
      <c r="AS4272">
        <v>1.5</v>
      </c>
      <c r="AT4272" t="s">
        <v>343</v>
      </c>
      <c r="AU4272" t="s">
        <v>25242</v>
      </c>
      <c r="AV4272" t="s">
        <v>25335</v>
      </c>
      <c r="AW4272" t="s">
        <v>11447</v>
      </c>
    </row>
    <row r="4273" spans="1:49">
      <c r="A4273" s="1">
        <f>HYPERLINK("https://lsnyc.legalserver.org/matter/dynamic-profile/view/1902251","19-1902251")</f>
        <v>0</v>
      </c>
      <c r="B4273" t="s">
        <v>142</v>
      </c>
      <c r="C4273" t="s">
        <v>538</v>
      </c>
      <c r="E4273" t="s">
        <v>3124</v>
      </c>
      <c r="F4273" t="s">
        <v>5767</v>
      </c>
      <c r="G4273" t="s">
        <v>9524</v>
      </c>
      <c r="H4273" t="s">
        <v>10620</v>
      </c>
      <c r="I4273" t="s">
        <v>11383</v>
      </c>
      <c r="J4273">
        <v>10467</v>
      </c>
      <c r="K4273" t="s">
        <v>11446</v>
      </c>
      <c r="L4273" t="s">
        <v>13793</v>
      </c>
      <c r="M4273" t="s">
        <v>14744</v>
      </c>
      <c r="N4273" t="s">
        <v>14781</v>
      </c>
      <c r="P4273" t="s">
        <v>14805</v>
      </c>
      <c r="Q4273" t="s">
        <v>11448</v>
      </c>
      <c r="S4273" t="s">
        <v>14827</v>
      </c>
      <c r="T4273" t="s">
        <v>14832</v>
      </c>
      <c r="U4273" t="s">
        <v>485</v>
      </c>
      <c r="V4273">
        <v>2250</v>
      </c>
      <c r="W4273" t="s">
        <v>14858</v>
      </c>
      <c r="X4273" t="s">
        <v>14865</v>
      </c>
      <c r="Z4273" t="s">
        <v>18432</v>
      </c>
      <c r="AB4273" t="s">
        <v>23552</v>
      </c>
      <c r="AC4273">
        <v>24</v>
      </c>
      <c r="AD4273" t="s">
        <v>24595</v>
      </c>
      <c r="AE4273" t="s">
        <v>11459</v>
      </c>
      <c r="AF4273">
        <v>2</v>
      </c>
      <c r="AG4273">
        <v>1</v>
      </c>
      <c r="AH4273">
        <v>0</v>
      </c>
      <c r="AI4273">
        <v>187.35</v>
      </c>
      <c r="AL4273" t="s">
        <v>5011</v>
      </c>
      <c r="AM4273">
        <v>23400</v>
      </c>
      <c r="AS4273">
        <v>29.25</v>
      </c>
      <c r="AT4273" t="s">
        <v>511</v>
      </c>
      <c r="AU4273" t="s">
        <v>237</v>
      </c>
      <c r="AV4273" t="s">
        <v>25335</v>
      </c>
      <c r="AW4273" t="s">
        <v>11447</v>
      </c>
    </row>
    <row r="4274" spans="1:49">
      <c r="A4274" s="1">
        <f>HYPERLINK("https://lsnyc.legalserver.org/matter/dynamic-profile/view/1906692","19-1906692")</f>
        <v>0</v>
      </c>
      <c r="B4274" t="s">
        <v>143</v>
      </c>
      <c r="C4274" t="s">
        <v>373</v>
      </c>
      <c r="E4274" t="s">
        <v>1705</v>
      </c>
      <c r="F4274" t="s">
        <v>5419</v>
      </c>
      <c r="G4274" t="s">
        <v>9525</v>
      </c>
      <c r="H4274" t="s">
        <v>11247</v>
      </c>
      <c r="I4274" t="s">
        <v>11383</v>
      </c>
      <c r="J4274">
        <v>10462</v>
      </c>
      <c r="K4274" t="s">
        <v>11446</v>
      </c>
      <c r="L4274" t="s">
        <v>13794</v>
      </c>
      <c r="M4274" t="s">
        <v>14743</v>
      </c>
      <c r="N4274" t="s">
        <v>14781</v>
      </c>
      <c r="P4274" t="s">
        <v>14805</v>
      </c>
      <c r="Q4274" t="s">
        <v>11448</v>
      </c>
      <c r="S4274" t="s">
        <v>14827</v>
      </c>
      <c r="U4274" t="s">
        <v>373</v>
      </c>
      <c r="V4274">
        <v>1382</v>
      </c>
      <c r="W4274" t="s">
        <v>14858</v>
      </c>
      <c r="X4274" t="s">
        <v>14873</v>
      </c>
      <c r="Z4274" t="s">
        <v>18433</v>
      </c>
      <c r="AB4274" t="s">
        <v>23553</v>
      </c>
      <c r="AC4274">
        <v>2141</v>
      </c>
      <c r="AD4274" t="s">
        <v>11479</v>
      </c>
      <c r="AE4274" t="s">
        <v>11459</v>
      </c>
      <c r="AF4274">
        <v>1</v>
      </c>
      <c r="AG4274">
        <v>1</v>
      </c>
      <c r="AH4274">
        <v>0</v>
      </c>
      <c r="AI4274">
        <v>91.59</v>
      </c>
      <c r="AL4274" t="s">
        <v>5011</v>
      </c>
      <c r="AM4274">
        <v>11440</v>
      </c>
      <c r="AS4274">
        <v>6.1</v>
      </c>
      <c r="AT4274" t="s">
        <v>505</v>
      </c>
      <c r="AU4274" t="s">
        <v>25252</v>
      </c>
      <c r="AV4274" t="s">
        <v>25335</v>
      </c>
      <c r="AW4274" t="s">
        <v>11447</v>
      </c>
    </row>
    <row r="4275" spans="1:49">
      <c r="A4275" s="1">
        <f>HYPERLINK("https://lsnyc.legalserver.org/matter/dynamic-profile/view/1906803","19-1906803")</f>
        <v>0</v>
      </c>
      <c r="B4275" t="s">
        <v>143</v>
      </c>
      <c r="C4275" t="s">
        <v>620</v>
      </c>
      <c r="E4275" t="s">
        <v>3125</v>
      </c>
      <c r="F4275" t="s">
        <v>5768</v>
      </c>
      <c r="G4275" t="s">
        <v>8996</v>
      </c>
      <c r="H4275" t="s">
        <v>10598</v>
      </c>
      <c r="I4275" t="s">
        <v>11383</v>
      </c>
      <c r="J4275">
        <v>10467</v>
      </c>
      <c r="K4275" t="s">
        <v>11446</v>
      </c>
      <c r="L4275" t="s">
        <v>13795</v>
      </c>
      <c r="M4275" t="s">
        <v>14744</v>
      </c>
      <c r="N4275" t="s">
        <v>14781</v>
      </c>
      <c r="P4275" t="s">
        <v>14805</v>
      </c>
      <c r="Q4275" t="s">
        <v>11448</v>
      </c>
      <c r="S4275" t="s">
        <v>14827</v>
      </c>
      <c r="U4275" t="s">
        <v>620</v>
      </c>
      <c r="V4275">
        <v>1016.76</v>
      </c>
      <c r="W4275" t="s">
        <v>14858</v>
      </c>
      <c r="X4275" t="s">
        <v>14863</v>
      </c>
      <c r="Z4275" t="s">
        <v>18434</v>
      </c>
      <c r="AB4275" t="s">
        <v>23554</v>
      </c>
      <c r="AC4275">
        <v>60</v>
      </c>
      <c r="AD4275" t="s">
        <v>24595</v>
      </c>
      <c r="AE4275" t="s">
        <v>11459</v>
      </c>
      <c r="AF4275">
        <v>20</v>
      </c>
      <c r="AG4275">
        <v>2</v>
      </c>
      <c r="AH4275">
        <v>0</v>
      </c>
      <c r="AI4275">
        <v>36.55</v>
      </c>
      <c r="AL4275" t="s">
        <v>5011</v>
      </c>
      <c r="AM4275">
        <v>6180</v>
      </c>
      <c r="AS4275">
        <v>3.6</v>
      </c>
      <c r="AT4275" t="s">
        <v>465</v>
      </c>
      <c r="AU4275" t="s">
        <v>25252</v>
      </c>
      <c r="AV4275" t="s">
        <v>25335</v>
      </c>
      <c r="AW4275" t="s">
        <v>11447</v>
      </c>
    </row>
    <row r="4276" spans="1:49">
      <c r="A4276" s="1">
        <f>HYPERLINK("https://lsnyc.legalserver.org/matter/dynamic-profile/view/1905396","19-1905396")</f>
        <v>0</v>
      </c>
      <c r="B4276" t="s">
        <v>299</v>
      </c>
      <c r="C4276" t="s">
        <v>520</v>
      </c>
      <c r="E4276" t="s">
        <v>1144</v>
      </c>
      <c r="F4276" t="s">
        <v>5769</v>
      </c>
      <c r="G4276" t="s">
        <v>9526</v>
      </c>
      <c r="H4276" t="s">
        <v>10468</v>
      </c>
      <c r="I4276" t="s">
        <v>11383</v>
      </c>
      <c r="J4276">
        <v>10467</v>
      </c>
      <c r="K4276" t="s">
        <v>11446</v>
      </c>
      <c r="L4276" t="s">
        <v>13796</v>
      </c>
      <c r="M4276" t="s">
        <v>14744</v>
      </c>
      <c r="N4276" t="s">
        <v>14781</v>
      </c>
      <c r="P4276" t="s">
        <v>14805</v>
      </c>
      <c r="Q4276" t="s">
        <v>11448</v>
      </c>
      <c r="S4276" t="s">
        <v>14827</v>
      </c>
      <c r="U4276" t="s">
        <v>620</v>
      </c>
      <c r="V4276">
        <v>1375</v>
      </c>
      <c r="W4276" t="s">
        <v>14858</v>
      </c>
      <c r="X4276" t="s">
        <v>14863</v>
      </c>
      <c r="Z4276" t="s">
        <v>18435</v>
      </c>
      <c r="AC4276">
        <v>53</v>
      </c>
      <c r="AD4276" t="s">
        <v>24595</v>
      </c>
      <c r="AE4276" t="s">
        <v>11459</v>
      </c>
      <c r="AF4276">
        <v>8</v>
      </c>
      <c r="AG4276">
        <v>1</v>
      </c>
      <c r="AH4276">
        <v>2</v>
      </c>
      <c r="AI4276">
        <v>182.84</v>
      </c>
      <c r="AL4276" t="s">
        <v>5011</v>
      </c>
      <c r="AM4276">
        <v>39000</v>
      </c>
      <c r="AS4276">
        <v>30</v>
      </c>
      <c r="AT4276" t="s">
        <v>537</v>
      </c>
      <c r="AU4276" t="s">
        <v>245</v>
      </c>
      <c r="AV4276" t="s">
        <v>25335</v>
      </c>
      <c r="AW4276" t="s">
        <v>11447</v>
      </c>
    </row>
    <row r="4277" spans="1:49">
      <c r="A4277" s="1">
        <f>HYPERLINK("https://lsnyc.legalserver.org/matter/dynamic-profile/view/1906800","19-1906800")</f>
        <v>0</v>
      </c>
      <c r="B4277" t="s">
        <v>298</v>
      </c>
      <c r="C4277" t="s">
        <v>620</v>
      </c>
      <c r="E4277" t="s">
        <v>3126</v>
      </c>
      <c r="F4277" t="s">
        <v>4134</v>
      </c>
      <c r="G4277" t="s">
        <v>9527</v>
      </c>
      <c r="H4277" t="s">
        <v>10589</v>
      </c>
      <c r="I4277" t="s">
        <v>11383</v>
      </c>
      <c r="J4277">
        <v>10468</v>
      </c>
      <c r="K4277" t="s">
        <v>11446</v>
      </c>
      <c r="L4277" t="s">
        <v>13797</v>
      </c>
      <c r="M4277" t="s">
        <v>14744</v>
      </c>
      <c r="N4277" t="s">
        <v>14781</v>
      </c>
      <c r="P4277" t="s">
        <v>14805</v>
      </c>
      <c r="Q4277" t="s">
        <v>11448</v>
      </c>
      <c r="S4277" t="s">
        <v>14827</v>
      </c>
      <c r="T4277" t="s">
        <v>14832</v>
      </c>
      <c r="U4277" t="s">
        <v>620</v>
      </c>
      <c r="V4277">
        <v>988.99</v>
      </c>
      <c r="W4277" t="s">
        <v>14858</v>
      </c>
      <c r="X4277" t="s">
        <v>14873</v>
      </c>
      <c r="Z4277" t="s">
        <v>16035</v>
      </c>
      <c r="AB4277" t="s">
        <v>23555</v>
      </c>
      <c r="AC4277">
        <v>35</v>
      </c>
      <c r="AD4277" t="s">
        <v>24595</v>
      </c>
      <c r="AE4277" t="s">
        <v>11459</v>
      </c>
      <c r="AF4277">
        <v>4</v>
      </c>
      <c r="AG4277">
        <v>2</v>
      </c>
      <c r="AH4277">
        <v>0</v>
      </c>
      <c r="AI4277">
        <v>197.56</v>
      </c>
      <c r="AL4277" t="s">
        <v>24632</v>
      </c>
      <c r="AM4277">
        <v>33408</v>
      </c>
      <c r="AS4277">
        <v>13.3</v>
      </c>
      <c r="AT4277" t="s">
        <v>495</v>
      </c>
      <c r="AU4277" t="s">
        <v>25252</v>
      </c>
      <c r="AV4277" t="s">
        <v>25335</v>
      </c>
      <c r="AW4277" t="s">
        <v>11447</v>
      </c>
    </row>
    <row r="4278" spans="1:49">
      <c r="A4278" s="1">
        <f>HYPERLINK("https://lsnyc.legalserver.org/matter/dynamic-profile/view/1906348","19-1906348")</f>
        <v>0</v>
      </c>
      <c r="B4278" t="s">
        <v>299</v>
      </c>
      <c r="C4278" t="s">
        <v>355</v>
      </c>
      <c r="E4278" t="s">
        <v>1272</v>
      </c>
      <c r="F4278" t="s">
        <v>4551</v>
      </c>
      <c r="G4278" t="s">
        <v>9528</v>
      </c>
      <c r="H4278" t="s">
        <v>10529</v>
      </c>
      <c r="I4278" t="s">
        <v>11383</v>
      </c>
      <c r="J4278">
        <v>10468</v>
      </c>
      <c r="K4278" t="s">
        <v>11446</v>
      </c>
      <c r="L4278" t="s">
        <v>13798</v>
      </c>
      <c r="M4278" t="s">
        <v>14743</v>
      </c>
      <c r="N4278" t="s">
        <v>14781</v>
      </c>
      <c r="P4278" t="s">
        <v>14805</v>
      </c>
      <c r="Q4278" t="s">
        <v>11448</v>
      </c>
      <c r="S4278" t="s">
        <v>14827</v>
      </c>
      <c r="U4278" t="s">
        <v>564</v>
      </c>
      <c r="V4278">
        <v>675</v>
      </c>
      <c r="W4278" t="s">
        <v>14858</v>
      </c>
      <c r="X4278" t="s">
        <v>14863</v>
      </c>
      <c r="Z4278" t="s">
        <v>18436</v>
      </c>
      <c r="AA4278" t="s">
        <v>19891</v>
      </c>
      <c r="AB4278" t="s">
        <v>23556</v>
      </c>
      <c r="AC4278">
        <v>2</v>
      </c>
      <c r="AD4278" t="s">
        <v>24600</v>
      </c>
      <c r="AE4278" t="s">
        <v>24616</v>
      </c>
      <c r="AF4278">
        <v>10</v>
      </c>
      <c r="AG4278">
        <v>1</v>
      </c>
      <c r="AH4278">
        <v>0</v>
      </c>
      <c r="AI4278">
        <v>17.58</v>
      </c>
      <c r="AL4278" t="s">
        <v>5011</v>
      </c>
      <c r="AM4278">
        <v>2196</v>
      </c>
      <c r="AS4278">
        <v>14</v>
      </c>
      <c r="AT4278" t="s">
        <v>472</v>
      </c>
      <c r="AU4278" t="s">
        <v>245</v>
      </c>
      <c r="AV4278" t="s">
        <v>25334</v>
      </c>
      <c r="AW4278" t="s">
        <v>11447</v>
      </c>
    </row>
    <row r="4279" spans="1:49">
      <c r="A4279" s="1">
        <f>HYPERLINK("https://lsnyc.legalserver.org/matter/dynamic-profile/view/1907264","19-1907264")</f>
        <v>0</v>
      </c>
      <c r="B4279" t="s">
        <v>256</v>
      </c>
      <c r="C4279" t="s">
        <v>564</v>
      </c>
      <c r="E4279" t="s">
        <v>1264</v>
      </c>
      <c r="F4279" t="s">
        <v>4373</v>
      </c>
      <c r="G4279" t="s">
        <v>9529</v>
      </c>
      <c r="H4279">
        <v>34</v>
      </c>
      <c r="I4279" t="s">
        <v>11383</v>
      </c>
      <c r="J4279">
        <v>10457</v>
      </c>
      <c r="K4279" t="s">
        <v>11446</v>
      </c>
      <c r="L4279" t="s">
        <v>13799</v>
      </c>
      <c r="M4279" t="s">
        <v>14743</v>
      </c>
      <c r="N4279" t="s">
        <v>14781</v>
      </c>
      <c r="P4279" t="s">
        <v>14805</v>
      </c>
      <c r="Q4279" t="s">
        <v>11448</v>
      </c>
      <c r="S4279" t="s">
        <v>14827</v>
      </c>
      <c r="T4279" t="s">
        <v>14832</v>
      </c>
      <c r="U4279" t="s">
        <v>564</v>
      </c>
      <c r="V4279">
        <v>1003</v>
      </c>
      <c r="W4279" t="s">
        <v>14858</v>
      </c>
      <c r="X4279" t="s">
        <v>14863</v>
      </c>
      <c r="Z4279" t="s">
        <v>18437</v>
      </c>
      <c r="AA4279" t="s">
        <v>19892</v>
      </c>
      <c r="AB4279" t="s">
        <v>23557</v>
      </c>
      <c r="AC4279">
        <v>20</v>
      </c>
      <c r="AD4279" t="s">
        <v>24598</v>
      </c>
      <c r="AE4279" t="s">
        <v>11459</v>
      </c>
      <c r="AF4279">
        <v>3</v>
      </c>
      <c r="AG4279">
        <v>2</v>
      </c>
      <c r="AH4279">
        <v>2</v>
      </c>
      <c r="AI4279">
        <v>124.27</v>
      </c>
      <c r="AL4279" t="s">
        <v>5011</v>
      </c>
      <c r="AM4279">
        <v>32000</v>
      </c>
      <c r="AS4279">
        <v>20.3</v>
      </c>
      <c r="AT4279" t="s">
        <v>509</v>
      </c>
      <c r="AU4279" t="s">
        <v>25268</v>
      </c>
      <c r="AV4279" t="s">
        <v>25334</v>
      </c>
      <c r="AW4279" t="s">
        <v>11447</v>
      </c>
    </row>
    <row r="4280" spans="1:49">
      <c r="A4280" s="1">
        <f>HYPERLINK("https://lsnyc.legalserver.org/matter/dynamic-profile/view/1907213","19-1907213")</f>
        <v>0</v>
      </c>
      <c r="B4280" t="s">
        <v>256</v>
      </c>
      <c r="C4280" t="s">
        <v>564</v>
      </c>
      <c r="E4280" t="s">
        <v>2116</v>
      </c>
      <c r="F4280" t="s">
        <v>5770</v>
      </c>
      <c r="G4280" t="s">
        <v>6965</v>
      </c>
      <c r="H4280" t="s">
        <v>10665</v>
      </c>
      <c r="I4280" t="s">
        <v>11383</v>
      </c>
      <c r="J4280">
        <v>10457</v>
      </c>
      <c r="K4280" t="s">
        <v>11446</v>
      </c>
      <c r="L4280" t="s">
        <v>13800</v>
      </c>
      <c r="M4280" t="s">
        <v>14743</v>
      </c>
      <c r="N4280" t="s">
        <v>14781</v>
      </c>
      <c r="P4280" t="s">
        <v>14805</v>
      </c>
      <c r="Q4280" t="s">
        <v>11448</v>
      </c>
      <c r="S4280" t="s">
        <v>14827</v>
      </c>
      <c r="T4280" t="s">
        <v>14832</v>
      </c>
      <c r="U4280" t="s">
        <v>564</v>
      </c>
      <c r="V4280">
        <v>1132</v>
      </c>
      <c r="W4280" t="s">
        <v>14858</v>
      </c>
      <c r="X4280" t="s">
        <v>14863</v>
      </c>
      <c r="Z4280" t="s">
        <v>18438</v>
      </c>
      <c r="AA4280" t="s">
        <v>19893</v>
      </c>
      <c r="AB4280" t="s">
        <v>23558</v>
      </c>
      <c r="AC4280">
        <v>89</v>
      </c>
      <c r="AD4280" t="s">
        <v>24595</v>
      </c>
      <c r="AE4280" t="s">
        <v>11459</v>
      </c>
      <c r="AF4280">
        <v>10</v>
      </c>
      <c r="AG4280">
        <v>1</v>
      </c>
      <c r="AH4280">
        <v>0</v>
      </c>
      <c r="AI4280">
        <v>191.51</v>
      </c>
      <c r="AL4280" t="s">
        <v>24632</v>
      </c>
      <c r="AM4280">
        <v>23920</v>
      </c>
      <c r="AS4280">
        <v>24.4</v>
      </c>
      <c r="AT4280" t="s">
        <v>603</v>
      </c>
      <c r="AU4280" t="s">
        <v>25268</v>
      </c>
      <c r="AV4280" t="s">
        <v>25334</v>
      </c>
      <c r="AW4280" t="s">
        <v>11447</v>
      </c>
    </row>
    <row r="4281" spans="1:49">
      <c r="A4281" s="1">
        <f>HYPERLINK("https://lsnyc.legalserver.org/matter/dynamic-profile/view/1907027","19-1907027")</f>
        <v>0</v>
      </c>
      <c r="B4281" t="s">
        <v>272</v>
      </c>
      <c r="C4281" t="s">
        <v>626</v>
      </c>
      <c r="E4281" t="s">
        <v>1332</v>
      </c>
      <c r="F4281" t="s">
        <v>4363</v>
      </c>
      <c r="G4281" t="s">
        <v>9530</v>
      </c>
      <c r="H4281">
        <v>53</v>
      </c>
      <c r="I4281" t="s">
        <v>11383</v>
      </c>
      <c r="J4281">
        <v>10467</v>
      </c>
      <c r="K4281" t="s">
        <v>11446</v>
      </c>
      <c r="L4281" t="s">
        <v>13801</v>
      </c>
      <c r="M4281" t="s">
        <v>14744</v>
      </c>
      <c r="N4281" t="s">
        <v>14781</v>
      </c>
      <c r="P4281" t="s">
        <v>14805</v>
      </c>
      <c r="Q4281" t="s">
        <v>11448</v>
      </c>
      <c r="S4281" t="s">
        <v>14827</v>
      </c>
      <c r="T4281" t="s">
        <v>14832</v>
      </c>
      <c r="U4281" t="s">
        <v>626</v>
      </c>
      <c r="V4281">
        <v>1209.64</v>
      </c>
      <c r="W4281" t="s">
        <v>14858</v>
      </c>
      <c r="X4281" t="s">
        <v>14863</v>
      </c>
      <c r="Z4281" t="s">
        <v>18439</v>
      </c>
      <c r="AB4281" t="s">
        <v>23559</v>
      </c>
      <c r="AC4281">
        <v>50</v>
      </c>
      <c r="AD4281" t="s">
        <v>11479</v>
      </c>
      <c r="AE4281" t="s">
        <v>24615</v>
      </c>
      <c r="AF4281">
        <v>13</v>
      </c>
      <c r="AG4281">
        <v>1</v>
      </c>
      <c r="AH4281">
        <v>3</v>
      </c>
      <c r="AI4281">
        <v>84.01000000000001</v>
      </c>
      <c r="AL4281" t="s">
        <v>5011</v>
      </c>
      <c r="AM4281">
        <v>21632</v>
      </c>
      <c r="AS4281">
        <v>16.75</v>
      </c>
      <c r="AT4281" t="s">
        <v>478</v>
      </c>
      <c r="AU4281" t="s">
        <v>245</v>
      </c>
      <c r="AV4281" t="s">
        <v>25335</v>
      </c>
      <c r="AW4281" t="s">
        <v>11447</v>
      </c>
    </row>
    <row r="4282" spans="1:49">
      <c r="A4282" s="1">
        <f>HYPERLINK("https://lsnyc.legalserver.org/matter/dynamic-profile/view/1907146","19-1907146")</f>
        <v>0</v>
      </c>
      <c r="B4282" t="s">
        <v>300</v>
      </c>
      <c r="C4282" t="s">
        <v>379</v>
      </c>
      <c r="E4282" t="s">
        <v>1316</v>
      </c>
      <c r="F4282" t="s">
        <v>5771</v>
      </c>
      <c r="G4282" t="s">
        <v>9531</v>
      </c>
      <c r="I4282" t="s">
        <v>11383</v>
      </c>
      <c r="J4282">
        <v>10467</v>
      </c>
      <c r="K4282" t="s">
        <v>11446</v>
      </c>
      <c r="L4282" t="s">
        <v>13802</v>
      </c>
      <c r="M4282" t="s">
        <v>14743</v>
      </c>
      <c r="N4282" t="s">
        <v>14781</v>
      </c>
      <c r="P4282" t="s">
        <v>14805</v>
      </c>
      <c r="Q4282" t="s">
        <v>11448</v>
      </c>
      <c r="S4282" t="s">
        <v>14827</v>
      </c>
      <c r="U4282" t="s">
        <v>379</v>
      </c>
      <c r="V4282">
        <v>1597</v>
      </c>
      <c r="W4282" t="s">
        <v>14858</v>
      </c>
      <c r="Z4282" t="s">
        <v>18440</v>
      </c>
      <c r="AB4282" t="s">
        <v>23560</v>
      </c>
      <c r="AC4282">
        <v>2</v>
      </c>
      <c r="AD4282" t="s">
        <v>24600</v>
      </c>
      <c r="AF4282">
        <v>2</v>
      </c>
      <c r="AG4282">
        <v>1</v>
      </c>
      <c r="AH4282">
        <v>0</v>
      </c>
      <c r="AI4282">
        <v>14.99</v>
      </c>
      <c r="AL4282" t="s">
        <v>5011</v>
      </c>
      <c r="AM4282">
        <v>1872</v>
      </c>
      <c r="AS4282">
        <v>22.75</v>
      </c>
      <c r="AT4282" t="s">
        <v>516</v>
      </c>
      <c r="AU4282" t="s">
        <v>145</v>
      </c>
      <c r="AV4282" t="s">
        <v>25335</v>
      </c>
      <c r="AW4282" t="s">
        <v>11447</v>
      </c>
    </row>
    <row r="4283" spans="1:49">
      <c r="A4283" s="1">
        <f>HYPERLINK("https://lsnyc.legalserver.org/matter/dynamic-profile/view/1896830","19-1896830")</f>
        <v>0</v>
      </c>
      <c r="B4283" t="s">
        <v>134</v>
      </c>
      <c r="C4283" t="s">
        <v>656</v>
      </c>
      <c r="E4283" t="s">
        <v>2944</v>
      </c>
      <c r="F4283" t="s">
        <v>5772</v>
      </c>
      <c r="G4283" t="s">
        <v>9532</v>
      </c>
      <c r="H4283">
        <v>1</v>
      </c>
      <c r="I4283" t="s">
        <v>11383</v>
      </c>
      <c r="J4283">
        <v>10457</v>
      </c>
      <c r="K4283" t="s">
        <v>11446</v>
      </c>
      <c r="L4283" t="s">
        <v>13803</v>
      </c>
      <c r="M4283" t="s">
        <v>14744</v>
      </c>
      <c r="N4283" t="s">
        <v>14781</v>
      </c>
      <c r="P4283" t="s">
        <v>14805</v>
      </c>
      <c r="Q4283" t="s">
        <v>11448</v>
      </c>
      <c r="S4283" t="s">
        <v>14827</v>
      </c>
      <c r="T4283" t="s">
        <v>14834</v>
      </c>
      <c r="U4283" t="s">
        <v>379</v>
      </c>
      <c r="V4283">
        <v>1269</v>
      </c>
      <c r="W4283" t="s">
        <v>14858</v>
      </c>
      <c r="Z4283" t="s">
        <v>18441</v>
      </c>
      <c r="AA4283" t="s">
        <v>19894</v>
      </c>
      <c r="AB4283" t="s">
        <v>23561</v>
      </c>
      <c r="AC4283">
        <v>25</v>
      </c>
      <c r="AD4283" t="s">
        <v>24595</v>
      </c>
      <c r="AE4283" t="s">
        <v>24610</v>
      </c>
      <c r="AF4283">
        <v>11</v>
      </c>
      <c r="AG4283">
        <v>1</v>
      </c>
      <c r="AH4283">
        <v>1</v>
      </c>
      <c r="AI4283">
        <v>64.08</v>
      </c>
      <c r="AL4283" t="s">
        <v>5011</v>
      </c>
      <c r="AM4283">
        <v>10836</v>
      </c>
      <c r="AN4283" t="s">
        <v>24895</v>
      </c>
      <c r="AS4283">
        <v>8.6</v>
      </c>
      <c r="AT4283" t="s">
        <v>528</v>
      </c>
      <c r="AU4283" t="s">
        <v>25236</v>
      </c>
      <c r="AV4283" t="s">
        <v>25334</v>
      </c>
      <c r="AW4283" t="s">
        <v>11447</v>
      </c>
    </row>
    <row r="4284" spans="1:49">
      <c r="A4284" s="1">
        <f>HYPERLINK("https://lsnyc.legalserver.org/matter/dynamic-profile/view/1907129","19-1907129")</f>
        <v>0</v>
      </c>
      <c r="B4284" t="s">
        <v>80</v>
      </c>
      <c r="C4284" t="s">
        <v>379</v>
      </c>
      <c r="E4284" t="s">
        <v>1372</v>
      </c>
      <c r="F4284" t="s">
        <v>4278</v>
      </c>
      <c r="G4284" t="s">
        <v>9533</v>
      </c>
      <c r="H4284">
        <v>2</v>
      </c>
      <c r="I4284" t="s">
        <v>11383</v>
      </c>
      <c r="J4284">
        <v>10462</v>
      </c>
      <c r="K4284" t="s">
        <v>11446</v>
      </c>
      <c r="L4284" t="s">
        <v>13804</v>
      </c>
      <c r="M4284" t="s">
        <v>14743</v>
      </c>
      <c r="N4284" t="s">
        <v>14781</v>
      </c>
      <c r="P4284" t="s">
        <v>14805</v>
      </c>
      <c r="Q4284" t="s">
        <v>11448</v>
      </c>
      <c r="S4284" t="s">
        <v>14827</v>
      </c>
      <c r="T4284" t="s">
        <v>14832</v>
      </c>
      <c r="U4284" t="s">
        <v>379</v>
      </c>
      <c r="V4284">
        <v>2006.54</v>
      </c>
      <c r="W4284" t="s">
        <v>14858</v>
      </c>
      <c r="Z4284" t="s">
        <v>18442</v>
      </c>
      <c r="AA4284" t="s">
        <v>19895</v>
      </c>
      <c r="AB4284" t="s">
        <v>23562</v>
      </c>
      <c r="AC4284">
        <v>2</v>
      </c>
      <c r="AD4284" t="s">
        <v>24600</v>
      </c>
      <c r="AF4284">
        <v>24</v>
      </c>
      <c r="AG4284">
        <v>1</v>
      </c>
      <c r="AH4284">
        <v>0</v>
      </c>
      <c r="AI4284">
        <v>76.86</v>
      </c>
      <c r="AL4284" t="s">
        <v>24632</v>
      </c>
      <c r="AM4284">
        <v>9600</v>
      </c>
      <c r="AS4284">
        <v>4</v>
      </c>
      <c r="AT4284" t="s">
        <v>528</v>
      </c>
      <c r="AU4284" t="s">
        <v>145</v>
      </c>
      <c r="AV4284" t="s">
        <v>25334</v>
      </c>
      <c r="AW4284" t="s">
        <v>11447</v>
      </c>
    </row>
    <row r="4285" spans="1:49">
      <c r="A4285" s="1">
        <f>HYPERLINK("https://lsnyc.legalserver.org/matter/dynamic-profile/view/1904041","19-1904041")</f>
        <v>0</v>
      </c>
      <c r="B4285" t="s">
        <v>157</v>
      </c>
      <c r="C4285" t="s">
        <v>621</v>
      </c>
      <c r="E4285" t="s">
        <v>3127</v>
      </c>
      <c r="F4285" t="s">
        <v>3547</v>
      </c>
      <c r="G4285" t="s">
        <v>9534</v>
      </c>
      <c r="I4285" t="s">
        <v>11383</v>
      </c>
      <c r="J4285">
        <v>10457</v>
      </c>
      <c r="K4285" t="s">
        <v>11446</v>
      </c>
      <c r="L4285" t="s">
        <v>13805</v>
      </c>
      <c r="M4285" t="s">
        <v>14744</v>
      </c>
      <c r="N4285" t="s">
        <v>14781</v>
      </c>
      <c r="P4285" t="s">
        <v>14805</v>
      </c>
      <c r="Q4285" t="s">
        <v>11448</v>
      </c>
      <c r="S4285" t="s">
        <v>14827</v>
      </c>
      <c r="T4285" t="s">
        <v>14832</v>
      </c>
      <c r="U4285" t="s">
        <v>366</v>
      </c>
      <c r="V4285">
        <v>1250</v>
      </c>
      <c r="W4285" t="s">
        <v>14858</v>
      </c>
      <c r="X4285" t="s">
        <v>14755</v>
      </c>
      <c r="Z4285" t="s">
        <v>18443</v>
      </c>
      <c r="AB4285" t="s">
        <v>23563</v>
      </c>
      <c r="AC4285">
        <v>21</v>
      </c>
      <c r="AF4285">
        <v>2</v>
      </c>
      <c r="AG4285">
        <v>1</v>
      </c>
      <c r="AH4285">
        <v>0</v>
      </c>
      <c r="AI4285">
        <v>199.84</v>
      </c>
      <c r="AM4285">
        <v>24960</v>
      </c>
      <c r="AS4285">
        <v>11.3</v>
      </c>
      <c r="AT4285" t="s">
        <v>470</v>
      </c>
      <c r="AU4285" t="s">
        <v>145</v>
      </c>
      <c r="AV4285" t="s">
        <v>25335</v>
      </c>
      <c r="AW4285" t="s">
        <v>11447</v>
      </c>
    </row>
    <row r="4286" spans="1:49">
      <c r="A4286" s="1">
        <f>HYPERLINK("https://lsnyc.legalserver.org/matter/dynamic-profile/view/1901418","19-1901418")</f>
        <v>0</v>
      </c>
      <c r="B4286" t="s">
        <v>111</v>
      </c>
      <c r="C4286" t="s">
        <v>330</v>
      </c>
      <c r="E4286" t="s">
        <v>1675</v>
      </c>
      <c r="F4286" t="s">
        <v>4638</v>
      </c>
      <c r="G4286" t="s">
        <v>9535</v>
      </c>
      <c r="H4286">
        <v>3</v>
      </c>
      <c r="I4286" t="s">
        <v>11383</v>
      </c>
      <c r="J4286">
        <v>10457</v>
      </c>
      <c r="K4286" t="s">
        <v>11446</v>
      </c>
      <c r="L4286" t="s">
        <v>13806</v>
      </c>
      <c r="M4286" t="s">
        <v>14743</v>
      </c>
      <c r="N4286" t="s">
        <v>14781</v>
      </c>
      <c r="P4286" t="s">
        <v>14805</v>
      </c>
      <c r="Q4286" t="s">
        <v>11448</v>
      </c>
      <c r="S4286" t="s">
        <v>14827</v>
      </c>
      <c r="T4286" t="s">
        <v>14832</v>
      </c>
      <c r="U4286" t="s">
        <v>465</v>
      </c>
      <c r="V4286">
        <v>2000</v>
      </c>
      <c r="W4286" t="s">
        <v>14858</v>
      </c>
      <c r="X4286" t="s">
        <v>14863</v>
      </c>
      <c r="Z4286" t="s">
        <v>18444</v>
      </c>
      <c r="AA4286" t="s">
        <v>19896</v>
      </c>
      <c r="AB4286" t="s">
        <v>23564</v>
      </c>
      <c r="AC4286">
        <v>3</v>
      </c>
      <c r="AD4286" t="s">
        <v>24600</v>
      </c>
      <c r="AE4286" t="s">
        <v>24611</v>
      </c>
      <c r="AF4286">
        <v>19</v>
      </c>
      <c r="AG4286">
        <v>2</v>
      </c>
      <c r="AH4286">
        <v>3</v>
      </c>
      <c r="AI4286">
        <v>30.98</v>
      </c>
      <c r="AL4286" t="s">
        <v>5011</v>
      </c>
      <c r="AM4286">
        <v>9348</v>
      </c>
      <c r="AN4286" t="s">
        <v>24896</v>
      </c>
      <c r="AS4286">
        <v>12</v>
      </c>
      <c r="AT4286" t="s">
        <v>592</v>
      </c>
      <c r="AU4286" t="s">
        <v>25242</v>
      </c>
      <c r="AV4286" t="s">
        <v>25334</v>
      </c>
      <c r="AW4286" t="s">
        <v>11447</v>
      </c>
    </row>
    <row r="4287" spans="1:49">
      <c r="A4287" s="1">
        <f>HYPERLINK("https://lsnyc.legalserver.org/matter/dynamic-profile/view/1905857","19-1905857")</f>
        <v>0</v>
      </c>
      <c r="B4287" t="s">
        <v>300</v>
      </c>
      <c r="C4287" t="s">
        <v>500</v>
      </c>
      <c r="E4287" t="s">
        <v>1740</v>
      </c>
      <c r="F4287" t="s">
        <v>5773</v>
      </c>
      <c r="G4287" t="s">
        <v>9536</v>
      </c>
      <c r="H4287">
        <v>3</v>
      </c>
      <c r="I4287" t="s">
        <v>11383</v>
      </c>
      <c r="J4287">
        <v>10467</v>
      </c>
      <c r="K4287" t="s">
        <v>11446</v>
      </c>
      <c r="L4287" t="s">
        <v>13807</v>
      </c>
      <c r="M4287" t="s">
        <v>14744</v>
      </c>
      <c r="N4287" t="s">
        <v>14781</v>
      </c>
      <c r="P4287" t="s">
        <v>14805</v>
      </c>
      <c r="Q4287" t="s">
        <v>11448</v>
      </c>
      <c r="S4287" t="s">
        <v>14827</v>
      </c>
      <c r="T4287" t="s">
        <v>14833</v>
      </c>
      <c r="U4287" t="s">
        <v>630</v>
      </c>
      <c r="V4287">
        <v>1650</v>
      </c>
      <c r="W4287" t="s">
        <v>14858</v>
      </c>
      <c r="Z4287" t="s">
        <v>15413</v>
      </c>
      <c r="AA4287" t="s">
        <v>19897</v>
      </c>
      <c r="AB4287" t="s">
        <v>23565</v>
      </c>
      <c r="AC4287">
        <v>3</v>
      </c>
      <c r="AD4287" t="s">
        <v>11479</v>
      </c>
      <c r="AE4287" t="s">
        <v>24610</v>
      </c>
      <c r="AF4287">
        <v>7</v>
      </c>
      <c r="AG4287">
        <v>2</v>
      </c>
      <c r="AH4287">
        <v>0</v>
      </c>
      <c r="AI4287">
        <v>0</v>
      </c>
      <c r="AL4287" t="s">
        <v>5011</v>
      </c>
      <c r="AM4287">
        <v>0</v>
      </c>
      <c r="AS4287">
        <v>16.85</v>
      </c>
      <c r="AT4287" t="s">
        <v>592</v>
      </c>
      <c r="AU4287" t="s">
        <v>145</v>
      </c>
      <c r="AV4287" t="s">
        <v>25335</v>
      </c>
      <c r="AW4287" t="s">
        <v>11447</v>
      </c>
    </row>
    <row r="4288" spans="1:49">
      <c r="A4288" s="1">
        <f>HYPERLINK("https://lsnyc.legalserver.org/matter/dynamic-profile/view/1904108","19-1904108")</f>
        <v>0</v>
      </c>
      <c r="B4288" t="s">
        <v>80</v>
      </c>
      <c r="C4288" t="s">
        <v>621</v>
      </c>
      <c r="E4288" t="s">
        <v>3128</v>
      </c>
      <c r="F4288" t="s">
        <v>4036</v>
      </c>
      <c r="G4288" t="s">
        <v>9537</v>
      </c>
      <c r="H4288" t="s">
        <v>10542</v>
      </c>
      <c r="I4288" t="s">
        <v>11383</v>
      </c>
      <c r="J4288">
        <v>10468</v>
      </c>
      <c r="K4288" t="s">
        <v>11446</v>
      </c>
      <c r="L4288" t="s">
        <v>13808</v>
      </c>
      <c r="M4288" t="s">
        <v>14744</v>
      </c>
      <c r="N4288" t="s">
        <v>14781</v>
      </c>
      <c r="P4288" t="s">
        <v>14805</v>
      </c>
      <c r="Q4288" t="s">
        <v>11448</v>
      </c>
      <c r="S4288" t="s">
        <v>14827</v>
      </c>
      <c r="U4288" t="s">
        <v>630</v>
      </c>
      <c r="V4288">
        <v>1807</v>
      </c>
      <c r="W4288" t="s">
        <v>14858</v>
      </c>
      <c r="Z4288" t="s">
        <v>18445</v>
      </c>
      <c r="AC4288">
        <v>57</v>
      </c>
      <c r="AF4288">
        <v>0</v>
      </c>
      <c r="AG4288">
        <v>2</v>
      </c>
      <c r="AH4288">
        <v>3</v>
      </c>
      <c r="AI4288">
        <v>110.31</v>
      </c>
      <c r="AL4288" t="s">
        <v>24632</v>
      </c>
      <c r="AM4288">
        <v>33280</v>
      </c>
      <c r="AS4288">
        <v>9</v>
      </c>
      <c r="AT4288" t="s">
        <v>488</v>
      </c>
      <c r="AU4288" t="s">
        <v>145</v>
      </c>
      <c r="AV4288" t="s">
        <v>25335</v>
      </c>
      <c r="AW4288" t="s">
        <v>11447</v>
      </c>
    </row>
    <row r="4289" spans="1:49">
      <c r="A4289" s="1">
        <f>HYPERLINK("https://lsnyc.legalserver.org/matter/dynamic-profile/view/1907668","19-1907668")</f>
        <v>0</v>
      </c>
      <c r="B4289" t="s">
        <v>80</v>
      </c>
      <c r="C4289" t="s">
        <v>633</v>
      </c>
      <c r="E4289" t="s">
        <v>3129</v>
      </c>
      <c r="F4289" t="s">
        <v>5774</v>
      </c>
      <c r="G4289" t="s">
        <v>9538</v>
      </c>
      <c r="H4289" t="s">
        <v>10574</v>
      </c>
      <c r="I4289" t="s">
        <v>11383</v>
      </c>
      <c r="J4289">
        <v>10467</v>
      </c>
      <c r="K4289" t="s">
        <v>11446</v>
      </c>
      <c r="L4289" t="s">
        <v>13809</v>
      </c>
      <c r="M4289" t="s">
        <v>14744</v>
      </c>
      <c r="N4289" t="s">
        <v>14781</v>
      </c>
      <c r="P4289" t="s">
        <v>14805</v>
      </c>
      <c r="Q4289" t="s">
        <v>11448</v>
      </c>
      <c r="S4289" t="s">
        <v>14827</v>
      </c>
      <c r="U4289" t="s">
        <v>633</v>
      </c>
      <c r="V4289">
        <v>1143.63</v>
      </c>
      <c r="W4289" t="s">
        <v>14858</v>
      </c>
      <c r="Z4289" t="s">
        <v>18446</v>
      </c>
      <c r="AA4289" t="s">
        <v>19898</v>
      </c>
      <c r="AB4289" t="s">
        <v>23566</v>
      </c>
      <c r="AC4289">
        <v>60</v>
      </c>
      <c r="AE4289" t="s">
        <v>24615</v>
      </c>
      <c r="AF4289">
        <v>7</v>
      </c>
      <c r="AG4289">
        <v>1</v>
      </c>
      <c r="AH4289">
        <v>2</v>
      </c>
      <c r="AI4289">
        <v>89.26000000000001</v>
      </c>
      <c r="AL4289" t="s">
        <v>24632</v>
      </c>
      <c r="AM4289">
        <v>19040</v>
      </c>
      <c r="AS4289">
        <v>9</v>
      </c>
      <c r="AT4289" t="s">
        <v>483</v>
      </c>
      <c r="AU4289" t="s">
        <v>145</v>
      </c>
      <c r="AV4289" t="s">
        <v>25334</v>
      </c>
      <c r="AW4289" t="s">
        <v>11447</v>
      </c>
    </row>
    <row r="4290" spans="1:49">
      <c r="A4290" s="1">
        <f>HYPERLINK("https://lsnyc.legalserver.org/matter/dynamic-profile/view/1904811","19-1904811")</f>
        <v>0</v>
      </c>
      <c r="B4290" t="s">
        <v>82</v>
      </c>
      <c r="C4290" t="s">
        <v>345</v>
      </c>
      <c r="E4290" t="s">
        <v>3130</v>
      </c>
      <c r="F4290" t="s">
        <v>5775</v>
      </c>
      <c r="G4290" t="s">
        <v>9539</v>
      </c>
      <c r="H4290" t="s">
        <v>10587</v>
      </c>
      <c r="I4290" t="s">
        <v>11383</v>
      </c>
      <c r="J4290">
        <v>10467</v>
      </c>
      <c r="K4290" t="s">
        <v>11446</v>
      </c>
      <c r="L4290" t="s">
        <v>13810</v>
      </c>
      <c r="M4290" t="s">
        <v>14744</v>
      </c>
      <c r="N4290" t="s">
        <v>14781</v>
      </c>
      <c r="P4290" t="s">
        <v>14805</v>
      </c>
      <c r="Q4290" t="s">
        <v>11448</v>
      </c>
      <c r="S4290" t="s">
        <v>14827</v>
      </c>
      <c r="U4290" t="s">
        <v>633</v>
      </c>
      <c r="V4290">
        <v>1560</v>
      </c>
      <c r="W4290" t="s">
        <v>14858</v>
      </c>
      <c r="X4290" t="s">
        <v>14865</v>
      </c>
      <c r="Z4290" t="s">
        <v>18447</v>
      </c>
      <c r="AB4290" t="s">
        <v>23567</v>
      </c>
      <c r="AC4290">
        <v>48</v>
      </c>
      <c r="AD4290" t="s">
        <v>24600</v>
      </c>
      <c r="AE4290" t="s">
        <v>24610</v>
      </c>
      <c r="AF4290">
        <v>1</v>
      </c>
      <c r="AG4290">
        <v>1</v>
      </c>
      <c r="AH4290">
        <v>1</v>
      </c>
      <c r="AI4290">
        <v>165.58</v>
      </c>
      <c r="AL4290" t="s">
        <v>5011</v>
      </c>
      <c r="AM4290">
        <v>28000</v>
      </c>
      <c r="AS4290">
        <v>4.05</v>
      </c>
      <c r="AT4290" t="s">
        <v>464</v>
      </c>
      <c r="AU4290" t="s">
        <v>25239</v>
      </c>
      <c r="AV4290" t="s">
        <v>25335</v>
      </c>
      <c r="AW4290" t="s">
        <v>11447</v>
      </c>
    </row>
    <row r="4291" spans="1:49">
      <c r="A4291" s="1">
        <f>HYPERLINK("https://lsnyc.legalserver.org/matter/dynamic-profile/view/1907722","19-1907722")</f>
        <v>0</v>
      </c>
      <c r="B4291" t="s">
        <v>256</v>
      </c>
      <c r="C4291" t="s">
        <v>633</v>
      </c>
      <c r="E4291" t="s">
        <v>1243</v>
      </c>
      <c r="F4291" t="s">
        <v>3969</v>
      </c>
      <c r="G4291" t="s">
        <v>9540</v>
      </c>
      <c r="H4291" t="s">
        <v>10464</v>
      </c>
      <c r="I4291" t="s">
        <v>11383</v>
      </c>
      <c r="J4291">
        <v>10457</v>
      </c>
      <c r="K4291" t="s">
        <v>11446</v>
      </c>
      <c r="L4291" t="s">
        <v>13811</v>
      </c>
      <c r="M4291" t="s">
        <v>14744</v>
      </c>
      <c r="N4291" t="s">
        <v>14781</v>
      </c>
      <c r="P4291" t="s">
        <v>14805</v>
      </c>
      <c r="Q4291" t="s">
        <v>11448</v>
      </c>
      <c r="S4291" t="s">
        <v>14827</v>
      </c>
      <c r="T4291" t="s">
        <v>14832</v>
      </c>
      <c r="U4291" t="s">
        <v>633</v>
      </c>
      <c r="V4291">
        <v>255</v>
      </c>
      <c r="W4291" t="s">
        <v>14858</v>
      </c>
      <c r="X4291" t="s">
        <v>14868</v>
      </c>
      <c r="Z4291" t="s">
        <v>18448</v>
      </c>
      <c r="AA4291" t="s">
        <v>19899</v>
      </c>
      <c r="AB4291" t="s">
        <v>23568</v>
      </c>
      <c r="AC4291">
        <v>28</v>
      </c>
      <c r="AD4291" t="s">
        <v>24596</v>
      </c>
      <c r="AE4291" t="s">
        <v>24610</v>
      </c>
      <c r="AF4291">
        <v>9</v>
      </c>
      <c r="AG4291">
        <v>1</v>
      </c>
      <c r="AH4291">
        <v>0</v>
      </c>
      <c r="AI4291">
        <v>192.15</v>
      </c>
      <c r="AL4291" t="s">
        <v>5011</v>
      </c>
      <c r="AM4291">
        <v>24000</v>
      </c>
      <c r="AS4291">
        <v>8.199999999999999</v>
      </c>
      <c r="AT4291" t="s">
        <v>509</v>
      </c>
      <c r="AU4291" t="s">
        <v>245</v>
      </c>
      <c r="AV4291" t="s">
        <v>25334</v>
      </c>
      <c r="AW4291" t="s">
        <v>11447</v>
      </c>
    </row>
    <row r="4292" spans="1:49">
      <c r="A4292" s="1">
        <f>HYPERLINK("https://lsnyc.legalserver.org/matter/dynamic-profile/view/1905695","19-1905695")</f>
        <v>0</v>
      </c>
      <c r="B4292" t="s">
        <v>143</v>
      </c>
      <c r="C4292" t="s">
        <v>496</v>
      </c>
      <c r="E4292" t="s">
        <v>2576</v>
      </c>
      <c r="F4292" t="s">
        <v>3296</v>
      </c>
      <c r="G4292" t="s">
        <v>9541</v>
      </c>
      <c r="H4292" t="s">
        <v>10974</v>
      </c>
      <c r="I4292" t="s">
        <v>11383</v>
      </c>
      <c r="J4292">
        <v>10468</v>
      </c>
      <c r="K4292" t="s">
        <v>11446</v>
      </c>
      <c r="L4292" t="s">
        <v>13812</v>
      </c>
      <c r="M4292" t="s">
        <v>14744</v>
      </c>
      <c r="N4292" t="s">
        <v>14781</v>
      </c>
      <c r="P4292" t="s">
        <v>14805</v>
      </c>
      <c r="Q4292" t="s">
        <v>11448</v>
      </c>
      <c r="S4292" t="s">
        <v>14827</v>
      </c>
      <c r="U4292" t="s">
        <v>377</v>
      </c>
      <c r="V4292">
        <v>1541.18</v>
      </c>
      <c r="W4292" t="s">
        <v>14858</v>
      </c>
      <c r="X4292" t="s">
        <v>14865</v>
      </c>
      <c r="Z4292" t="s">
        <v>18449</v>
      </c>
      <c r="AA4292" t="s">
        <v>19900</v>
      </c>
      <c r="AB4292" t="s">
        <v>23569</v>
      </c>
      <c r="AC4292">
        <v>0</v>
      </c>
      <c r="AD4292" t="s">
        <v>24595</v>
      </c>
      <c r="AE4292" t="s">
        <v>11459</v>
      </c>
      <c r="AF4292">
        <v>7</v>
      </c>
      <c r="AG4292">
        <v>1</v>
      </c>
      <c r="AH4292">
        <v>0</v>
      </c>
      <c r="AI4292">
        <v>0</v>
      </c>
      <c r="AL4292" t="s">
        <v>5011</v>
      </c>
      <c r="AM4292">
        <v>0</v>
      </c>
      <c r="AS4292">
        <v>7.9</v>
      </c>
      <c r="AT4292" t="s">
        <v>521</v>
      </c>
      <c r="AU4292" t="s">
        <v>25239</v>
      </c>
      <c r="AV4292" t="s">
        <v>25334</v>
      </c>
      <c r="AW4292" t="s">
        <v>11447</v>
      </c>
    </row>
    <row r="4293" spans="1:49">
      <c r="A4293" s="1">
        <f>HYPERLINK("https://lsnyc.legalserver.org/matter/dynamic-profile/view/1904722","19-1904722")</f>
        <v>0</v>
      </c>
      <c r="B4293" t="s">
        <v>130</v>
      </c>
      <c r="C4293" t="s">
        <v>365</v>
      </c>
      <c r="E4293" t="s">
        <v>3131</v>
      </c>
      <c r="F4293" t="s">
        <v>5776</v>
      </c>
      <c r="G4293" t="s">
        <v>9449</v>
      </c>
      <c r="H4293" t="s">
        <v>10790</v>
      </c>
      <c r="I4293" t="s">
        <v>11383</v>
      </c>
      <c r="J4293">
        <v>10467</v>
      </c>
      <c r="K4293" t="s">
        <v>11446</v>
      </c>
      <c r="L4293" t="s">
        <v>13813</v>
      </c>
      <c r="M4293" t="s">
        <v>14744</v>
      </c>
      <c r="N4293" t="s">
        <v>14781</v>
      </c>
      <c r="P4293" t="s">
        <v>14805</v>
      </c>
      <c r="Q4293" t="s">
        <v>11448</v>
      </c>
      <c r="S4293" t="s">
        <v>14827</v>
      </c>
      <c r="U4293" t="s">
        <v>377</v>
      </c>
      <c r="V4293">
        <v>863</v>
      </c>
      <c r="W4293" t="s">
        <v>14858</v>
      </c>
      <c r="X4293" t="s">
        <v>14863</v>
      </c>
      <c r="Z4293" t="s">
        <v>18450</v>
      </c>
      <c r="AB4293" t="s">
        <v>23570</v>
      </c>
      <c r="AC4293">
        <v>135</v>
      </c>
      <c r="AD4293" t="s">
        <v>24595</v>
      </c>
      <c r="AE4293" t="s">
        <v>24615</v>
      </c>
      <c r="AF4293">
        <v>3</v>
      </c>
      <c r="AG4293">
        <v>1</v>
      </c>
      <c r="AH4293">
        <v>2</v>
      </c>
      <c r="AI4293">
        <v>30.15</v>
      </c>
      <c r="AL4293" t="s">
        <v>5011</v>
      </c>
      <c r="AM4293">
        <v>6430</v>
      </c>
      <c r="AS4293">
        <v>7.55</v>
      </c>
      <c r="AT4293" t="s">
        <v>495</v>
      </c>
      <c r="AU4293" t="s">
        <v>245</v>
      </c>
      <c r="AV4293" t="s">
        <v>25335</v>
      </c>
      <c r="AW4293" t="s">
        <v>11447</v>
      </c>
    </row>
    <row r="4294" spans="1:49">
      <c r="A4294" s="1">
        <f>HYPERLINK("https://lsnyc.legalserver.org/matter/dynamic-profile/view/1904677","19-1904677")</f>
        <v>0</v>
      </c>
      <c r="B4294" t="s">
        <v>130</v>
      </c>
      <c r="C4294" t="s">
        <v>365</v>
      </c>
      <c r="E4294" t="s">
        <v>1224</v>
      </c>
      <c r="F4294" t="s">
        <v>3561</v>
      </c>
      <c r="G4294" t="s">
        <v>9542</v>
      </c>
      <c r="H4294">
        <v>802</v>
      </c>
      <c r="I4294" t="s">
        <v>11383</v>
      </c>
      <c r="J4294">
        <v>10468</v>
      </c>
      <c r="K4294" t="s">
        <v>11446</v>
      </c>
      <c r="L4294" t="s">
        <v>13814</v>
      </c>
      <c r="M4294" t="s">
        <v>14744</v>
      </c>
      <c r="N4294" t="s">
        <v>14781</v>
      </c>
      <c r="P4294" t="s">
        <v>14805</v>
      </c>
      <c r="Q4294" t="s">
        <v>11448</v>
      </c>
      <c r="S4294" t="s">
        <v>14827</v>
      </c>
      <c r="U4294" t="s">
        <v>524</v>
      </c>
      <c r="V4294">
        <v>0</v>
      </c>
      <c r="W4294" t="s">
        <v>14858</v>
      </c>
      <c r="X4294" t="s">
        <v>14863</v>
      </c>
      <c r="Z4294" t="s">
        <v>18451</v>
      </c>
      <c r="AB4294" t="s">
        <v>23571</v>
      </c>
      <c r="AC4294">
        <v>0</v>
      </c>
      <c r="AD4294" t="s">
        <v>11479</v>
      </c>
      <c r="AE4294" t="s">
        <v>24610</v>
      </c>
      <c r="AF4294">
        <v>3</v>
      </c>
      <c r="AG4294">
        <v>1</v>
      </c>
      <c r="AH4294">
        <v>0</v>
      </c>
      <c r="AI4294">
        <v>80.42</v>
      </c>
      <c r="AL4294" t="s">
        <v>5011</v>
      </c>
      <c r="AM4294">
        <v>10044</v>
      </c>
      <c r="AS4294">
        <v>3.75</v>
      </c>
      <c r="AT4294" t="s">
        <v>495</v>
      </c>
      <c r="AU4294" t="s">
        <v>245</v>
      </c>
      <c r="AV4294" t="s">
        <v>25335</v>
      </c>
      <c r="AW4294" t="s">
        <v>11447</v>
      </c>
    </row>
    <row r="4295" spans="1:49">
      <c r="A4295" s="1">
        <f>HYPERLINK("https://lsnyc.legalserver.org/matter/dynamic-profile/view/1903351","19-1903351")</f>
        <v>0</v>
      </c>
      <c r="B4295" t="s">
        <v>157</v>
      </c>
      <c r="C4295" t="s">
        <v>608</v>
      </c>
      <c r="E4295" t="s">
        <v>3132</v>
      </c>
      <c r="F4295" t="s">
        <v>5777</v>
      </c>
      <c r="G4295" t="s">
        <v>9543</v>
      </c>
      <c r="H4295" t="s">
        <v>10570</v>
      </c>
      <c r="I4295" t="s">
        <v>11383</v>
      </c>
      <c r="J4295">
        <v>10457</v>
      </c>
      <c r="K4295" t="s">
        <v>11446</v>
      </c>
      <c r="L4295" t="s">
        <v>13815</v>
      </c>
      <c r="M4295" t="s">
        <v>14744</v>
      </c>
      <c r="N4295" t="s">
        <v>14781</v>
      </c>
      <c r="P4295" t="s">
        <v>14805</v>
      </c>
      <c r="Q4295" t="s">
        <v>11448</v>
      </c>
      <c r="S4295" t="s">
        <v>14827</v>
      </c>
      <c r="U4295" t="s">
        <v>458</v>
      </c>
      <c r="V4295">
        <v>2100</v>
      </c>
      <c r="W4295" t="s">
        <v>14858</v>
      </c>
      <c r="X4295" t="s">
        <v>14755</v>
      </c>
      <c r="Z4295" t="s">
        <v>17905</v>
      </c>
      <c r="AA4295" t="s">
        <v>19901</v>
      </c>
      <c r="AB4295" t="s">
        <v>23572</v>
      </c>
      <c r="AC4295">
        <v>21</v>
      </c>
      <c r="AE4295" t="s">
        <v>14755</v>
      </c>
      <c r="AF4295">
        <v>1</v>
      </c>
      <c r="AG4295">
        <v>1</v>
      </c>
      <c r="AH4295">
        <v>3</v>
      </c>
      <c r="AI4295">
        <v>49.81</v>
      </c>
      <c r="AL4295" t="s">
        <v>5011</v>
      </c>
      <c r="AM4295">
        <v>12826</v>
      </c>
      <c r="AS4295">
        <v>6.5</v>
      </c>
      <c r="AT4295" t="s">
        <v>644</v>
      </c>
      <c r="AU4295" t="s">
        <v>145</v>
      </c>
      <c r="AV4295" t="s">
        <v>25334</v>
      </c>
      <c r="AW4295" t="s">
        <v>11447</v>
      </c>
    </row>
    <row r="4296" spans="1:49">
      <c r="A4296" s="1">
        <f>HYPERLINK("https://lsnyc.legalserver.org/matter/dynamic-profile/view/1907559","19-1907559")</f>
        <v>0</v>
      </c>
      <c r="B4296" t="s">
        <v>298</v>
      </c>
      <c r="C4296" t="s">
        <v>630</v>
      </c>
      <c r="E4296" t="s">
        <v>3133</v>
      </c>
      <c r="F4296" t="s">
        <v>5778</v>
      </c>
      <c r="G4296" t="s">
        <v>9544</v>
      </c>
      <c r="H4296" t="s">
        <v>10489</v>
      </c>
      <c r="I4296" t="s">
        <v>11383</v>
      </c>
      <c r="J4296">
        <v>10467</v>
      </c>
      <c r="K4296" t="s">
        <v>11446</v>
      </c>
      <c r="L4296" t="s">
        <v>13816</v>
      </c>
      <c r="M4296" t="s">
        <v>14743</v>
      </c>
      <c r="N4296" t="s">
        <v>14781</v>
      </c>
      <c r="P4296" t="s">
        <v>14805</v>
      </c>
      <c r="Q4296" t="s">
        <v>11448</v>
      </c>
      <c r="S4296" t="s">
        <v>14827</v>
      </c>
      <c r="T4296" t="s">
        <v>14832</v>
      </c>
      <c r="U4296" t="s">
        <v>458</v>
      </c>
      <c r="V4296">
        <v>1575</v>
      </c>
      <c r="W4296" t="s">
        <v>14858</v>
      </c>
      <c r="Z4296" t="s">
        <v>18452</v>
      </c>
      <c r="AA4296" t="s">
        <v>19902</v>
      </c>
      <c r="AB4296" t="s">
        <v>23573</v>
      </c>
      <c r="AC4296">
        <v>70</v>
      </c>
      <c r="AD4296" t="s">
        <v>24595</v>
      </c>
      <c r="AE4296" t="s">
        <v>24610</v>
      </c>
      <c r="AF4296">
        <v>9</v>
      </c>
      <c r="AG4296">
        <v>5</v>
      </c>
      <c r="AH4296">
        <v>0</v>
      </c>
      <c r="AI4296">
        <v>77.56</v>
      </c>
      <c r="AL4296" t="s">
        <v>5011</v>
      </c>
      <c r="AM4296">
        <v>23400</v>
      </c>
      <c r="AS4296">
        <v>13.75</v>
      </c>
      <c r="AT4296" t="s">
        <v>478</v>
      </c>
      <c r="AU4296" t="s">
        <v>145</v>
      </c>
      <c r="AV4296" t="s">
        <v>25334</v>
      </c>
      <c r="AW4296" t="s">
        <v>11447</v>
      </c>
    </row>
    <row r="4297" spans="1:49">
      <c r="A4297" s="1">
        <f>HYPERLINK("https://lsnyc.legalserver.org/matter/dynamic-profile/view/1905551","19-1905551")</f>
        <v>0</v>
      </c>
      <c r="B4297" t="s">
        <v>134</v>
      </c>
      <c r="C4297" t="s">
        <v>555</v>
      </c>
      <c r="E4297" t="s">
        <v>3134</v>
      </c>
      <c r="F4297" t="s">
        <v>3633</v>
      </c>
      <c r="G4297" t="s">
        <v>9545</v>
      </c>
      <c r="H4297">
        <v>21</v>
      </c>
      <c r="I4297" t="s">
        <v>11383</v>
      </c>
      <c r="J4297">
        <v>10468</v>
      </c>
      <c r="K4297" t="s">
        <v>11446</v>
      </c>
      <c r="L4297" t="s">
        <v>13817</v>
      </c>
      <c r="M4297" t="s">
        <v>14743</v>
      </c>
      <c r="N4297" t="s">
        <v>14781</v>
      </c>
      <c r="P4297" t="s">
        <v>14805</v>
      </c>
      <c r="Q4297" t="s">
        <v>11448</v>
      </c>
      <c r="S4297" t="s">
        <v>14827</v>
      </c>
      <c r="T4297" t="s">
        <v>14832</v>
      </c>
      <c r="U4297" t="s">
        <v>458</v>
      </c>
      <c r="V4297">
        <v>1125</v>
      </c>
      <c r="W4297" t="s">
        <v>14858</v>
      </c>
      <c r="Z4297" t="s">
        <v>18453</v>
      </c>
      <c r="AB4297" t="s">
        <v>23574</v>
      </c>
      <c r="AC4297">
        <v>30</v>
      </c>
      <c r="AD4297" t="s">
        <v>24595</v>
      </c>
      <c r="AE4297" t="s">
        <v>24610</v>
      </c>
      <c r="AF4297">
        <v>2</v>
      </c>
      <c r="AG4297">
        <v>1</v>
      </c>
      <c r="AH4297">
        <v>0</v>
      </c>
      <c r="AI4297">
        <v>145.72</v>
      </c>
      <c r="AM4297">
        <v>18200</v>
      </c>
      <c r="AS4297">
        <v>8.800000000000001</v>
      </c>
      <c r="AT4297" t="s">
        <v>489</v>
      </c>
      <c r="AU4297" t="s">
        <v>145</v>
      </c>
      <c r="AV4297" t="s">
        <v>25335</v>
      </c>
      <c r="AW4297" t="s">
        <v>11447</v>
      </c>
    </row>
    <row r="4298" spans="1:49">
      <c r="A4298" s="1">
        <f>HYPERLINK("https://lsnyc.legalserver.org/matter/dynamic-profile/view/1904797","19-1904797")</f>
        <v>0</v>
      </c>
      <c r="B4298" t="s">
        <v>134</v>
      </c>
      <c r="C4298" t="s">
        <v>345</v>
      </c>
      <c r="E4298" t="s">
        <v>1086</v>
      </c>
      <c r="F4298" t="s">
        <v>5053</v>
      </c>
      <c r="G4298" t="s">
        <v>9522</v>
      </c>
      <c r="H4298">
        <v>55</v>
      </c>
      <c r="I4298" t="s">
        <v>11383</v>
      </c>
      <c r="J4298">
        <v>10457</v>
      </c>
      <c r="K4298" t="s">
        <v>11446</v>
      </c>
      <c r="L4298" t="s">
        <v>13818</v>
      </c>
      <c r="M4298" t="s">
        <v>14744</v>
      </c>
      <c r="N4298" t="s">
        <v>14781</v>
      </c>
      <c r="P4298" t="s">
        <v>14805</v>
      </c>
      <c r="Q4298" t="s">
        <v>11448</v>
      </c>
      <c r="S4298" t="s">
        <v>14827</v>
      </c>
      <c r="T4298" t="s">
        <v>14832</v>
      </c>
      <c r="U4298" t="s">
        <v>458</v>
      </c>
      <c r="V4298">
        <v>1300.5</v>
      </c>
      <c r="W4298" t="s">
        <v>14858</v>
      </c>
      <c r="X4298" t="s">
        <v>14755</v>
      </c>
      <c r="Z4298" t="s">
        <v>18454</v>
      </c>
      <c r="AA4298" t="s">
        <v>19903</v>
      </c>
      <c r="AB4298" t="s">
        <v>23575</v>
      </c>
      <c r="AC4298">
        <v>27</v>
      </c>
      <c r="AD4298" t="s">
        <v>24595</v>
      </c>
      <c r="AE4298" t="s">
        <v>24615</v>
      </c>
      <c r="AF4298">
        <v>3</v>
      </c>
      <c r="AG4298">
        <v>1</v>
      </c>
      <c r="AH4298">
        <v>3</v>
      </c>
      <c r="AI4298">
        <v>206.07</v>
      </c>
      <c r="AJ4298" t="s">
        <v>462</v>
      </c>
      <c r="AK4298" t="s">
        <v>24629</v>
      </c>
      <c r="AL4298" t="s">
        <v>5011</v>
      </c>
      <c r="AM4298">
        <v>53064</v>
      </c>
      <c r="AS4298">
        <v>3.5</v>
      </c>
      <c r="AT4298" t="s">
        <v>458</v>
      </c>
      <c r="AU4298" t="s">
        <v>25252</v>
      </c>
      <c r="AV4298" t="s">
        <v>25335</v>
      </c>
      <c r="AW4298" t="s">
        <v>11447</v>
      </c>
    </row>
    <row r="4299" spans="1:49">
      <c r="A4299" s="1">
        <f>HYPERLINK("https://lsnyc.legalserver.org/matter/dynamic-profile/view/1908102","19-1908102")</f>
        <v>0</v>
      </c>
      <c r="B4299" t="s">
        <v>60</v>
      </c>
      <c r="C4299" t="s">
        <v>455</v>
      </c>
      <c r="E4299" t="s">
        <v>1372</v>
      </c>
      <c r="F4299" t="s">
        <v>3716</v>
      </c>
      <c r="G4299" t="s">
        <v>9546</v>
      </c>
      <c r="H4299" t="s">
        <v>11117</v>
      </c>
      <c r="I4299" t="s">
        <v>11383</v>
      </c>
      <c r="J4299">
        <v>10457</v>
      </c>
      <c r="K4299" t="s">
        <v>11446</v>
      </c>
      <c r="L4299" t="s">
        <v>13819</v>
      </c>
      <c r="M4299" t="s">
        <v>14744</v>
      </c>
      <c r="N4299" t="s">
        <v>14781</v>
      </c>
      <c r="P4299" t="s">
        <v>14805</v>
      </c>
      <c r="Q4299" t="s">
        <v>11448</v>
      </c>
      <c r="S4299" t="s">
        <v>14827</v>
      </c>
      <c r="T4299" t="s">
        <v>14832</v>
      </c>
      <c r="U4299" t="s">
        <v>455</v>
      </c>
      <c r="V4299">
        <v>250</v>
      </c>
      <c r="W4299" t="s">
        <v>14858</v>
      </c>
      <c r="X4299" t="s">
        <v>14868</v>
      </c>
      <c r="Z4299" t="s">
        <v>18455</v>
      </c>
      <c r="AA4299" t="s">
        <v>19904</v>
      </c>
      <c r="AB4299" t="s">
        <v>23576</v>
      </c>
      <c r="AC4299">
        <v>100</v>
      </c>
      <c r="AD4299" t="s">
        <v>24597</v>
      </c>
      <c r="AF4299">
        <v>23</v>
      </c>
      <c r="AG4299">
        <v>3</v>
      </c>
      <c r="AH4299">
        <v>0</v>
      </c>
      <c r="AI4299">
        <v>16.32</v>
      </c>
      <c r="AL4299" t="s">
        <v>5011</v>
      </c>
      <c r="AM4299">
        <v>3480</v>
      </c>
      <c r="AS4299">
        <v>0.8</v>
      </c>
      <c r="AT4299" t="s">
        <v>455</v>
      </c>
      <c r="AU4299" t="s">
        <v>25239</v>
      </c>
      <c r="AV4299" t="s">
        <v>25335</v>
      </c>
      <c r="AW4299" t="s">
        <v>11447</v>
      </c>
    </row>
    <row r="4300" spans="1:49">
      <c r="A4300" s="1">
        <f>HYPERLINK("https://lsnyc.legalserver.org/matter/dynamic-profile/view/1901306","19-1901306")</f>
        <v>0</v>
      </c>
      <c r="B4300" t="s">
        <v>142</v>
      </c>
      <c r="C4300" t="s">
        <v>649</v>
      </c>
      <c r="E4300" t="s">
        <v>1453</v>
      </c>
      <c r="F4300" t="s">
        <v>5779</v>
      </c>
      <c r="G4300" t="s">
        <v>9547</v>
      </c>
      <c r="H4300" t="s">
        <v>10481</v>
      </c>
      <c r="I4300" t="s">
        <v>11383</v>
      </c>
      <c r="J4300">
        <v>10468</v>
      </c>
      <c r="K4300" t="s">
        <v>11446</v>
      </c>
      <c r="L4300" t="s">
        <v>13820</v>
      </c>
      <c r="M4300" t="s">
        <v>14743</v>
      </c>
      <c r="N4300" t="s">
        <v>14781</v>
      </c>
      <c r="P4300" t="s">
        <v>14805</v>
      </c>
      <c r="Q4300" t="s">
        <v>11448</v>
      </c>
      <c r="S4300" t="s">
        <v>14827</v>
      </c>
      <c r="T4300" t="s">
        <v>14832</v>
      </c>
      <c r="U4300" t="s">
        <v>455</v>
      </c>
      <c r="V4300">
        <v>325.22</v>
      </c>
      <c r="W4300" t="s">
        <v>14858</v>
      </c>
      <c r="Z4300" t="s">
        <v>18456</v>
      </c>
      <c r="AB4300" t="s">
        <v>23577</v>
      </c>
      <c r="AC4300">
        <v>20</v>
      </c>
      <c r="AD4300" t="s">
        <v>24595</v>
      </c>
      <c r="AF4300">
        <v>47</v>
      </c>
      <c r="AG4300">
        <v>1</v>
      </c>
      <c r="AH4300">
        <v>0</v>
      </c>
      <c r="AI4300">
        <v>127.01</v>
      </c>
      <c r="AL4300" t="s">
        <v>5011</v>
      </c>
      <c r="AM4300">
        <v>15864</v>
      </c>
      <c r="AS4300">
        <v>40</v>
      </c>
      <c r="AT4300" t="s">
        <v>516</v>
      </c>
      <c r="AU4300" t="s">
        <v>145</v>
      </c>
      <c r="AV4300" t="s">
        <v>25335</v>
      </c>
      <c r="AW4300" t="s">
        <v>11447</v>
      </c>
    </row>
    <row r="4301" spans="1:49">
      <c r="A4301" s="1">
        <f>HYPERLINK("https://lsnyc.legalserver.org/matter/dynamic-profile/view/1908111","19-1908111")</f>
        <v>0</v>
      </c>
      <c r="B4301" t="s">
        <v>300</v>
      </c>
      <c r="C4301" t="s">
        <v>455</v>
      </c>
      <c r="E4301" t="s">
        <v>3135</v>
      </c>
      <c r="F4301" t="s">
        <v>5780</v>
      </c>
      <c r="G4301" t="s">
        <v>9548</v>
      </c>
      <c r="H4301" t="s">
        <v>10547</v>
      </c>
      <c r="I4301" t="s">
        <v>11383</v>
      </c>
      <c r="J4301">
        <v>10467</v>
      </c>
      <c r="K4301" t="s">
        <v>11446</v>
      </c>
      <c r="L4301" t="s">
        <v>13821</v>
      </c>
      <c r="M4301" t="s">
        <v>14743</v>
      </c>
      <c r="N4301" t="s">
        <v>14781</v>
      </c>
      <c r="P4301" t="s">
        <v>14805</v>
      </c>
      <c r="Q4301" t="s">
        <v>11448</v>
      </c>
      <c r="S4301" t="s">
        <v>14827</v>
      </c>
      <c r="T4301" t="s">
        <v>14832</v>
      </c>
      <c r="U4301" t="s">
        <v>375</v>
      </c>
      <c r="V4301">
        <v>1250</v>
      </c>
      <c r="W4301" t="s">
        <v>14858</v>
      </c>
      <c r="X4301" t="s">
        <v>14865</v>
      </c>
      <c r="Z4301" t="s">
        <v>18457</v>
      </c>
      <c r="AB4301" t="s">
        <v>23578</v>
      </c>
      <c r="AC4301">
        <v>70</v>
      </c>
      <c r="AD4301" t="s">
        <v>24595</v>
      </c>
      <c r="AE4301" t="s">
        <v>24610</v>
      </c>
      <c r="AF4301">
        <v>11</v>
      </c>
      <c r="AG4301">
        <v>1</v>
      </c>
      <c r="AH4301">
        <v>0</v>
      </c>
      <c r="AI4301">
        <v>68.69</v>
      </c>
      <c r="AL4301" t="s">
        <v>5011</v>
      </c>
      <c r="AM4301">
        <v>8580</v>
      </c>
      <c r="AS4301">
        <v>9.300000000000001</v>
      </c>
      <c r="AT4301" t="s">
        <v>539</v>
      </c>
      <c r="AU4301" t="s">
        <v>25239</v>
      </c>
      <c r="AV4301" t="s">
        <v>25335</v>
      </c>
      <c r="AW4301" t="s">
        <v>11447</v>
      </c>
    </row>
    <row r="4302" spans="1:49">
      <c r="A4302" s="1">
        <f>HYPERLINK("https://lsnyc.legalserver.org/matter/dynamic-profile/view/1907654","19-1907654")</f>
        <v>0</v>
      </c>
      <c r="B4302" t="s">
        <v>115</v>
      </c>
      <c r="C4302" t="s">
        <v>633</v>
      </c>
      <c r="E4302" t="s">
        <v>1672</v>
      </c>
      <c r="F4302" t="s">
        <v>3628</v>
      </c>
      <c r="G4302" t="s">
        <v>9427</v>
      </c>
      <c r="H4302" t="s">
        <v>10465</v>
      </c>
      <c r="I4302" t="s">
        <v>11383</v>
      </c>
      <c r="J4302">
        <v>10467</v>
      </c>
      <c r="K4302" t="s">
        <v>11446</v>
      </c>
      <c r="L4302" t="s">
        <v>13822</v>
      </c>
      <c r="M4302" t="s">
        <v>14743</v>
      </c>
      <c r="N4302" t="s">
        <v>14781</v>
      </c>
      <c r="P4302" t="s">
        <v>14805</v>
      </c>
      <c r="Q4302" t="s">
        <v>11448</v>
      </c>
      <c r="S4302" t="s">
        <v>14827</v>
      </c>
      <c r="U4302" t="s">
        <v>375</v>
      </c>
      <c r="V4302">
        <v>1155</v>
      </c>
      <c r="W4302" t="s">
        <v>14858</v>
      </c>
      <c r="Z4302" t="s">
        <v>18458</v>
      </c>
      <c r="AC4302">
        <v>49</v>
      </c>
      <c r="AF4302">
        <v>2</v>
      </c>
      <c r="AG4302">
        <v>2</v>
      </c>
      <c r="AH4302">
        <v>4</v>
      </c>
      <c r="AI4302">
        <v>75.17</v>
      </c>
      <c r="AL4302" t="s">
        <v>5011</v>
      </c>
      <c r="AM4302">
        <v>26000</v>
      </c>
      <c r="AS4302">
        <v>10</v>
      </c>
      <c r="AT4302" t="s">
        <v>483</v>
      </c>
      <c r="AU4302" t="s">
        <v>145</v>
      </c>
      <c r="AV4302" t="s">
        <v>25335</v>
      </c>
      <c r="AW4302" t="s">
        <v>11447</v>
      </c>
    </row>
    <row r="4303" spans="1:49">
      <c r="A4303" s="1">
        <f>HYPERLINK("https://lsnyc.legalserver.org/matter/dynamic-profile/view/1901942","19-1901942")</f>
        <v>0</v>
      </c>
      <c r="B4303" t="s">
        <v>81</v>
      </c>
      <c r="C4303" t="s">
        <v>347</v>
      </c>
      <c r="E4303" t="s">
        <v>3136</v>
      </c>
      <c r="F4303" t="s">
        <v>5781</v>
      </c>
      <c r="G4303" t="s">
        <v>9549</v>
      </c>
      <c r="H4303" t="s">
        <v>10509</v>
      </c>
      <c r="I4303" t="s">
        <v>11383</v>
      </c>
      <c r="J4303">
        <v>10468</v>
      </c>
      <c r="K4303" t="s">
        <v>11446</v>
      </c>
      <c r="L4303" t="s">
        <v>13823</v>
      </c>
      <c r="M4303" t="s">
        <v>14744</v>
      </c>
      <c r="N4303" t="s">
        <v>14781</v>
      </c>
      <c r="P4303" t="s">
        <v>14805</v>
      </c>
      <c r="Q4303" t="s">
        <v>11448</v>
      </c>
      <c r="S4303" t="s">
        <v>14827</v>
      </c>
      <c r="T4303" t="s">
        <v>14832</v>
      </c>
      <c r="U4303" t="s">
        <v>464</v>
      </c>
      <c r="V4303">
        <v>0</v>
      </c>
      <c r="W4303" t="s">
        <v>14858</v>
      </c>
      <c r="X4303" t="s">
        <v>14868</v>
      </c>
      <c r="Z4303" t="s">
        <v>18459</v>
      </c>
      <c r="AA4303" t="s">
        <v>19905</v>
      </c>
      <c r="AB4303" t="s">
        <v>23579</v>
      </c>
      <c r="AC4303">
        <v>38</v>
      </c>
      <c r="AD4303" t="s">
        <v>24595</v>
      </c>
      <c r="AE4303" t="s">
        <v>11459</v>
      </c>
      <c r="AF4303">
        <v>29</v>
      </c>
      <c r="AG4303">
        <v>2</v>
      </c>
      <c r="AH4303">
        <v>4</v>
      </c>
      <c r="AI4303">
        <v>128.33</v>
      </c>
      <c r="AL4303" t="s">
        <v>24632</v>
      </c>
      <c r="AM4303">
        <v>44388.96</v>
      </c>
      <c r="AS4303">
        <v>20.4</v>
      </c>
      <c r="AT4303" t="s">
        <v>580</v>
      </c>
      <c r="AU4303" t="s">
        <v>145</v>
      </c>
      <c r="AV4303" t="s">
        <v>25334</v>
      </c>
      <c r="AW4303" t="s">
        <v>11447</v>
      </c>
    </row>
    <row r="4304" spans="1:49">
      <c r="A4304" s="1">
        <f>HYPERLINK("https://lsnyc.legalserver.org/matter/dynamic-profile/view/1905337","19-1905337")</f>
        <v>0</v>
      </c>
      <c r="B4304" t="s">
        <v>79</v>
      </c>
      <c r="C4304" t="s">
        <v>619</v>
      </c>
      <c r="E4304" t="s">
        <v>3137</v>
      </c>
      <c r="F4304" t="s">
        <v>5107</v>
      </c>
      <c r="G4304" t="s">
        <v>9550</v>
      </c>
      <c r="H4304" t="s">
        <v>10450</v>
      </c>
      <c r="I4304" t="s">
        <v>11383</v>
      </c>
      <c r="J4304">
        <v>10462</v>
      </c>
      <c r="K4304" t="s">
        <v>11446</v>
      </c>
      <c r="L4304" t="s">
        <v>13824</v>
      </c>
      <c r="M4304" t="s">
        <v>14744</v>
      </c>
      <c r="N4304" t="s">
        <v>14781</v>
      </c>
      <c r="P4304" t="s">
        <v>14805</v>
      </c>
      <c r="Q4304" t="s">
        <v>11448</v>
      </c>
      <c r="S4304" t="s">
        <v>14827</v>
      </c>
      <c r="T4304" t="s">
        <v>14837</v>
      </c>
      <c r="U4304" t="s">
        <v>464</v>
      </c>
      <c r="V4304">
        <v>1900</v>
      </c>
      <c r="W4304" t="s">
        <v>14858</v>
      </c>
      <c r="X4304" t="s">
        <v>14863</v>
      </c>
      <c r="Z4304" t="s">
        <v>18439</v>
      </c>
      <c r="AB4304" t="s">
        <v>23580</v>
      </c>
      <c r="AC4304">
        <v>122</v>
      </c>
      <c r="AD4304" t="s">
        <v>24595</v>
      </c>
      <c r="AE4304" t="s">
        <v>11459</v>
      </c>
      <c r="AF4304">
        <v>8</v>
      </c>
      <c r="AG4304">
        <v>2</v>
      </c>
      <c r="AH4304">
        <v>1</v>
      </c>
      <c r="AI4304">
        <v>281.29</v>
      </c>
      <c r="AJ4304" t="s">
        <v>462</v>
      </c>
      <c r="AK4304" t="s">
        <v>24629</v>
      </c>
      <c r="AL4304" t="s">
        <v>5011</v>
      </c>
      <c r="AM4304">
        <v>60000</v>
      </c>
      <c r="AP4304" t="s">
        <v>24941</v>
      </c>
      <c r="AQ4304" t="s">
        <v>24986</v>
      </c>
      <c r="AR4304" t="s">
        <v>25103</v>
      </c>
      <c r="AS4304">
        <v>10.1</v>
      </c>
      <c r="AT4304" t="s">
        <v>533</v>
      </c>
      <c r="AU4304" t="s">
        <v>25232</v>
      </c>
      <c r="AV4304" t="s">
        <v>25335</v>
      </c>
      <c r="AW4304" t="s">
        <v>11447</v>
      </c>
    </row>
    <row r="4305" spans="1:49">
      <c r="A4305" s="1">
        <f>HYPERLINK("https://lsnyc.legalserver.org/matter/dynamic-profile/view/1906563","19-1906563")</f>
        <v>0</v>
      </c>
      <c r="B4305" t="s">
        <v>298</v>
      </c>
      <c r="C4305" t="s">
        <v>380</v>
      </c>
      <c r="E4305" t="s">
        <v>1337</v>
      </c>
      <c r="F4305" t="s">
        <v>5782</v>
      </c>
      <c r="G4305" t="s">
        <v>9551</v>
      </c>
      <c r="H4305">
        <v>401</v>
      </c>
      <c r="I4305" t="s">
        <v>11383</v>
      </c>
      <c r="J4305">
        <v>10457</v>
      </c>
      <c r="K4305" t="s">
        <v>11446</v>
      </c>
      <c r="L4305" t="s">
        <v>13825</v>
      </c>
      <c r="M4305" t="s">
        <v>14744</v>
      </c>
      <c r="N4305" t="s">
        <v>14781</v>
      </c>
      <c r="P4305" t="s">
        <v>14805</v>
      </c>
      <c r="Q4305" t="s">
        <v>11448</v>
      </c>
      <c r="S4305" t="s">
        <v>14827</v>
      </c>
      <c r="T4305" t="s">
        <v>14832</v>
      </c>
      <c r="U4305" t="s">
        <v>466</v>
      </c>
      <c r="V4305">
        <v>859</v>
      </c>
      <c r="W4305" t="s">
        <v>14858</v>
      </c>
      <c r="X4305" t="s">
        <v>14873</v>
      </c>
      <c r="Z4305" t="s">
        <v>18460</v>
      </c>
      <c r="AA4305" t="s">
        <v>19906</v>
      </c>
      <c r="AB4305" t="s">
        <v>23581</v>
      </c>
      <c r="AC4305">
        <v>118</v>
      </c>
      <c r="AD4305" t="s">
        <v>24595</v>
      </c>
      <c r="AE4305" t="s">
        <v>11459</v>
      </c>
      <c r="AF4305">
        <v>5</v>
      </c>
      <c r="AG4305">
        <v>1</v>
      </c>
      <c r="AH4305">
        <v>0</v>
      </c>
      <c r="AI4305">
        <v>62.45</v>
      </c>
      <c r="AL4305" t="s">
        <v>5011</v>
      </c>
      <c r="AM4305">
        <v>7800</v>
      </c>
      <c r="AS4305">
        <v>8.35</v>
      </c>
      <c r="AT4305" t="s">
        <v>663</v>
      </c>
      <c r="AU4305" t="s">
        <v>25252</v>
      </c>
      <c r="AV4305" t="s">
        <v>25334</v>
      </c>
      <c r="AW4305" t="s">
        <v>11447</v>
      </c>
    </row>
    <row r="4306" spans="1:49">
      <c r="A4306" s="1">
        <f>HYPERLINK("https://lsnyc.legalserver.org/matter/dynamic-profile/view/1907928","19-1907928")</f>
        <v>0</v>
      </c>
      <c r="B4306" t="s">
        <v>142</v>
      </c>
      <c r="C4306" t="s">
        <v>458</v>
      </c>
      <c r="E4306" t="s">
        <v>3035</v>
      </c>
      <c r="F4306" t="s">
        <v>3000</v>
      </c>
      <c r="G4306" t="s">
        <v>9552</v>
      </c>
      <c r="H4306" t="s">
        <v>10589</v>
      </c>
      <c r="I4306" t="s">
        <v>11383</v>
      </c>
      <c r="J4306">
        <v>10467</v>
      </c>
      <c r="K4306" t="s">
        <v>11446</v>
      </c>
      <c r="L4306" t="s">
        <v>13826</v>
      </c>
      <c r="M4306" t="s">
        <v>14744</v>
      </c>
      <c r="N4306" t="s">
        <v>14781</v>
      </c>
      <c r="P4306" t="s">
        <v>14805</v>
      </c>
      <c r="Q4306" t="s">
        <v>11448</v>
      </c>
      <c r="S4306" t="s">
        <v>14827</v>
      </c>
      <c r="U4306" t="s">
        <v>466</v>
      </c>
      <c r="V4306">
        <v>210</v>
      </c>
      <c r="W4306" t="s">
        <v>14858</v>
      </c>
      <c r="X4306" t="s">
        <v>14863</v>
      </c>
      <c r="Z4306" t="s">
        <v>16242</v>
      </c>
      <c r="AA4306" t="s">
        <v>19907</v>
      </c>
      <c r="AB4306" t="s">
        <v>23582</v>
      </c>
      <c r="AC4306">
        <v>0</v>
      </c>
      <c r="AD4306" t="s">
        <v>11479</v>
      </c>
      <c r="AE4306" t="s">
        <v>11459</v>
      </c>
      <c r="AF4306">
        <v>1</v>
      </c>
      <c r="AG4306">
        <v>1</v>
      </c>
      <c r="AH4306">
        <v>0</v>
      </c>
      <c r="AI4306">
        <v>111.16</v>
      </c>
      <c r="AL4306" t="s">
        <v>5011</v>
      </c>
      <c r="AM4306">
        <v>13884</v>
      </c>
      <c r="AS4306">
        <v>15.5</v>
      </c>
      <c r="AT4306" t="s">
        <v>663</v>
      </c>
      <c r="AU4306" t="s">
        <v>25239</v>
      </c>
      <c r="AV4306" t="s">
        <v>25334</v>
      </c>
      <c r="AW4306" t="s">
        <v>11447</v>
      </c>
    </row>
    <row r="4307" spans="1:49">
      <c r="A4307" s="1">
        <f>HYPERLINK("https://lsnyc.legalserver.org/matter/dynamic-profile/view/1905843","19-1905843")</f>
        <v>0</v>
      </c>
      <c r="B4307" t="s">
        <v>300</v>
      </c>
      <c r="C4307" t="s">
        <v>500</v>
      </c>
      <c r="E4307" t="s">
        <v>1929</v>
      </c>
      <c r="F4307" t="s">
        <v>1925</v>
      </c>
      <c r="G4307" t="s">
        <v>9553</v>
      </c>
      <c r="H4307" t="s">
        <v>10589</v>
      </c>
      <c r="I4307" t="s">
        <v>11383</v>
      </c>
      <c r="J4307">
        <v>10457</v>
      </c>
      <c r="K4307" t="s">
        <v>11446</v>
      </c>
      <c r="L4307" t="s">
        <v>13827</v>
      </c>
      <c r="M4307" t="s">
        <v>14744</v>
      </c>
      <c r="N4307" t="s">
        <v>14781</v>
      </c>
      <c r="P4307" t="s">
        <v>14805</v>
      </c>
      <c r="Q4307" t="s">
        <v>11448</v>
      </c>
      <c r="S4307" t="s">
        <v>14827</v>
      </c>
      <c r="T4307" t="s">
        <v>14832</v>
      </c>
      <c r="U4307" t="s">
        <v>466</v>
      </c>
      <c r="V4307">
        <v>972</v>
      </c>
      <c r="W4307" t="s">
        <v>14858</v>
      </c>
      <c r="Z4307" t="s">
        <v>18461</v>
      </c>
      <c r="AB4307" t="s">
        <v>23583</v>
      </c>
      <c r="AC4307">
        <v>55</v>
      </c>
      <c r="AD4307" t="s">
        <v>11479</v>
      </c>
      <c r="AF4307">
        <v>10</v>
      </c>
      <c r="AG4307">
        <v>1</v>
      </c>
      <c r="AH4307">
        <v>0</v>
      </c>
      <c r="AI4307">
        <v>208.17</v>
      </c>
      <c r="AJ4307" t="s">
        <v>462</v>
      </c>
      <c r="AK4307" t="s">
        <v>24629</v>
      </c>
      <c r="AL4307" t="s">
        <v>24632</v>
      </c>
      <c r="AM4307">
        <v>26000</v>
      </c>
      <c r="AS4307">
        <v>34.35</v>
      </c>
      <c r="AT4307" t="s">
        <v>491</v>
      </c>
      <c r="AU4307" t="s">
        <v>145</v>
      </c>
      <c r="AV4307" t="s">
        <v>25335</v>
      </c>
      <c r="AW4307" t="s">
        <v>11447</v>
      </c>
    </row>
    <row r="4308" spans="1:49">
      <c r="A4308" s="1">
        <f>HYPERLINK("https://lsnyc.legalserver.org/matter/dynamic-profile/view/1905942","19-1905942")</f>
        <v>0</v>
      </c>
      <c r="B4308" t="s">
        <v>115</v>
      </c>
      <c r="C4308" t="s">
        <v>461</v>
      </c>
      <c r="E4308" t="s">
        <v>3138</v>
      </c>
      <c r="F4308" t="s">
        <v>4128</v>
      </c>
      <c r="G4308" t="s">
        <v>9554</v>
      </c>
      <c r="H4308">
        <v>24</v>
      </c>
      <c r="I4308" t="s">
        <v>11383</v>
      </c>
      <c r="J4308">
        <v>10468</v>
      </c>
      <c r="K4308" t="s">
        <v>11446</v>
      </c>
      <c r="L4308" t="s">
        <v>13828</v>
      </c>
      <c r="M4308" t="s">
        <v>14743</v>
      </c>
      <c r="N4308" t="s">
        <v>14781</v>
      </c>
      <c r="P4308" t="s">
        <v>14805</v>
      </c>
      <c r="Q4308" t="s">
        <v>11448</v>
      </c>
      <c r="S4308" t="s">
        <v>14827</v>
      </c>
      <c r="T4308" t="s">
        <v>14832</v>
      </c>
      <c r="U4308" t="s">
        <v>466</v>
      </c>
      <c r="V4308">
        <v>1126.22</v>
      </c>
      <c r="W4308" t="s">
        <v>14858</v>
      </c>
      <c r="X4308" t="s">
        <v>14755</v>
      </c>
      <c r="Z4308" t="s">
        <v>594</v>
      </c>
      <c r="AB4308" t="s">
        <v>23584</v>
      </c>
      <c r="AC4308">
        <v>38</v>
      </c>
      <c r="AD4308" t="s">
        <v>24595</v>
      </c>
      <c r="AE4308" t="s">
        <v>11459</v>
      </c>
      <c r="AF4308">
        <v>30</v>
      </c>
      <c r="AG4308">
        <v>3</v>
      </c>
      <c r="AH4308">
        <v>0</v>
      </c>
      <c r="AI4308">
        <v>255.98</v>
      </c>
      <c r="AJ4308" t="s">
        <v>462</v>
      </c>
      <c r="AK4308" t="s">
        <v>24629</v>
      </c>
      <c r="AL4308" t="s">
        <v>5011</v>
      </c>
      <c r="AM4308">
        <v>54600</v>
      </c>
      <c r="AS4308">
        <v>16</v>
      </c>
      <c r="AT4308" t="s">
        <v>490</v>
      </c>
      <c r="AU4308" t="s">
        <v>145</v>
      </c>
      <c r="AV4308" t="s">
        <v>25335</v>
      </c>
      <c r="AW4308" t="s">
        <v>11447</v>
      </c>
    </row>
    <row r="4309" spans="1:49">
      <c r="A4309" s="1">
        <f>HYPERLINK("https://lsnyc.legalserver.org/matter/dynamic-profile/view/1909478","19-1909478")</f>
        <v>0</v>
      </c>
      <c r="B4309" t="s">
        <v>96</v>
      </c>
      <c r="C4309" t="s">
        <v>497</v>
      </c>
      <c r="E4309" t="s">
        <v>3139</v>
      </c>
      <c r="F4309" t="s">
        <v>5783</v>
      </c>
      <c r="G4309" t="s">
        <v>9555</v>
      </c>
      <c r="H4309">
        <v>604</v>
      </c>
      <c r="I4309" t="s">
        <v>11383</v>
      </c>
      <c r="J4309">
        <v>10468</v>
      </c>
      <c r="K4309" t="s">
        <v>11446</v>
      </c>
      <c r="L4309" t="s">
        <v>13829</v>
      </c>
      <c r="M4309" t="s">
        <v>14744</v>
      </c>
      <c r="N4309" t="s">
        <v>14781</v>
      </c>
      <c r="P4309" t="s">
        <v>14805</v>
      </c>
      <c r="Q4309" t="s">
        <v>11448</v>
      </c>
      <c r="S4309" t="s">
        <v>14827</v>
      </c>
      <c r="T4309" t="s">
        <v>14832</v>
      </c>
      <c r="U4309" t="s">
        <v>497</v>
      </c>
      <c r="V4309">
        <v>2025</v>
      </c>
      <c r="W4309" t="s">
        <v>14858</v>
      </c>
      <c r="X4309" t="s">
        <v>14863</v>
      </c>
      <c r="Z4309" t="s">
        <v>18462</v>
      </c>
      <c r="AB4309" t="s">
        <v>23585</v>
      </c>
      <c r="AC4309">
        <v>0</v>
      </c>
      <c r="AD4309" t="s">
        <v>24595</v>
      </c>
      <c r="AE4309" t="s">
        <v>11459</v>
      </c>
      <c r="AF4309">
        <v>5</v>
      </c>
      <c r="AG4309">
        <v>4</v>
      </c>
      <c r="AH4309">
        <v>0</v>
      </c>
      <c r="AI4309">
        <v>170.64</v>
      </c>
      <c r="AL4309" t="s">
        <v>24632</v>
      </c>
      <c r="AM4309">
        <v>43940</v>
      </c>
      <c r="AS4309">
        <v>4.4</v>
      </c>
      <c r="AT4309" t="s">
        <v>478</v>
      </c>
      <c r="AU4309" t="s">
        <v>25268</v>
      </c>
      <c r="AV4309" t="s">
        <v>25335</v>
      </c>
      <c r="AW4309" t="s">
        <v>11447</v>
      </c>
    </row>
    <row r="4310" spans="1:49">
      <c r="A4310" s="1">
        <f>HYPERLINK("https://lsnyc.legalserver.org/matter/dynamic-profile/view/1905567","19-1905567")</f>
        <v>0</v>
      </c>
      <c r="B4310" t="s">
        <v>297</v>
      </c>
      <c r="C4310" t="s">
        <v>555</v>
      </c>
      <c r="E4310" t="s">
        <v>1650</v>
      </c>
      <c r="F4310" t="s">
        <v>4816</v>
      </c>
      <c r="G4310" t="s">
        <v>9556</v>
      </c>
      <c r="H4310">
        <v>14</v>
      </c>
      <c r="I4310" t="s">
        <v>11383</v>
      </c>
      <c r="J4310">
        <v>10457</v>
      </c>
      <c r="K4310" t="s">
        <v>11446</v>
      </c>
      <c r="L4310" t="s">
        <v>13830</v>
      </c>
      <c r="M4310" t="s">
        <v>14744</v>
      </c>
      <c r="N4310" t="s">
        <v>14781</v>
      </c>
      <c r="P4310" t="s">
        <v>14805</v>
      </c>
      <c r="Q4310" t="s">
        <v>11448</v>
      </c>
      <c r="S4310" t="s">
        <v>14827</v>
      </c>
      <c r="T4310" t="s">
        <v>14832</v>
      </c>
      <c r="U4310" t="s">
        <v>14839</v>
      </c>
      <c r="V4310">
        <v>112.73</v>
      </c>
      <c r="W4310" t="s">
        <v>14858</v>
      </c>
      <c r="X4310" t="s">
        <v>14865</v>
      </c>
      <c r="Z4310" t="s">
        <v>18463</v>
      </c>
      <c r="AB4310" t="s">
        <v>23586</v>
      </c>
      <c r="AC4310">
        <v>20</v>
      </c>
      <c r="AD4310" t="s">
        <v>11479</v>
      </c>
      <c r="AE4310" t="s">
        <v>11459</v>
      </c>
      <c r="AF4310">
        <v>11</v>
      </c>
      <c r="AG4310">
        <v>1</v>
      </c>
      <c r="AH4310">
        <v>0</v>
      </c>
      <c r="AI4310">
        <v>25.06</v>
      </c>
      <c r="AL4310" t="s">
        <v>24632</v>
      </c>
      <c r="AM4310">
        <v>3130</v>
      </c>
      <c r="AS4310">
        <v>13.25</v>
      </c>
      <c r="AT4310" t="s">
        <v>539</v>
      </c>
      <c r="AU4310" t="s">
        <v>237</v>
      </c>
      <c r="AV4310" t="s">
        <v>25335</v>
      </c>
      <c r="AW4310" t="s">
        <v>11447</v>
      </c>
    </row>
    <row r="4311" spans="1:49">
      <c r="A4311" s="1">
        <f>HYPERLINK("https://lsnyc.legalserver.org/matter/dynamic-profile/view/1908175","19-1908175")</f>
        <v>0</v>
      </c>
      <c r="B4311" t="s">
        <v>298</v>
      </c>
      <c r="C4311" t="s">
        <v>372</v>
      </c>
      <c r="E4311" t="s">
        <v>3140</v>
      </c>
      <c r="F4311" t="s">
        <v>5784</v>
      </c>
      <c r="G4311" t="s">
        <v>9557</v>
      </c>
      <c r="I4311" t="s">
        <v>11383</v>
      </c>
      <c r="J4311">
        <v>10467</v>
      </c>
      <c r="K4311" t="s">
        <v>11446</v>
      </c>
      <c r="L4311" t="s">
        <v>13831</v>
      </c>
      <c r="M4311" t="s">
        <v>14743</v>
      </c>
      <c r="N4311" t="s">
        <v>14781</v>
      </c>
      <c r="P4311" t="s">
        <v>14805</v>
      </c>
      <c r="Q4311" t="s">
        <v>11448</v>
      </c>
      <c r="S4311" t="s">
        <v>14827</v>
      </c>
      <c r="U4311" t="s">
        <v>14839</v>
      </c>
      <c r="V4311">
        <v>0</v>
      </c>
      <c r="W4311" t="s">
        <v>14858</v>
      </c>
      <c r="X4311" t="s">
        <v>14865</v>
      </c>
      <c r="Z4311" t="s">
        <v>18464</v>
      </c>
      <c r="AA4311" t="s">
        <v>19908</v>
      </c>
      <c r="AB4311" t="s">
        <v>23587</v>
      </c>
      <c r="AC4311">
        <v>4</v>
      </c>
      <c r="AF4311">
        <v>16</v>
      </c>
      <c r="AG4311">
        <v>1</v>
      </c>
      <c r="AH4311">
        <v>0</v>
      </c>
      <c r="AI4311">
        <v>36.03</v>
      </c>
      <c r="AL4311" t="s">
        <v>5011</v>
      </c>
      <c r="AM4311">
        <v>4500</v>
      </c>
      <c r="AS4311">
        <v>43.1</v>
      </c>
      <c r="AT4311" t="s">
        <v>521</v>
      </c>
      <c r="AU4311" t="s">
        <v>145</v>
      </c>
      <c r="AV4311" t="s">
        <v>25334</v>
      </c>
      <c r="AW4311" t="s">
        <v>11447</v>
      </c>
    </row>
    <row r="4312" spans="1:49">
      <c r="A4312" s="1">
        <f>HYPERLINK("https://lsnyc.legalserver.org/matter/dynamic-profile/view/1908136","19-1908136")</f>
        <v>0</v>
      </c>
      <c r="B4312" t="s">
        <v>298</v>
      </c>
      <c r="C4312" t="s">
        <v>372</v>
      </c>
      <c r="E4312" t="s">
        <v>1243</v>
      </c>
      <c r="F4312" t="s">
        <v>4252</v>
      </c>
      <c r="G4312" t="s">
        <v>7962</v>
      </c>
      <c r="H4312" t="s">
        <v>10790</v>
      </c>
      <c r="I4312" t="s">
        <v>11383</v>
      </c>
      <c r="J4312">
        <v>10467</v>
      </c>
      <c r="K4312" t="s">
        <v>11446</v>
      </c>
      <c r="L4312" t="s">
        <v>13832</v>
      </c>
      <c r="M4312" t="s">
        <v>14744</v>
      </c>
      <c r="N4312" t="s">
        <v>14781</v>
      </c>
      <c r="P4312" t="s">
        <v>14805</v>
      </c>
      <c r="Q4312" t="s">
        <v>11448</v>
      </c>
      <c r="S4312" t="s">
        <v>14828</v>
      </c>
      <c r="U4312" t="s">
        <v>14839</v>
      </c>
      <c r="V4312">
        <v>283</v>
      </c>
      <c r="W4312" t="s">
        <v>14858</v>
      </c>
      <c r="X4312" t="s">
        <v>14873</v>
      </c>
      <c r="Z4312" t="s">
        <v>18465</v>
      </c>
      <c r="AB4312" t="s">
        <v>23588</v>
      </c>
      <c r="AC4312">
        <v>733</v>
      </c>
      <c r="AD4312" t="s">
        <v>24597</v>
      </c>
      <c r="AF4312">
        <v>1</v>
      </c>
      <c r="AG4312">
        <v>1</v>
      </c>
      <c r="AH4312">
        <v>1</v>
      </c>
      <c r="AI4312">
        <v>36.9</v>
      </c>
      <c r="AL4312" t="s">
        <v>5011</v>
      </c>
      <c r="AM4312">
        <v>6240</v>
      </c>
      <c r="AS4312">
        <v>10.8</v>
      </c>
      <c r="AT4312" t="s">
        <v>509</v>
      </c>
      <c r="AU4312" t="s">
        <v>25252</v>
      </c>
      <c r="AV4312" t="s">
        <v>25335</v>
      </c>
      <c r="AW4312" t="s">
        <v>11447</v>
      </c>
    </row>
    <row r="4313" spans="1:49">
      <c r="A4313" s="1">
        <f>HYPERLINK("https://lsnyc.legalserver.org/matter/dynamic-profile/view/1904535","19-1904535")</f>
        <v>0</v>
      </c>
      <c r="B4313" t="s">
        <v>111</v>
      </c>
      <c r="C4313" t="s">
        <v>493</v>
      </c>
      <c r="E4313" t="s">
        <v>3141</v>
      </c>
      <c r="F4313" t="s">
        <v>5785</v>
      </c>
      <c r="G4313" t="s">
        <v>9558</v>
      </c>
      <c r="H4313">
        <v>2</v>
      </c>
      <c r="I4313" t="s">
        <v>11383</v>
      </c>
      <c r="J4313">
        <v>10457</v>
      </c>
      <c r="K4313" t="s">
        <v>11446</v>
      </c>
      <c r="L4313" t="s">
        <v>13833</v>
      </c>
      <c r="M4313" t="s">
        <v>14743</v>
      </c>
      <c r="N4313" t="s">
        <v>14781</v>
      </c>
      <c r="P4313" t="s">
        <v>14805</v>
      </c>
      <c r="Q4313" t="s">
        <v>11448</v>
      </c>
      <c r="S4313" t="s">
        <v>14827</v>
      </c>
      <c r="T4313" t="s">
        <v>14832</v>
      </c>
      <c r="U4313" t="s">
        <v>14839</v>
      </c>
      <c r="V4313">
        <v>2200</v>
      </c>
      <c r="W4313" t="s">
        <v>14858</v>
      </c>
      <c r="X4313" t="s">
        <v>14863</v>
      </c>
      <c r="Z4313" t="s">
        <v>18466</v>
      </c>
      <c r="AB4313" t="s">
        <v>23589</v>
      </c>
      <c r="AC4313">
        <v>3</v>
      </c>
      <c r="AD4313" t="s">
        <v>11479</v>
      </c>
      <c r="AE4313" t="s">
        <v>24615</v>
      </c>
      <c r="AF4313">
        <v>2</v>
      </c>
      <c r="AG4313">
        <v>1</v>
      </c>
      <c r="AH4313">
        <v>2</v>
      </c>
      <c r="AI4313">
        <v>39.38</v>
      </c>
      <c r="AM4313">
        <v>8400</v>
      </c>
      <c r="AS4313">
        <v>11.1</v>
      </c>
      <c r="AT4313" t="s">
        <v>509</v>
      </c>
      <c r="AU4313" t="s">
        <v>25242</v>
      </c>
      <c r="AV4313" t="s">
        <v>25335</v>
      </c>
      <c r="AW4313" t="s">
        <v>11447</v>
      </c>
    </row>
    <row r="4314" spans="1:49">
      <c r="A4314" s="1">
        <f>HYPERLINK("https://lsnyc.legalserver.org/matter/dynamic-profile/view/1907632","19-1907632")</f>
        <v>0</v>
      </c>
      <c r="B4314" t="s">
        <v>272</v>
      </c>
      <c r="C4314" t="s">
        <v>633</v>
      </c>
      <c r="E4314" t="s">
        <v>2741</v>
      </c>
      <c r="F4314" t="s">
        <v>3978</v>
      </c>
      <c r="G4314" t="s">
        <v>9559</v>
      </c>
      <c r="H4314" t="s">
        <v>10464</v>
      </c>
      <c r="I4314" t="s">
        <v>11383</v>
      </c>
      <c r="J4314">
        <v>10467</v>
      </c>
      <c r="K4314" t="s">
        <v>11446</v>
      </c>
      <c r="L4314" t="s">
        <v>13834</v>
      </c>
      <c r="M4314" t="s">
        <v>14743</v>
      </c>
      <c r="N4314" t="s">
        <v>14781</v>
      </c>
      <c r="P4314" t="s">
        <v>14805</v>
      </c>
      <c r="Q4314" t="s">
        <v>11448</v>
      </c>
      <c r="S4314" t="s">
        <v>14827</v>
      </c>
      <c r="T4314" t="s">
        <v>14832</v>
      </c>
      <c r="U4314" t="s">
        <v>14839</v>
      </c>
      <c r="V4314">
        <v>2395</v>
      </c>
      <c r="W4314" t="s">
        <v>14858</v>
      </c>
      <c r="X4314" t="s">
        <v>14863</v>
      </c>
      <c r="Z4314" t="s">
        <v>18467</v>
      </c>
      <c r="AA4314" t="s">
        <v>19909</v>
      </c>
      <c r="AB4314" t="s">
        <v>23590</v>
      </c>
      <c r="AC4314">
        <v>4</v>
      </c>
      <c r="AD4314" t="s">
        <v>11479</v>
      </c>
      <c r="AE4314" t="s">
        <v>24620</v>
      </c>
      <c r="AF4314">
        <v>1</v>
      </c>
      <c r="AG4314">
        <v>1</v>
      </c>
      <c r="AH4314">
        <v>2</v>
      </c>
      <c r="AI4314">
        <v>55.3</v>
      </c>
      <c r="AL4314" t="s">
        <v>5011</v>
      </c>
      <c r="AM4314">
        <v>11796</v>
      </c>
      <c r="AS4314">
        <v>18.55</v>
      </c>
      <c r="AT4314" t="s">
        <v>495</v>
      </c>
      <c r="AU4314" t="s">
        <v>25242</v>
      </c>
      <c r="AV4314" t="s">
        <v>25334</v>
      </c>
      <c r="AW4314" t="s">
        <v>11447</v>
      </c>
    </row>
    <row r="4315" spans="1:49">
      <c r="A4315" s="1">
        <f>HYPERLINK("https://lsnyc.legalserver.org/matter/dynamic-profile/view/1908110","19-1908110")</f>
        <v>0</v>
      </c>
      <c r="B4315" t="s">
        <v>82</v>
      </c>
      <c r="C4315" t="s">
        <v>455</v>
      </c>
      <c r="E4315" t="s">
        <v>1248</v>
      </c>
      <c r="F4315" t="s">
        <v>5786</v>
      </c>
      <c r="G4315" t="s">
        <v>9560</v>
      </c>
      <c r="H4315" t="s">
        <v>10620</v>
      </c>
      <c r="I4315" t="s">
        <v>11383</v>
      </c>
      <c r="J4315">
        <v>10468</v>
      </c>
      <c r="K4315" t="s">
        <v>11446</v>
      </c>
      <c r="L4315" t="s">
        <v>13835</v>
      </c>
      <c r="M4315" t="s">
        <v>14744</v>
      </c>
      <c r="N4315" t="s">
        <v>14781</v>
      </c>
      <c r="P4315" t="s">
        <v>14805</v>
      </c>
      <c r="Q4315" t="s">
        <v>11448</v>
      </c>
      <c r="S4315" t="s">
        <v>14827</v>
      </c>
      <c r="U4315" t="s">
        <v>14839</v>
      </c>
      <c r="V4315">
        <v>1154</v>
      </c>
      <c r="W4315" t="s">
        <v>14858</v>
      </c>
      <c r="X4315" t="s">
        <v>14863</v>
      </c>
      <c r="Z4315" t="s">
        <v>18468</v>
      </c>
      <c r="AA4315" t="s">
        <v>19910</v>
      </c>
      <c r="AB4315" t="s">
        <v>23591</v>
      </c>
      <c r="AC4315">
        <v>35</v>
      </c>
      <c r="AD4315" t="s">
        <v>11479</v>
      </c>
      <c r="AE4315" t="s">
        <v>11459</v>
      </c>
      <c r="AF4315">
        <v>5</v>
      </c>
      <c r="AG4315">
        <v>1</v>
      </c>
      <c r="AH4315">
        <v>0</v>
      </c>
      <c r="AI4315">
        <v>57.65</v>
      </c>
      <c r="AL4315" t="s">
        <v>5011</v>
      </c>
      <c r="AM4315">
        <v>7200</v>
      </c>
      <c r="AS4315">
        <v>7.25</v>
      </c>
      <c r="AT4315" t="s">
        <v>506</v>
      </c>
      <c r="AU4315" t="s">
        <v>245</v>
      </c>
      <c r="AV4315" t="s">
        <v>25334</v>
      </c>
      <c r="AW4315" t="s">
        <v>11447</v>
      </c>
    </row>
    <row r="4316" spans="1:49">
      <c r="A4316" s="1">
        <f>HYPERLINK("https://lsnyc.legalserver.org/matter/dynamic-profile/view/1907964","19-1907964")</f>
        <v>0</v>
      </c>
      <c r="B4316" t="s">
        <v>111</v>
      </c>
      <c r="C4316" t="s">
        <v>458</v>
      </c>
      <c r="E4316" t="s">
        <v>1048</v>
      </c>
      <c r="F4316" t="s">
        <v>4310</v>
      </c>
      <c r="G4316" t="s">
        <v>9479</v>
      </c>
      <c r="H4316">
        <v>401</v>
      </c>
      <c r="I4316" t="s">
        <v>11383</v>
      </c>
      <c r="J4316">
        <v>10468</v>
      </c>
      <c r="K4316" t="s">
        <v>11446</v>
      </c>
      <c r="L4316" t="s">
        <v>13836</v>
      </c>
      <c r="M4316" t="s">
        <v>14744</v>
      </c>
      <c r="N4316" t="s">
        <v>14781</v>
      </c>
      <c r="P4316" t="s">
        <v>14805</v>
      </c>
      <c r="Q4316" t="s">
        <v>11448</v>
      </c>
      <c r="S4316" t="s">
        <v>14827</v>
      </c>
      <c r="T4316" t="s">
        <v>14832</v>
      </c>
      <c r="U4316" t="s">
        <v>14839</v>
      </c>
      <c r="V4316">
        <v>178</v>
      </c>
      <c r="W4316" t="s">
        <v>14858</v>
      </c>
      <c r="X4316" t="s">
        <v>14863</v>
      </c>
      <c r="Z4316" t="s">
        <v>18469</v>
      </c>
      <c r="AB4316" t="s">
        <v>23592</v>
      </c>
      <c r="AC4316">
        <v>49</v>
      </c>
      <c r="AD4316" t="s">
        <v>24595</v>
      </c>
      <c r="AE4316" t="s">
        <v>24610</v>
      </c>
      <c r="AF4316">
        <v>14</v>
      </c>
      <c r="AG4316">
        <v>1</v>
      </c>
      <c r="AH4316">
        <v>0</v>
      </c>
      <c r="AI4316">
        <v>74.08</v>
      </c>
      <c r="AL4316" t="s">
        <v>5011</v>
      </c>
      <c r="AM4316">
        <v>9252</v>
      </c>
      <c r="AS4316">
        <v>6.75</v>
      </c>
      <c r="AT4316" t="s">
        <v>571</v>
      </c>
      <c r="AU4316" t="s">
        <v>25242</v>
      </c>
      <c r="AV4316" t="s">
        <v>25335</v>
      </c>
      <c r="AW4316" t="s">
        <v>11447</v>
      </c>
    </row>
    <row r="4317" spans="1:49">
      <c r="A4317" s="1">
        <f>HYPERLINK("https://lsnyc.legalserver.org/matter/dynamic-profile/view/1908146","19-1908146")</f>
        <v>0</v>
      </c>
      <c r="B4317" t="s">
        <v>257</v>
      </c>
      <c r="C4317" t="s">
        <v>372</v>
      </c>
      <c r="E4317" t="s">
        <v>1619</v>
      </c>
      <c r="F4317" t="s">
        <v>1635</v>
      </c>
      <c r="G4317" t="s">
        <v>9561</v>
      </c>
      <c r="H4317" t="s">
        <v>10527</v>
      </c>
      <c r="I4317" t="s">
        <v>11383</v>
      </c>
      <c r="J4317">
        <v>10467</v>
      </c>
      <c r="K4317" t="s">
        <v>11446</v>
      </c>
      <c r="L4317" t="s">
        <v>13837</v>
      </c>
      <c r="M4317" t="s">
        <v>14744</v>
      </c>
      <c r="N4317" t="s">
        <v>14781</v>
      </c>
      <c r="P4317" t="s">
        <v>14805</v>
      </c>
      <c r="Q4317" t="s">
        <v>11448</v>
      </c>
      <c r="S4317" t="s">
        <v>14827</v>
      </c>
      <c r="T4317" t="s">
        <v>14833</v>
      </c>
      <c r="U4317" t="s">
        <v>14839</v>
      </c>
      <c r="V4317">
        <v>908.35</v>
      </c>
      <c r="W4317" t="s">
        <v>14858</v>
      </c>
      <c r="Z4317" t="s">
        <v>18470</v>
      </c>
      <c r="AB4317" t="s">
        <v>23593</v>
      </c>
      <c r="AC4317">
        <v>54</v>
      </c>
      <c r="AD4317" t="s">
        <v>24595</v>
      </c>
      <c r="AE4317" t="s">
        <v>24613</v>
      </c>
      <c r="AF4317">
        <v>17</v>
      </c>
      <c r="AG4317">
        <v>1</v>
      </c>
      <c r="AH4317">
        <v>0</v>
      </c>
      <c r="AI4317">
        <v>81.95</v>
      </c>
      <c r="AL4317" t="s">
        <v>5011</v>
      </c>
      <c r="AM4317">
        <v>10236</v>
      </c>
      <c r="AS4317">
        <v>6.1</v>
      </c>
      <c r="AT4317" t="s">
        <v>654</v>
      </c>
      <c r="AU4317" t="s">
        <v>145</v>
      </c>
      <c r="AV4317" t="s">
        <v>25335</v>
      </c>
      <c r="AW4317" t="s">
        <v>11447</v>
      </c>
    </row>
    <row r="4318" spans="1:49">
      <c r="A4318" s="1">
        <f>HYPERLINK("https://lsnyc.legalserver.org/matter/dynamic-profile/view/1907586","19-1907586")</f>
        <v>0</v>
      </c>
      <c r="B4318" t="s">
        <v>143</v>
      </c>
      <c r="C4318" t="s">
        <v>630</v>
      </c>
      <c r="E4318" t="s">
        <v>3142</v>
      </c>
      <c r="F4318" t="s">
        <v>3919</v>
      </c>
      <c r="G4318" t="s">
        <v>9562</v>
      </c>
      <c r="H4318" t="s">
        <v>11248</v>
      </c>
      <c r="I4318" t="s">
        <v>11383</v>
      </c>
      <c r="J4318">
        <v>10457</v>
      </c>
      <c r="K4318" t="s">
        <v>11446</v>
      </c>
      <c r="L4318" t="s">
        <v>13838</v>
      </c>
      <c r="M4318" t="s">
        <v>14744</v>
      </c>
      <c r="N4318" t="s">
        <v>14781</v>
      </c>
      <c r="P4318" t="s">
        <v>14805</v>
      </c>
      <c r="Q4318" t="s">
        <v>11448</v>
      </c>
      <c r="S4318" t="s">
        <v>14827</v>
      </c>
      <c r="U4318" t="s">
        <v>14839</v>
      </c>
      <c r="V4318">
        <v>1490</v>
      </c>
      <c r="W4318" t="s">
        <v>14858</v>
      </c>
      <c r="Z4318" t="s">
        <v>18471</v>
      </c>
      <c r="AA4318" t="s">
        <v>19911</v>
      </c>
      <c r="AB4318" t="s">
        <v>23594</v>
      </c>
      <c r="AC4318">
        <v>221</v>
      </c>
      <c r="AF4318">
        <v>18</v>
      </c>
      <c r="AG4318">
        <v>1</v>
      </c>
      <c r="AH4318">
        <v>1</v>
      </c>
      <c r="AI4318">
        <v>88.7</v>
      </c>
      <c r="AL4318" t="s">
        <v>5011</v>
      </c>
      <c r="AM4318">
        <v>15000</v>
      </c>
      <c r="AS4318">
        <v>10.5</v>
      </c>
      <c r="AT4318" t="s">
        <v>592</v>
      </c>
      <c r="AU4318" t="s">
        <v>145</v>
      </c>
      <c r="AV4318" t="s">
        <v>25334</v>
      </c>
      <c r="AW4318" t="s">
        <v>11447</v>
      </c>
    </row>
    <row r="4319" spans="1:49">
      <c r="A4319" s="1">
        <f>HYPERLINK("https://lsnyc.legalserver.org/matter/dynamic-profile/view/1906530","19-1906530")</f>
        <v>0</v>
      </c>
      <c r="B4319" t="s">
        <v>256</v>
      </c>
      <c r="C4319" t="s">
        <v>380</v>
      </c>
      <c r="E4319" t="s">
        <v>3143</v>
      </c>
      <c r="F4319" t="s">
        <v>5787</v>
      </c>
      <c r="G4319" t="s">
        <v>9563</v>
      </c>
      <c r="H4319">
        <v>2</v>
      </c>
      <c r="I4319" t="s">
        <v>11383</v>
      </c>
      <c r="J4319">
        <v>10467</v>
      </c>
      <c r="K4319" t="s">
        <v>11446</v>
      </c>
      <c r="L4319" t="s">
        <v>13839</v>
      </c>
      <c r="M4319" t="s">
        <v>14743</v>
      </c>
      <c r="N4319" t="s">
        <v>14781</v>
      </c>
      <c r="P4319" t="s">
        <v>14805</v>
      </c>
      <c r="Q4319" t="s">
        <v>11448</v>
      </c>
      <c r="S4319" t="s">
        <v>14827</v>
      </c>
      <c r="T4319" t="s">
        <v>14832</v>
      </c>
      <c r="U4319" t="s">
        <v>14839</v>
      </c>
      <c r="V4319">
        <v>2000</v>
      </c>
      <c r="W4319" t="s">
        <v>14858</v>
      </c>
      <c r="X4319" t="s">
        <v>14865</v>
      </c>
      <c r="Z4319" t="s">
        <v>18472</v>
      </c>
      <c r="AA4319" t="s">
        <v>19912</v>
      </c>
      <c r="AB4319" t="s">
        <v>23595</v>
      </c>
      <c r="AC4319">
        <v>3</v>
      </c>
      <c r="AD4319" t="s">
        <v>11479</v>
      </c>
      <c r="AE4319" t="s">
        <v>11459</v>
      </c>
      <c r="AF4319">
        <v>1</v>
      </c>
      <c r="AG4319">
        <v>3</v>
      </c>
      <c r="AH4319">
        <v>1</v>
      </c>
      <c r="AI4319">
        <v>95.92</v>
      </c>
      <c r="AL4319" t="s">
        <v>5011</v>
      </c>
      <c r="AM4319">
        <v>24700</v>
      </c>
      <c r="AS4319">
        <v>6</v>
      </c>
      <c r="AT4319" t="s">
        <v>580</v>
      </c>
      <c r="AU4319" t="s">
        <v>245</v>
      </c>
      <c r="AV4319" t="s">
        <v>25334</v>
      </c>
      <c r="AW4319" t="s">
        <v>11447</v>
      </c>
    </row>
    <row r="4320" spans="1:49">
      <c r="A4320" s="1">
        <f>HYPERLINK("https://lsnyc.legalserver.org/matter/dynamic-profile/view/1909194","19-1909194")</f>
        <v>0</v>
      </c>
      <c r="B4320" t="s">
        <v>256</v>
      </c>
      <c r="C4320" t="s">
        <v>497</v>
      </c>
      <c r="E4320" t="s">
        <v>1135</v>
      </c>
      <c r="F4320" t="s">
        <v>3686</v>
      </c>
      <c r="G4320" t="s">
        <v>9564</v>
      </c>
      <c r="H4320" t="s">
        <v>10963</v>
      </c>
      <c r="I4320" t="s">
        <v>11383</v>
      </c>
      <c r="J4320">
        <v>10467</v>
      </c>
      <c r="K4320" t="s">
        <v>11446</v>
      </c>
      <c r="L4320" t="s">
        <v>13840</v>
      </c>
      <c r="M4320" t="s">
        <v>14744</v>
      </c>
      <c r="N4320" t="s">
        <v>14781</v>
      </c>
      <c r="P4320" t="s">
        <v>14805</v>
      </c>
      <c r="Q4320" t="s">
        <v>11448</v>
      </c>
      <c r="S4320" t="s">
        <v>14827</v>
      </c>
      <c r="T4320" t="s">
        <v>14832</v>
      </c>
      <c r="U4320" t="s">
        <v>14839</v>
      </c>
      <c r="V4320">
        <v>1230</v>
      </c>
      <c r="W4320" t="s">
        <v>14858</v>
      </c>
      <c r="X4320" t="s">
        <v>14863</v>
      </c>
      <c r="Z4320" t="s">
        <v>18473</v>
      </c>
      <c r="AB4320" t="s">
        <v>23596</v>
      </c>
      <c r="AC4320">
        <v>74</v>
      </c>
      <c r="AD4320" t="s">
        <v>11479</v>
      </c>
      <c r="AE4320" t="s">
        <v>14755</v>
      </c>
      <c r="AF4320">
        <v>1</v>
      </c>
      <c r="AG4320">
        <v>1</v>
      </c>
      <c r="AH4320">
        <v>3</v>
      </c>
      <c r="AI4320">
        <v>116.5</v>
      </c>
      <c r="AL4320" t="s">
        <v>5011</v>
      </c>
      <c r="AM4320">
        <v>30000</v>
      </c>
      <c r="AO4320" t="s">
        <v>24930</v>
      </c>
      <c r="AP4320" t="s">
        <v>24959</v>
      </c>
      <c r="AQ4320" t="s">
        <v>24986</v>
      </c>
      <c r="AR4320" t="s">
        <v>25027</v>
      </c>
      <c r="AS4320">
        <v>5</v>
      </c>
      <c r="AT4320" t="s">
        <v>515</v>
      </c>
      <c r="AU4320" t="s">
        <v>25268</v>
      </c>
      <c r="AV4320" t="s">
        <v>25335</v>
      </c>
      <c r="AW4320" t="s">
        <v>11447</v>
      </c>
    </row>
    <row r="4321" spans="1:49">
      <c r="A4321" s="1">
        <f>HYPERLINK("https://lsnyc.legalserver.org/matter/dynamic-profile/view/1907684","19-1907684")</f>
        <v>0</v>
      </c>
      <c r="B4321" t="s">
        <v>157</v>
      </c>
      <c r="C4321" t="s">
        <v>633</v>
      </c>
      <c r="E4321" t="s">
        <v>1610</v>
      </c>
      <c r="F4321" t="s">
        <v>3965</v>
      </c>
      <c r="G4321" t="s">
        <v>9565</v>
      </c>
      <c r="H4321" t="s">
        <v>10489</v>
      </c>
      <c r="I4321" t="s">
        <v>11383</v>
      </c>
      <c r="J4321">
        <v>10468</v>
      </c>
      <c r="K4321" t="s">
        <v>11446</v>
      </c>
      <c r="L4321" t="s">
        <v>13841</v>
      </c>
      <c r="M4321" t="s">
        <v>14744</v>
      </c>
      <c r="N4321" t="s">
        <v>14781</v>
      </c>
      <c r="P4321" t="s">
        <v>14805</v>
      </c>
      <c r="Q4321" t="s">
        <v>11448</v>
      </c>
      <c r="S4321" t="s">
        <v>14827</v>
      </c>
      <c r="U4321" t="s">
        <v>14839</v>
      </c>
      <c r="V4321">
        <v>1269</v>
      </c>
      <c r="W4321" t="s">
        <v>14858</v>
      </c>
      <c r="X4321" t="s">
        <v>14873</v>
      </c>
      <c r="Z4321" t="s">
        <v>18474</v>
      </c>
      <c r="AB4321" t="s">
        <v>23597</v>
      </c>
      <c r="AC4321">
        <v>49</v>
      </c>
      <c r="AF4321">
        <v>26</v>
      </c>
      <c r="AG4321">
        <v>2</v>
      </c>
      <c r="AH4321">
        <v>0</v>
      </c>
      <c r="AI4321">
        <v>131.99</v>
      </c>
      <c r="AL4321" t="s">
        <v>5011</v>
      </c>
      <c r="AM4321">
        <v>22320</v>
      </c>
      <c r="AS4321">
        <v>4.5</v>
      </c>
      <c r="AT4321" t="s">
        <v>476</v>
      </c>
      <c r="AU4321" t="s">
        <v>145</v>
      </c>
      <c r="AV4321" t="s">
        <v>25335</v>
      </c>
      <c r="AW4321" t="s">
        <v>11447</v>
      </c>
    </row>
    <row r="4322" spans="1:49">
      <c r="A4322" s="1">
        <f>HYPERLINK("https://lsnyc.legalserver.org/matter/dynamic-profile/view/1905761","19-1905761")</f>
        <v>0</v>
      </c>
      <c r="B4322" t="s">
        <v>60</v>
      </c>
      <c r="C4322" t="s">
        <v>496</v>
      </c>
      <c r="E4322" t="s">
        <v>3144</v>
      </c>
      <c r="F4322" t="s">
        <v>5278</v>
      </c>
      <c r="G4322" t="s">
        <v>9566</v>
      </c>
      <c r="H4322">
        <v>2</v>
      </c>
      <c r="I4322" t="s">
        <v>11383</v>
      </c>
      <c r="J4322">
        <v>10462</v>
      </c>
      <c r="K4322" t="s">
        <v>11446</v>
      </c>
      <c r="L4322" t="s">
        <v>13842</v>
      </c>
      <c r="M4322" t="s">
        <v>14744</v>
      </c>
      <c r="N4322" t="s">
        <v>14781</v>
      </c>
      <c r="P4322" t="s">
        <v>14805</v>
      </c>
      <c r="Q4322" t="s">
        <v>11448</v>
      </c>
      <c r="S4322" t="s">
        <v>14827</v>
      </c>
      <c r="T4322" t="s">
        <v>14832</v>
      </c>
      <c r="U4322" t="s">
        <v>14839</v>
      </c>
      <c r="V4322">
        <v>1900</v>
      </c>
      <c r="W4322" t="s">
        <v>14858</v>
      </c>
      <c r="X4322" t="s">
        <v>14865</v>
      </c>
      <c r="Z4322" t="s">
        <v>18475</v>
      </c>
      <c r="AA4322" t="s">
        <v>19913</v>
      </c>
      <c r="AB4322" t="s">
        <v>23598</v>
      </c>
      <c r="AC4322">
        <v>2</v>
      </c>
      <c r="AD4322" t="s">
        <v>24600</v>
      </c>
      <c r="AE4322" t="s">
        <v>11459</v>
      </c>
      <c r="AF4322">
        <v>1</v>
      </c>
      <c r="AG4322">
        <v>1</v>
      </c>
      <c r="AH4322">
        <v>3</v>
      </c>
      <c r="AI4322">
        <v>170.64</v>
      </c>
      <c r="AL4322" t="s">
        <v>5011</v>
      </c>
      <c r="AM4322">
        <v>43940</v>
      </c>
      <c r="AS4322">
        <v>7.4</v>
      </c>
      <c r="AT4322" t="s">
        <v>509</v>
      </c>
      <c r="AU4322" t="s">
        <v>145</v>
      </c>
      <c r="AV4322" t="s">
        <v>25334</v>
      </c>
      <c r="AW4322" t="s">
        <v>11447</v>
      </c>
    </row>
    <row r="4323" spans="1:49">
      <c r="A4323" s="1">
        <f>HYPERLINK("https://lsnyc.legalserver.org/matter/dynamic-profile/view/1907568","19-1907568")</f>
        <v>0</v>
      </c>
      <c r="B4323" t="s">
        <v>298</v>
      </c>
      <c r="C4323" t="s">
        <v>630</v>
      </c>
      <c r="E4323" t="s">
        <v>1812</v>
      </c>
      <c r="F4323" t="s">
        <v>3547</v>
      </c>
      <c r="G4323" t="s">
        <v>9567</v>
      </c>
      <c r="H4323" t="s">
        <v>10696</v>
      </c>
      <c r="I4323" t="s">
        <v>11383</v>
      </c>
      <c r="J4323">
        <v>10457</v>
      </c>
      <c r="K4323" t="s">
        <v>11446</v>
      </c>
      <c r="L4323" t="s">
        <v>13843</v>
      </c>
      <c r="M4323" t="s">
        <v>14744</v>
      </c>
      <c r="N4323" t="s">
        <v>14781</v>
      </c>
      <c r="P4323" t="s">
        <v>14805</v>
      </c>
      <c r="Q4323" t="s">
        <v>11448</v>
      </c>
      <c r="S4323" t="s">
        <v>14827</v>
      </c>
      <c r="T4323" t="s">
        <v>14832</v>
      </c>
      <c r="U4323" t="s">
        <v>14839</v>
      </c>
      <c r="V4323">
        <v>1488</v>
      </c>
      <c r="W4323" t="s">
        <v>14858</v>
      </c>
      <c r="Z4323" t="s">
        <v>15306</v>
      </c>
      <c r="AA4323" t="s">
        <v>19914</v>
      </c>
      <c r="AB4323" t="s">
        <v>23599</v>
      </c>
      <c r="AC4323">
        <v>166</v>
      </c>
      <c r="AD4323" t="s">
        <v>24605</v>
      </c>
      <c r="AE4323" t="s">
        <v>24610</v>
      </c>
      <c r="AF4323">
        <v>8</v>
      </c>
      <c r="AG4323">
        <v>3</v>
      </c>
      <c r="AH4323">
        <v>0</v>
      </c>
      <c r="AI4323">
        <v>174.74</v>
      </c>
      <c r="AL4323" t="s">
        <v>5011</v>
      </c>
      <c r="AM4323">
        <v>37272</v>
      </c>
      <c r="AS4323">
        <v>11.75</v>
      </c>
      <c r="AT4323" t="s">
        <v>470</v>
      </c>
      <c r="AU4323" t="s">
        <v>145</v>
      </c>
      <c r="AV4323" t="s">
        <v>25334</v>
      </c>
      <c r="AW4323" t="s">
        <v>11447</v>
      </c>
    </row>
    <row r="4324" spans="1:49">
      <c r="A4324" s="1">
        <f>HYPERLINK("https://lsnyc.legalserver.org/matter/dynamic-profile/view/1908652","19-1908652")</f>
        <v>0</v>
      </c>
      <c r="B4324" t="s">
        <v>112</v>
      </c>
      <c r="C4324" t="s">
        <v>410</v>
      </c>
      <c r="E4324" t="s">
        <v>3145</v>
      </c>
      <c r="F4324" t="s">
        <v>5788</v>
      </c>
      <c r="G4324" t="s">
        <v>9568</v>
      </c>
      <c r="H4324" t="s">
        <v>10787</v>
      </c>
      <c r="I4324" t="s">
        <v>11383</v>
      </c>
      <c r="J4324">
        <v>10468</v>
      </c>
      <c r="K4324" t="s">
        <v>11446</v>
      </c>
      <c r="L4324" t="s">
        <v>13844</v>
      </c>
      <c r="M4324" t="s">
        <v>14744</v>
      </c>
      <c r="N4324" t="s">
        <v>14781</v>
      </c>
      <c r="P4324" t="s">
        <v>14805</v>
      </c>
      <c r="Q4324" t="s">
        <v>11446</v>
      </c>
      <c r="S4324" t="s">
        <v>14827</v>
      </c>
      <c r="T4324" t="s">
        <v>14832</v>
      </c>
      <c r="U4324" t="s">
        <v>410</v>
      </c>
      <c r="V4324">
        <v>979.6799999999999</v>
      </c>
      <c r="W4324" t="s">
        <v>14858</v>
      </c>
      <c r="X4324" t="s">
        <v>14873</v>
      </c>
      <c r="Z4324" t="s">
        <v>18476</v>
      </c>
      <c r="AB4324" t="s">
        <v>23600</v>
      </c>
      <c r="AC4324">
        <v>0</v>
      </c>
      <c r="AD4324" t="s">
        <v>24595</v>
      </c>
      <c r="AF4324">
        <v>19</v>
      </c>
      <c r="AG4324">
        <v>2</v>
      </c>
      <c r="AH4324">
        <v>0</v>
      </c>
      <c r="AI4324">
        <v>136.01</v>
      </c>
      <c r="AL4324" t="s">
        <v>24632</v>
      </c>
      <c r="AM4324">
        <v>23000</v>
      </c>
      <c r="AS4324">
        <v>6.5</v>
      </c>
      <c r="AT4324" t="s">
        <v>478</v>
      </c>
      <c r="AU4324" t="s">
        <v>25311</v>
      </c>
      <c r="AV4324" t="s">
        <v>25335</v>
      </c>
      <c r="AW4324" t="s">
        <v>11447</v>
      </c>
    </row>
    <row r="4325" spans="1:49">
      <c r="A4325" s="1">
        <f>HYPERLINK("https://lsnyc.legalserver.org/matter/dynamic-profile/view/1908849","19-1908849")</f>
        <v>0</v>
      </c>
      <c r="B4325" t="s">
        <v>273</v>
      </c>
      <c r="C4325" t="s">
        <v>585</v>
      </c>
      <c r="E4325" t="s">
        <v>3146</v>
      </c>
      <c r="F4325" t="s">
        <v>5789</v>
      </c>
      <c r="G4325" t="s">
        <v>9569</v>
      </c>
      <c r="H4325">
        <v>5</v>
      </c>
      <c r="I4325" t="s">
        <v>11383</v>
      </c>
      <c r="J4325">
        <v>10468</v>
      </c>
      <c r="K4325" t="s">
        <v>11446</v>
      </c>
      <c r="L4325" t="s">
        <v>13845</v>
      </c>
      <c r="M4325" t="s">
        <v>14744</v>
      </c>
      <c r="N4325" t="s">
        <v>14781</v>
      </c>
      <c r="P4325" t="s">
        <v>14805</v>
      </c>
      <c r="Q4325" t="s">
        <v>11446</v>
      </c>
      <c r="S4325" t="s">
        <v>14827</v>
      </c>
      <c r="U4325" t="s">
        <v>585</v>
      </c>
      <c r="V4325">
        <v>596</v>
      </c>
      <c r="W4325" t="s">
        <v>14858</v>
      </c>
      <c r="X4325" t="s">
        <v>14873</v>
      </c>
      <c r="Z4325" t="s">
        <v>18477</v>
      </c>
      <c r="AA4325" t="s">
        <v>19915</v>
      </c>
      <c r="AB4325" t="s">
        <v>23601</v>
      </c>
      <c r="AC4325">
        <v>0</v>
      </c>
      <c r="AF4325">
        <v>3</v>
      </c>
      <c r="AG4325">
        <v>2</v>
      </c>
      <c r="AH4325">
        <v>4</v>
      </c>
      <c r="AI4325">
        <v>67.65000000000001</v>
      </c>
      <c r="AL4325" t="s">
        <v>24632</v>
      </c>
      <c r="AM4325">
        <v>23400</v>
      </c>
      <c r="AS4325">
        <v>19.6</v>
      </c>
      <c r="AT4325" t="s">
        <v>580</v>
      </c>
      <c r="AU4325" t="s">
        <v>25311</v>
      </c>
      <c r="AV4325" t="s">
        <v>25334</v>
      </c>
      <c r="AW4325" t="s">
        <v>11447</v>
      </c>
    </row>
    <row r="4326" spans="1:49">
      <c r="A4326" s="1">
        <f>HYPERLINK("https://lsnyc.legalserver.org/matter/dynamic-profile/view/1908777","19-1908777")</f>
        <v>0</v>
      </c>
      <c r="B4326" t="s">
        <v>273</v>
      </c>
      <c r="C4326" t="s">
        <v>585</v>
      </c>
      <c r="E4326" t="s">
        <v>1866</v>
      </c>
      <c r="F4326" t="s">
        <v>3758</v>
      </c>
      <c r="G4326" t="s">
        <v>9570</v>
      </c>
      <c r="H4326">
        <v>43</v>
      </c>
      <c r="I4326" t="s">
        <v>11383</v>
      </c>
      <c r="J4326">
        <v>10468</v>
      </c>
      <c r="K4326" t="s">
        <v>11446</v>
      </c>
      <c r="L4326" t="s">
        <v>13846</v>
      </c>
      <c r="M4326" t="s">
        <v>14744</v>
      </c>
      <c r="N4326" t="s">
        <v>14781</v>
      </c>
      <c r="P4326" t="s">
        <v>14805</v>
      </c>
      <c r="Q4326" t="s">
        <v>11448</v>
      </c>
      <c r="S4326" t="s">
        <v>14828</v>
      </c>
      <c r="U4326" t="s">
        <v>585</v>
      </c>
      <c r="V4326">
        <v>660</v>
      </c>
      <c r="W4326" t="s">
        <v>14858</v>
      </c>
      <c r="Z4326" t="s">
        <v>18478</v>
      </c>
      <c r="AA4326" t="s">
        <v>19916</v>
      </c>
      <c r="AB4326" t="s">
        <v>23602</v>
      </c>
      <c r="AC4326">
        <v>21</v>
      </c>
      <c r="AF4326">
        <v>11</v>
      </c>
      <c r="AG4326">
        <v>3</v>
      </c>
      <c r="AH4326">
        <v>2</v>
      </c>
      <c r="AI4326">
        <v>90.83</v>
      </c>
      <c r="AL4326" t="s">
        <v>5011</v>
      </c>
      <c r="AM4326">
        <v>27404</v>
      </c>
      <c r="AS4326">
        <v>15.1</v>
      </c>
      <c r="AT4326" t="s">
        <v>580</v>
      </c>
      <c r="AU4326" t="s">
        <v>25311</v>
      </c>
      <c r="AV4326" t="s">
        <v>25334</v>
      </c>
      <c r="AW4326" t="s">
        <v>11447</v>
      </c>
    </row>
    <row r="4327" spans="1:49">
      <c r="A4327" s="1">
        <f>HYPERLINK("https://lsnyc.legalserver.org/matter/dynamic-profile/view/1908847","19-1908847")</f>
        <v>0</v>
      </c>
      <c r="B4327" t="s">
        <v>130</v>
      </c>
      <c r="C4327" t="s">
        <v>585</v>
      </c>
      <c r="E4327" t="s">
        <v>1301</v>
      </c>
      <c r="F4327" t="s">
        <v>3758</v>
      </c>
      <c r="G4327" t="s">
        <v>9571</v>
      </c>
      <c r="H4327">
        <v>7</v>
      </c>
      <c r="I4327" t="s">
        <v>11383</v>
      </c>
      <c r="J4327">
        <v>10467</v>
      </c>
      <c r="K4327" t="s">
        <v>11446</v>
      </c>
      <c r="L4327" t="s">
        <v>13847</v>
      </c>
      <c r="M4327" t="s">
        <v>14744</v>
      </c>
      <c r="N4327" t="s">
        <v>14781</v>
      </c>
      <c r="P4327" t="s">
        <v>14805</v>
      </c>
      <c r="Q4327" t="s">
        <v>11448</v>
      </c>
      <c r="S4327" t="s">
        <v>14827</v>
      </c>
      <c r="U4327" t="s">
        <v>585</v>
      </c>
      <c r="V4327">
        <v>0</v>
      </c>
      <c r="W4327" t="s">
        <v>14858</v>
      </c>
      <c r="X4327" t="s">
        <v>14863</v>
      </c>
      <c r="Z4327" t="s">
        <v>18479</v>
      </c>
      <c r="AB4327" t="s">
        <v>23603</v>
      </c>
      <c r="AC4327">
        <v>7</v>
      </c>
      <c r="AD4327" t="s">
        <v>11479</v>
      </c>
      <c r="AE4327" t="s">
        <v>24616</v>
      </c>
      <c r="AF4327">
        <v>4</v>
      </c>
      <c r="AG4327">
        <v>2</v>
      </c>
      <c r="AH4327">
        <v>3</v>
      </c>
      <c r="AI4327">
        <v>92.18000000000001</v>
      </c>
      <c r="AL4327" t="s">
        <v>5011</v>
      </c>
      <c r="AM4327">
        <v>27812</v>
      </c>
      <c r="AS4327">
        <v>8</v>
      </c>
      <c r="AT4327" t="s">
        <v>490</v>
      </c>
      <c r="AU4327" t="s">
        <v>245</v>
      </c>
      <c r="AV4327" t="s">
        <v>25335</v>
      </c>
      <c r="AW4327" t="s">
        <v>11447</v>
      </c>
    </row>
    <row r="4328" spans="1:49">
      <c r="A4328" s="1">
        <f>HYPERLINK("https://lsnyc.legalserver.org/matter/dynamic-profile/view/1908575","19-1908575")</f>
        <v>0</v>
      </c>
      <c r="B4328" t="s">
        <v>52</v>
      </c>
      <c r="C4328" t="s">
        <v>466</v>
      </c>
      <c r="E4328" t="s">
        <v>3147</v>
      </c>
      <c r="F4328" t="s">
        <v>5790</v>
      </c>
      <c r="G4328" t="s">
        <v>9572</v>
      </c>
      <c r="H4328" t="s">
        <v>10501</v>
      </c>
      <c r="I4328" t="s">
        <v>11383</v>
      </c>
      <c r="J4328">
        <v>10467</v>
      </c>
      <c r="K4328" t="s">
        <v>11446</v>
      </c>
      <c r="L4328" t="s">
        <v>13848</v>
      </c>
      <c r="M4328" t="s">
        <v>14743</v>
      </c>
      <c r="N4328" t="s">
        <v>14781</v>
      </c>
      <c r="P4328" t="s">
        <v>14805</v>
      </c>
      <c r="Q4328" t="s">
        <v>11448</v>
      </c>
      <c r="S4328" t="s">
        <v>14827</v>
      </c>
      <c r="T4328" t="s">
        <v>14832</v>
      </c>
      <c r="U4328" t="s">
        <v>640</v>
      </c>
      <c r="V4328">
        <v>500</v>
      </c>
      <c r="W4328" t="s">
        <v>14858</v>
      </c>
      <c r="Z4328" t="s">
        <v>18480</v>
      </c>
      <c r="AB4328" t="s">
        <v>23604</v>
      </c>
      <c r="AC4328">
        <v>3</v>
      </c>
      <c r="AD4328" t="s">
        <v>24600</v>
      </c>
      <c r="AF4328">
        <v>1</v>
      </c>
      <c r="AG4328">
        <v>1</v>
      </c>
      <c r="AH4328">
        <v>0</v>
      </c>
      <c r="AI4328">
        <v>90.89</v>
      </c>
      <c r="AL4328" t="s">
        <v>5011</v>
      </c>
      <c r="AM4328">
        <v>11352</v>
      </c>
      <c r="AS4328">
        <v>5.2</v>
      </c>
      <c r="AT4328" t="s">
        <v>486</v>
      </c>
      <c r="AU4328" t="s">
        <v>25232</v>
      </c>
      <c r="AV4328" t="s">
        <v>25335</v>
      </c>
      <c r="AW4328" t="s">
        <v>11447</v>
      </c>
    </row>
    <row r="4329" spans="1:49">
      <c r="A4329" s="1">
        <f>HYPERLINK("https://lsnyc.legalserver.org/matter/dynamic-profile/view/1892908","19-1892908")</f>
        <v>0</v>
      </c>
      <c r="B4329" t="s">
        <v>157</v>
      </c>
      <c r="C4329" t="s">
        <v>640</v>
      </c>
      <c r="E4329" t="s">
        <v>1650</v>
      </c>
      <c r="F4329" t="s">
        <v>5791</v>
      </c>
      <c r="G4329" t="s">
        <v>9573</v>
      </c>
      <c r="H4329" t="s">
        <v>10561</v>
      </c>
      <c r="I4329" t="s">
        <v>11383</v>
      </c>
      <c r="J4329">
        <v>10468</v>
      </c>
      <c r="K4329" t="s">
        <v>11446</v>
      </c>
      <c r="L4329" t="s">
        <v>13849</v>
      </c>
      <c r="M4329" t="s">
        <v>14744</v>
      </c>
      <c r="N4329" t="s">
        <v>14781</v>
      </c>
      <c r="P4329" t="s">
        <v>14805</v>
      </c>
      <c r="Q4329" t="s">
        <v>11448</v>
      </c>
      <c r="S4329" t="s">
        <v>14827</v>
      </c>
      <c r="U4329" t="s">
        <v>640</v>
      </c>
      <c r="V4329">
        <v>1550</v>
      </c>
      <c r="W4329" t="s">
        <v>14858</v>
      </c>
      <c r="X4329" t="s">
        <v>14865</v>
      </c>
      <c r="Z4329" t="s">
        <v>18481</v>
      </c>
      <c r="AC4329">
        <v>0</v>
      </c>
      <c r="AD4329" t="s">
        <v>11479</v>
      </c>
      <c r="AE4329" t="s">
        <v>11459</v>
      </c>
      <c r="AF4329">
        <v>2</v>
      </c>
      <c r="AG4329">
        <v>2</v>
      </c>
      <c r="AH4329">
        <v>1</v>
      </c>
      <c r="AI4329">
        <v>100.8</v>
      </c>
      <c r="AL4329" t="s">
        <v>24632</v>
      </c>
      <c r="AM4329">
        <v>21500</v>
      </c>
      <c r="AS4329">
        <v>3.5</v>
      </c>
      <c r="AT4329" t="s">
        <v>663</v>
      </c>
      <c r="AU4329" t="s">
        <v>94</v>
      </c>
      <c r="AV4329" t="s">
        <v>25335</v>
      </c>
      <c r="AW4329" t="s">
        <v>11447</v>
      </c>
    </row>
    <row r="4330" spans="1:49">
      <c r="A4330" s="1">
        <f>HYPERLINK("https://lsnyc.legalserver.org/matter/dynamic-profile/view/1908474","19-1908474")</f>
        <v>0</v>
      </c>
      <c r="B4330" t="s">
        <v>52</v>
      </c>
      <c r="C4330" t="s">
        <v>466</v>
      </c>
      <c r="E4330" t="s">
        <v>1620</v>
      </c>
      <c r="F4330" t="s">
        <v>5792</v>
      </c>
      <c r="G4330" t="s">
        <v>9574</v>
      </c>
      <c r="H4330" t="s">
        <v>10757</v>
      </c>
      <c r="I4330" t="s">
        <v>11383</v>
      </c>
      <c r="J4330">
        <v>10462</v>
      </c>
      <c r="K4330" t="s">
        <v>11446</v>
      </c>
      <c r="L4330" t="s">
        <v>13850</v>
      </c>
      <c r="M4330" t="s">
        <v>14744</v>
      </c>
      <c r="N4330" t="s">
        <v>14781</v>
      </c>
      <c r="P4330" t="s">
        <v>14805</v>
      </c>
      <c r="Q4330" t="s">
        <v>11448</v>
      </c>
      <c r="S4330" t="s">
        <v>14827</v>
      </c>
      <c r="T4330" t="s">
        <v>14832</v>
      </c>
      <c r="U4330" t="s">
        <v>640</v>
      </c>
      <c r="V4330">
        <v>995</v>
      </c>
      <c r="W4330" t="s">
        <v>14858</v>
      </c>
      <c r="Z4330" t="s">
        <v>15346</v>
      </c>
      <c r="AC4330">
        <v>73</v>
      </c>
      <c r="AD4330" t="s">
        <v>24595</v>
      </c>
      <c r="AF4330">
        <v>25</v>
      </c>
      <c r="AG4330">
        <v>2</v>
      </c>
      <c r="AH4330">
        <v>0</v>
      </c>
      <c r="AI4330">
        <v>107.63</v>
      </c>
      <c r="AL4330" t="s">
        <v>24632</v>
      </c>
      <c r="AM4330">
        <v>18200</v>
      </c>
      <c r="AS4330">
        <v>5.3</v>
      </c>
      <c r="AT4330" t="s">
        <v>473</v>
      </c>
      <c r="AU4330" t="s">
        <v>25232</v>
      </c>
      <c r="AV4330" t="s">
        <v>25335</v>
      </c>
      <c r="AW4330" t="s">
        <v>11447</v>
      </c>
    </row>
    <row r="4331" spans="1:49">
      <c r="A4331" s="1">
        <f>HYPERLINK("https://lsnyc.legalserver.org/matter/dynamic-profile/view/1908897","19-1908897")</f>
        <v>0</v>
      </c>
      <c r="B4331" t="s">
        <v>112</v>
      </c>
      <c r="C4331" t="s">
        <v>640</v>
      </c>
      <c r="E4331" t="s">
        <v>3148</v>
      </c>
      <c r="F4331" t="s">
        <v>3547</v>
      </c>
      <c r="G4331" t="s">
        <v>9575</v>
      </c>
      <c r="H4331" t="s">
        <v>10581</v>
      </c>
      <c r="I4331" t="s">
        <v>11383</v>
      </c>
      <c r="J4331">
        <v>10462</v>
      </c>
      <c r="K4331" t="s">
        <v>11446</v>
      </c>
      <c r="L4331" t="s">
        <v>13851</v>
      </c>
      <c r="M4331" t="s">
        <v>14744</v>
      </c>
      <c r="N4331" t="s">
        <v>14781</v>
      </c>
      <c r="P4331" t="s">
        <v>14805</v>
      </c>
      <c r="Q4331" t="s">
        <v>11448</v>
      </c>
      <c r="S4331" t="s">
        <v>14827</v>
      </c>
      <c r="U4331" t="s">
        <v>640</v>
      </c>
      <c r="V4331">
        <v>1095</v>
      </c>
      <c r="W4331" t="s">
        <v>14858</v>
      </c>
      <c r="X4331" t="s">
        <v>14873</v>
      </c>
      <c r="Z4331" t="s">
        <v>18482</v>
      </c>
      <c r="AB4331" t="s">
        <v>23605</v>
      </c>
      <c r="AC4331">
        <v>104</v>
      </c>
      <c r="AF4331">
        <v>5</v>
      </c>
      <c r="AG4331">
        <v>1</v>
      </c>
      <c r="AH4331">
        <v>0</v>
      </c>
      <c r="AI4331">
        <v>124.9</v>
      </c>
      <c r="AK4331" t="s">
        <v>24629</v>
      </c>
      <c r="AL4331" t="s">
        <v>5011</v>
      </c>
      <c r="AM4331">
        <v>15600</v>
      </c>
      <c r="AS4331">
        <v>5.7</v>
      </c>
      <c r="AT4331" t="s">
        <v>506</v>
      </c>
      <c r="AU4331" t="s">
        <v>25311</v>
      </c>
      <c r="AV4331" t="s">
        <v>25335</v>
      </c>
      <c r="AW4331" t="s">
        <v>11447</v>
      </c>
    </row>
    <row r="4332" spans="1:49">
      <c r="A4332" s="1">
        <f>HYPERLINK("https://lsnyc.legalserver.org/matter/dynamic-profile/view/1908948","19-1908948")</f>
        <v>0</v>
      </c>
      <c r="B4332" t="s">
        <v>112</v>
      </c>
      <c r="C4332" t="s">
        <v>640</v>
      </c>
      <c r="E4332" t="s">
        <v>3149</v>
      </c>
      <c r="F4332" t="s">
        <v>5793</v>
      </c>
      <c r="G4332" t="s">
        <v>9576</v>
      </c>
      <c r="H4332" t="s">
        <v>11249</v>
      </c>
      <c r="I4332" t="s">
        <v>11383</v>
      </c>
      <c r="J4332">
        <v>10468</v>
      </c>
      <c r="K4332" t="s">
        <v>11446</v>
      </c>
      <c r="L4332" t="s">
        <v>13852</v>
      </c>
      <c r="M4332" t="s">
        <v>14744</v>
      </c>
      <c r="N4332" t="s">
        <v>14781</v>
      </c>
      <c r="P4332" t="s">
        <v>14805</v>
      </c>
      <c r="Q4332" t="s">
        <v>11448</v>
      </c>
      <c r="S4332" t="s">
        <v>14827</v>
      </c>
      <c r="T4332" t="s">
        <v>14832</v>
      </c>
      <c r="U4332" t="s">
        <v>640</v>
      </c>
      <c r="V4332">
        <v>1575</v>
      </c>
      <c r="W4332" t="s">
        <v>14858</v>
      </c>
      <c r="X4332" t="s">
        <v>14873</v>
      </c>
      <c r="Z4332" t="s">
        <v>18483</v>
      </c>
      <c r="AB4332" t="s">
        <v>23606</v>
      </c>
      <c r="AC4332">
        <v>55</v>
      </c>
      <c r="AF4332">
        <v>4</v>
      </c>
      <c r="AG4332">
        <v>1</v>
      </c>
      <c r="AH4332">
        <v>1</v>
      </c>
      <c r="AI4332">
        <v>129.46</v>
      </c>
      <c r="AK4332" t="s">
        <v>24629</v>
      </c>
      <c r="AL4332" t="s">
        <v>5011</v>
      </c>
      <c r="AM4332">
        <v>21892</v>
      </c>
      <c r="AS4332">
        <v>7.95</v>
      </c>
      <c r="AT4332" t="s">
        <v>537</v>
      </c>
      <c r="AU4332" t="s">
        <v>25311</v>
      </c>
      <c r="AV4332" t="s">
        <v>25335</v>
      </c>
      <c r="AW4332" t="s">
        <v>11447</v>
      </c>
    </row>
    <row r="4333" spans="1:49">
      <c r="A4333" s="1">
        <f>HYPERLINK("https://lsnyc.legalserver.org/matter/dynamic-profile/view/1908547","19-1908547")</f>
        <v>0</v>
      </c>
      <c r="B4333" t="s">
        <v>52</v>
      </c>
      <c r="C4333" t="s">
        <v>466</v>
      </c>
      <c r="E4333" t="s">
        <v>3150</v>
      </c>
      <c r="F4333" t="s">
        <v>3890</v>
      </c>
      <c r="G4333" t="s">
        <v>9577</v>
      </c>
      <c r="H4333" t="s">
        <v>10467</v>
      </c>
      <c r="I4333" t="s">
        <v>11383</v>
      </c>
      <c r="J4333">
        <v>10468</v>
      </c>
      <c r="K4333" t="s">
        <v>11446</v>
      </c>
      <c r="L4333" t="s">
        <v>13853</v>
      </c>
      <c r="M4333" t="s">
        <v>14744</v>
      </c>
      <c r="N4333" t="s">
        <v>14781</v>
      </c>
      <c r="P4333" t="s">
        <v>14805</v>
      </c>
      <c r="Q4333" t="s">
        <v>11448</v>
      </c>
      <c r="S4333" t="s">
        <v>14827</v>
      </c>
      <c r="T4333" t="s">
        <v>14832</v>
      </c>
      <c r="U4333" t="s">
        <v>640</v>
      </c>
      <c r="V4333">
        <v>1200</v>
      </c>
      <c r="W4333" t="s">
        <v>14858</v>
      </c>
      <c r="Z4333" t="s">
        <v>18484</v>
      </c>
      <c r="AB4333" t="s">
        <v>23607</v>
      </c>
      <c r="AC4333">
        <v>93</v>
      </c>
      <c r="AD4333" t="s">
        <v>24595</v>
      </c>
      <c r="AF4333">
        <v>5</v>
      </c>
      <c r="AG4333">
        <v>2</v>
      </c>
      <c r="AH4333">
        <v>1</v>
      </c>
      <c r="AI4333">
        <v>140.65</v>
      </c>
      <c r="AL4333" t="s">
        <v>5011</v>
      </c>
      <c r="AM4333">
        <v>30000</v>
      </c>
      <c r="AS4333">
        <v>11.1</v>
      </c>
      <c r="AT4333" t="s">
        <v>477</v>
      </c>
      <c r="AU4333" t="s">
        <v>25232</v>
      </c>
      <c r="AV4333" t="s">
        <v>25335</v>
      </c>
      <c r="AW4333" t="s">
        <v>11447</v>
      </c>
    </row>
    <row r="4334" spans="1:49">
      <c r="A4334" s="1">
        <f>HYPERLINK("https://lsnyc.legalserver.org/matter/dynamic-profile/view/1908986","19-1908986")</f>
        <v>0</v>
      </c>
      <c r="B4334" t="s">
        <v>60</v>
      </c>
      <c r="C4334" t="s">
        <v>640</v>
      </c>
      <c r="E4334" t="s">
        <v>3151</v>
      </c>
      <c r="F4334" t="s">
        <v>5794</v>
      </c>
      <c r="G4334" t="s">
        <v>9578</v>
      </c>
      <c r="H4334" t="s">
        <v>10467</v>
      </c>
      <c r="I4334" t="s">
        <v>11383</v>
      </c>
      <c r="J4334">
        <v>10467</v>
      </c>
      <c r="K4334" t="s">
        <v>11446</v>
      </c>
      <c r="L4334" t="s">
        <v>13854</v>
      </c>
      <c r="M4334" t="s">
        <v>14744</v>
      </c>
      <c r="N4334" t="s">
        <v>14781</v>
      </c>
      <c r="P4334" t="s">
        <v>14805</v>
      </c>
      <c r="Q4334" t="s">
        <v>11448</v>
      </c>
      <c r="S4334" t="s">
        <v>14827</v>
      </c>
      <c r="T4334" t="s">
        <v>14832</v>
      </c>
      <c r="U4334" t="s">
        <v>640</v>
      </c>
      <c r="V4334">
        <v>1150</v>
      </c>
      <c r="W4334" t="s">
        <v>14858</v>
      </c>
      <c r="X4334" t="s">
        <v>14865</v>
      </c>
      <c r="Z4334" t="s">
        <v>18485</v>
      </c>
      <c r="AB4334" t="s">
        <v>23608</v>
      </c>
      <c r="AC4334">
        <v>21</v>
      </c>
      <c r="AD4334" t="s">
        <v>24595</v>
      </c>
      <c r="AF4334">
        <v>3</v>
      </c>
      <c r="AG4334">
        <v>2</v>
      </c>
      <c r="AH4334">
        <v>2</v>
      </c>
      <c r="AI4334">
        <v>153.79</v>
      </c>
      <c r="AL4334" t="s">
        <v>24642</v>
      </c>
      <c r="AM4334">
        <v>39600</v>
      </c>
      <c r="AP4334" t="s">
        <v>24941</v>
      </c>
      <c r="AQ4334" t="s">
        <v>24988</v>
      </c>
      <c r="AR4334" t="s">
        <v>25080</v>
      </c>
      <c r="AS4334">
        <v>4</v>
      </c>
      <c r="AT4334" t="s">
        <v>490</v>
      </c>
      <c r="AU4334" t="s">
        <v>145</v>
      </c>
      <c r="AV4334" t="s">
        <v>25335</v>
      </c>
      <c r="AW4334" t="s">
        <v>11447</v>
      </c>
    </row>
    <row r="4335" spans="1:49">
      <c r="A4335" s="1">
        <f>HYPERLINK("https://lsnyc.legalserver.org/matter/dynamic-profile/view/1908969","19-1908969")</f>
        <v>0</v>
      </c>
      <c r="B4335" t="s">
        <v>60</v>
      </c>
      <c r="C4335" t="s">
        <v>640</v>
      </c>
      <c r="E4335" t="s">
        <v>3152</v>
      </c>
      <c r="F4335" t="s">
        <v>3970</v>
      </c>
      <c r="G4335" t="s">
        <v>9579</v>
      </c>
      <c r="H4335" t="s">
        <v>10589</v>
      </c>
      <c r="I4335" t="s">
        <v>11383</v>
      </c>
      <c r="J4335">
        <v>10468</v>
      </c>
      <c r="K4335" t="s">
        <v>11446</v>
      </c>
      <c r="L4335" t="s">
        <v>13855</v>
      </c>
      <c r="M4335" t="s">
        <v>14744</v>
      </c>
      <c r="N4335" t="s">
        <v>14781</v>
      </c>
      <c r="P4335" t="s">
        <v>14805</v>
      </c>
      <c r="Q4335" t="s">
        <v>11448</v>
      </c>
      <c r="S4335" t="s">
        <v>14827</v>
      </c>
      <c r="T4335" t="s">
        <v>14832</v>
      </c>
      <c r="U4335" t="s">
        <v>640</v>
      </c>
      <c r="V4335">
        <v>1058</v>
      </c>
      <c r="W4335" t="s">
        <v>14858</v>
      </c>
      <c r="X4335" t="s">
        <v>14865</v>
      </c>
      <c r="Z4335" t="s">
        <v>18486</v>
      </c>
      <c r="AA4335" t="s">
        <v>19917</v>
      </c>
      <c r="AB4335" t="s">
        <v>23609</v>
      </c>
      <c r="AC4335">
        <v>63</v>
      </c>
      <c r="AD4335" t="s">
        <v>24595</v>
      </c>
      <c r="AE4335" t="s">
        <v>11459</v>
      </c>
      <c r="AF4335">
        <v>18</v>
      </c>
      <c r="AG4335">
        <v>2</v>
      </c>
      <c r="AH4335">
        <v>1</v>
      </c>
      <c r="AI4335">
        <v>196.91</v>
      </c>
      <c r="AL4335" t="s">
        <v>5011</v>
      </c>
      <c r="AM4335">
        <v>42000</v>
      </c>
      <c r="AS4335">
        <v>3.6</v>
      </c>
      <c r="AT4335" t="s">
        <v>654</v>
      </c>
      <c r="AU4335" t="s">
        <v>145</v>
      </c>
      <c r="AV4335" t="s">
        <v>25335</v>
      </c>
      <c r="AW4335" t="s">
        <v>11447</v>
      </c>
    </row>
    <row r="4336" spans="1:49">
      <c r="A4336" s="1">
        <f>HYPERLINK("https://lsnyc.legalserver.org/matter/dynamic-profile/view/1909181","19-1909181")</f>
        <v>0</v>
      </c>
      <c r="B4336" t="s">
        <v>80</v>
      </c>
      <c r="C4336" t="s">
        <v>462</v>
      </c>
      <c r="E4336" t="s">
        <v>1320</v>
      </c>
      <c r="F4336" t="s">
        <v>3799</v>
      </c>
      <c r="G4336" t="s">
        <v>9580</v>
      </c>
      <c r="I4336" t="s">
        <v>11383</v>
      </c>
      <c r="J4336">
        <v>10467</v>
      </c>
      <c r="K4336" t="s">
        <v>11446</v>
      </c>
      <c r="L4336" t="s">
        <v>13856</v>
      </c>
      <c r="M4336" t="s">
        <v>14744</v>
      </c>
      <c r="N4336" t="s">
        <v>14781</v>
      </c>
      <c r="P4336" t="s">
        <v>14805</v>
      </c>
      <c r="Q4336" t="s">
        <v>11448</v>
      </c>
      <c r="S4336" t="s">
        <v>14827</v>
      </c>
      <c r="U4336" t="s">
        <v>462</v>
      </c>
      <c r="V4336">
        <v>1300</v>
      </c>
      <c r="W4336" t="s">
        <v>14858</v>
      </c>
      <c r="Z4336" t="s">
        <v>15623</v>
      </c>
      <c r="AA4336" t="s">
        <v>19918</v>
      </c>
      <c r="AB4336" t="s">
        <v>23610</v>
      </c>
      <c r="AC4336">
        <v>0</v>
      </c>
      <c r="AD4336" t="s">
        <v>11479</v>
      </c>
      <c r="AF4336">
        <v>17</v>
      </c>
      <c r="AG4336">
        <v>3</v>
      </c>
      <c r="AH4336">
        <v>0</v>
      </c>
      <c r="AI4336">
        <v>109.52</v>
      </c>
      <c r="AL4336" t="s">
        <v>24632</v>
      </c>
      <c r="AM4336">
        <v>23360</v>
      </c>
      <c r="AS4336">
        <v>5</v>
      </c>
      <c r="AT4336" t="s">
        <v>511</v>
      </c>
      <c r="AU4336" t="s">
        <v>25232</v>
      </c>
      <c r="AV4336" t="s">
        <v>25334</v>
      </c>
      <c r="AW4336" t="s">
        <v>11447</v>
      </c>
    </row>
    <row r="4337" spans="1:49">
      <c r="A4337" s="1">
        <f>HYPERLINK("https://lsnyc.legalserver.org/matter/dynamic-profile/view/1909138","19-1909138")</f>
        <v>0</v>
      </c>
      <c r="B4337" t="s">
        <v>115</v>
      </c>
      <c r="C4337" t="s">
        <v>462</v>
      </c>
      <c r="E4337" t="s">
        <v>1661</v>
      </c>
      <c r="F4337" t="s">
        <v>5795</v>
      </c>
      <c r="G4337" t="s">
        <v>9581</v>
      </c>
      <c r="H4337" t="s">
        <v>10464</v>
      </c>
      <c r="I4337" t="s">
        <v>11383</v>
      </c>
      <c r="J4337">
        <v>10467</v>
      </c>
      <c r="K4337" t="s">
        <v>11446</v>
      </c>
      <c r="L4337" t="s">
        <v>13857</v>
      </c>
      <c r="M4337" t="s">
        <v>14744</v>
      </c>
      <c r="N4337" t="s">
        <v>14781</v>
      </c>
      <c r="P4337" t="s">
        <v>14805</v>
      </c>
      <c r="Q4337" t="s">
        <v>11448</v>
      </c>
      <c r="S4337" t="s">
        <v>14827</v>
      </c>
      <c r="T4337" t="s">
        <v>14832</v>
      </c>
      <c r="U4337" t="s">
        <v>462</v>
      </c>
      <c r="V4337">
        <v>1750</v>
      </c>
      <c r="W4337" t="s">
        <v>14858</v>
      </c>
      <c r="X4337" t="s">
        <v>14873</v>
      </c>
      <c r="Z4337" t="s">
        <v>18487</v>
      </c>
      <c r="AA4337" t="s">
        <v>19919</v>
      </c>
      <c r="AB4337" t="s">
        <v>23611</v>
      </c>
      <c r="AC4337">
        <v>5</v>
      </c>
      <c r="AD4337" t="s">
        <v>24600</v>
      </c>
      <c r="AE4337" t="s">
        <v>11459</v>
      </c>
      <c r="AF4337">
        <v>-1</v>
      </c>
      <c r="AG4337">
        <v>1</v>
      </c>
      <c r="AH4337">
        <v>1</v>
      </c>
      <c r="AI4337">
        <v>123</v>
      </c>
      <c r="AL4337" t="s">
        <v>5011</v>
      </c>
      <c r="AM4337">
        <v>20800</v>
      </c>
      <c r="AS4337">
        <v>6</v>
      </c>
      <c r="AT4337" t="s">
        <v>586</v>
      </c>
      <c r="AU4337" t="s">
        <v>25311</v>
      </c>
      <c r="AV4337" t="s">
        <v>25334</v>
      </c>
      <c r="AW4337" t="s">
        <v>11447</v>
      </c>
    </row>
    <row r="4338" spans="1:49">
      <c r="A4338" s="1">
        <f>HYPERLINK("https://lsnyc.legalserver.org/matter/dynamic-profile/view/1909151","19-1909151")</f>
        <v>0</v>
      </c>
      <c r="B4338" t="s">
        <v>300</v>
      </c>
      <c r="C4338" t="s">
        <v>462</v>
      </c>
      <c r="E4338" t="s">
        <v>3153</v>
      </c>
      <c r="F4338" t="s">
        <v>4605</v>
      </c>
      <c r="G4338" t="s">
        <v>9582</v>
      </c>
      <c r="H4338" t="s">
        <v>10579</v>
      </c>
      <c r="I4338" t="s">
        <v>11383</v>
      </c>
      <c r="J4338">
        <v>10457</v>
      </c>
      <c r="K4338" t="s">
        <v>11446</v>
      </c>
      <c r="L4338" t="s">
        <v>13858</v>
      </c>
      <c r="M4338" t="s">
        <v>14744</v>
      </c>
      <c r="N4338" t="s">
        <v>14781</v>
      </c>
      <c r="P4338" t="s">
        <v>14805</v>
      </c>
      <c r="Q4338" t="s">
        <v>11448</v>
      </c>
      <c r="S4338" t="s">
        <v>14827</v>
      </c>
      <c r="T4338" t="s">
        <v>14832</v>
      </c>
      <c r="U4338" t="s">
        <v>462</v>
      </c>
      <c r="V4338">
        <v>952.88</v>
      </c>
      <c r="W4338" t="s">
        <v>14858</v>
      </c>
      <c r="X4338" t="s">
        <v>14868</v>
      </c>
      <c r="Z4338" t="s">
        <v>18488</v>
      </c>
      <c r="AB4338" t="s">
        <v>23612</v>
      </c>
      <c r="AC4338">
        <v>16</v>
      </c>
      <c r="AD4338" t="s">
        <v>24595</v>
      </c>
      <c r="AE4338" t="s">
        <v>11459</v>
      </c>
      <c r="AF4338">
        <v>6</v>
      </c>
      <c r="AG4338">
        <v>1</v>
      </c>
      <c r="AH4338">
        <v>1</v>
      </c>
      <c r="AI4338">
        <v>141.93</v>
      </c>
      <c r="AL4338" t="s">
        <v>5011</v>
      </c>
      <c r="AM4338">
        <v>24000</v>
      </c>
      <c r="AS4338">
        <v>9</v>
      </c>
      <c r="AT4338" t="s">
        <v>490</v>
      </c>
      <c r="AU4338" t="s">
        <v>25239</v>
      </c>
      <c r="AV4338" t="s">
        <v>25335</v>
      </c>
      <c r="AW4338" t="s">
        <v>11447</v>
      </c>
    </row>
    <row r="4339" spans="1:49">
      <c r="A4339" s="1">
        <f>HYPERLINK("https://lsnyc.legalserver.org/matter/dynamic-profile/view/1904054","19-1904054")</f>
        <v>0</v>
      </c>
      <c r="B4339" t="s">
        <v>143</v>
      </c>
      <c r="C4339" t="s">
        <v>621</v>
      </c>
      <c r="E4339" t="s">
        <v>1945</v>
      </c>
      <c r="F4339" t="s">
        <v>5796</v>
      </c>
      <c r="G4339" t="s">
        <v>9583</v>
      </c>
      <c r="H4339" t="s">
        <v>10579</v>
      </c>
      <c r="I4339" t="s">
        <v>11383</v>
      </c>
      <c r="J4339">
        <v>10468</v>
      </c>
      <c r="K4339" t="s">
        <v>11446</v>
      </c>
      <c r="L4339" t="s">
        <v>13859</v>
      </c>
      <c r="M4339" t="s">
        <v>14744</v>
      </c>
      <c r="N4339" t="s">
        <v>14781</v>
      </c>
      <c r="P4339" t="s">
        <v>14805</v>
      </c>
      <c r="Q4339" t="s">
        <v>11448</v>
      </c>
      <c r="S4339" t="s">
        <v>14827</v>
      </c>
      <c r="U4339" t="s">
        <v>462</v>
      </c>
      <c r="V4339">
        <v>887</v>
      </c>
      <c r="W4339" t="s">
        <v>14858</v>
      </c>
      <c r="X4339" t="s">
        <v>14865</v>
      </c>
      <c r="Z4339" t="s">
        <v>16077</v>
      </c>
      <c r="AB4339" t="s">
        <v>23613</v>
      </c>
      <c r="AC4339">
        <v>61</v>
      </c>
      <c r="AD4339" t="s">
        <v>24595</v>
      </c>
      <c r="AE4339" t="s">
        <v>11459</v>
      </c>
      <c r="AF4339">
        <v>16</v>
      </c>
      <c r="AG4339">
        <v>1</v>
      </c>
      <c r="AH4339">
        <v>0</v>
      </c>
      <c r="AI4339">
        <v>204.64</v>
      </c>
      <c r="AJ4339" t="s">
        <v>462</v>
      </c>
      <c r="AK4339" t="s">
        <v>24629</v>
      </c>
      <c r="AL4339" t="s">
        <v>24632</v>
      </c>
      <c r="AM4339">
        <v>25560</v>
      </c>
      <c r="AS4339">
        <v>8.5</v>
      </c>
      <c r="AT4339" t="s">
        <v>460</v>
      </c>
      <c r="AU4339" t="s">
        <v>145</v>
      </c>
      <c r="AV4339" t="s">
        <v>25335</v>
      </c>
      <c r="AW4339" t="s">
        <v>11447</v>
      </c>
    </row>
    <row r="4340" spans="1:49">
      <c r="A4340" s="1">
        <f>HYPERLINK("https://lsnyc.legalserver.org/matter/dynamic-profile/view/1901506","19-1901506")</f>
        <v>0</v>
      </c>
      <c r="B4340" t="s">
        <v>143</v>
      </c>
      <c r="C4340" t="s">
        <v>330</v>
      </c>
      <c r="E4340" t="s">
        <v>1769</v>
      </c>
      <c r="F4340" t="s">
        <v>4777</v>
      </c>
      <c r="G4340" t="s">
        <v>9584</v>
      </c>
      <c r="H4340" t="s">
        <v>10498</v>
      </c>
      <c r="I4340" t="s">
        <v>11383</v>
      </c>
      <c r="J4340">
        <v>10467</v>
      </c>
      <c r="K4340" t="s">
        <v>11446</v>
      </c>
      <c r="L4340" t="s">
        <v>13860</v>
      </c>
      <c r="M4340" t="s">
        <v>14744</v>
      </c>
      <c r="N4340" t="s">
        <v>14781</v>
      </c>
      <c r="P4340" t="s">
        <v>14805</v>
      </c>
      <c r="Q4340" t="s">
        <v>11448</v>
      </c>
      <c r="S4340" t="s">
        <v>14827</v>
      </c>
      <c r="U4340" t="s">
        <v>462</v>
      </c>
      <c r="V4340">
        <v>1246</v>
      </c>
      <c r="W4340" t="s">
        <v>14858</v>
      </c>
      <c r="X4340" t="s">
        <v>14755</v>
      </c>
      <c r="Z4340" t="s">
        <v>18489</v>
      </c>
      <c r="AB4340" t="s">
        <v>23614</v>
      </c>
      <c r="AC4340">
        <v>9669</v>
      </c>
      <c r="AE4340" t="s">
        <v>11459</v>
      </c>
      <c r="AF4340">
        <v>0</v>
      </c>
      <c r="AG4340">
        <v>1</v>
      </c>
      <c r="AH4340">
        <v>2</v>
      </c>
      <c r="AI4340">
        <v>205.39</v>
      </c>
      <c r="AJ4340" t="s">
        <v>462</v>
      </c>
      <c r="AK4340" t="s">
        <v>24629</v>
      </c>
      <c r="AL4340" t="s">
        <v>5011</v>
      </c>
      <c r="AM4340">
        <v>43810</v>
      </c>
      <c r="AS4340">
        <v>10.05</v>
      </c>
      <c r="AT4340" t="s">
        <v>539</v>
      </c>
      <c r="AU4340" t="s">
        <v>145</v>
      </c>
      <c r="AV4340" t="s">
        <v>25335</v>
      </c>
      <c r="AW4340" t="s">
        <v>11447</v>
      </c>
    </row>
    <row r="4341" spans="1:49">
      <c r="A4341" s="1">
        <f>HYPERLINK("https://lsnyc.legalserver.org/matter/dynamic-profile/view/1906713","19-1906713")</f>
        <v>0</v>
      </c>
      <c r="B4341" t="s">
        <v>257</v>
      </c>
      <c r="C4341" t="s">
        <v>620</v>
      </c>
      <c r="E4341" t="s">
        <v>1610</v>
      </c>
      <c r="F4341" t="s">
        <v>3662</v>
      </c>
      <c r="G4341" t="s">
        <v>9585</v>
      </c>
      <c r="H4341" t="s">
        <v>11250</v>
      </c>
      <c r="I4341" t="s">
        <v>11383</v>
      </c>
      <c r="J4341">
        <v>10468</v>
      </c>
      <c r="K4341" t="s">
        <v>11446</v>
      </c>
      <c r="L4341" t="s">
        <v>13861</v>
      </c>
      <c r="M4341" t="s">
        <v>14744</v>
      </c>
      <c r="N4341" t="s">
        <v>14781</v>
      </c>
      <c r="P4341" t="s">
        <v>14805</v>
      </c>
      <c r="Q4341" t="s">
        <v>11448</v>
      </c>
      <c r="S4341" t="s">
        <v>14827</v>
      </c>
      <c r="T4341" t="s">
        <v>14832</v>
      </c>
      <c r="U4341" t="s">
        <v>462</v>
      </c>
      <c r="V4341">
        <v>0</v>
      </c>
      <c r="W4341" t="s">
        <v>14858</v>
      </c>
      <c r="X4341" t="s">
        <v>14863</v>
      </c>
      <c r="Z4341" t="s">
        <v>18490</v>
      </c>
      <c r="AC4341">
        <v>104</v>
      </c>
      <c r="AD4341" t="s">
        <v>24595</v>
      </c>
      <c r="AE4341" t="s">
        <v>11459</v>
      </c>
      <c r="AF4341">
        <v>1</v>
      </c>
      <c r="AG4341">
        <v>5</v>
      </c>
      <c r="AH4341">
        <v>1</v>
      </c>
      <c r="AI4341">
        <v>245.74</v>
      </c>
      <c r="AJ4341" t="s">
        <v>462</v>
      </c>
      <c r="AK4341" t="s">
        <v>24629</v>
      </c>
      <c r="AL4341" t="s">
        <v>24632</v>
      </c>
      <c r="AM4341">
        <v>85000</v>
      </c>
      <c r="AS4341">
        <v>2.2</v>
      </c>
      <c r="AT4341" t="s">
        <v>412</v>
      </c>
      <c r="AU4341" t="s">
        <v>145</v>
      </c>
      <c r="AV4341" t="s">
        <v>25335</v>
      </c>
      <c r="AW4341" t="s">
        <v>11447</v>
      </c>
    </row>
    <row r="4342" spans="1:49">
      <c r="A4342" s="1">
        <f>HYPERLINK("https://lsnyc.legalserver.org/matter/dynamic-profile/view/1903982","19-1903982")</f>
        <v>0</v>
      </c>
      <c r="B4342" t="s">
        <v>142</v>
      </c>
      <c r="C4342" t="s">
        <v>469</v>
      </c>
      <c r="E4342" t="s">
        <v>1140</v>
      </c>
      <c r="F4342" t="s">
        <v>5797</v>
      </c>
      <c r="G4342" t="s">
        <v>8962</v>
      </c>
      <c r="H4342" t="s">
        <v>10638</v>
      </c>
      <c r="I4342" t="s">
        <v>11383</v>
      </c>
      <c r="J4342">
        <v>10468</v>
      </c>
      <c r="K4342" t="s">
        <v>11446</v>
      </c>
      <c r="L4342" t="s">
        <v>13862</v>
      </c>
      <c r="M4342" t="s">
        <v>14744</v>
      </c>
      <c r="N4342" t="s">
        <v>14781</v>
      </c>
      <c r="P4342" t="s">
        <v>14805</v>
      </c>
      <c r="Q4342" t="s">
        <v>11448</v>
      </c>
      <c r="S4342" t="s">
        <v>14827</v>
      </c>
      <c r="U4342" t="s">
        <v>462</v>
      </c>
      <c r="V4342">
        <v>1390.15</v>
      </c>
      <c r="W4342" t="s">
        <v>14858</v>
      </c>
      <c r="X4342" t="s">
        <v>14865</v>
      </c>
      <c r="Z4342" t="s">
        <v>18491</v>
      </c>
      <c r="AB4342" t="s">
        <v>23615</v>
      </c>
      <c r="AC4342">
        <v>82</v>
      </c>
      <c r="AD4342" t="s">
        <v>24595</v>
      </c>
      <c r="AE4342" t="s">
        <v>11459</v>
      </c>
      <c r="AF4342">
        <v>30</v>
      </c>
      <c r="AG4342">
        <v>2</v>
      </c>
      <c r="AH4342">
        <v>0</v>
      </c>
      <c r="AI4342">
        <v>384.39</v>
      </c>
      <c r="AJ4342" t="s">
        <v>462</v>
      </c>
      <c r="AK4342" t="s">
        <v>24629</v>
      </c>
      <c r="AL4342" t="s">
        <v>5011</v>
      </c>
      <c r="AM4342">
        <v>65000</v>
      </c>
      <c r="AS4342">
        <v>5.75</v>
      </c>
      <c r="AT4342" t="s">
        <v>500</v>
      </c>
      <c r="AU4342" t="s">
        <v>237</v>
      </c>
      <c r="AV4342" t="s">
        <v>25335</v>
      </c>
      <c r="AW4342" t="s">
        <v>11447</v>
      </c>
    </row>
    <row r="4343" spans="1:49">
      <c r="A4343" s="1">
        <f>HYPERLINK("https://lsnyc.legalserver.org/matter/dynamic-profile/view/1904882","19-1904882")</f>
        <v>0</v>
      </c>
      <c r="B4343" t="s">
        <v>111</v>
      </c>
      <c r="C4343" t="s">
        <v>345</v>
      </c>
      <c r="E4343" t="s">
        <v>2816</v>
      </c>
      <c r="F4343" t="s">
        <v>5798</v>
      </c>
      <c r="G4343" t="s">
        <v>9539</v>
      </c>
      <c r="H4343" t="s">
        <v>10533</v>
      </c>
      <c r="I4343" t="s">
        <v>11383</v>
      </c>
      <c r="J4343">
        <v>10467</v>
      </c>
      <c r="K4343" t="s">
        <v>11446</v>
      </c>
      <c r="L4343" t="s">
        <v>13863</v>
      </c>
      <c r="M4343" t="s">
        <v>14744</v>
      </c>
      <c r="N4343" t="s">
        <v>14781</v>
      </c>
      <c r="P4343" t="s">
        <v>14805</v>
      </c>
      <c r="Q4343" t="s">
        <v>11448</v>
      </c>
      <c r="S4343" t="s">
        <v>14827</v>
      </c>
      <c r="U4343" t="s">
        <v>589</v>
      </c>
      <c r="V4343">
        <v>550</v>
      </c>
      <c r="W4343" t="s">
        <v>14858</v>
      </c>
      <c r="X4343" t="s">
        <v>14868</v>
      </c>
      <c r="Z4343" t="s">
        <v>18492</v>
      </c>
      <c r="AB4343" t="s">
        <v>23616</v>
      </c>
      <c r="AC4343">
        <v>48</v>
      </c>
      <c r="AD4343" t="s">
        <v>24597</v>
      </c>
      <c r="AE4343" t="s">
        <v>24610</v>
      </c>
      <c r="AF4343">
        <v>13</v>
      </c>
      <c r="AG4343">
        <v>1</v>
      </c>
      <c r="AH4343">
        <v>0</v>
      </c>
      <c r="AI4343">
        <v>77.02</v>
      </c>
      <c r="AL4343" t="s">
        <v>5011</v>
      </c>
      <c r="AM4343">
        <v>9620</v>
      </c>
      <c r="AS4343">
        <v>9.949999999999999</v>
      </c>
      <c r="AT4343" t="s">
        <v>592</v>
      </c>
      <c r="AU4343" t="s">
        <v>25239</v>
      </c>
      <c r="AV4343" t="s">
        <v>25335</v>
      </c>
      <c r="AW4343" t="s">
        <v>11447</v>
      </c>
    </row>
    <row r="4344" spans="1:49">
      <c r="A4344" s="1">
        <f>HYPERLINK("https://lsnyc.legalserver.org/matter/dynamic-profile/view/1909234","19-1909234")</f>
        <v>0</v>
      </c>
      <c r="B4344" t="s">
        <v>134</v>
      </c>
      <c r="C4344" t="s">
        <v>462</v>
      </c>
      <c r="E4344" t="s">
        <v>3154</v>
      </c>
      <c r="F4344" t="s">
        <v>5406</v>
      </c>
      <c r="G4344" t="s">
        <v>9586</v>
      </c>
      <c r="H4344" t="s">
        <v>10485</v>
      </c>
      <c r="I4344" t="s">
        <v>11383</v>
      </c>
      <c r="J4344">
        <v>10468</v>
      </c>
      <c r="K4344" t="s">
        <v>11446</v>
      </c>
      <c r="L4344" t="s">
        <v>13864</v>
      </c>
      <c r="M4344" t="s">
        <v>14744</v>
      </c>
      <c r="N4344" t="s">
        <v>14781</v>
      </c>
      <c r="P4344" t="s">
        <v>14805</v>
      </c>
      <c r="Q4344" t="s">
        <v>11448</v>
      </c>
      <c r="S4344" t="s">
        <v>14827</v>
      </c>
      <c r="U4344" t="s">
        <v>589</v>
      </c>
      <c r="V4344">
        <v>2250</v>
      </c>
      <c r="W4344" t="s">
        <v>14858</v>
      </c>
      <c r="X4344" t="s">
        <v>14865</v>
      </c>
      <c r="Z4344" t="s">
        <v>18493</v>
      </c>
      <c r="AA4344" t="s">
        <v>19920</v>
      </c>
      <c r="AB4344" t="s">
        <v>23617</v>
      </c>
      <c r="AC4344">
        <v>69</v>
      </c>
      <c r="AD4344" t="s">
        <v>11479</v>
      </c>
      <c r="AE4344" t="s">
        <v>11459</v>
      </c>
      <c r="AF4344">
        <v>1</v>
      </c>
      <c r="AG4344">
        <v>2</v>
      </c>
      <c r="AH4344">
        <v>3</v>
      </c>
      <c r="AI4344">
        <v>91.34999999999999</v>
      </c>
      <c r="AL4344" t="s">
        <v>5011</v>
      </c>
      <c r="AM4344">
        <v>27560</v>
      </c>
      <c r="AS4344">
        <v>6</v>
      </c>
      <c r="AT4344" t="s">
        <v>506</v>
      </c>
      <c r="AU4344" t="s">
        <v>25239</v>
      </c>
      <c r="AV4344" t="s">
        <v>25334</v>
      </c>
      <c r="AW4344" t="s">
        <v>11447</v>
      </c>
    </row>
    <row r="4345" spans="1:49">
      <c r="A4345" s="1">
        <f>HYPERLINK("https://lsnyc.legalserver.org/matter/dynamic-profile/view/1909282","19-1909282")</f>
        <v>0</v>
      </c>
      <c r="B4345" t="s">
        <v>134</v>
      </c>
      <c r="C4345" t="s">
        <v>589</v>
      </c>
      <c r="E4345" t="s">
        <v>3155</v>
      </c>
      <c r="F4345" t="s">
        <v>5799</v>
      </c>
      <c r="G4345" t="s">
        <v>9587</v>
      </c>
      <c r="H4345" t="s">
        <v>10684</v>
      </c>
      <c r="I4345" t="s">
        <v>11383</v>
      </c>
      <c r="J4345">
        <v>10457</v>
      </c>
      <c r="K4345" t="s">
        <v>11446</v>
      </c>
      <c r="L4345" t="s">
        <v>13865</v>
      </c>
      <c r="M4345" t="s">
        <v>14744</v>
      </c>
      <c r="N4345" t="s">
        <v>14781</v>
      </c>
      <c r="P4345" t="s">
        <v>14805</v>
      </c>
      <c r="Q4345" t="s">
        <v>11448</v>
      </c>
      <c r="S4345" t="s">
        <v>14827</v>
      </c>
      <c r="U4345" t="s">
        <v>589</v>
      </c>
      <c r="V4345">
        <v>1785.18</v>
      </c>
      <c r="W4345" t="s">
        <v>14858</v>
      </c>
      <c r="X4345" t="s">
        <v>14865</v>
      </c>
      <c r="Z4345" t="s">
        <v>18494</v>
      </c>
      <c r="AB4345" t="s">
        <v>23618</v>
      </c>
      <c r="AC4345">
        <v>75</v>
      </c>
      <c r="AD4345" t="s">
        <v>11479</v>
      </c>
      <c r="AE4345" t="s">
        <v>11459</v>
      </c>
      <c r="AF4345">
        <v>5</v>
      </c>
      <c r="AG4345">
        <v>1</v>
      </c>
      <c r="AH4345">
        <v>0</v>
      </c>
      <c r="AI4345">
        <v>104.08</v>
      </c>
      <c r="AL4345" t="s">
        <v>5011</v>
      </c>
      <c r="AM4345">
        <v>13000</v>
      </c>
      <c r="AS4345">
        <v>2.5</v>
      </c>
      <c r="AT4345" t="s">
        <v>489</v>
      </c>
      <c r="AU4345" t="s">
        <v>25239</v>
      </c>
      <c r="AV4345" t="s">
        <v>25335</v>
      </c>
      <c r="AW4345" t="s">
        <v>11447</v>
      </c>
    </row>
    <row r="4346" spans="1:49">
      <c r="A4346" s="1">
        <f>HYPERLINK("https://lsnyc.legalserver.org/matter/dynamic-profile/view/1908430","19-1908430")</f>
        <v>0</v>
      </c>
      <c r="B4346" t="s">
        <v>157</v>
      </c>
      <c r="C4346" t="s">
        <v>464</v>
      </c>
      <c r="E4346" t="s">
        <v>1464</v>
      </c>
      <c r="F4346" t="s">
        <v>5800</v>
      </c>
      <c r="G4346" t="s">
        <v>9588</v>
      </c>
      <c r="H4346">
        <v>2</v>
      </c>
      <c r="I4346" t="s">
        <v>11383</v>
      </c>
      <c r="J4346">
        <v>10462</v>
      </c>
      <c r="K4346" t="s">
        <v>11446</v>
      </c>
      <c r="L4346" t="s">
        <v>13866</v>
      </c>
      <c r="M4346" t="s">
        <v>14743</v>
      </c>
      <c r="N4346" t="s">
        <v>14781</v>
      </c>
      <c r="P4346" t="s">
        <v>14805</v>
      </c>
      <c r="Q4346" t="s">
        <v>11448</v>
      </c>
      <c r="S4346" t="s">
        <v>14827</v>
      </c>
      <c r="U4346" t="s">
        <v>412</v>
      </c>
      <c r="V4346">
        <v>1810</v>
      </c>
      <c r="W4346" t="s">
        <v>14858</v>
      </c>
      <c r="X4346" t="s">
        <v>14865</v>
      </c>
      <c r="Z4346" t="s">
        <v>15764</v>
      </c>
      <c r="AB4346" t="s">
        <v>23619</v>
      </c>
      <c r="AC4346">
        <v>0</v>
      </c>
      <c r="AD4346" t="s">
        <v>24595</v>
      </c>
      <c r="AE4346" t="s">
        <v>24610</v>
      </c>
      <c r="AF4346">
        <v>3</v>
      </c>
      <c r="AG4346">
        <v>3</v>
      </c>
      <c r="AH4346">
        <v>3</v>
      </c>
      <c r="AI4346">
        <v>104.86</v>
      </c>
      <c r="AL4346" t="s">
        <v>5011</v>
      </c>
      <c r="AM4346">
        <v>36270</v>
      </c>
      <c r="AS4346">
        <v>10</v>
      </c>
      <c r="AT4346" t="s">
        <v>574</v>
      </c>
      <c r="AU4346" t="s">
        <v>25239</v>
      </c>
      <c r="AV4346" t="s">
        <v>25335</v>
      </c>
      <c r="AW4346" t="s">
        <v>11447</v>
      </c>
    </row>
    <row r="4347" spans="1:49">
      <c r="A4347" s="1">
        <f>HYPERLINK("https://lsnyc.legalserver.org/matter/dynamic-profile/view/1908126","19-1908126")</f>
        <v>0</v>
      </c>
      <c r="B4347" t="s">
        <v>134</v>
      </c>
      <c r="C4347" t="s">
        <v>372</v>
      </c>
      <c r="E4347" t="s">
        <v>3156</v>
      </c>
      <c r="F4347" t="s">
        <v>3683</v>
      </c>
      <c r="G4347" t="s">
        <v>9589</v>
      </c>
      <c r="H4347" t="s">
        <v>10541</v>
      </c>
      <c r="I4347" t="s">
        <v>11383</v>
      </c>
      <c r="J4347">
        <v>10468</v>
      </c>
      <c r="K4347" t="s">
        <v>11446</v>
      </c>
      <c r="L4347" t="s">
        <v>13867</v>
      </c>
      <c r="M4347" t="s">
        <v>14744</v>
      </c>
      <c r="N4347" t="s">
        <v>14781</v>
      </c>
      <c r="P4347" t="s">
        <v>14805</v>
      </c>
      <c r="Q4347" t="s">
        <v>11448</v>
      </c>
      <c r="S4347" t="s">
        <v>14827</v>
      </c>
      <c r="U4347" t="s">
        <v>488</v>
      </c>
      <c r="V4347">
        <v>860</v>
      </c>
      <c r="W4347" t="s">
        <v>14858</v>
      </c>
      <c r="X4347" t="s">
        <v>14868</v>
      </c>
      <c r="Z4347" t="s">
        <v>18495</v>
      </c>
      <c r="AB4347" t="s">
        <v>23620</v>
      </c>
      <c r="AC4347">
        <v>43</v>
      </c>
      <c r="AD4347" t="s">
        <v>24595</v>
      </c>
      <c r="AF4347">
        <v>3</v>
      </c>
      <c r="AG4347">
        <v>1</v>
      </c>
      <c r="AH4347">
        <v>2</v>
      </c>
      <c r="AI4347">
        <v>0</v>
      </c>
      <c r="AL4347" t="s">
        <v>24632</v>
      </c>
      <c r="AM4347">
        <v>0</v>
      </c>
      <c r="AS4347">
        <v>6.5</v>
      </c>
      <c r="AT4347" t="s">
        <v>506</v>
      </c>
      <c r="AU4347" t="s">
        <v>145</v>
      </c>
      <c r="AV4347" t="s">
        <v>25335</v>
      </c>
      <c r="AW4347" t="s">
        <v>11447</v>
      </c>
    </row>
    <row r="4348" spans="1:49">
      <c r="A4348" s="1">
        <f>HYPERLINK("https://lsnyc.legalserver.org/matter/dynamic-profile/view/1907700","19-1907700")</f>
        <v>0</v>
      </c>
      <c r="B4348" t="s">
        <v>257</v>
      </c>
      <c r="C4348" t="s">
        <v>633</v>
      </c>
      <c r="E4348" t="s">
        <v>1792</v>
      </c>
      <c r="F4348" t="s">
        <v>4048</v>
      </c>
      <c r="G4348" t="s">
        <v>7011</v>
      </c>
      <c r="H4348" t="s">
        <v>11251</v>
      </c>
      <c r="I4348" t="s">
        <v>11383</v>
      </c>
      <c r="J4348">
        <v>10457</v>
      </c>
      <c r="K4348" t="s">
        <v>11446</v>
      </c>
      <c r="L4348" t="s">
        <v>13868</v>
      </c>
      <c r="M4348" t="s">
        <v>14744</v>
      </c>
      <c r="N4348" t="s">
        <v>14781</v>
      </c>
      <c r="P4348" t="s">
        <v>14805</v>
      </c>
      <c r="Q4348" t="s">
        <v>11448</v>
      </c>
      <c r="S4348" t="s">
        <v>14827</v>
      </c>
      <c r="T4348" t="s">
        <v>14833</v>
      </c>
      <c r="U4348" t="s">
        <v>488</v>
      </c>
      <c r="V4348">
        <v>1316.36</v>
      </c>
      <c r="W4348" t="s">
        <v>14858</v>
      </c>
      <c r="Z4348" t="s">
        <v>18496</v>
      </c>
      <c r="AC4348">
        <v>221</v>
      </c>
      <c r="AD4348" t="s">
        <v>24595</v>
      </c>
      <c r="AE4348" t="s">
        <v>24615</v>
      </c>
      <c r="AF4348">
        <v>9</v>
      </c>
      <c r="AG4348">
        <v>1</v>
      </c>
      <c r="AH4348">
        <v>5</v>
      </c>
      <c r="AI4348">
        <v>65.15000000000001</v>
      </c>
      <c r="AL4348" t="s">
        <v>24632</v>
      </c>
      <c r="AM4348">
        <v>22534</v>
      </c>
      <c r="AS4348">
        <v>6.55</v>
      </c>
      <c r="AT4348" t="s">
        <v>571</v>
      </c>
      <c r="AU4348" t="s">
        <v>145</v>
      </c>
      <c r="AV4348" t="s">
        <v>25335</v>
      </c>
      <c r="AW4348" t="s">
        <v>11447</v>
      </c>
    </row>
    <row r="4349" spans="1:49">
      <c r="A4349" s="1">
        <f>HYPERLINK("https://lsnyc.legalserver.org/matter/dynamic-profile/view/1906723","19-1906723")</f>
        <v>0</v>
      </c>
      <c r="B4349" t="s">
        <v>250</v>
      </c>
      <c r="C4349" t="s">
        <v>620</v>
      </c>
      <c r="E4349" t="s">
        <v>1092</v>
      </c>
      <c r="F4349" t="s">
        <v>3824</v>
      </c>
      <c r="G4349" t="s">
        <v>9590</v>
      </c>
      <c r="H4349">
        <v>212</v>
      </c>
      <c r="I4349" t="s">
        <v>11383</v>
      </c>
      <c r="J4349">
        <v>10457</v>
      </c>
      <c r="K4349" t="s">
        <v>11446</v>
      </c>
      <c r="L4349" t="s">
        <v>13869</v>
      </c>
      <c r="M4349" t="s">
        <v>14743</v>
      </c>
      <c r="N4349" t="s">
        <v>14781</v>
      </c>
      <c r="P4349" t="s">
        <v>14805</v>
      </c>
      <c r="Q4349" t="s">
        <v>11448</v>
      </c>
      <c r="S4349" t="s">
        <v>14827</v>
      </c>
      <c r="T4349" t="s">
        <v>14832</v>
      </c>
      <c r="U4349" t="s">
        <v>488</v>
      </c>
      <c r="V4349">
        <v>1350</v>
      </c>
      <c r="W4349" t="s">
        <v>14858</v>
      </c>
      <c r="X4349" t="s">
        <v>14865</v>
      </c>
      <c r="Z4349" t="s">
        <v>18497</v>
      </c>
      <c r="AB4349" t="s">
        <v>23621</v>
      </c>
      <c r="AC4349">
        <v>119</v>
      </c>
      <c r="AD4349" t="s">
        <v>24595</v>
      </c>
      <c r="AE4349" t="s">
        <v>11459</v>
      </c>
      <c r="AF4349">
        <v>40</v>
      </c>
      <c r="AG4349">
        <v>3</v>
      </c>
      <c r="AH4349">
        <v>0</v>
      </c>
      <c r="AI4349">
        <v>146.27</v>
      </c>
      <c r="AL4349" t="s">
        <v>5011</v>
      </c>
      <c r="AM4349">
        <v>31200</v>
      </c>
      <c r="AS4349">
        <v>22.2</v>
      </c>
      <c r="AT4349" t="s">
        <v>580</v>
      </c>
      <c r="AU4349" t="s">
        <v>25239</v>
      </c>
      <c r="AV4349" t="s">
        <v>25335</v>
      </c>
      <c r="AW4349" t="s">
        <v>11447</v>
      </c>
    </row>
    <row r="4350" spans="1:49">
      <c r="A4350" s="1">
        <f>HYPERLINK("https://lsnyc.legalserver.org/matter/dynamic-profile/view/1909302","19-1909302")</f>
        <v>0</v>
      </c>
      <c r="B4350" t="s">
        <v>134</v>
      </c>
      <c r="C4350" t="s">
        <v>589</v>
      </c>
      <c r="E4350" t="s">
        <v>1110</v>
      </c>
      <c r="F4350" t="s">
        <v>5801</v>
      </c>
      <c r="G4350" t="s">
        <v>9591</v>
      </c>
      <c r="H4350" t="s">
        <v>10665</v>
      </c>
      <c r="I4350" t="s">
        <v>11383</v>
      </c>
      <c r="J4350">
        <v>10468</v>
      </c>
      <c r="K4350" t="s">
        <v>11446</v>
      </c>
      <c r="L4350" t="s">
        <v>13870</v>
      </c>
      <c r="M4350" t="s">
        <v>14744</v>
      </c>
      <c r="N4350" t="s">
        <v>14781</v>
      </c>
      <c r="P4350" t="s">
        <v>14805</v>
      </c>
      <c r="Q4350" t="s">
        <v>11448</v>
      </c>
      <c r="S4350" t="s">
        <v>14827</v>
      </c>
      <c r="U4350" t="s">
        <v>488</v>
      </c>
      <c r="V4350">
        <v>1000</v>
      </c>
      <c r="W4350" t="s">
        <v>14858</v>
      </c>
      <c r="X4350" t="s">
        <v>14865</v>
      </c>
      <c r="Z4350" t="s">
        <v>18498</v>
      </c>
      <c r="AB4350" t="s">
        <v>23622</v>
      </c>
      <c r="AC4350">
        <v>49</v>
      </c>
      <c r="AD4350" t="s">
        <v>11479</v>
      </c>
      <c r="AE4350" t="s">
        <v>11459</v>
      </c>
      <c r="AF4350">
        <v>13</v>
      </c>
      <c r="AG4350">
        <v>1</v>
      </c>
      <c r="AH4350">
        <v>4</v>
      </c>
      <c r="AI4350">
        <v>166.38</v>
      </c>
      <c r="AL4350" t="s">
        <v>5011</v>
      </c>
      <c r="AM4350">
        <v>50196</v>
      </c>
      <c r="AS4350">
        <v>8.5</v>
      </c>
      <c r="AT4350" t="s">
        <v>580</v>
      </c>
      <c r="AU4350" t="s">
        <v>25239</v>
      </c>
      <c r="AV4350" t="s">
        <v>25335</v>
      </c>
      <c r="AW4350" t="s">
        <v>11447</v>
      </c>
    </row>
    <row r="4351" spans="1:49">
      <c r="A4351" s="1">
        <f>HYPERLINK("https://lsnyc.legalserver.org/matter/dynamic-profile/view/1909464","19-1909464")</f>
        <v>0</v>
      </c>
      <c r="B4351" t="s">
        <v>300</v>
      </c>
      <c r="C4351" t="s">
        <v>488</v>
      </c>
      <c r="E4351" t="s">
        <v>1789</v>
      </c>
      <c r="F4351" t="s">
        <v>1634</v>
      </c>
      <c r="G4351" t="s">
        <v>9592</v>
      </c>
      <c r="H4351" t="s">
        <v>10482</v>
      </c>
      <c r="I4351" t="s">
        <v>11383</v>
      </c>
      <c r="J4351">
        <v>10467</v>
      </c>
      <c r="K4351" t="s">
        <v>11446</v>
      </c>
      <c r="L4351" t="s">
        <v>13871</v>
      </c>
      <c r="M4351" t="s">
        <v>14744</v>
      </c>
      <c r="N4351" t="s">
        <v>14781</v>
      </c>
      <c r="P4351" t="s">
        <v>14805</v>
      </c>
      <c r="Q4351" t="s">
        <v>11448</v>
      </c>
      <c r="S4351" t="s">
        <v>14827</v>
      </c>
      <c r="T4351" t="s">
        <v>14836</v>
      </c>
      <c r="U4351" t="s">
        <v>488</v>
      </c>
      <c r="V4351">
        <v>1129.89</v>
      </c>
      <c r="W4351" t="s">
        <v>14858</v>
      </c>
      <c r="X4351" t="s">
        <v>14863</v>
      </c>
      <c r="Z4351" t="s">
        <v>18499</v>
      </c>
      <c r="AA4351" t="s">
        <v>19921</v>
      </c>
      <c r="AB4351" t="s">
        <v>23623</v>
      </c>
      <c r="AC4351">
        <v>60</v>
      </c>
      <c r="AD4351" t="s">
        <v>24595</v>
      </c>
      <c r="AE4351" t="s">
        <v>11459</v>
      </c>
      <c r="AF4351">
        <v>11</v>
      </c>
      <c r="AG4351">
        <v>1</v>
      </c>
      <c r="AH4351">
        <v>0</v>
      </c>
      <c r="AI4351">
        <v>193.59</v>
      </c>
      <c r="AL4351" t="s">
        <v>5011</v>
      </c>
      <c r="AM4351">
        <v>24180</v>
      </c>
      <c r="AS4351">
        <v>5</v>
      </c>
      <c r="AT4351" t="s">
        <v>644</v>
      </c>
      <c r="AU4351" t="s">
        <v>25239</v>
      </c>
      <c r="AV4351" t="s">
        <v>25335</v>
      </c>
      <c r="AW4351" t="s">
        <v>11447</v>
      </c>
    </row>
    <row r="4352" spans="1:49">
      <c r="A4352" s="1">
        <f>HYPERLINK("https://lsnyc.legalserver.org/matter/dynamic-profile/view/1909588","19-1909588")</f>
        <v>0</v>
      </c>
      <c r="B4352" t="s">
        <v>142</v>
      </c>
      <c r="C4352" t="s">
        <v>463</v>
      </c>
      <c r="E4352" t="s">
        <v>1616</v>
      </c>
      <c r="F4352" t="s">
        <v>5251</v>
      </c>
      <c r="G4352" t="s">
        <v>9593</v>
      </c>
      <c r="I4352" t="s">
        <v>11383</v>
      </c>
      <c r="J4352">
        <v>10462</v>
      </c>
      <c r="K4352" t="s">
        <v>11446</v>
      </c>
      <c r="L4352" t="s">
        <v>13872</v>
      </c>
      <c r="M4352" t="s">
        <v>14744</v>
      </c>
      <c r="N4352" t="s">
        <v>14781</v>
      </c>
      <c r="P4352" t="s">
        <v>14805</v>
      </c>
      <c r="Q4352" t="s">
        <v>11448</v>
      </c>
      <c r="S4352" t="s">
        <v>14827</v>
      </c>
      <c r="U4352" t="s">
        <v>463</v>
      </c>
      <c r="V4352">
        <v>1750</v>
      </c>
      <c r="W4352" t="s">
        <v>14858</v>
      </c>
      <c r="X4352" t="s">
        <v>14865</v>
      </c>
      <c r="Z4352" t="s">
        <v>18500</v>
      </c>
      <c r="AB4352" t="s">
        <v>23624</v>
      </c>
      <c r="AC4352">
        <v>67</v>
      </c>
      <c r="AD4352" t="s">
        <v>11479</v>
      </c>
      <c r="AE4352" t="s">
        <v>11459</v>
      </c>
      <c r="AF4352">
        <v>6</v>
      </c>
      <c r="AG4352">
        <v>1</v>
      </c>
      <c r="AH4352">
        <v>0</v>
      </c>
      <c r="AI4352">
        <v>153.72</v>
      </c>
      <c r="AL4352" t="s">
        <v>5011</v>
      </c>
      <c r="AM4352">
        <v>19200</v>
      </c>
      <c r="AS4352">
        <v>7.5</v>
      </c>
      <c r="AT4352" t="s">
        <v>537</v>
      </c>
      <c r="AU4352" t="s">
        <v>25242</v>
      </c>
      <c r="AV4352" t="s">
        <v>25335</v>
      </c>
      <c r="AW4352" t="s">
        <v>11447</v>
      </c>
    </row>
    <row r="4353" spans="1:49">
      <c r="A4353" s="1">
        <f>HYPERLINK("https://lsnyc.legalserver.org/matter/dynamic-profile/view/1907248","19-1907248")</f>
        <v>0</v>
      </c>
      <c r="B4353" t="s">
        <v>299</v>
      </c>
      <c r="C4353" t="s">
        <v>564</v>
      </c>
      <c r="E4353" t="s">
        <v>3157</v>
      </c>
      <c r="F4353" t="s">
        <v>3262</v>
      </c>
      <c r="G4353" t="s">
        <v>9594</v>
      </c>
      <c r="H4353" t="s">
        <v>10465</v>
      </c>
      <c r="I4353" t="s">
        <v>11383</v>
      </c>
      <c r="J4353">
        <v>10462</v>
      </c>
      <c r="K4353" t="s">
        <v>11446</v>
      </c>
      <c r="L4353" t="s">
        <v>13873</v>
      </c>
      <c r="M4353" t="s">
        <v>14743</v>
      </c>
      <c r="N4353" t="s">
        <v>14781</v>
      </c>
      <c r="P4353" t="s">
        <v>14805</v>
      </c>
      <c r="Q4353" t="s">
        <v>11448</v>
      </c>
      <c r="S4353" t="s">
        <v>14827</v>
      </c>
      <c r="T4353" t="s">
        <v>14832</v>
      </c>
      <c r="U4353" t="s">
        <v>1015</v>
      </c>
      <c r="V4353">
        <v>1186.51</v>
      </c>
      <c r="W4353" t="s">
        <v>14858</v>
      </c>
      <c r="X4353" t="s">
        <v>14863</v>
      </c>
      <c r="Z4353" t="s">
        <v>18501</v>
      </c>
      <c r="AB4353" t="s">
        <v>23625</v>
      </c>
      <c r="AC4353">
        <v>128</v>
      </c>
      <c r="AD4353" t="s">
        <v>11479</v>
      </c>
      <c r="AE4353" t="s">
        <v>11459</v>
      </c>
      <c r="AF4353">
        <v>15</v>
      </c>
      <c r="AG4353">
        <v>1</v>
      </c>
      <c r="AH4353">
        <v>1</v>
      </c>
      <c r="AI4353">
        <v>161.14</v>
      </c>
      <c r="AL4353" t="s">
        <v>5011</v>
      </c>
      <c r="AM4353">
        <v>27248</v>
      </c>
      <c r="AS4353">
        <v>28</v>
      </c>
      <c r="AT4353" t="s">
        <v>495</v>
      </c>
      <c r="AU4353" t="s">
        <v>237</v>
      </c>
      <c r="AV4353" t="s">
        <v>25335</v>
      </c>
      <c r="AW4353" t="s">
        <v>11447</v>
      </c>
    </row>
    <row r="4354" spans="1:49">
      <c r="A4354" s="1">
        <f>HYPERLINK("https://lsnyc.legalserver.org/matter/dynamic-profile/view/1907252","19-1907252")</f>
        <v>0</v>
      </c>
      <c r="B4354" t="s">
        <v>299</v>
      </c>
      <c r="C4354" t="s">
        <v>564</v>
      </c>
      <c r="E4354" t="s">
        <v>3157</v>
      </c>
      <c r="F4354" t="s">
        <v>3262</v>
      </c>
      <c r="G4354" t="s">
        <v>9594</v>
      </c>
      <c r="H4354" t="s">
        <v>10465</v>
      </c>
      <c r="I4354" t="s">
        <v>11383</v>
      </c>
      <c r="J4354">
        <v>10462</v>
      </c>
      <c r="K4354" t="s">
        <v>11446</v>
      </c>
      <c r="L4354" t="s">
        <v>13874</v>
      </c>
      <c r="M4354" t="s">
        <v>14744</v>
      </c>
      <c r="N4354" t="s">
        <v>14781</v>
      </c>
      <c r="P4354" t="s">
        <v>14805</v>
      </c>
      <c r="Q4354" t="s">
        <v>11448</v>
      </c>
      <c r="S4354" t="s">
        <v>14827</v>
      </c>
      <c r="U4354" t="s">
        <v>1015</v>
      </c>
      <c r="V4354">
        <v>1186.51</v>
      </c>
      <c r="W4354" t="s">
        <v>14858</v>
      </c>
      <c r="X4354" t="s">
        <v>14863</v>
      </c>
      <c r="Z4354" t="s">
        <v>18501</v>
      </c>
      <c r="AB4354" t="s">
        <v>23625</v>
      </c>
      <c r="AC4354">
        <v>128</v>
      </c>
      <c r="AD4354" t="s">
        <v>11479</v>
      </c>
      <c r="AE4354" t="s">
        <v>11459</v>
      </c>
      <c r="AF4354">
        <v>15</v>
      </c>
      <c r="AG4354">
        <v>1</v>
      </c>
      <c r="AH4354">
        <v>1</v>
      </c>
      <c r="AI4354">
        <v>161.14</v>
      </c>
      <c r="AL4354" t="s">
        <v>5011</v>
      </c>
      <c r="AM4354">
        <v>27248</v>
      </c>
      <c r="AS4354">
        <v>32.7</v>
      </c>
      <c r="AT4354" t="s">
        <v>516</v>
      </c>
      <c r="AU4354" t="s">
        <v>237</v>
      </c>
      <c r="AV4354" t="s">
        <v>25335</v>
      </c>
      <c r="AW4354" t="s">
        <v>11447</v>
      </c>
    </row>
    <row r="4355" spans="1:49">
      <c r="A4355" s="1">
        <f>HYPERLINK("https://lsnyc.legalserver.org/matter/dynamic-profile/view/1909714","19-1909714")</f>
        <v>0</v>
      </c>
      <c r="B4355" t="s">
        <v>69</v>
      </c>
      <c r="C4355" t="s">
        <v>519</v>
      </c>
      <c r="E4355" t="s">
        <v>1236</v>
      </c>
      <c r="F4355" t="s">
        <v>3925</v>
      </c>
      <c r="G4355" t="s">
        <v>9595</v>
      </c>
      <c r="H4355" t="s">
        <v>10559</v>
      </c>
      <c r="I4355" t="s">
        <v>11383</v>
      </c>
      <c r="J4355">
        <v>10467</v>
      </c>
      <c r="K4355" t="s">
        <v>11446</v>
      </c>
      <c r="L4355" t="s">
        <v>13875</v>
      </c>
      <c r="M4355" t="s">
        <v>14744</v>
      </c>
      <c r="N4355" t="s">
        <v>14781</v>
      </c>
      <c r="P4355" t="s">
        <v>14805</v>
      </c>
      <c r="Q4355" t="s">
        <v>11448</v>
      </c>
      <c r="S4355" t="s">
        <v>14827</v>
      </c>
      <c r="T4355" t="s">
        <v>14832</v>
      </c>
      <c r="U4355" t="s">
        <v>519</v>
      </c>
      <c r="V4355">
        <v>1216</v>
      </c>
      <c r="W4355" t="s">
        <v>14858</v>
      </c>
      <c r="X4355" t="s">
        <v>14865</v>
      </c>
      <c r="Z4355" t="s">
        <v>18502</v>
      </c>
      <c r="AA4355" t="s">
        <v>19922</v>
      </c>
      <c r="AB4355" t="s">
        <v>23626</v>
      </c>
      <c r="AC4355">
        <v>26</v>
      </c>
      <c r="AD4355" t="s">
        <v>24595</v>
      </c>
      <c r="AE4355" t="s">
        <v>24611</v>
      </c>
      <c r="AF4355">
        <v>7</v>
      </c>
      <c r="AG4355">
        <v>1</v>
      </c>
      <c r="AH4355">
        <v>1</v>
      </c>
      <c r="AI4355">
        <v>60.32</v>
      </c>
      <c r="AL4355" t="s">
        <v>5011</v>
      </c>
      <c r="AM4355">
        <v>10200</v>
      </c>
      <c r="AS4355">
        <v>5.5</v>
      </c>
      <c r="AT4355" t="s">
        <v>491</v>
      </c>
      <c r="AU4355" t="s">
        <v>25239</v>
      </c>
      <c r="AV4355" t="s">
        <v>25335</v>
      </c>
      <c r="AW4355" t="s">
        <v>11447</v>
      </c>
    </row>
    <row r="4356" spans="1:49">
      <c r="A4356" s="1">
        <f>HYPERLINK("https://lsnyc.legalserver.org/matter/dynamic-profile/view/1909707","19-1909707")</f>
        <v>0</v>
      </c>
      <c r="B4356" t="s">
        <v>273</v>
      </c>
      <c r="C4356" t="s">
        <v>519</v>
      </c>
      <c r="E4356" t="s">
        <v>1294</v>
      </c>
      <c r="F4356" t="s">
        <v>5053</v>
      </c>
      <c r="G4356" t="s">
        <v>9596</v>
      </c>
      <c r="H4356" t="s">
        <v>10510</v>
      </c>
      <c r="I4356" t="s">
        <v>11383</v>
      </c>
      <c r="J4356">
        <v>10457</v>
      </c>
      <c r="K4356" t="s">
        <v>11446</v>
      </c>
      <c r="L4356" t="s">
        <v>13876</v>
      </c>
      <c r="M4356" t="s">
        <v>14744</v>
      </c>
      <c r="N4356" t="s">
        <v>14781</v>
      </c>
      <c r="P4356" t="s">
        <v>14805</v>
      </c>
      <c r="Q4356" t="s">
        <v>11448</v>
      </c>
      <c r="S4356" t="s">
        <v>14827</v>
      </c>
      <c r="U4356" t="s">
        <v>519</v>
      </c>
      <c r="V4356">
        <v>986</v>
      </c>
      <c r="W4356" t="s">
        <v>14858</v>
      </c>
      <c r="X4356" t="s">
        <v>14873</v>
      </c>
      <c r="Z4356" t="s">
        <v>18503</v>
      </c>
      <c r="AA4356" t="s">
        <v>19923</v>
      </c>
      <c r="AB4356" t="s">
        <v>23627</v>
      </c>
      <c r="AC4356">
        <v>40</v>
      </c>
      <c r="AE4356" t="s">
        <v>24612</v>
      </c>
      <c r="AF4356">
        <v>27</v>
      </c>
      <c r="AG4356">
        <v>1</v>
      </c>
      <c r="AH4356">
        <v>0</v>
      </c>
      <c r="AI4356">
        <v>76.29000000000001</v>
      </c>
      <c r="AL4356" t="s">
        <v>5011</v>
      </c>
      <c r="AM4356">
        <v>9528</v>
      </c>
      <c r="AS4356">
        <v>8.9</v>
      </c>
      <c r="AT4356" t="s">
        <v>491</v>
      </c>
      <c r="AU4356" t="s">
        <v>25311</v>
      </c>
      <c r="AV4356" t="s">
        <v>25334</v>
      </c>
      <c r="AW4356" t="s">
        <v>11447</v>
      </c>
    </row>
    <row r="4357" spans="1:49">
      <c r="A4357" s="1">
        <f>HYPERLINK("https://lsnyc.legalserver.org/matter/dynamic-profile/view/1909798","19-1909798")</f>
        <v>0</v>
      </c>
      <c r="B4357" t="s">
        <v>143</v>
      </c>
      <c r="C4357" t="s">
        <v>504</v>
      </c>
      <c r="E4357" t="s">
        <v>1451</v>
      </c>
      <c r="F4357" t="s">
        <v>3675</v>
      </c>
      <c r="G4357" t="s">
        <v>9597</v>
      </c>
      <c r="H4357" t="s">
        <v>10552</v>
      </c>
      <c r="I4357" t="s">
        <v>11383</v>
      </c>
      <c r="J4357">
        <v>10467</v>
      </c>
      <c r="K4357" t="s">
        <v>11446</v>
      </c>
      <c r="L4357" t="s">
        <v>13877</v>
      </c>
      <c r="M4357" t="s">
        <v>14744</v>
      </c>
      <c r="N4357" t="s">
        <v>14781</v>
      </c>
      <c r="P4357" t="s">
        <v>14805</v>
      </c>
      <c r="Q4357" t="s">
        <v>11448</v>
      </c>
      <c r="S4357" t="s">
        <v>14827</v>
      </c>
      <c r="U4357" t="s">
        <v>504</v>
      </c>
      <c r="V4357">
        <v>0</v>
      </c>
      <c r="W4357" t="s">
        <v>14858</v>
      </c>
      <c r="X4357" t="s">
        <v>14865</v>
      </c>
      <c r="Z4357" t="s">
        <v>16615</v>
      </c>
      <c r="AB4357" t="s">
        <v>23628</v>
      </c>
      <c r="AC4357">
        <v>39</v>
      </c>
      <c r="AE4357" t="s">
        <v>24610</v>
      </c>
      <c r="AF4357">
        <v>25</v>
      </c>
      <c r="AG4357">
        <v>1</v>
      </c>
      <c r="AH4357">
        <v>0</v>
      </c>
      <c r="AI4357">
        <v>74.08</v>
      </c>
      <c r="AL4357" t="s">
        <v>5011</v>
      </c>
      <c r="AM4357">
        <v>9252</v>
      </c>
      <c r="AS4357">
        <v>49.85</v>
      </c>
      <c r="AT4357" t="s">
        <v>580</v>
      </c>
      <c r="AU4357" t="s">
        <v>25239</v>
      </c>
      <c r="AV4357" t="s">
        <v>25335</v>
      </c>
      <c r="AW4357" t="s">
        <v>11447</v>
      </c>
    </row>
    <row r="4358" spans="1:49">
      <c r="A4358" s="1">
        <f>HYPERLINK("https://lsnyc.legalserver.org/matter/dynamic-profile/view/1909221","19-1909221")</f>
        <v>0</v>
      </c>
      <c r="B4358" t="s">
        <v>115</v>
      </c>
      <c r="C4358" t="s">
        <v>462</v>
      </c>
      <c r="E4358" t="s">
        <v>3158</v>
      </c>
      <c r="F4358" t="s">
        <v>3675</v>
      </c>
      <c r="G4358" t="s">
        <v>9598</v>
      </c>
      <c r="H4358" t="s">
        <v>10484</v>
      </c>
      <c r="I4358" t="s">
        <v>11383</v>
      </c>
      <c r="J4358">
        <v>10457</v>
      </c>
      <c r="K4358" t="s">
        <v>11446</v>
      </c>
      <c r="L4358" t="s">
        <v>13878</v>
      </c>
      <c r="M4358" t="s">
        <v>14744</v>
      </c>
      <c r="N4358" t="s">
        <v>14781</v>
      </c>
      <c r="P4358" t="s">
        <v>14805</v>
      </c>
      <c r="Q4358" t="s">
        <v>11448</v>
      </c>
      <c r="S4358" t="s">
        <v>14827</v>
      </c>
      <c r="T4358" t="s">
        <v>14832</v>
      </c>
      <c r="U4358" t="s">
        <v>504</v>
      </c>
      <c r="V4358">
        <v>1556</v>
      </c>
      <c r="W4358" t="s">
        <v>14858</v>
      </c>
      <c r="X4358" t="s">
        <v>14873</v>
      </c>
      <c r="Z4358" t="s">
        <v>18504</v>
      </c>
      <c r="AA4358" t="s">
        <v>19924</v>
      </c>
      <c r="AB4358" t="s">
        <v>23629</v>
      </c>
      <c r="AC4358">
        <v>40</v>
      </c>
      <c r="AD4358" t="s">
        <v>24595</v>
      </c>
      <c r="AE4358" t="s">
        <v>24616</v>
      </c>
      <c r="AF4358">
        <v>5</v>
      </c>
      <c r="AG4358">
        <v>2</v>
      </c>
      <c r="AH4358">
        <v>1</v>
      </c>
      <c r="AI4358">
        <v>79.04000000000001</v>
      </c>
      <c r="AK4358" t="s">
        <v>24629</v>
      </c>
      <c r="AL4358" t="s">
        <v>5011</v>
      </c>
      <c r="AM4358">
        <v>16860</v>
      </c>
      <c r="AS4358">
        <v>4.5</v>
      </c>
      <c r="AT4358" t="s">
        <v>467</v>
      </c>
      <c r="AU4358" t="s">
        <v>25311</v>
      </c>
      <c r="AV4358" t="s">
        <v>25334</v>
      </c>
      <c r="AW4358" t="s">
        <v>11447</v>
      </c>
    </row>
    <row r="4359" spans="1:49">
      <c r="A4359" s="1">
        <f>HYPERLINK("https://lsnyc.legalserver.org/matter/dynamic-profile/view/1905864","19-1905864")</f>
        <v>0</v>
      </c>
      <c r="B4359" t="s">
        <v>82</v>
      </c>
      <c r="C4359" t="s">
        <v>500</v>
      </c>
      <c r="E4359" t="s">
        <v>1637</v>
      </c>
      <c r="F4359" t="s">
        <v>5802</v>
      </c>
      <c r="G4359" t="s">
        <v>9599</v>
      </c>
      <c r="I4359" t="s">
        <v>11383</v>
      </c>
      <c r="J4359">
        <v>10467</v>
      </c>
      <c r="K4359" t="s">
        <v>11446</v>
      </c>
      <c r="L4359" t="s">
        <v>13879</v>
      </c>
      <c r="M4359" t="s">
        <v>14743</v>
      </c>
      <c r="N4359" t="s">
        <v>14781</v>
      </c>
      <c r="P4359" t="s">
        <v>14805</v>
      </c>
      <c r="Q4359" t="s">
        <v>11448</v>
      </c>
      <c r="S4359" t="s">
        <v>14827</v>
      </c>
      <c r="U4359" t="s">
        <v>468</v>
      </c>
      <c r="V4359">
        <v>1998</v>
      </c>
      <c r="W4359" t="s">
        <v>14858</v>
      </c>
      <c r="X4359" t="s">
        <v>14755</v>
      </c>
      <c r="Z4359" t="s">
        <v>18505</v>
      </c>
      <c r="AB4359" t="s">
        <v>23630</v>
      </c>
      <c r="AC4359">
        <v>3</v>
      </c>
      <c r="AD4359" t="s">
        <v>24600</v>
      </c>
      <c r="AE4359" t="s">
        <v>24610</v>
      </c>
      <c r="AF4359">
        <v>3</v>
      </c>
      <c r="AG4359">
        <v>3</v>
      </c>
      <c r="AH4359">
        <v>0</v>
      </c>
      <c r="AI4359">
        <v>12.49</v>
      </c>
      <c r="AL4359" t="s">
        <v>5011</v>
      </c>
      <c r="AM4359">
        <v>2664</v>
      </c>
      <c r="AS4359">
        <v>4.8</v>
      </c>
      <c r="AT4359" t="s">
        <v>504</v>
      </c>
      <c r="AU4359" t="s">
        <v>245</v>
      </c>
      <c r="AW4359" t="s">
        <v>11447</v>
      </c>
    </row>
    <row r="4360" spans="1:49">
      <c r="A4360" s="1">
        <f>HYPERLINK("https://lsnyc.legalserver.org/matter/dynamic-profile/view/1910382","19-1910382")</f>
        <v>0</v>
      </c>
      <c r="B4360" t="s">
        <v>96</v>
      </c>
      <c r="C4360" t="s">
        <v>468</v>
      </c>
      <c r="E4360" t="s">
        <v>1320</v>
      </c>
      <c r="F4360" t="s">
        <v>3877</v>
      </c>
      <c r="G4360" t="s">
        <v>9600</v>
      </c>
      <c r="H4360" t="s">
        <v>10524</v>
      </c>
      <c r="I4360" t="s">
        <v>11383</v>
      </c>
      <c r="J4360">
        <v>10467</v>
      </c>
      <c r="K4360" t="s">
        <v>11446</v>
      </c>
      <c r="L4360" t="s">
        <v>13880</v>
      </c>
      <c r="M4360" t="s">
        <v>14744</v>
      </c>
      <c r="N4360" t="s">
        <v>14781</v>
      </c>
      <c r="P4360" t="s">
        <v>14805</v>
      </c>
      <c r="Q4360" t="s">
        <v>11448</v>
      </c>
      <c r="S4360" t="s">
        <v>14827</v>
      </c>
      <c r="T4360" t="s">
        <v>14832</v>
      </c>
      <c r="U4360" t="s">
        <v>468</v>
      </c>
      <c r="V4360">
        <v>1300</v>
      </c>
      <c r="W4360" t="s">
        <v>14858</v>
      </c>
      <c r="X4360" t="s">
        <v>14863</v>
      </c>
      <c r="Z4360" t="s">
        <v>18506</v>
      </c>
      <c r="AB4360" t="s">
        <v>23631</v>
      </c>
      <c r="AC4360">
        <v>0</v>
      </c>
      <c r="AD4360" t="s">
        <v>11479</v>
      </c>
      <c r="AE4360" t="s">
        <v>11459</v>
      </c>
      <c r="AF4360">
        <v>3</v>
      </c>
      <c r="AG4360">
        <v>1</v>
      </c>
      <c r="AH4360">
        <v>1</v>
      </c>
      <c r="AI4360">
        <v>46.98</v>
      </c>
      <c r="AL4360" t="s">
        <v>24632</v>
      </c>
      <c r="AM4360">
        <v>7944</v>
      </c>
      <c r="AS4360">
        <v>6.1</v>
      </c>
      <c r="AT4360" t="s">
        <v>521</v>
      </c>
      <c r="AU4360" t="s">
        <v>25268</v>
      </c>
      <c r="AV4360" t="s">
        <v>25335</v>
      </c>
      <c r="AW4360" t="s">
        <v>11447</v>
      </c>
    </row>
    <row r="4361" spans="1:49">
      <c r="A4361" s="1">
        <f>HYPERLINK("https://lsnyc.legalserver.org/matter/dynamic-profile/view/1908460","19-1908460")</f>
        <v>0</v>
      </c>
      <c r="B4361" t="s">
        <v>134</v>
      </c>
      <c r="C4361" t="s">
        <v>466</v>
      </c>
      <c r="E4361" t="s">
        <v>2926</v>
      </c>
      <c r="F4361" t="s">
        <v>3682</v>
      </c>
      <c r="G4361" t="s">
        <v>8012</v>
      </c>
      <c r="H4361" t="s">
        <v>10899</v>
      </c>
      <c r="I4361" t="s">
        <v>11383</v>
      </c>
      <c r="J4361">
        <v>10467</v>
      </c>
      <c r="K4361" t="s">
        <v>11446</v>
      </c>
      <c r="L4361" t="s">
        <v>13881</v>
      </c>
      <c r="M4361" t="s">
        <v>14743</v>
      </c>
      <c r="N4361" t="s">
        <v>14781</v>
      </c>
      <c r="P4361" t="s">
        <v>14805</v>
      </c>
      <c r="Q4361" t="s">
        <v>11448</v>
      </c>
      <c r="S4361" t="s">
        <v>14827</v>
      </c>
      <c r="U4361" t="s">
        <v>468</v>
      </c>
      <c r="V4361">
        <v>245</v>
      </c>
      <c r="W4361" t="s">
        <v>14858</v>
      </c>
      <c r="X4361" t="s">
        <v>14865</v>
      </c>
      <c r="Z4361" t="s">
        <v>18507</v>
      </c>
      <c r="AB4361" t="s">
        <v>23632</v>
      </c>
      <c r="AC4361">
        <v>56</v>
      </c>
      <c r="AD4361" t="s">
        <v>11479</v>
      </c>
      <c r="AE4361" t="s">
        <v>24611</v>
      </c>
      <c r="AF4361">
        <v>6</v>
      </c>
      <c r="AG4361">
        <v>2</v>
      </c>
      <c r="AH4361">
        <v>0</v>
      </c>
      <c r="AI4361">
        <v>52.87</v>
      </c>
      <c r="AL4361" t="s">
        <v>5011</v>
      </c>
      <c r="AM4361">
        <v>8940</v>
      </c>
      <c r="AS4361">
        <v>26.5</v>
      </c>
      <c r="AT4361" t="s">
        <v>477</v>
      </c>
      <c r="AU4361" t="s">
        <v>25239</v>
      </c>
      <c r="AV4361" t="s">
        <v>25335</v>
      </c>
      <c r="AW4361" t="s">
        <v>11447</v>
      </c>
    </row>
    <row r="4362" spans="1:49">
      <c r="A4362" s="1">
        <f>HYPERLINK("https://lsnyc.legalserver.org/matter/dynamic-profile/view/1910456","19-1910456")</f>
        <v>0</v>
      </c>
      <c r="B4362" t="s">
        <v>201</v>
      </c>
      <c r="C4362" t="s">
        <v>468</v>
      </c>
      <c r="E4362" t="s">
        <v>3159</v>
      </c>
      <c r="F4362" t="s">
        <v>5803</v>
      </c>
      <c r="G4362" t="s">
        <v>9601</v>
      </c>
      <c r="H4362" t="s">
        <v>10594</v>
      </c>
      <c r="I4362" t="s">
        <v>11383</v>
      </c>
      <c r="J4362">
        <v>10457</v>
      </c>
      <c r="K4362" t="s">
        <v>11446</v>
      </c>
      <c r="L4362" t="s">
        <v>13882</v>
      </c>
      <c r="M4362" t="s">
        <v>14744</v>
      </c>
      <c r="N4362" t="s">
        <v>14781</v>
      </c>
      <c r="P4362" t="s">
        <v>14805</v>
      </c>
      <c r="Q4362" t="s">
        <v>11448</v>
      </c>
      <c r="S4362" t="s">
        <v>14827</v>
      </c>
      <c r="U4362" t="s">
        <v>468</v>
      </c>
      <c r="V4362">
        <v>2050</v>
      </c>
      <c r="W4362" t="s">
        <v>14858</v>
      </c>
      <c r="X4362" t="s">
        <v>14865</v>
      </c>
      <c r="Z4362" t="s">
        <v>18508</v>
      </c>
      <c r="AA4362">
        <v>63766681</v>
      </c>
      <c r="AB4362" t="s">
        <v>23633</v>
      </c>
      <c r="AC4362">
        <v>47</v>
      </c>
      <c r="AD4362" t="s">
        <v>11479</v>
      </c>
      <c r="AE4362" t="s">
        <v>24610</v>
      </c>
      <c r="AF4362">
        <v>6</v>
      </c>
      <c r="AG4362">
        <v>1</v>
      </c>
      <c r="AH4362">
        <v>2</v>
      </c>
      <c r="AI4362">
        <v>57.44</v>
      </c>
      <c r="AL4362" t="s">
        <v>5011</v>
      </c>
      <c r="AM4362">
        <v>12252</v>
      </c>
      <c r="AS4362">
        <v>16.6</v>
      </c>
      <c r="AT4362" t="s">
        <v>703</v>
      </c>
      <c r="AU4362" t="s">
        <v>237</v>
      </c>
      <c r="AV4362" t="s">
        <v>25335</v>
      </c>
      <c r="AW4362" t="s">
        <v>11447</v>
      </c>
    </row>
    <row r="4363" spans="1:49">
      <c r="A4363" s="1">
        <f>HYPERLINK("https://lsnyc.legalserver.org/matter/dynamic-profile/view/1909982","19-1909982")</f>
        <v>0</v>
      </c>
      <c r="B4363" t="s">
        <v>130</v>
      </c>
      <c r="C4363" t="s">
        <v>468</v>
      </c>
      <c r="E4363" t="s">
        <v>3160</v>
      </c>
      <c r="F4363" t="s">
        <v>5804</v>
      </c>
      <c r="G4363" t="s">
        <v>9602</v>
      </c>
      <c r="H4363" t="s">
        <v>10460</v>
      </c>
      <c r="I4363" t="s">
        <v>11383</v>
      </c>
      <c r="J4363">
        <v>10457</v>
      </c>
      <c r="K4363" t="s">
        <v>11446</v>
      </c>
      <c r="L4363" t="s">
        <v>13883</v>
      </c>
      <c r="M4363" t="s">
        <v>14744</v>
      </c>
      <c r="N4363" t="s">
        <v>14781</v>
      </c>
      <c r="P4363" t="s">
        <v>14805</v>
      </c>
      <c r="Q4363" t="s">
        <v>11448</v>
      </c>
      <c r="S4363" t="s">
        <v>14827</v>
      </c>
      <c r="U4363" t="s">
        <v>468</v>
      </c>
      <c r="V4363">
        <v>1177</v>
      </c>
      <c r="W4363" t="s">
        <v>14858</v>
      </c>
      <c r="X4363" t="s">
        <v>14864</v>
      </c>
      <c r="Z4363" t="s">
        <v>18509</v>
      </c>
      <c r="AB4363" t="s">
        <v>23634</v>
      </c>
      <c r="AC4363">
        <v>43</v>
      </c>
      <c r="AD4363" t="s">
        <v>24595</v>
      </c>
      <c r="AE4363" t="s">
        <v>24616</v>
      </c>
      <c r="AF4363">
        <v>2</v>
      </c>
      <c r="AG4363">
        <v>1</v>
      </c>
      <c r="AH4363">
        <v>1</v>
      </c>
      <c r="AI4363">
        <v>64.25</v>
      </c>
      <c r="AL4363" t="s">
        <v>5011</v>
      </c>
      <c r="AM4363">
        <v>10864</v>
      </c>
      <c r="AS4363">
        <v>8.550000000000001</v>
      </c>
      <c r="AT4363" t="s">
        <v>477</v>
      </c>
      <c r="AU4363" t="s">
        <v>245</v>
      </c>
      <c r="AV4363" t="s">
        <v>25335</v>
      </c>
      <c r="AW4363" t="s">
        <v>11447</v>
      </c>
    </row>
    <row r="4364" spans="1:49">
      <c r="A4364" s="1">
        <f>HYPERLINK("https://lsnyc.legalserver.org/matter/dynamic-profile/view/1910434","19-1910434")</f>
        <v>0</v>
      </c>
      <c r="B4364" t="s">
        <v>96</v>
      </c>
      <c r="C4364" t="s">
        <v>468</v>
      </c>
      <c r="E4364" t="s">
        <v>1248</v>
      </c>
      <c r="F4364" t="s">
        <v>4413</v>
      </c>
      <c r="G4364" t="s">
        <v>9603</v>
      </c>
      <c r="H4364" t="s">
        <v>10598</v>
      </c>
      <c r="I4364" t="s">
        <v>11383</v>
      </c>
      <c r="J4364">
        <v>10468</v>
      </c>
      <c r="K4364" t="s">
        <v>11446</v>
      </c>
      <c r="L4364" t="s">
        <v>13884</v>
      </c>
      <c r="M4364" t="s">
        <v>14744</v>
      </c>
      <c r="N4364" t="s">
        <v>14781</v>
      </c>
      <c r="P4364" t="s">
        <v>14805</v>
      </c>
      <c r="Q4364" t="s">
        <v>11448</v>
      </c>
      <c r="S4364" t="s">
        <v>14827</v>
      </c>
      <c r="T4364" t="s">
        <v>14832</v>
      </c>
      <c r="U4364" t="s">
        <v>468</v>
      </c>
      <c r="V4364">
        <v>906.75</v>
      </c>
      <c r="W4364" t="s">
        <v>14858</v>
      </c>
      <c r="X4364" t="s">
        <v>14863</v>
      </c>
      <c r="Z4364" t="s">
        <v>18510</v>
      </c>
      <c r="AA4364" t="s">
        <v>19925</v>
      </c>
      <c r="AB4364" t="s">
        <v>23635</v>
      </c>
      <c r="AC4364">
        <v>0</v>
      </c>
      <c r="AD4364" t="s">
        <v>24595</v>
      </c>
      <c r="AE4364" t="s">
        <v>11459</v>
      </c>
      <c r="AF4364">
        <v>35</v>
      </c>
      <c r="AG4364">
        <v>2</v>
      </c>
      <c r="AH4364">
        <v>0</v>
      </c>
      <c r="AI4364">
        <v>144.29</v>
      </c>
      <c r="AL4364" t="s">
        <v>5011</v>
      </c>
      <c r="AM4364">
        <v>24400</v>
      </c>
      <c r="AS4364">
        <v>5.7</v>
      </c>
      <c r="AT4364" t="s">
        <v>539</v>
      </c>
      <c r="AU4364" t="s">
        <v>25268</v>
      </c>
      <c r="AV4364" t="s">
        <v>25334</v>
      </c>
      <c r="AW4364" t="s">
        <v>11447</v>
      </c>
    </row>
    <row r="4365" spans="1:49">
      <c r="A4365" s="1">
        <f>HYPERLINK("https://lsnyc.legalserver.org/matter/dynamic-profile/view/1910004","19-1910004")</f>
        <v>0</v>
      </c>
      <c r="B4365" t="s">
        <v>130</v>
      </c>
      <c r="C4365" t="s">
        <v>468</v>
      </c>
      <c r="E4365" t="s">
        <v>3084</v>
      </c>
      <c r="F4365" t="s">
        <v>5727</v>
      </c>
      <c r="G4365" t="s">
        <v>9454</v>
      </c>
      <c r="H4365" t="s">
        <v>10522</v>
      </c>
      <c r="I4365" t="s">
        <v>11383</v>
      </c>
      <c r="J4365">
        <v>10467</v>
      </c>
      <c r="K4365" t="s">
        <v>11446</v>
      </c>
      <c r="L4365" t="s">
        <v>13885</v>
      </c>
      <c r="M4365" t="s">
        <v>14744</v>
      </c>
      <c r="N4365" t="s">
        <v>14781</v>
      </c>
      <c r="P4365" t="s">
        <v>14805</v>
      </c>
      <c r="Q4365" t="s">
        <v>11448</v>
      </c>
      <c r="S4365" t="s">
        <v>14827</v>
      </c>
      <c r="U4365" t="s">
        <v>468</v>
      </c>
      <c r="V4365">
        <v>1350</v>
      </c>
      <c r="W4365" t="s">
        <v>14858</v>
      </c>
      <c r="X4365" t="s">
        <v>14863</v>
      </c>
      <c r="Z4365" t="s">
        <v>18360</v>
      </c>
      <c r="AB4365" t="s">
        <v>23473</v>
      </c>
      <c r="AC4365">
        <v>66</v>
      </c>
      <c r="AD4365" t="s">
        <v>24595</v>
      </c>
      <c r="AF4365">
        <v>1</v>
      </c>
      <c r="AG4365">
        <v>1</v>
      </c>
      <c r="AH4365">
        <v>1</v>
      </c>
      <c r="AI4365">
        <v>171.5</v>
      </c>
      <c r="AL4365" t="s">
        <v>24632</v>
      </c>
      <c r="AM4365">
        <v>29000</v>
      </c>
      <c r="AS4365">
        <v>5.5</v>
      </c>
      <c r="AT4365" t="s">
        <v>478</v>
      </c>
      <c r="AU4365" t="s">
        <v>245</v>
      </c>
      <c r="AV4365" t="s">
        <v>25335</v>
      </c>
      <c r="AW4365" t="s">
        <v>11447</v>
      </c>
    </row>
    <row r="4366" spans="1:49">
      <c r="A4366" s="1">
        <f>HYPERLINK("https://lsnyc.legalserver.org/matter/dynamic-profile/view/1907184","19-1907184")</f>
        <v>0</v>
      </c>
      <c r="B4366" t="s">
        <v>273</v>
      </c>
      <c r="C4366" t="s">
        <v>379</v>
      </c>
      <c r="E4366" t="s">
        <v>1103</v>
      </c>
      <c r="F4366" t="s">
        <v>5805</v>
      </c>
      <c r="G4366" t="s">
        <v>9604</v>
      </c>
      <c r="H4366" t="s">
        <v>10525</v>
      </c>
      <c r="I4366" t="s">
        <v>11383</v>
      </c>
      <c r="J4366">
        <v>10467</v>
      </c>
      <c r="K4366" t="s">
        <v>11446</v>
      </c>
      <c r="L4366" t="s">
        <v>13886</v>
      </c>
      <c r="M4366" t="s">
        <v>14743</v>
      </c>
      <c r="N4366" t="s">
        <v>14781</v>
      </c>
      <c r="P4366" t="s">
        <v>14805</v>
      </c>
      <c r="Q4366" t="s">
        <v>11448</v>
      </c>
      <c r="S4366" t="s">
        <v>14827</v>
      </c>
      <c r="T4366" t="s">
        <v>14832</v>
      </c>
      <c r="U4366" t="s">
        <v>471</v>
      </c>
      <c r="V4366">
        <v>1100</v>
      </c>
      <c r="W4366" t="s">
        <v>14858</v>
      </c>
      <c r="X4366" t="s">
        <v>14866</v>
      </c>
      <c r="Z4366" t="s">
        <v>18511</v>
      </c>
      <c r="AB4366" t="s">
        <v>23636</v>
      </c>
      <c r="AC4366">
        <v>4</v>
      </c>
      <c r="AD4366" t="s">
        <v>24600</v>
      </c>
      <c r="AE4366" t="s">
        <v>11459</v>
      </c>
      <c r="AF4366">
        <v>2</v>
      </c>
      <c r="AG4366">
        <v>2</v>
      </c>
      <c r="AH4366">
        <v>0</v>
      </c>
      <c r="AI4366">
        <v>12.92</v>
      </c>
      <c r="AL4366" t="s">
        <v>5011</v>
      </c>
      <c r="AM4366">
        <v>2184</v>
      </c>
      <c r="AS4366">
        <v>14.7</v>
      </c>
      <c r="AT4366" t="s">
        <v>516</v>
      </c>
      <c r="AU4366" t="s">
        <v>25238</v>
      </c>
      <c r="AV4366" t="s">
        <v>25335</v>
      </c>
      <c r="AW4366" t="s">
        <v>11447</v>
      </c>
    </row>
    <row r="4367" spans="1:49">
      <c r="A4367" s="1">
        <f>HYPERLINK("https://lsnyc.legalserver.org/matter/dynamic-profile/view/1908750","19-1908750")</f>
        <v>0</v>
      </c>
      <c r="B4367" t="s">
        <v>295</v>
      </c>
      <c r="C4367" t="s">
        <v>585</v>
      </c>
      <c r="E4367" t="s">
        <v>1025</v>
      </c>
      <c r="F4367" t="s">
        <v>3823</v>
      </c>
      <c r="G4367" t="s">
        <v>9605</v>
      </c>
      <c r="H4367" t="s">
        <v>10478</v>
      </c>
      <c r="I4367" t="s">
        <v>11383</v>
      </c>
      <c r="J4367">
        <v>10467</v>
      </c>
      <c r="K4367" t="s">
        <v>11446</v>
      </c>
      <c r="L4367" t="s">
        <v>13887</v>
      </c>
      <c r="M4367" t="s">
        <v>14744</v>
      </c>
      <c r="N4367" t="s">
        <v>14781</v>
      </c>
      <c r="P4367" t="s">
        <v>14805</v>
      </c>
      <c r="Q4367" t="s">
        <v>11448</v>
      </c>
      <c r="S4367" t="s">
        <v>14827</v>
      </c>
      <c r="T4367" t="s">
        <v>14834</v>
      </c>
      <c r="U4367" t="s">
        <v>471</v>
      </c>
      <c r="V4367">
        <v>1250</v>
      </c>
      <c r="W4367" t="s">
        <v>14858</v>
      </c>
      <c r="X4367" t="s">
        <v>14873</v>
      </c>
      <c r="Z4367" t="s">
        <v>18512</v>
      </c>
      <c r="AA4367" t="s">
        <v>19926</v>
      </c>
      <c r="AB4367" t="s">
        <v>23637</v>
      </c>
      <c r="AC4367">
        <v>54</v>
      </c>
      <c r="AD4367" t="s">
        <v>24595</v>
      </c>
      <c r="AF4367">
        <v>5</v>
      </c>
      <c r="AG4367">
        <v>1</v>
      </c>
      <c r="AH4367">
        <v>4</v>
      </c>
      <c r="AI4367">
        <v>51.71</v>
      </c>
      <c r="AL4367" t="s">
        <v>24632</v>
      </c>
      <c r="AM4367">
        <v>15600</v>
      </c>
      <c r="AS4367">
        <v>17.9</v>
      </c>
      <c r="AT4367" t="s">
        <v>537</v>
      </c>
      <c r="AU4367" t="s">
        <v>145</v>
      </c>
      <c r="AV4367" t="s">
        <v>25334</v>
      </c>
      <c r="AW4367" t="s">
        <v>11447</v>
      </c>
    </row>
    <row r="4368" spans="1:49">
      <c r="A4368" s="1">
        <f>HYPERLINK("https://lsnyc.legalserver.org/matter/dynamic-profile/view/1910040","19-1910040")</f>
        <v>0</v>
      </c>
      <c r="B4368" t="s">
        <v>201</v>
      </c>
      <c r="C4368" t="s">
        <v>471</v>
      </c>
      <c r="E4368" t="s">
        <v>1652</v>
      </c>
      <c r="F4368" t="s">
        <v>5806</v>
      </c>
      <c r="G4368" t="s">
        <v>9606</v>
      </c>
      <c r="H4368" t="s">
        <v>10552</v>
      </c>
      <c r="I4368" t="s">
        <v>11383</v>
      </c>
      <c r="J4368">
        <v>10457</v>
      </c>
      <c r="K4368" t="s">
        <v>11446</v>
      </c>
      <c r="L4368" t="s">
        <v>13888</v>
      </c>
      <c r="M4368" t="s">
        <v>14743</v>
      </c>
      <c r="N4368" t="s">
        <v>14778</v>
      </c>
      <c r="P4368" t="s">
        <v>14805</v>
      </c>
      <c r="Q4368" t="s">
        <v>11448</v>
      </c>
      <c r="S4368" t="s">
        <v>14827</v>
      </c>
      <c r="T4368" t="s">
        <v>14832</v>
      </c>
      <c r="U4368" t="s">
        <v>471</v>
      </c>
      <c r="V4368">
        <v>625</v>
      </c>
      <c r="W4368" t="s">
        <v>14858</v>
      </c>
      <c r="X4368" t="s">
        <v>14868</v>
      </c>
      <c r="Z4368" t="s">
        <v>18513</v>
      </c>
      <c r="AC4368">
        <v>16</v>
      </c>
      <c r="AD4368" t="s">
        <v>24595</v>
      </c>
      <c r="AE4368" t="s">
        <v>24613</v>
      </c>
      <c r="AF4368">
        <v>5</v>
      </c>
      <c r="AG4368">
        <v>1</v>
      </c>
      <c r="AH4368">
        <v>0</v>
      </c>
      <c r="AI4368">
        <v>116.16</v>
      </c>
      <c r="AL4368" t="s">
        <v>5011</v>
      </c>
      <c r="AM4368">
        <v>14508</v>
      </c>
      <c r="AS4368">
        <v>25.6</v>
      </c>
      <c r="AT4368" t="s">
        <v>703</v>
      </c>
      <c r="AU4368" t="s">
        <v>245</v>
      </c>
      <c r="AW4368" t="s">
        <v>11447</v>
      </c>
    </row>
    <row r="4369" spans="1:49">
      <c r="A4369" s="1">
        <f>HYPERLINK("https://lsnyc.legalserver.org/matter/dynamic-profile/view/1910029","19-1910029")</f>
        <v>0</v>
      </c>
      <c r="B4369" t="s">
        <v>112</v>
      </c>
      <c r="C4369" t="s">
        <v>471</v>
      </c>
      <c r="E4369" t="s">
        <v>1277</v>
      </c>
      <c r="F4369" t="s">
        <v>5807</v>
      </c>
      <c r="G4369" t="s">
        <v>9607</v>
      </c>
      <c r="H4369">
        <v>44</v>
      </c>
      <c r="I4369" t="s">
        <v>11383</v>
      </c>
      <c r="J4369">
        <v>10468</v>
      </c>
      <c r="K4369" t="s">
        <v>11446</v>
      </c>
      <c r="L4369" t="s">
        <v>13889</v>
      </c>
      <c r="M4369" t="s">
        <v>14744</v>
      </c>
      <c r="N4369" t="s">
        <v>14781</v>
      </c>
      <c r="P4369" t="s">
        <v>14805</v>
      </c>
      <c r="Q4369" t="s">
        <v>11448</v>
      </c>
      <c r="S4369" t="s">
        <v>14827</v>
      </c>
      <c r="U4369" t="s">
        <v>471</v>
      </c>
      <c r="V4369">
        <v>452</v>
      </c>
      <c r="W4369" t="s">
        <v>14858</v>
      </c>
      <c r="X4369" t="s">
        <v>14865</v>
      </c>
      <c r="Z4369" t="s">
        <v>18514</v>
      </c>
      <c r="AA4369" t="s">
        <v>19927</v>
      </c>
      <c r="AB4369" t="s">
        <v>23638</v>
      </c>
      <c r="AC4369">
        <v>48</v>
      </c>
      <c r="AD4369" t="s">
        <v>24599</v>
      </c>
      <c r="AE4369" t="s">
        <v>24616</v>
      </c>
      <c r="AF4369">
        <v>2</v>
      </c>
      <c r="AG4369">
        <v>1</v>
      </c>
      <c r="AH4369">
        <v>0</v>
      </c>
      <c r="AI4369">
        <v>146.97</v>
      </c>
      <c r="AL4369" t="s">
        <v>5011</v>
      </c>
      <c r="AM4369">
        <v>18356</v>
      </c>
      <c r="AS4369">
        <v>7.35</v>
      </c>
      <c r="AT4369" t="s">
        <v>654</v>
      </c>
      <c r="AU4369" t="s">
        <v>25239</v>
      </c>
      <c r="AV4369" t="s">
        <v>25334</v>
      </c>
      <c r="AW4369" t="s">
        <v>11447</v>
      </c>
    </row>
    <row r="4370" spans="1:49">
      <c r="A4370" s="1">
        <f>HYPERLINK("https://lsnyc.legalserver.org/matter/dynamic-profile/view/1910103","19-1910103")</f>
        <v>0</v>
      </c>
      <c r="B4370" t="s">
        <v>143</v>
      </c>
      <c r="C4370" t="s">
        <v>471</v>
      </c>
      <c r="E4370" t="s">
        <v>1874</v>
      </c>
      <c r="F4370" t="s">
        <v>3695</v>
      </c>
      <c r="G4370" t="s">
        <v>9608</v>
      </c>
      <c r="H4370" t="s">
        <v>10481</v>
      </c>
      <c r="I4370" t="s">
        <v>11383</v>
      </c>
      <c r="J4370">
        <v>10467</v>
      </c>
      <c r="K4370" t="s">
        <v>11446</v>
      </c>
      <c r="L4370" t="s">
        <v>13890</v>
      </c>
      <c r="M4370" t="s">
        <v>14744</v>
      </c>
      <c r="N4370" t="s">
        <v>14781</v>
      </c>
      <c r="P4370" t="s">
        <v>14805</v>
      </c>
      <c r="Q4370" t="s">
        <v>11448</v>
      </c>
      <c r="S4370" t="s">
        <v>14827</v>
      </c>
      <c r="U4370" t="s">
        <v>471</v>
      </c>
      <c r="V4370">
        <v>995.73</v>
      </c>
      <c r="W4370" t="s">
        <v>14858</v>
      </c>
      <c r="X4370" t="s">
        <v>14865</v>
      </c>
      <c r="Z4370" t="s">
        <v>18515</v>
      </c>
      <c r="AB4370" t="s">
        <v>23639</v>
      </c>
      <c r="AC4370">
        <v>43</v>
      </c>
      <c r="AD4370" t="s">
        <v>11479</v>
      </c>
      <c r="AE4370" t="s">
        <v>11459</v>
      </c>
      <c r="AF4370">
        <v>22</v>
      </c>
      <c r="AG4370">
        <v>1</v>
      </c>
      <c r="AH4370">
        <v>0</v>
      </c>
      <c r="AI4370">
        <v>187.35</v>
      </c>
      <c r="AL4370" t="s">
        <v>5011</v>
      </c>
      <c r="AM4370">
        <v>23400</v>
      </c>
      <c r="AS4370">
        <v>7</v>
      </c>
      <c r="AT4370" t="s">
        <v>571</v>
      </c>
      <c r="AU4370" t="s">
        <v>25239</v>
      </c>
      <c r="AV4370" t="s">
        <v>25335</v>
      </c>
      <c r="AW4370" t="s">
        <v>11447</v>
      </c>
    </row>
    <row r="4371" spans="1:49">
      <c r="A4371" s="1">
        <f>HYPERLINK("https://lsnyc.legalserver.org/matter/dynamic-profile/view/1910205","19-1910205")</f>
        <v>0</v>
      </c>
      <c r="B4371" t="s">
        <v>115</v>
      </c>
      <c r="C4371" t="s">
        <v>528</v>
      </c>
      <c r="E4371" t="s">
        <v>1744</v>
      </c>
      <c r="F4371" t="s">
        <v>5808</v>
      </c>
      <c r="G4371" t="s">
        <v>7011</v>
      </c>
      <c r="H4371" t="s">
        <v>11252</v>
      </c>
      <c r="I4371" t="s">
        <v>11383</v>
      </c>
      <c r="J4371">
        <v>10457</v>
      </c>
      <c r="K4371" t="s">
        <v>11446</v>
      </c>
      <c r="L4371" t="s">
        <v>13891</v>
      </c>
      <c r="M4371" t="s">
        <v>14744</v>
      </c>
      <c r="N4371" t="s">
        <v>14781</v>
      </c>
      <c r="P4371" t="s">
        <v>14805</v>
      </c>
      <c r="Q4371" t="s">
        <v>11446</v>
      </c>
      <c r="S4371" t="s">
        <v>14827</v>
      </c>
      <c r="T4371" t="s">
        <v>14832</v>
      </c>
      <c r="U4371" t="s">
        <v>528</v>
      </c>
      <c r="V4371">
        <v>1550</v>
      </c>
      <c r="W4371" t="s">
        <v>14858</v>
      </c>
      <c r="X4371" t="s">
        <v>14873</v>
      </c>
      <c r="Z4371" t="s">
        <v>18516</v>
      </c>
      <c r="AA4371" t="s">
        <v>19928</v>
      </c>
      <c r="AB4371" t="s">
        <v>23640</v>
      </c>
      <c r="AC4371">
        <v>0</v>
      </c>
      <c r="AE4371" t="s">
        <v>24616</v>
      </c>
      <c r="AF4371">
        <v>1</v>
      </c>
      <c r="AG4371">
        <v>1</v>
      </c>
      <c r="AH4371">
        <v>1</v>
      </c>
      <c r="AI4371">
        <v>46.13</v>
      </c>
      <c r="AL4371" t="s">
        <v>24632</v>
      </c>
      <c r="AM4371">
        <v>7800</v>
      </c>
      <c r="AS4371">
        <v>6.7</v>
      </c>
      <c r="AT4371" t="s">
        <v>490</v>
      </c>
      <c r="AU4371" t="s">
        <v>25311</v>
      </c>
      <c r="AV4371" t="s">
        <v>25334</v>
      </c>
      <c r="AW4371" t="s">
        <v>11447</v>
      </c>
    </row>
    <row r="4372" spans="1:49">
      <c r="A4372" s="1">
        <f>HYPERLINK("https://lsnyc.legalserver.org/matter/dynamic-profile/view/1910323","19-1910323")</f>
        <v>0</v>
      </c>
      <c r="B4372" t="s">
        <v>257</v>
      </c>
      <c r="C4372" t="s">
        <v>540</v>
      </c>
      <c r="E4372" t="s">
        <v>1181</v>
      </c>
      <c r="F4372" t="s">
        <v>5809</v>
      </c>
      <c r="G4372" t="s">
        <v>9609</v>
      </c>
      <c r="H4372" t="s">
        <v>10575</v>
      </c>
      <c r="I4372" t="s">
        <v>11383</v>
      </c>
      <c r="J4372">
        <v>10467</v>
      </c>
      <c r="K4372" t="s">
        <v>11446</v>
      </c>
      <c r="L4372" t="s">
        <v>13892</v>
      </c>
      <c r="M4372" t="s">
        <v>14744</v>
      </c>
      <c r="N4372" t="s">
        <v>14781</v>
      </c>
      <c r="P4372" t="s">
        <v>14805</v>
      </c>
      <c r="Q4372" t="s">
        <v>11448</v>
      </c>
      <c r="S4372" t="s">
        <v>14827</v>
      </c>
      <c r="T4372" t="s">
        <v>14833</v>
      </c>
      <c r="U4372" t="s">
        <v>540</v>
      </c>
      <c r="V4372">
        <v>1020</v>
      </c>
      <c r="W4372" t="s">
        <v>14858</v>
      </c>
      <c r="X4372" t="s">
        <v>14865</v>
      </c>
      <c r="Z4372" t="s">
        <v>18517</v>
      </c>
      <c r="AB4372" t="s">
        <v>23641</v>
      </c>
      <c r="AC4372">
        <v>55</v>
      </c>
      <c r="AD4372" t="s">
        <v>24595</v>
      </c>
      <c r="AE4372" t="s">
        <v>11459</v>
      </c>
      <c r="AF4372">
        <v>6</v>
      </c>
      <c r="AG4372">
        <v>1</v>
      </c>
      <c r="AH4372">
        <v>0</v>
      </c>
      <c r="AI4372">
        <v>0</v>
      </c>
      <c r="AL4372" t="s">
        <v>5011</v>
      </c>
      <c r="AM4372">
        <v>0</v>
      </c>
      <c r="AS4372">
        <v>6.4</v>
      </c>
      <c r="AT4372" t="s">
        <v>495</v>
      </c>
      <c r="AU4372" t="s">
        <v>25252</v>
      </c>
      <c r="AV4372" t="s">
        <v>25335</v>
      </c>
      <c r="AW4372" t="s">
        <v>11447</v>
      </c>
    </row>
    <row r="4373" spans="1:49">
      <c r="A4373" s="1">
        <f>HYPERLINK("https://lsnyc.legalserver.org/matter/dynamic-profile/view/1910292","19-1910292")</f>
        <v>0</v>
      </c>
      <c r="B4373" t="s">
        <v>82</v>
      </c>
      <c r="C4373" t="s">
        <v>540</v>
      </c>
      <c r="E4373" t="s">
        <v>3161</v>
      </c>
      <c r="F4373" t="s">
        <v>5810</v>
      </c>
      <c r="G4373" t="s">
        <v>9610</v>
      </c>
      <c r="H4373" t="s">
        <v>11253</v>
      </c>
      <c r="I4373" t="s">
        <v>11383</v>
      </c>
      <c r="J4373">
        <v>10468</v>
      </c>
      <c r="K4373" t="s">
        <v>11446</v>
      </c>
      <c r="L4373" t="s">
        <v>13893</v>
      </c>
      <c r="M4373" t="s">
        <v>14744</v>
      </c>
      <c r="N4373" t="s">
        <v>14781</v>
      </c>
      <c r="P4373" t="s">
        <v>14805</v>
      </c>
      <c r="Q4373" t="s">
        <v>11448</v>
      </c>
      <c r="S4373" t="s">
        <v>14827</v>
      </c>
      <c r="T4373" t="s">
        <v>14832</v>
      </c>
      <c r="U4373" t="s">
        <v>540</v>
      </c>
      <c r="V4373">
        <v>1800</v>
      </c>
      <c r="W4373" t="s">
        <v>14858</v>
      </c>
      <c r="X4373" t="s">
        <v>14863</v>
      </c>
      <c r="Z4373" t="s">
        <v>18518</v>
      </c>
      <c r="AB4373" t="s">
        <v>23642</v>
      </c>
      <c r="AC4373">
        <v>60</v>
      </c>
      <c r="AD4373" t="s">
        <v>24595</v>
      </c>
      <c r="AE4373" t="s">
        <v>11459</v>
      </c>
      <c r="AF4373">
        <v>-1</v>
      </c>
      <c r="AG4373">
        <v>1</v>
      </c>
      <c r="AH4373">
        <v>2</v>
      </c>
      <c r="AI4373">
        <v>45.01</v>
      </c>
      <c r="AL4373" t="s">
        <v>24632</v>
      </c>
      <c r="AM4373">
        <v>9600</v>
      </c>
      <c r="AS4373">
        <v>6.95</v>
      </c>
      <c r="AT4373" t="s">
        <v>592</v>
      </c>
      <c r="AU4373" t="s">
        <v>245</v>
      </c>
      <c r="AV4373" t="s">
        <v>25334</v>
      </c>
      <c r="AW4373" t="s">
        <v>11447</v>
      </c>
    </row>
    <row r="4374" spans="1:49">
      <c r="A4374" s="1">
        <f>HYPERLINK("https://lsnyc.legalserver.org/matter/dynamic-profile/view/1910317","19-1910317")</f>
        <v>0</v>
      </c>
      <c r="B4374" t="s">
        <v>111</v>
      </c>
      <c r="C4374" t="s">
        <v>540</v>
      </c>
      <c r="E4374" t="s">
        <v>3158</v>
      </c>
      <c r="F4374" t="s">
        <v>3623</v>
      </c>
      <c r="G4374" t="s">
        <v>9611</v>
      </c>
      <c r="H4374" t="s">
        <v>10569</v>
      </c>
      <c r="I4374" t="s">
        <v>11383</v>
      </c>
      <c r="J4374">
        <v>10468</v>
      </c>
      <c r="K4374" t="s">
        <v>11446</v>
      </c>
      <c r="L4374" t="s">
        <v>13894</v>
      </c>
      <c r="M4374" t="s">
        <v>14744</v>
      </c>
      <c r="N4374" t="s">
        <v>14781</v>
      </c>
      <c r="P4374" t="s">
        <v>14805</v>
      </c>
      <c r="Q4374" t="s">
        <v>11448</v>
      </c>
      <c r="S4374" t="s">
        <v>14827</v>
      </c>
      <c r="U4374" t="s">
        <v>540</v>
      </c>
      <c r="V4374">
        <v>1854</v>
      </c>
      <c r="W4374" t="s">
        <v>14858</v>
      </c>
      <c r="X4374" t="s">
        <v>14863</v>
      </c>
      <c r="Z4374" t="s">
        <v>18519</v>
      </c>
      <c r="AA4374" t="s">
        <v>19929</v>
      </c>
      <c r="AB4374" t="s">
        <v>23643</v>
      </c>
      <c r="AC4374">
        <v>47</v>
      </c>
      <c r="AD4374" t="s">
        <v>24595</v>
      </c>
      <c r="AE4374" t="s">
        <v>11459</v>
      </c>
      <c r="AF4374">
        <v>8</v>
      </c>
      <c r="AG4374">
        <v>2</v>
      </c>
      <c r="AH4374">
        <v>2</v>
      </c>
      <c r="AI4374">
        <v>71.59</v>
      </c>
      <c r="AL4374" t="s">
        <v>24632</v>
      </c>
      <c r="AM4374">
        <v>18434</v>
      </c>
      <c r="AS4374">
        <v>8.949999999999999</v>
      </c>
      <c r="AT4374" t="s">
        <v>506</v>
      </c>
      <c r="AU4374" t="s">
        <v>25242</v>
      </c>
      <c r="AV4374" t="s">
        <v>25334</v>
      </c>
      <c r="AW4374" t="s">
        <v>11447</v>
      </c>
    </row>
    <row r="4375" spans="1:49">
      <c r="A4375" s="1">
        <f>HYPERLINK("https://lsnyc.legalserver.org/matter/dynamic-profile/view/1907580","19-1907580")</f>
        <v>0</v>
      </c>
      <c r="B4375" t="s">
        <v>143</v>
      </c>
      <c r="C4375" t="s">
        <v>630</v>
      </c>
      <c r="E4375" t="s">
        <v>3162</v>
      </c>
      <c r="F4375" t="s">
        <v>5137</v>
      </c>
      <c r="G4375" t="s">
        <v>9612</v>
      </c>
      <c r="H4375">
        <v>401</v>
      </c>
      <c r="I4375" t="s">
        <v>11383</v>
      </c>
      <c r="J4375">
        <v>10462</v>
      </c>
      <c r="K4375" t="s">
        <v>11446</v>
      </c>
      <c r="L4375" t="s">
        <v>13895</v>
      </c>
      <c r="M4375" t="s">
        <v>14744</v>
      </c>
      <c r="N4375" t="s">
        <v>14781</v>
      </c>
      <c r="P4375" t="s">
        <v>14805</v>
      </c>
      <c r="Q4375" t="s">
        <v>11448</v>
      </c>
      <c r="S4375" t="s">
        <v>14827</v>
      </c>
      <c r="U4375" t="s">
        <v>540</v>
      </c>
      <c r="V4375">
        <v>1326</v>
      </c>
      <c r="W4375" t="s">
        <v>14858</v>
      </c>
      <c r="Z4375" t="s">
        <v>18520</v>
      </c>
      <c r="AB4375" t="s">
        <v>23644</v>
      </c>
      <c r="AC4375">
        <v>101</v>
      </c>
      <c r="AF4375">
        <v>4</v>
      </c>
      <c r="AG4375">
        <v>1</v>
      </c>
      <c r="AH4375">
        <v>1</v>
      </c>
      <c r="AI4375">
        <v>179.78</v>
      </c>
      <c r="AL4375" t="s">
        <v>24632</v>
      </c>
      <c r="AM4375">
        <v>30400</v>
      </c>
      <c r="AS4375">
        <v>10.7</v>
      </c>
      <c r="AT4375" t="s">
        <v>521</v>
      </c>
      <c r="AU4375" t="s">
        <v>145</v>
      </c>
      <c r="AV4375" t="s">
        <v>25335</v>
      </c>
      <c r="AW4375" t="s">
        <v>11447</v>
      </c>
    </row>
    <row r="4376" spans="1:49">
      <c r="A4376" s="1">
        <f>HYPERLINK("https://lsnyc.legalserver.org/matter/dynamic-profile/view/1908723","19-1908723")</f>
        <v>0</v>
      </c>
      <c r="B4376" t="s">
        <v>256</v>
      </c>
      <c r="C4376" t="s">
        <v>464</v>
      </c>
      <c r="E4376" t="s">
        <v>1663</v>
      </c>
      <c r="F4376" t="s">
        <v>5811</v>
      </c>
      <c r="G4376" t="s">
        <v>9613</v>
      </c>
      <c r="H4376" t="s">
        <v>10522</v>
      </c>
      <c r="I4376" t="s">
        <v>11383</v>
      </c>
      <c r="J4376">
        <v>10462</v>
      </c>
      <c r="K4376" t="s">
        <v>11446</v>
      </c>
      <c r="L4376" t="s">
        <v>13896</v>
      </c>
      <c r="M4376" t="s">
        <v>14744</v>
      </c>
      <c r="N4376" t="s">
        <v>14781</v>
      </c>
      <c r="P4376" t="s">
        <v>14805</v>
      </c>
      <c r="Q4376" t="s">
        <v>11448</v>
      </c>
      <c r="S4376" t="s">
        <v>14827</v>
      </c>
      <c r="T4376" t="s">
        <v>14832</v>
      </c>
      <c r="U4376" t="s">
        <v>602</v>
      </c>
      <c r="V4376">
        <v>991.46</v>
      </c>
      <c r="W4376" t="s">
        <v>14858</v>
      </c>
      <c r="X4376" t="s">
        <v>14863</v>
      </c>
      <c r="Z4376" t="s">
        <v>15953</v>
      </c>
      <c r="AA4376" t="s">
        <v>19930</v>
      </c>
      <c r="AB4376" t="s">
        <v>23645</v>
      </c>
      <c r="AC4376">
        <v>60</v>
      </c>
      <c r="AD4376" t="s">
        <v>11479</v>
      </c>
      <c r="AE4376" t="s">
        <v>11459</v>
      </c>
      <c r="AF4376">
        <v>19</v>
      </c>
      <c r="AG4376">
        <v>1</v>
      </c>
      <c r="AH4376">
        <v>2</v>
      </c>
      <c r="AI4376">
        <v>66.92</v>
      </c>
      <c r="AL4376" t="s">
        <v>5011</v>
      </c>
      <c r="AM4376">
        <v>14274</v>
      </c>
      <c r="AO4376" t="s">
        <v>24930</v>
      </c>
      <c r="AP4376" t="s">
        <v>24959</v>
      </c>
      <c r="AQ4376" t="s">
        <v>24986</v>
      </c>
      <c r="AR4376" t="s">
        <v>25101</v>
      </c>
      <c r="AS4376">
        <v>8.1</v>
      </c>
      <c r="AT4376" t="s">
        <v>592</v>
      </c>
      <c r="AU4376" t="s">
        <v>25268</v>
      </c>
      <c r="AV4376" t="s">
        <v>25334</v>
      </c>
      <c r="AW4376" t="s">
        <v>11447</v>
      </c>
    </row>
    <row r="4377" spans="1:49">
      <c r="A4377" s="1">
        <f>HYPERLINK("https://lsnyc.legalserver.org/matter/dynamic-profile/view/1908753","19-1908753")</f>
        <v>0</v>
      </c>
      <c r="B4377" t="s">
        <v>297</v>
      </c>
      <c r="C4377" t="s">
        <v>464</v>
      </c>
      <c r="E4377" t="s">
        <v>1218</v>
      </c>
      <c r="F4377" t="s">
        <v>5799</v>
      </c>
      <c r="G4377" t="s">
        <v>9614</v>
      </c>
      <c r="H4377" t="s">
        <v>10973</v>
      </c>
      <c r="I4377" t="s">
        <v>11383</v>
      </c>
      <c r="J4377">
        <v>10468</v>
      </c>
      <c r="K4377" t="s">
        <v>11446</v>
      </c>
      <c r="L4377" t="s">
        <v>13897</v>
      </c>
      <c r="M4377" t="s">
        <v>14744</v>
      </c>
      <c r="N4377" t="s">
        <v>14781</v>
      </c>
      <c r="P4377" t="s">
        <v>14805</v>
      </c>
      <c r="Q4377" t="s">
        <v>11448</v>
      </c>
      <c r="S4377" t="s">
        <v>14827</v>
      </c>
      <c r="T4377" t="s">
        <v>14832</v>
      </c>
      <c r="U4377" t="s">
        <v>602</v>
      </c>
      <c r="V4377">
        <v>276.76</v>
      </c>
      <c r="W4377" t="s">
        <v>14858</v>
      </c>
      <c r="X4377" t="s">
        <v>14865</v>
      </c>
      <c r="Z4377" t="s">
        <v>18521</v>
      </c>
      <c r="AB4377" t="s">
        <v>23646</v>
      </c>
      <c r="AC4377">
        <v>43</v>
      </c>
      <c r="AD4377" t="s">
        <v>24595</v>
      </c>
      <c r="AE4377" t="s">
        <v>24617</v>
      </c>
      <c r="AF4377">
        <v>4</v>
      </c>
      <c r="AG4377">
        <v>1</v>
      </c>
      <c r="AH4377">
        <v>0</v>
      </c>
      <c r="AI4377">
        <v>74.08</v>
      </c>
      <c r="AL4377" t="s">
        <v>5011</v>
      </c>
      <c r="AM4377">
        <v>9252</v>
      </c>
      <c r="AS4377">
        <v>10.15</v>
      </c>
      <c r="AT4377" t="s">
        <v>495</v>
      </c>
      <c r="AU4377" t="s">
        <v>237</v>
      </c>
      <c r="AV4377" t="s">
        <v>25335</v>
      </c>
      <c r="AW4377" t="s">
        <v>11447</v>
      </c>
    </row>
    <row r="4378" spans="1:49">
      <c r="A4378" s="1">
        <f>HYPERLINK("https://lsnyc.legalserver.org/matter/dynamic-profile/view/1908768","19-1908768")</f>
        <v>0</v>
      </c>
      <c r="B4378" t="s">
        <v>297</v>
      </c>
      <c r="C4378" t="s">
        <v>464</v>
      </c>
      <c r="E4378" t="s">
        <v>1228</v>
      </c>
      <c r="F4378" t="s">
        <v>3682</v>
      </c>
      <c r="G4378" t="s">
        <v>9468</v>
      </c>
      <c r="I4378" t="s">
        <v>11383</v>
      </c>
      <c r="J4378">
        <v>10462</v>
      </c>
      <c r="K4378" t="s">
        <v>11446</v>
      </c>
      <c r="L4378" t="s">
        <v>13898</v>
      </c>
      <c r="M4378" t="s">
        <v>14744</v>
      </c>
      <c r="N4378" t="s">
        <v>14781</v>
      </c>
      <c r="P4378" t="s">
        <v>14805</v>
      </c>
      <c r="Q4378" t="s">
        <v>11448</v>
      </c>
      <c r="S4378" t="s">
        <v>14827</v>
      </c>
      <c r="T4378" t="s">
        <v>14832</v>
      </c>
      <c r="U4378" t="s">
        <v>602</v>
      </c>
      <c r="V4378">
        <v>868.51</v>
      </c>
      <c r="W4378" t="s">
        <v>14858</v>
      </c>
      <c r="X4378" t="s">
        <v>14863</v>
      </c>
      <c r="Z4378" t="s">
        <v>17922</v>
      </c>
      <c r="AA4378">
        <v>9933753</v>
      </c>
      <c r="AB4378" t="s">
        <v>23647</v>
      </c>
      <c r="AC4378">
        <v>100</v>
      </c>
      <c r="AD4378" t="s">
        <v>24595</v>
      </c>
      <c r="AF4378">
        <v>12</v>
      </c>
      <c r="AG4378">
        <v>1</v>
      </c>
      <c r="AH4378">
        <v>2</v>
      </c>
      <c r="AI4378">
        <v>97.05</v>
      </c>
      <c r="AL4378" t="s">
        <v>5011</v>
      </c>
      <c r="AM4378">
        <v>20700</v>
      </c>
      <c r="AS4378">
        <v>7.35</v>
      </c>
      <c r="AT4378" t="s">
        <v>537</v>
      </c>
      <c r="AU4378" t="s">
        <v>237</v>
      </c>
      <c r="AV4378" t="s">
        <v>25335</v>
      </c>
      <c r="AW4378" t="s">
        <v>11447</v>
      </c>
    </row>
    <row r="4379" spans="1:49">
      <c r="A4379" s="1">
        <f>HYPERLINK("https://lsnyc.legalserver.org/matter/dynamic-profile/view/1910858","19-1910858")</f>
        <v>0</v>
      </c>
      <c r="B4379" t="s">
        <v>69</v>
      </c>
      <c r="C4379" t="s">
        <v>601</v>
      </c>
      <c r="E4379" t="s">
        <v>2367</v>
      </c>
      <c r="F4379" t="s">
        <v>5812</v>
      </c>
      <c r="G4379" t="s">
        <v>9615</v>
      </c>
      <c r="H4379" t="s">
        <v>11254</v>
      </c>
      <c r="I4379" t="s">
        <v>11383</v>
      </c>
      <c r="J4379">
        <v>10462</v>
      </c>
      <c r="K4379" t="s">
        <v>11446</v>
      </c>
      <c r="L4379" t="s">
        <v>13899</v>
      </c>
      <c r="M4379" t="s">
        <v>14744</v>
      </c>
      <c r="N4379" t="s">
        <v>14781</v>
      </c>
      <c r="P4379" t="s">
        <v>14805</v>
      </c>
      <c r="Q4379" t="s">
        <v>11448</v>
      </c>
      <c r="S4379" t="s">
        <v>14827</v>
      </c>
      <c r="T4379" t="s">
        <v>14832</v>
      </c>
      <c r="U4379" t="s">
        <v>601</v>
      </c>
      <c r="V4379">
        <v>1280.64</v>
      </c>
      <c r="W4379" t="s">
        <v>14858</v>
      </c>
      <c r="X4379" t="s">
        <v>14865</v>
      </c>
      <c r="Z4379" t="s">
        <v>18522</v>
      </c>
      <c r="AA4379" t="s">
        <v>19931</v>
      </c>
      <c r="AB4379" t="s">
        <v>23648</v>
      </c>
      <c r="AC4379">
        <v>3857</v>
      </c>
      <c r="AF4379">
        <v>20</v>
      </c>
      <c r="AG4379">
        <v>2</v>
      </c>
      <c r="AH4379">
        <v>3</v>
      </c>
      <c r="AI4379">
        <v>0</v>
      </c>
      <c r="AM4379">
        <v>0</v>
      </c>
      <c r="AO4379" t="s">
        <v>24930</v>
      </c>
      <c r="AP4379" t="s">
        <v>24943</v>
      </c>
      <c r="AS4379">
        <v>6.25</v>
      </c>
      <c r="AT4379" t="s">
        <v>491</v>
      </c>
      <c r="AU4379" t="s">
        <v>25239</v>
      </c>
      <c r="AV4379" t="s">
        <v>25335</v>
      </c>
      <c r="AW4379" t="s">
        <v>11447</v>
      </c>
    </row>
    <row r="4380" spans="1:49">
      <c r="A4380" s="1">
        <f>HYPERLINK("https://lsnyc.legalserver.org/matter/dynamic-profile/view/1906708","19-1906708")</f>
        <v>0</v>
      </c>
      <c r="B4380" t="s">
        <v>306</v>
      </c>
      <c r="C4380" t="s">
        <v>373</v>
      </c>
      <c r="E4380" t="s">
        <v>1206</v>
      </c>
      <c r="F4380" t="s">
        <v>3577</v>
      </c>
      <c r="G4380" t="s">
        <v>9616</v>
      </c>
      <c r="H4380">
        <v>2</v>
      </c>
      <c r="I4380" t="s">
        <v>11383</v>
      </c>
      <c r="J4380">
        <v>10457</v>
      </c>
      <c r="K4380" t="s">
        <v>11446</v>
      </c>
      <c r="L4380" t="s">
        <v>13900</v>
      </c>
      <c r="M4380" t="s">
        <v>14743</v>
      </c>
      <c r="N4380" t="s">
        <v>14781</v>
      </c>
      <c r="P4380" t="s">
        <v>14805</v>
      </c>
      <c r="Q4380" t="s">
        <v>11448</v>
      </c>
      <c r="S4380" t="s">
        <v>14827</v>
      </c>
      <c r="T4380" t="s">
        <v>14832</v>
      </c>
      <c r="U4380" t="s">
        <v>604</v>
      </c>
      <c r="V4380">
        <v>1980</v>
      </c>
      <c r="W4380" t="s">
        <v>14858</v>
      </c>
      <c r="X4380" t="s">
        <v>14865</v>
      </c>
      <c r="Z4380" t="s">
        <v>18523</v>
      </c>
      <c r="AA4380" t="s">
        <v>19932</v>
      </c>
      <c r="AB4380" t="s">
        <v>23649</v>
      </c>
      <c r="AC4380">
        <v>3</v>
      </c>
      <c r="AD4380" t="s">
        <v>24600</v>
      </c>
      <c r="AE4380" t="s">
        <v>24616</v>
      </c>
      <c r="AF4380">
        <v>1</v>
      </c>
      <c r="AG4380">
        <v>2</v>
      </c>
      <c r="AH4380">
        <v>3</v>
      </c>
      <c r="AI4380">
        <v>14.91</v>
      </c>
      <c r="AL4380" t="s">
        <v>5011</v>
      </c>
      <c r="AM4380">
        <v>4498</v>
      </c>
      <c r="AS4380">
        <v>46.3</v>
      </c>
      <c r="AT4380" t="s">
        <v>516</v>
      </c>
      <c r="AU4380" t="s">
        <v>145</v>
      </c>
      <c r="AV4380" t="s">
        <v>25335</v>
      </c>
      <c r="AW4380" t="s">
        <v>11447</v>
      </c>
    </row>
    <row r="4381" spans="1:49">
      <c r="A4381" s="1">
        <f>HYPERLINK("https://lsnyc.legalserver.org/matter/dynamic-profile/view/1908191","19-1908191")</f>
        <v>0</v>
      </c>
      <c r="B4381" t="s">
        <v>115</v>
      </c>
      <c r="C4381" t="s">
        <v>372</v>
      </c>
      <c r="E4381" t="s">
        <v>1753</v>
      </c>
      <c r="F4381" t="s">
        <v>5813</v>
      </c>
      <c r="G4381" t="s">
        <v>7787</v>
      </c>
      <c r="H4381" t="s">
        <v>10834</v>
      </c>
      <c r="I4381" t="s">
        <v>11383</v>
      </c>
      <c r="J4381">
        <v>10457</v>
      </c>
      <c r="K4381" t="s">
        <v>11446</v>
      </c>
      <c r="L4381" t="s">
        <v>13901</v>
      </c>
      <c r="M4381" t="s">
        <v>14743</v>
      </c>
      <c r="N4381" t="s">
        <v>14781</v>
      </c>
      <c r="P4381" t="s">
        <v>14805</v>
      </c>
      <c r="Q4381" t="s">
        <v>11448</v>
      </c>
      <c r="S4381" t="s">
        <v>14827</v>
      </c>
      <c r="T4381" t="s">
        <v>14832</v>
      </c>
      <c r="U4381" t="s">
        <v>604</v>
      </c>
      <c r="V4381">
        <v>1211</v>
      </c>
      <c r="W4381" t="s">
        <v>14858</v>
      </c>
      <c r="Z4381" t="s">
        <v>18524</v>
      </c>
      <c r="AB4381" t="s">
        <v>23650</v>
      </c>
      <c r="AC4381">
        <v>66</v>
      </c>
      <c r="AD4381" t="s">
        <v>24595</v>
      </c>
      <c r="AE4381" t="s">
        <v>24610</v>
      </c>
      <c r="AF4381">
        <v>22</v>
      </c>
      <c r="AG4381">
        <v>2</v>
      </c>
      <c r="AH4381">
        <v>0</v>
      </c>
      <c r="AI4381">
        <v>56.35</v>
      </c>
      <c r="AL4381" t="s">
        <v>5011</v>
      </c>
      <c r="AM4381">
        <v>9528</v>
      </c>
      <c r="AS4381">
        <v>5.5</v>
      </c>
      <c r="AT4381" t="s">
        <v>477</v>
      </c>
      <c r="AU4381" t="s">
        <v>145</v>
      </c>
      <c r="AV4381" t="s">
        <v>25335</v>
      </c>
      <c r="AW4381" t="s">
        <v>11447</v>
      </c>
    </row>
    <row r="4382" spans="1:49">
      <c r="A4382" s="1">
        <f>HYPERLINK("https://lsnyc.legalserver.org/matter/dynamic-profile/view/1910933","19-1910933")</f>
        <v>0</v>
      </c>
      <c r="B4382" t="s">
        <v>273</v>
      </c>
      <c r="C4382" t="s">
        <v>604</v>
      </c>
      <c r="E4382" t="s">
        <v>3115</v>
      </c>
      <c r="F4382" t="s">
        <v>3896</v>
      </c>
      <c r="G4382" t="s">
        <v>9512</v>
      </c>
      <c r="H4382">
        <v>406</v>
      </c>
      <c r="I4382" t="s">
        <v>11383</v>
      </c>
      <c r="J4382">
        <v>10457</v>
      </c>
      <c r="K4382" t="s">
        <v>11446</v>
      </c>
      <c r="L4382" t="s">
        <v>13902</v>
      </c>
      <c r="M4382" t="s">
        <v>14743</v>
      </c>
      <c r="N4382" t="s">
        <v>14781</v>
      </c>
      <c r="P4382" t="s">
        <v>14805</v>
      </c>
      <c r="Q4382" t="s">
        <v>11448</v>
      </c>
      <c r="S4382" t="s">
        <v>14827</v>
      </c>
      <c r="T4382" t="s">
        <v>14837</v>
      </c>
      <c r="U4382" t="s">
        <v>604</v>
      </c>
      <c r="V4382">
        <v>1053</v>
      </c>
      <c r="W4382" t="s">
        <v>14858</v>
      </c>
      <c r="X4382" t="s">
        <v>14868</v>
      </c>
      <c r="Z4382" t="s">
        <v>18419</v>
      </c>
      <c r="AB4382" t="s">
        <v>23539</v>
      </c>
      <c r="AC4382">
        <v>354</v>
      </c>
      <c r="AD4382" t="s">
        <v>24596</v>
      </c>
      <c r="AE4382" t="s">
        <v>24611</v>
      </c>
      <c r="AF4382">
        <v>9</v>
      </c>
      <c r="AG4382">
        <v>1</v>
      </c>
      <c r="AH4382">
        <v>0</v>
      </c>
      <c r="AI4382">
        <v>70.14</v>
      </c>
      <c r="AL4382" t="s">
        <v>5011</v>
      </c>
      <c r="AM4382">
        <v>8760</v>
      </c>
      <c r="AS4382">
        <v>4.5</v>
      </c>
      <c r="AT4382" t="s">
        <v>491</v>
      </c>
      <c r="AU4382" t="s">
        <v>25239</v>
      </c>
      <c r="AV4382" t="s">
        <v>25335</v>
      </c>
      <c r="AW4382" t="s">
        <v>11447</v>
      </c>
    </row>
    <row r="4383" spans="1:49">
      <c r="A4383" s="1">
        <f>HYPERLINK("https://lsnyc.legalserver.org/matter/dynamic-profile/view/1902019","19-1902019")</f>
        <v>0</v>
      </c>
      <c r="B4383" t="s">
        <v>60</v>
      </c>
      <c r="C4383" t="s">
        <v>349</v>
      </c>
      <c r="E4383" t="s">
        <v>3163</v>
      </c>
      <c r="F4383" t="s">
        <v>5110</v>
      </c>
      <c r="G4383" t="s">
        <v>9617</v>
      </c>
      <c r="H4383" t="s">
        <v>10509</v>
      </c>
      <c r="I4383" t="s">
        <v>11383</v>
      </c>
      <c r="J4383">
        <v>10468</v>
      </c>
      <c r="K4383" t="s">
        <v>11446</v>
      </c>
      <c r="L4383" t="s">
        <v>13903</v>
      </c>
      <c r="M4383" t="s">
        <v>14743</v>
      </c>
      <c r="N4383" t="s">
        <v>14781</v>
      </c>
      <c r="P4383" t="s">
        <v>14805</v>
      </c>
      <c r="Q4383" t="s">
        <v>11448</v>
      </c>
      <c r="S4383" t="s">
        <v>14827</v>
      </c>
      <c r="T4383" t="s">
        <v>14832</v>
      </c>
      <c r="U4383" t="s">
        <v>604</v>
      </c>
      <c r="V4383">
        <v>0</v>
      </c>
      <c r="W4383" t="s">
        <v>14858</v>
      </c>
      <c r="X4383" t="s">
        <v>14867</v>
      </c>
      <c r="Z4383" t="s">
        <v>18525</v>
      </c>
      <c r="AA4383" t="s">
        <v>19933</v>
      </c>
      <c r="AB4383" t="s">
        <v>23651</v>
      </c>
      <c r="AC4383">
        <v>25</v>
      </c>
      <c r="AD4383" t="s">
        <v>11479</v>
      </c>
      <c r="AE4383" t="s">
        <v>11459</v>
      </c>
      <c r="AF4383">
        <v>1</v>
      </c>
      <c r="AG4383">
        <v>1</v>
      </c>
      <c r="AH4383">
        <v>0</v>
      </c>
      <c r="AI4383">
        <v>76.86</v>
      </c>
      <c r="AL4383" t="s">
        <v>5011</v>
      </c>
      <c r="AM4383">
        <v>9600</v>
      </c>
      <c r="AS4383">
        <v>24.75</v>
      </c>
      <c r="AT4383" t="s">
        <v>654</v>
      </c>
      <c r="AU4383" t="s">
        <v>145</v>
      </c>
      <c r="AV4383" t="s">
        <v>25334</v>
      </c>
      <c r="AW4383" t="s">
        <v>11447</v>
      </c>
    </row>
    <row r="4384" spans="1:49">
      <c r="A4384" s="1">
        <f>HYPERLINK("https://lsnyc.legalserver.org/matter/dynamic-profile/view/1907125","19-1907125")</f>
        <v>0</v>
      </c>
      <c r="B4384" t="s">
        <v>80</v>
      </c>
      <c r="C4384" t="s">
        <v>379</v>
      </c>
      <c r="E4384" t="s">
        <v>1661</v>
      </c>
      <c r="F4384" t="s">
        <v>4487</v>
      </c>
      <c r="G4384" t="s">
        <v>9618</v>
      </c>
      <c r="H4384" t="s">
        <v>10450</v>
      </c>
      <c r="I4384" t="s">
        <v>11383</v>
      </c>
      <c r="J4384">
        <v>10457</v>
      </c>
      <c r="K4384" t="s">
        <v>11446</v>
      </c>
      <c r="L4384" t="s">
        <v>13904</v>
      </c>
      <c r="M4384" t="s">
        <v>14744</v>
      </c>
      <c r="N4384" t="s">
        <v>14781</v>
      </c>
      <c r="P4384" t="s">
        <v>14805</v>
      </c>
      <c r="Q4384" t="s">
        <v>11448</v>
      </c>
      <c r="S4384" t="s">
        <v>14827</v>
      </c>
      <c r="U4384" t="s">
        <v>604</v>
      </c>
      <c r="V4384">
        <v>0</v>
      </c>
      <c r="W4384" t="s">
        <v>14858</v>
      </c>
      <c r="Z4384" t="s">
        <v>18526</v>
      </c>
      <c r="AA4384" t="s">
        <v>19934</v>
      </c>
      <c r="AB4384" t="s">
        <v>23652</v>
      </c>
      <c r="AC4384">
        <v>33</v>
      </c>
      <c r="AD4384" t="s">
        <v>24595</v>
      </c>
      <c r="AF4384">
        <v>3</v>
      </c>
      <c r="AG4384">
        <v>1</v>
      </c>
      <c r="AH4384">
        <v>0</v>
      </c>
      <c r="AI4384">
        <v>104.08</v>
      </c>
      <c r="AL4384" t="s">
        <v>5011</v>
      </c>
      <c r="AM4384">
        <v>13000</v>
      </c>
      <c r="AS4384">
        <v>16</v>
      </c>
      <c r="AT4384" t="s">
        <v>506</v>
      </c>
      <c r="AU4384" t="s">
        <v>145</v>
      </c>
      <c r="AV4384" t="s">
        <v>25334</v>
      </c>
      <c r="AW4384" t="s">
        <v>11447</v>
      </c>
    </row>
    <row r="4385" spans="1:49">
      <c r="A4385" s="1">
        <f>HYPERLINK("https://lsnyc.legalserver.org/matter/dynamic-profile/view/1908051","19-1908051")</f>
        <v>0</v>
      </c>
      <c r="B4385" t="s">
        <v>82</v>
      </c>
      <c r="C4385" t="s">
        <v>455</v>
      </c>
      <c r="E4385" t="s">
        <v>1647</v>
      </c>
      <c r="F4385" t="s">
        <v>3738</v>
      </c>
      <c r="G4385" t="s">
        <v>9619</v>
      </c>
      <c r="H4385" t="s">
        <v>10474</v>
      </c>
      <c r="I4385" t="s">
        <v>11383</v>
      </c>
      <c r="J4385">
        <v>10468</v>
      </c>
      <c r="K4385" t="s">
        <v>11446</v>
      </c>
      <c r="L4385" t="s">
        <v>13905</v>
      </c>
      <c r="M4385" t="s">
        <v>14744</v>
      </c>
      <c r="N4385" t="s">
        <v>14781</v>
      </c>
      <c r="P4385" t="s">
        <v>14805</v>
      </c>
      <c r="Q4385" t="s">
        <v>11448</v>
      </c>
      <c r="S4385" t="s">
        <v>14827</v>
      </c>
      <c r="U4385" t="s">
        <v>604</v>
      </c>
      <c r="V4385">
        <v>1107.13</v>
      </c>
      <c r="W4385" t="s">
        <v>14858</v>
      </c>
      <c r="X4385" t="s">
        <v>14863</v>
      </c>
      <c r="Z4385" t="s">
        <v>18527</v>
      </c>
      <c r="AB4385" t="s">
        <v>23653</v>
      </c>
      <c r="AC4385">
        <v>58</v>
      </c>
      <c r="AD4385" t="s">
        <v>11479</v>
      </c>
      <c r="AE4385" t="s">
        <v>11459</v>
      </c>
      <c r="AF4385">
        <v>7</v>
      </c>
      <c r="AG4385">
        <v>2</v>
      </c>
      <c r="AH4385">
        <v>0</v>
      </c>
      <c r="AI4385">
        <v>126.85</v>
      </c>
      <c r="AL4385" t="s">
        <v>5011</v>
      </c>
      <c r="AM4385">
        <v>21450</v>
      </c>
      <c r="AS4385">
        <v>5.4</v>
      </c>
      <c r="AT4385" t="s">
        <v>574</v>
      </c>
      <c r="AU4385" t="s">
        <v>245</v>
      </c>
      <c r="AV4385" t="s">
        <v>25335</v>
      </c>
      <c r="AW4385" t="s">
        <v>11447</v>
      </c>
    </row>
    <row r="4386" spans="1:49">
      <c r="A4386" s="1">
        <f>HYPERLINK("https://lsnyc.legalserver.org/matter/dynamic-profile/view/1897685","19-1897685")</f>
        <v>0</v>
      </c>
      <c r="B4386" t="s">
        <v>49</v>
      </c>
      <c r="C4386" t="s">
        <v>529</v>
      </c>
      <c r="E4386" t="s">
        <v>1274</v>
      </c>
      <c r="F4386" t="s">
        <v>4172</v>
      </c>
      <c r="G4386" t="s">
        <v>9620</v>
      </c>
      <c r="H4386" t="s">
        <v>10589</v>
      </c>
      <c r="I4386" t="s">
        <v>11383</v>
      </c>
      <c r="J4386">
        <v>10467</v>
      </c>
      <c r="K4386" t="s">
        <v>11446</v>
      </c>
      <c r="L4386" t="s">
        <v>13906</v>
      </c>
      <c r="M4386" t="s">
        <v>14744</v>
      </c>
      <c r="N4386" t="s">
        <v>14781</v>
      </c>
      <c r="P4386" t="s">
        <v>14805</v>
      </c>
      <c r="Q4386" t="s">
        <v>11448</v>
      </c>
      <c r="S4386" t="s">
        <v>14827</v>
      </c>
      <c r="T4386" t="s">
        <v>14832</v>
      </c>
      <c r="U4386" t="s">
        <v>604</v>
      </c>
      <c r="V4386">
        <v>1650</v>
      </c>
      <c r="W4386" t="s">
        <v>14858</v>
      </c>
      <c r="X4386" t="s">
        <v>14865</v>
      </c>
      <c r="Z4386" t="s">
        <v>18528</v>
      </c>
      <c r="AB4386" t="s">
        <v>23654</v>
      </c>
      <c r="AC4386">
        <v>50</v>
      </c>
      <c r="AD4386" t="s">
        <v>11479</v>
      </c>
      <c r="AE4386" t="s">
        <v>11459</v>
      </c>
      <c r="AF4386">
        <v>1</v>
      </c>
      <c r="AG4386">
        <v>1</v>
      </c>
      <c r="AH4386">
        <v>2</v>
      </c>
      <c r="AI4386">
        <v>194.56</v>
      </c>
      <c r="AL4386" t="s">
        <v>5011</v>
      </c>
      <c r="AM4386">
        <v>41500</v>
      </c>
      <c r="AN4386" t="s">
        <v>24897</v>
      </c>
      <c r="AS4386">
        <v>10.25</v>
      </c>
      <c r="AT4386" t="s">
        <v>521</v>
      </c>
      <c r="AU4386" t="s">
        <v>94</v>
      </c>
      <c r="AV4386" t="s">
        <v>25335</v>
      </c>
      <c r="AW4386" t="s">
        <v>11446</v>
      </c>
    </row>
    <row r="4387" spans="1:49">
      <c r="A4387" s="1">
        <f>HYPERLINK("https://lsnyc.legalserver.org/matter/dynamic-profile/view/1909132","19-1909132")</f>
        <v>0</v>
      </c>
      <c r="B4387" t="s">
        <v>96</v>
      </c>
      <c r="C4387" t="s">
        <v>497</v>
      </c>
      <c r="E4387" t="s">
        <v>1855</v>
      </c>
      <c r="F4387" t="s">
        <v>3769</v>
      </c>
      <c r="G4387" t="s">
        <v>9621</v>
      </c>
      <c r="H4387" t="s">
        <v>10570</v>
      </c>
      <c r="I4387" t="s">
        <v>11383</v>
      </c>
      <c r="J4387">
        <v>10468</v>
      </c>
      <c r="K4387" t="s">
        <v>11446</v>
      </c>
      <c r="L4387" t="s">
        <v>13907</v>
      </c>
      <c r="M4387" t="s">
        <v>14744</v>
      </c>
      <c r="N4387" t="s">
        <v>14781</v>
      </c>
      <c r="P4387" t="s">
        <v>14805</v>
      </c>
      <c r="Q4387" t="s">
        <v>11448</v>
      </c>
      <c r="S4387" t="s">
        <v>14827</v>
      </c>
      <c r="T4387" t="s">
        <v>14832</v>
      </c>
      <c r="U4387" t="s">
        <v>604</v>
      </c>
      <c r="V4387">
        <v>1674.75</v>
      </c>
      <c r="W4387" t="s">
        <v>14858</v>
      </c>
      <c r="X4387" t="s">
        <v>14863</v>
      </c>
      <c r="Z4387" t="s">
        <v>18529</v>
      </c>
      <c r="AB4387" t="s">
        <v>23655</v>
      </c>
      <c r="AC4387">
        <v>41</v>
      </c>
      <c r="AD4387" t="s">
        <v>24595</v>
      </c>
      <c r="AE4387" t="s">
        <v>11459</v>
      </c>
      <c r="AF4387">
        <v>1</v>
      </c>
      <c r="AG4387">
        <v>3</v>
      </c>
      <c r="AH4387">
        <v>1</v>
      </c>
      <c r="AI4387">
        <v>213.59</v>
      </c>
      <c r="AJ4387" t="s">
        <v>645</v>
      </c>
      <c r="AK4387" t="s">
        <v>24629</v>
      </c>
      <c r="AL4387" t="s">
        <v>24632</v>
      </c>
      <c r="AM4387">
        <v>55000</v>
      </c>
      <c r="AN4387" t="s">
        <v>24898</v>
      </c>
      <c r="AS4387">
        <v>3</v>
      </c>
      <c r="AT4387" t="s">
        <v>491</v>
      </c>
      <c r="AU4387" t="s">
        <v>25268</v>
      </c>
      <c r="AV4387" t="s">
        <v>25335</v>
      </c>
      <c r="AW4387" t="s">
        <v>11447</v>
      </c>
    </row>
    <row r="4388" spans="1:49">
      <c r="A4388" s="1">
        <f>HYPERLINK("https://lsnyc.legalserver.org/matter/dynamic-profile/view/1911099","19-1911099")</f>
        <v>0</v>
      </c>
      <c r="B4388" t="s">
        <v>69</v>
      </c>
      <c r="C4388" t="s">
        <v>460</v>
      </c>
      <c r="E4388" t="s">
        <v>3164</v>
      </c>
      <c r="F4388" t="s">
        <v>5814</v>
      </c>
      <c r="G4388" t="s">
        <v>9622</v>
      </c>
      <c r="H4388">
        <v>3</v>
      </c>
      <c r="I4388" t="s">
        <v>11383</v>
      </c>
      <c r="J4388">
        <v>10467</v>
      </c>
      <c r="K4388" t="s">
        <v>11446</v>
      </c>
      <c r="L4388" t="s">
        <v>13908</v>
      </c>
      <c r="M4388" t="s">
        <v>14743</v>
      </c>
      <c r="N4388" t="s">
        <v>14781</v>
      </c>
      <c r="P4388" t="s">
        <v>14805</v>
      </c>
      <c r="Q4388" t="s">
        <v>11448</v>
      </c>
      <c r="S4388" t="s">
        <v>14827</v>
      </c>
      <c r="U4388" t="s">
        <v>460</v>
      </c>
      <c r="V4388">
        <v>1275</v>
      </c>
      <c r="W4388" t="s">
        <v>14858</v>
      </c>
      <c r="X4388" t="s">
        <v>14865</v>
      </c>
      <c r="Z4388" t="s">
        <v>18530</v>
      </c>
      <c r="AB4388" t="s">
        <v>23656</v>
      </c>
      <c r="AC4388">
        <v>2</v>
      </c>
      <c r="AD4388" t="s">
        <v>24600</v>
      </c>
      <c r="AE4388" t="s">
        <v>11459</v>
      </c>
      <c r="AF4388">
        <v>40</v>
      </c>
      <c r="AG4388">
        <v>3</v>
      </c>
      <c r="AH4388">
        <v>0</v>
      </c>
      <c r="AI4388">
        <v>42.19</v>
      </c>
      <c r="AL4388" t="s">
        <v>5011</v>
      </c>
      <c r="AM4388">
        <v>9000</v>
      </c>
      <c r="AS4388">
        <v>17.5</v>
      </c>
      <c r="AT4388" t="s">
        <v>495</v>
      </c>
      <c r="AU4388" t="s">
        <v>25239</v>
      </c>
      <c r="AV4388" t="s">
        <v>25335</v>
      </c>
      <c r="AW4388" t="s">
        <v>11447</v>
      </c>
    </row>
    <row r="4389" spans="1:49">
      <c r="A4389" s="1">
        <f>HYPERLINK("https://lsnyc.legalserver.org/matter/dynamic-profile/view/1908578","19-1908578")</f>
        <v>0</v>
      </c>
      <c r="B4389" t="s">
        <v>257</v>
      </c>
      <c r="C4389" t="s">
        <v>466</v>
      </c>
      <c r="E4389" t="s">
        <v>1610</v>
      </c>
      <c r="F4389" t="s">
        <v>4369</v>
      </c>
      <c r="G4389" t="s">
        <v>9623</v>
      </c>
      <c r="H4389" t="s">
        <v>10448</v>
      </c>
      <c r="I4389" t="s">
        <v>11383</v>
      </c>
      <c r="J4389">
        <v>10467</v>
      </c>
      <c r="K4389" t="s">
        <v>11446</v>
      </c>
      <c r="L4389" t="s">
        <v>13909</v>
      </c>
      <c r="M4389" t="s">
        <v>14744</v>
      </c>
      <c r="N4389" t="s">
        <v>14781</v>
      </c>
      <c r="P4389" t="s">
        <v>14805</v>
      </c>
      <c r="Q4389" t="s">
        <v>11448</v>
      </c>
      <c r="S4389" t="s">
        <v>14827</v>
      </c>
      <c r="T4389" t="s">
        <v>14833</v>
      </c>
      <c r="U4389" t="s">
        <v>460</v>
      </c>
      <c r="V4389">
        <v>1450</v>
      </c>
      <c r="W4389" t="s">
        <v>14858</v>
      </c>
      <c r="X4389" t="s">
        <v>14873</v>
      </c>
      <c r="Z4389" t="s">
        <v>18531</v>
      </c>
      <c r="AB4389" t="s">
        <v>23657</v>
      </c>
      <c r="AC4389">
        <v>28</v>
      </c>
      <c r="AD4389" t="s">
        <v>24595</v>
      </c>
      <c r="AE4389" t="s">
        <v>11459</v>
      </c>
      <c r="AF4389">
        <v>16</v>
      </c>
      <c r="AG4389">
        <v>2</v>
      </c>
      <c r="AH4389">
        <v>1</v>
      </c>
      <c r="AI4389">
        <v>109.7</v>
      </c>
      <c r="AL4389" t="s">
        <v>5011</v>
      </c>
      <c r="AM4389">
        <v>23400</v>
      </c>
      <c r="AS4389">
        <v>7.8</v>
      </c>
      <c r="AT4389" t="s">
        <v>654</v>
      </c>
      <c r="AU4389" t="s">
        <v>25252</v>
      </c>
      <c r="AV4389" t="s">
        <v>25335</v>
      </c>
      <c r="AW4389" t="s">
        <v>11447</v>
      </c>
    </row>
    <row r="4390" spans="1:49">
      <c r="A4390" s="1">
        <f>HYPERLINK("https://lsnyc.legalserver.org/matter/dynamic-profile/view/1910744","19-1910744")</f>
        <v>0</v>
      </c>
      <c r="B4390" t="s">
        <v>52</v>
      </c>
      <c r="C4390" t="s">
        <v>663</v>
      </c>
      <c r="E4390" t="s">
        <v>1069</v>
      </c>
      <c r="F4390" t="s">
        <v>1172</v>
      </c>
      <c r="G4390" t="s">
        <v>9424</v>
      </c>
      <c r="H4390" t="s">
        <v>10581</v>
      </c>
      <c r="I4390" t="s">
        <v>11383</v>
      </c>
      <c r="J4390">
        <v>10457</v>
      </c>
      <c r="K4390" t="s">
        <v>11446</v>
      </c>
      <c r="L4390" t="s">
        <v>13910</v>
      </c>
      <c r="M4390" t="s">
        <v>14744</v>
      </c>
      <c r="N4390" t="s">
        <v>14781</v>
      </c>
      <c r="P4390" t="s">
        <v>14805</v>
      </c>
      <c r="Q4390" t="s">
        <v>11448</v>
      </c>
      <c r="S4390" t="s">
        <v>14827</v>
      </c>
      <c r="T4390" t="s">
        <v>14832</v>
      </c>
      <c r="U4390" t="s">
        <v>475</v>
      </c>
      <c r="V4390">
        <v>799.5</v>
      </c>
      <c r="W4390" t="s">
        <v>14858</v>
      </c>
      <c r="Z4390" t="s">
        <v>18532</v>
      </c>
      <c r="AB4390" t="s">
        <v>23658</v>
      </c>
      <c r="AC4390">
        <v>47</v>
      </c>
      <c r="AD4390" t="s">
        <v>24606</v>
      </c>
      <c r="AF4390">
        <v>25</v>
      </c>
      <c r="AG4390">
        <v>1</v>
      </c>
      <c r="AH4390">
        <v>0</v>
      </c>
      <c r="AI4390">
        <v>18.73</v>
      </c>
      <c r="AL4390" t="s">
        <v>5011</v>
      </c>
      <c r="AM4390">
        <v>2340</v>
      </c>
      <c r="AS4390">
        <v>10.5</v>
      </c>
      <c r="AT4390" t="s">
        <v>491</v>
      </c>
      <c r="AU4390" t="s">
        <v>145</v>
      </c>
      <c r="AV4390" t="s">
        <v>25335</v>
      </c>
      <c r="AW4390" t="s">
        <v>11447</v>
      </c>
    </row>
    <row r="4391" spans="1:49">
      <c r="A4391" s="1">
        <f>HYPERLINK("https://lsnyc.legalserver.org/matter/dynamic-profile/view/1910520","19-1910520")</f>
        <v>0</v>
      </c>
      <c r="B4391" t="s">
        <v>112</v>
      </c>
      <c r="C4391" t="s">
        <v>602</v>
      </c>
      <c r="E4391" t="s">
        <v>3165</v>
      </c>
      <c r="F4391" t="s">
        <v>3683</v>
      </c>
      <c r="G4391" t="s">
        <v>9492</v>
      </c>
      <c r="H4391" t="s">
        <v>10569</v>
      </c>
      <c r="I4391" t="s">
        <v>11383</v>
      </c>
      <c r="J4391">
        <v>10457</v>
      </c>
      <c r="K4391" t="s">
        <v>11446</v>
      </c>
      <c r="L4391" t="s">
        <v>13911</v>
      </c>
      <c r="M4391" t="s">
        <v>14744</v>
      </c>
      <c r="N4391" t="s">
        <v>14781</v>
      </c>
      <c r="P4391" t="s">
        <v>14805</v>
      </c>
      <c r="Q4391" t="s">
        <v>11448</v>
      </c>
      <c r="S4391" t="s">
        <v>14827</v>
      </c>
      <c r="U4391" t="s">
        <v>475</v>
      </c>
      <c r="V4391">
        <v>1001</v>
      </c>
      <c r="W4391" t="s">
        <v>14858</v>
      </c>
      <c r="X4391" t="s">
        <v>14873</v>
      </c>
      <c r="Z4391" t="s">
        <v>18533</v>
      </c>
      <c r="AB4391" t="s">
        <v>23659</v>
      </c>
      <c r="AC4391">
        <v>75</v>
      </c>
      <c r="AF4391">
        <v>12</v>
      </c>
      <c r="AG4391">
        <v>2</v>
      </c>
      <c r="AH4391">
        <v>0</v>
      </c>
      <c r="AI4391">
        <v>99.34999999999999</v>
      </c>
      <c r="AL4391" t="s">
        <v>24632</v>
      </c>
      <c r="AM4391">
        <v>16800</v>
      </c>
      <c r="AS4391">
        <v>3.55</v>
      </c>
      <c r="AT4391" t="s">
        <v>490</v>
      </c>
      <c r="AU4391" t="s">
        <v>25311</v>
      </c>
      <c r="AV4391" t="s">
        <v>25335</v>
      </c>
      <c r="AW4391" t="s">
        <v>11447</v>
      </c>
    </row>
    <row r="4392" spans="1:49">
      <c r="A4392" s="1">
        <f>HYPERLINK("https://lsnyc.legalserver.org/matter/dynamic-profile/view/1905320","19-1905320")</f>
        <v>0</v>
      </c>
      <c r="B4392" t="s">
        <v>143</v>
      </c>
      <c r="C4392" t="s">
        <v>480</v>
      </c>
      <c r="E4392" t="s">
        <v>1125</v>
      </c>
      <c r="F4392" t="s">
        <v>3898</v>
      </c>
      <c r="G4392" t="s">
        <v>9624</v>
      </c>
      <c r="H4392" t="s">
        <v>10787</v>
      </c>
      <c r="I4392" t="s">
        <v>11383</v>
      </c>
      <c r="J4392">
        <v>10467</v>
      </c>
      <c r="K4392" t="s">
        <v>11446</v>
      </c>
      <c r="L4392" t="s">
        <v>13912</v>
      </c>
      <c r="M4392" t="s">
        <v>14744</v>
      </c>
      <c r="N4392" t="s">
        <v>14781</v>
      </c>
      <c r="P4392" t="s">
        <v>14805</v>
      </c>
      <c r="Q4392" t="s">
        <v>11448</v>
      </c>
      <c r="S4392" t="s">
        <v>14827</v>
      </c>
      <c r="U4392" t="s">
        <v>511</v>
      </c>
      <c r="V4392">
        <v>1201.06</v>
      </c>
      <c r="W4392" t="s">
        <v>14858</v>
      </c>
      <c r="Z4392" t="s">
        <v>18224</v>
      </c>
      <c r="AC4392">
        <v>54</v>
      </c>
      <c r="AF4392">
        <v>26</v>
      </c>
      <c r="AG4392">
        <v>2</v>
      </c>
      <c r="AH4392">
        <v>0</v>
      </c>
      <c r="AI4392">
        <v>131.21</v>
      </c>
      <c r="AL4392" t="s">
        <v>5011</v>
      </c>
      <c r="AM4392">
        <v>22188</v>
      </c>
      <c r="AS4392">
        <v>3.1</v>
      </c>
      <c r="AT4392" t="s">
        <v>478</v>
      </c>
      <c r="AU4392" t="s">
        <v>145</v>
      </c>
      <c r="AV4392" t="s">
        <v>25335</v>
      </c>
      <c r="AW4392" t="s">
        <v>11447</v>
      </c>
    </row>
    <row r="4393" spans="1:49">
      <c r="A4393" s="1">
        <f>HYPERLINK("https://lsnyc.legalserver.org/matter/dynamic-profile/view/1911311","19-1911311")</f>
        <v>0</v>
      </c>
      <c r="B4393" t="s">
        <v>82</v>
      </c>
      <c r="C4393" t="s">
        <v>511</v>
      </c>
      <c r="E4393" t="s">
        <v>2629</v>
      </c>
      <c r="F4393" t="s">
        <v>4088</v>
      </c>
      <c r="G4393" t="s">
        <v>9625</v>
      </c>
      <c r="H4393" t="s">
        <v>10478</v>
      </c>
      <c r="I4393" t="s">
        <v>11383</v>
      </c>
      <c r="J4393">
        <v>10468</v>
      </c>
      <c r="K4393" t="s">
        <v>11446</v>
      </c>
      <c r="L4393" t="s">
        <v>13913</v>
      </c>
      <c r="M4393" t="s">
        <v>14744</v>
      </c>
      <c r="N4393" t="s">
        <v>14781</v>
      </c>
      <c r="P4393" t="s">
        <v>14805</v>
      </c>
      <c r="Q4393" t="s">
        <v>11448</v>
      </c>
      <c r="S4393" t="s">
        <v>14827</v>
      </c>
      <c r="U4393" t="s">
        <v>511</v>
      </c>
      <c r="V4393">
        <v>0</v>
      </c>
      <c r="W4393" t="s">
        <v>14858</v>
      </c>
      <c r="X4393" t="s">
        <v>14863</v>
      </c>
      <c r="Z4393" t="s">
        <v>18534</v>
      </c>
      <c r="AC4393">
        <v>0</v>
      </c>
      <c r="AD4393" t="s">
        <v>11479</v>
      </c>
      <c r="AE4393" t="s">
        <v>11459</v>
      </c>
      <c r="AF4393">
        <v>18</v>
      </c>
      <c r="AG4393">
        <v>2</v>
      </c>
      <c r="AH4393">
        <v>0</v>
      </c>
      <c r="AI4393">
        <v>184.51</v>
      </c>
      <c r="AL4393" t="s">
        <v>24632</v>
      </c>
      <c r="AM4393">
        <v>31200</v>
      </c>
      <c r="AS4393">
        <v>2.5</v>
      </c>
      <c r="AT4393" t="s">
        <v>476</v>
      </c>
      <c r="AU4393" t="s">
        <v>25242</v>
      </c>
      <c r="AV4393" t="s">
        <v>25335</v>
      </c>
      <c r="AW4393" t="s">
        <v>11447</v>
      </c>
    </row>
    <row r="4394" spans="1:49">
      <c r="A4394" s="1">
        <f>HYPERLINK("https://lsnyc.legalserver.org/matter/dynamic-profile/view/1911319","19-1911319")</f>
        <v>0</v>
      </c>
      <c r="B4394" t="s">
        <v>257</v>
      </c>
      <c r="C4394" t="s">
        <v>467</v>
      </c>
      <c r="E4394" t="s">
        <v>2003</v>
      </c>
      <c r="F4394" t="s">
        <v>3716</v>
      </c>
      <c r="G4394" t="s">
        <v>9626</v>
      </c>
      <c r="H4394" t="s">
        <v>10450</v>
      </c>
      <c r="I4394" t="s">
        <v>11383</v>
      </c>
      <c r="J4394">
        <v>10462</v>
      </c>
      <c r="K4394" t="s">
        <v>11446</v>
      </c>
      <c r="L4394" t="s">
        <v>13914</v>
      </c>
      <c r="M4394" t="s">
        <v>14744</v>
      </c>
      <c r="N4394" t="s">
        <v>14781</v>
      </c>
      <c r="P4394" t="s">
        <v>14805</v>
      </c>
      <c r="Q4394" t="s">
        <v>11448</v>
      </c>
      <c r="S4394" t="s">
        <v>14827</v>
      </c>
      <c r="T4394" t="s">
        <v>14837</v>
      </c>
      <c r="U4394" t="s">
        <v>467</v>
      </c>
      <c r="V4394">
        <v>1287.75</v>
      </c>
      <c r="W4394" t="s">
        <v>14858</v>
      </c>
      <c r="X4394" t="s">
        <v>14873</v>
      </c>
      <c r="Z4394" t="s">
        <v>18535</v>
      </c>
      <c r="AA4394" t="s">
        <v>19935</v>
      </c>
      <c r="AB4394" t="s">
        <v>23660</v>
      </c>
      <c r="AC4394">
        <v>53</v>
      </c>
      <c r="AD4394" t="s">
        <v>11479</v>
      </c>
      <c r="AE4394" t="s">
        <v>11459</v>
      </c>
      <c r="AF4394">
        <v>8</v>
      </c>
      <c r="AG4394">
        <v>1</v>
      </c>
      <c r="AH4394">
        <v>3</v>
      </c>
      <c r="AI4394">
        <v>35.93</v>
      </c>
      <c r="AL4394" t="s">
        <v>5011</v>
      </c>
      <c r="AM4394">
        <v>9252</v>
      </c>
      <c r="AS4394">
        <v>5.3</v>
      </c>
      <c r="AT4394" t="s">
        <v>654</v>
      </c>
      <c r="AU4394" t="s">
        <v>25252</v>
      </c>
      <c r="AV4394" t="s">
        <v>25334</v>
      </c>
      <c r="AW4394" t="s">
        <v>11447</v>
      </c>
    </row>
    <row r="4395" spans="1:49">
      <c r="A4395" s="1">
        <f>HYPERLINK("https://lsnyc.legalserver.org/matter/dynamic-profile/view/1911391","19-1911391")</f>
        <v>0</v>
      </c>
      <c r="B4395" t="s">
        <v>142</v>
      </c>
      <c r="C4395" t="s">
        <v>467</v>
      </c>
      <c r="E4395" t="s">
        <v>3166</v>
      </c>
      <c r="F4395" t="s">
        <v>5815</v>
      </c>
      <c r="G4395" t="s">
        <v>9627</v>
      </c>
      <c r="H4395" t="s">
        <v>10510</v>
      </c>
      <c r="I4395" t="s">
        <v>11383</v>
      </c>
      <c r="J4395">
        <v>10467</v>
      </c>
      <c r="K4395" t="s">
        <v>11446</v>
      </c>
      <c r="L4395" t="s">
        <v>13915</v>
      </c>
      <c r="M4395" t="s">
        <v>14744</v>
      </c>
      <c r="N4395" t="s">
        <v>14781</v>
      </c>
      <c r="P4395" t="s">
        <v>14805</v>
      </c>
      <c r="Q4395" t="s">
        <v>11448</v>
      </c>
      <c r="S4395" t="s">
        <v>14827</v>
      </c>
      <c r="T4395" t="s">
        <v>14836</v>
      </c>
      <c r="U4395" t="s">
        <v>467</v>
      </c>
      <c r="V4395">
        <v>1351.02</v>
      </c>
      <c r="W4395" t="s">
        <v>14858</v>
      </c>
      <c r="X4395" t="s">
        <v>14867</v>
      </c>
      <c r="Z4395" t="s">
        <v>18536</v>
      </c>
      <c r="AA4395" t="s">
        <v>19936</v>
      </c>
      <c r="AB4395" t="s">
        <v>23661</v>
      </c>
      <c r="AC4395">
        <v>61</v>
      </c>
      <c r="AD4395" t="s">
        <v>24595</v>
      </c>
      <c r="AE4395" t="s">
        <v>24615</v>
      </c>
      <c r="AF4395">
        <v>8</v>
      </c>
      <c r="AG4395">
        <v>1</v>
      </c>
      <c r="AH4395">
        <v>3</v>
      </c>
      <c r="AI4395">
        <v>38.4</v>
      </c>
      <c r="AL4395" t="s">
        <v>5011</v>
      </c>
      <c r="AM4395">
        <v>9888</v>
      </c>
      <c r="AS4395">
        <v>42.6</v>
      </c>
      <c r="AT4395" t="s">
        <v>533</v>
      </c>
      <c r="AU4395" t="s">
        <v>145</v>
      </c>
      <c r="AV4395" t="s">
        <v>25334</v>
      </c>
      <c r="AW4395" t="s">
        <v>11447</v>
      </c>
    </row>
    <row r="4396" spans="1:49">
      <c r="A4396" s="1">
        <f>HYPERLINK("https://lsnyc.legalserver.org/matter/dynamic-profile/view/1911442","19-1911442")</f>
        <v>0</v>
      </c>
      <c r="B4396" t="s">
        <v>241</v>
      </c>
      <c r="C4396" t="s">
        <v>467</v>
      </c>
      <c r="E4396" t="s">
        <v>1753</v>
      </c>
      <c r="F4396" t="s">
        <v>4227</v>
      </c>
      <c r="G4396" t="s">
        <v>9628</v>
      </c>
      <c r="I4396" t="s">
        <v>11383</v>
      </c>
      <c r="J4396">
        <v>10468</v>
      </c>
      <c r="K4396" t="s">
        <v>11446</v>
      </c>
      <c r="L4396" t="s">
        <v>13916</v>
      </c>
      <c r="M4396" t="s">
        <v>14744</v>
      </c>
      <c r="N4396" t="s">
        <v>14781</v>
      </c>
      <c r="P4396" t="s">
        <v>14805</v>
      </c>
      <c r="Q4396" t="s">
        <v>11448</v>
      </c>
      <c r="S4396" t="s">
        <v>14827</v>
      </c>
      <c r="T4396" t="s">
        <v>14832</v>
      </c>
      <c r="U4396" t="s">
        <v>467</v>
      </c>
      <c r="V4396">
        <v>1028.48</v>
      </c>
      <c r="W4396" t="s">
        <v>14858</v>
      </c>
      <c r="X4396" t="s">
        <v>14865</v>
      </c>
      <c r="Z4396" t="s">
        <v>18537</v>
      </c>
      <c r="AA4396" t="s">
        <v>19937</v>
      </c>
      <c r="AB4396" t="s">
        <v>23662</v>
      </c>
      <c r="AC4396">
        <v>0</v>
      </c>
      <c r="AD4396" t="s">
        <v>24595</v>
      </c>
      <c r="AE4396" t="s">
        <v>24616</v>
      </c>
      <c r="AF4396">
        <v>13</v>
      </c>
      <c r="AG4396">
        <v>3</v>
      </c>
      <c r="AH4396">
        <v>0</v>
      </c>
      <c r="AI4396">
        <v>39.01</v>
      </c>
      <c r="AL4396" t="s">
        <v>24632</v>
      </c>
      <c r="AM4396">
        <v>8320</v>
      </c>
      <c r="AS4396">
        <v>41.35</v>
      </c>
      <c r="AT4396" t="s">
        <v>509</v>
      </c>
      <c r="AU4396" t="s">
        <v>145</v>
      </c>
      <c r="AV4396" t="s">
        <v>25334</v>
      </c>
      <c r="AW4396" t="s">
        <v>11447</v>
      </c>
    </row>
    <row r="4397" spans="1:49">
      <c r="A4397" s="1">
        <f>HYPERLINK("https://lsnyc.legalserver.org/matter/dynamic-profile/view/1911349","19-1911349")</f>
        <v>0</v>
      </c>
      <c r="B4397" t="s">
        <v>305</v>
      </c>
      <c r="C4397" t="s">
        <v>467</v>
      </c>
      <c r="E4397" t="s">
        <v>3167</v>
      </c>
      <c r="F4397" t="s">
        <v>5091</v>
      </c>
      <c r="G4397" t="s">
        <v>9629</v>
      </c>
      <c r="H4397" t="s">
        <v>10523</v>
      </c>
      <c r="I4397" t="s">
        <v>11383</v>
      </c>
      <c r="J4397">
        <v>10457</v>
      </c>
      <c r="K4397" t="s">
        <v>11446</v>
      </c>
      <c r="L4397" t="s">
        <v>13917</v>
      </c>
      <c r="M4397" t="s">
        <v>14744</v>
      </c>
      <c r="N4397" t="s">
        <v>14781</v>
      </c>
      <c r="P4397" t="s">
        <v>14805</v>
      </c>
      <c r="Q4397" t="s">
        <v>11446</v>
      </c>
      <c r="S4397" t="s">
        <v>14827</v>
      </c>
      <c r="U4397" t="s">
        <v>467</v>
      </c>
      <c r="V4397">
        <v>152</v>
      </c>
      <c r="W4397" t="s">
        <v>14858</v>
      </c>
      <c r="X4397" t="s">
        <v>14873</v>
      </c>
      <c r="Z4397" t="s">
        <v>18538</v>
      </c>
      <c r="AB4397" t="s">
        <v>23663</v>
      </c>
      <c r="AC4397">
        <v>100</v>
      </c>
      <c r="AE4397" t="s">
        <v>24610</v>
      </c>
      <c r="AF4397">
        <v>16</v>
      </c>
      <c r="AG4397">
        <v>1</v>
      </c>
      <c r="AH4397">
        <v>0</v>
      </c>
      <c r="AI4397">
        <v>72.06</v>
      </c>
      <c r="AK4397" t="s">
        <v>24629</v>
      </c>
      <c r="AL4397" t="s">
        <v>24632</v>
      </c>
      <c r="AM4397">
        <v>9000</v>
      </c>
      <c r="AS4397">
        <v>28.95</v>
      </c>
      <c r="AT4397" t="s">
        <v>509</v>
      </c>
      <c r="AU4397" t="s">
        <v>25311</v>
      </c>
      <c r="AV4397" t="s">
        <v>25335</v>
      </c>
      <c r="AW4397" t="s">
        <v>11447</v>
      </c>
    </row>
    <row r="4398" spans="1:49">
      <c r="A4398" s="1">
        <f>HYPERLINK("https://lsnyc.legalserver.org/matter/dynamic-profile/view/1911331","19-1911331")</f>
        <v>0</v>
      </c>
      <c r="B4398" t="s">
        <v>257</v>
      </c>
      <c r="C4398" t="s">
        <v>467</v>
      </c>
      <c r="E4398" t="s">
        <v>2929</v>
      </c>
      <c r="F4398" t="s">
        <v>1296</v>
      </c>
      <c r="G4398" t="s">
        <v>6787</v>
      </c>
      <c r="H4398">
        <v>1008</v>
      </c>
      <c r="I4398" t="s">
        <v>11383</v>
      </c>
      <c r="J4398">
        <v>10457</v>
      </c>
      <c r="K4398" t="s">
        <v>11446</v>
      </c>
      <c r="L4398" t="s">
        <v>13918</v>
      </c>
      <c r="M4398" t="s">
        <v>14743</v>
      </c>
      <c r="N4398" t="s">
        <v>14781</v>
      </c>
      <c r="P4398" t="s">
        <v>14805</v>
      </c>
      <c r="Q4398" t="s">
        <v>11448</v>
      </c>
      <c r="S4398" t="s">
        <v>14827</v>
      </c>
      <c r="T4398" t="s">
        <v>14833</v>
      </c>
      <c r="U4398" t="s">
        <v>467</v>
      </c>
      <c r="V4398">
        <v>1943</v>
      </c>
      <c r="W4398" t="s">
        <v>14858</v>
      </c>
      <c r="X4398" t="s">
        <v>14873</v>
      </c>
      <c r="Z4398" t="s">
        <v>18539</v>
      </c>
      <c r="AA4398" t="s">
        <v>19938</v>
      </c>
      <c r="AB4398" t="s">
        <v>23664</v>
      </c>
      <c r="AC4398">
        <v>99</v>
      </c>
      <c r="AD4398" t="s">
        <v>24601</v>
      </c>
      <c r="AE4398" t="s">
        <v>24610</v>
      </c>
      <c r="AF4398">
        <v>12</v>
      </c>
      <c r="AG4398">
        <v>1</v>
      </c>
      <c r="AH4398">
        <v>0</v>
      </c>
      <c r="AI4398">
        <v>84.36</v>
      </c>
      <c r="AL4398" t="s">
        <v>5011</v>
      </c>
      <c r="AM4398">
        <v>10536</v>
      </c>
      <c r="AS4398">
        <v>6</v>
      </c>
      <c r="AT4398" t="s">
        <v>580</v>
      </c>
      <c r="AU4398" t="s">
        <v>25252</v>
      </c>
      <c r="AV4398" t="s">
        <v>25334</v>
      </c>
      <c r="AW4398" t="s">
        <v>11447</v>
      </c>
    </row>
    <row r="4399" spans="1:49">
      <c r="A4399" s="1">
        <f>HYPERLINK("https://lsnyc.legalserver.org/matter/dynamic-profile/view/1911359","19-1911359")</f>
        <v>0</v>
      </c>
      <c r="B4399" t="s">
        <v>257</v>
      </c>
      <c r="C4399" t="s">
        <v>467</v>
      </c>
      <c r="E4399" t="s">
        <v>3168</v>
      </c>
      <c r="F4399" t="s">
        <v>3623</v>
      </c>
      <c r="G4399" t="s">
        <v>9630</v>
      </c>
      <c r="H4399" t="s">
        <v>10611</v>
      </c>
      <c r="I4399" t="s">
        <v>11383</v>
      </c>
      <c r="J4399">
        <v>10457</v>
      </c>
      <c r="K4399" t="s">
        <v>11446</v>
      </c>
      <c r="L4399" t="s">
        <v>13919</v>
      </c>
      <c r="M4399" t="s">
        <v>14744</v>
      </c>
      <c r="N4399" t="s">
        <v>14781</v>
      </c>
      <c r="P4399" t="s">
        <v>14805</v>
      </c>
      <c r="Q4399" t="s">
        <v>11448</v>
      </c>
      <c r="S4399" t="s">
        <v>14827</v>
      </c>
      <c r="U4399" t="s">
        <v>467</v>
      </c>
      <c r="V4399">
        <v>1009</v>
      </c>
      <c r="W4399" t="s">
        <v>14858</v>
      </c>
      <c r="X4399" t="s">
        <v>14865</v>
      </c>
      <c r="Z4399" t="s">
        <v>18540</v>
      </c>
      <c r="AB4399" t="s">
        <v>23665</v>
      </c>
      <c r="AC4399">
        <v>92</v>
      </c>
      <c r="AD4399" t="s">
        <v>11479</v>
      </c>
      <c r="AE4399" t="s">
        <v>11459</v>
      </c>
      <c r="AF4399">
        <v>7</v>
      </c>
      <c r="AG4399">
        <v>2</v>
      </c>
      <c r="AH4399">
        <v>1</v>
      </c>
      <c r="AI4399">
        <v>112.52</v>
      </c>
      <c r="AL4399" t="s">
        <v>24632</v>
      </c>
      <c r="AM4399">
        <v>24000</v>
      </c>
      <c r="AS4399">
        <v>4.8</v>
      </c>
      <c r="AT4399" t="s">
        <v>491</v>
      </c>
      <c r="AU4399" t="s">
        <v>25252</v>
      </c>
      <c r="AV4399" t="s">
        <v>25335</v>
      </c>
      <c r="AW4399" t="s">
        <v>11447</v>
      </c>
    </row>
    <row r="4400" spans="1:49">
      <c r="A4400" s="1">
        <f>HYPERLINK("https://lsnyc.legalserver.org/matter/dynamic-profile/view/1909189","19-1909189")</f>
        <v>0</v>
      </c>
      <c r="B4400" t="s">
        <v>80</v>
      </c>
      <c r="C4400" t="s">
        <v>462</v>
      </c>
      <c r="E4400" t="s">
        <v>1114</v>
      </c>
      <c r="F4400" t="s">
        <v>5816</v>
      </c>
      <c r="G4400" t="s">
        <v>9512</v>
      </c>
      <c r="H4400">
        <v>529</v>
      </c>
      <c r="I4400" t="s">
        <v>11383</v>
      </c>
      <c r="J4400">
        <v>10457</v>
      </c>
      <c r="K4400" t="s">
        <v>11446</v>
      </c>
      <c r="L4400" t="s">
        <v>13920</v>
      </c>
      <c r="M4400" t="s">
        <v>14744</v>
      </c>
      <c r="N4400" t="s">
        <v>14781</v>
      </c>
      <c r="P4400" t="s">
        <v>14805</v>
      </c>
      <c r="Q4400" t="s">
        <v>11448</v>
      </c>
      <c r="S4400" t="s">
        <v>14827</v>
      </c>
      <c r="U4400" t="s">
        <v>486</v>
      </c>
      <c r="V4400">
        <v>1400</v>
      </c>
      <c r="W4400" t="s">
        <v>14858</v>
      </c>
      <c r="Z4400" t="s">
        <v>18541</v>
      </c>
      <c r="AA4400" t="s">
        <v>19939</v>
      </c>
      <c r="AB4400" t="s">
        <v>23666</v>
      </c>
      <c r="AC4400">
        <v>100</v>
      </c>
      <c r="AD4400" t="s">
        <v>24596</v>
      </c>
      <c r="AF4400">
        <v>14</v>
      </c>
      <c r="AG4400">
        <v>1</v>
      </c>
      <c r="AH4400">
        <v>0</v>
      </c>
      <c r="AI4400">
        <v>66.68000000000001</v>
      </c>
      <c r="AL4400" t="s">
        <v>5011</v>
      </c>
      <c r="AM4400">
        <v>8328</v>
      </c>
      <c r="AS4400">
        <v>4</v>
      </c>
      <c r="AT4400" t="s">
        <v>486</v>
      </c>
      <c r="AU4400" t="s">
        <v>25232</v>
      </c>
      <c r="AV4400" t="s">
        <v>25334</v>
      </c>
      <c r="AW4400" t="s">
        <v>11447</v>
      </c>
    </row>
    <row r="4401" spans="1:49">
      <c r="A4401" s="1">
        <f>HYPERLINK("https://lsnyc.legalserver.org/matter/dynamic-profile/view/1911722","19-1911722")</f>
        <v>0</v>
      </c>
      <c r="B4401" t="s">
        <v>201</v>
      </c>
      <c r="C4401" t="s">
        <v>505</v>
      </c>
      <c r="E4401" t="s">
        <v>1548</v>
      </c>
      <c r="F4401" t="s">
        <v>5370</v>
      </c>
      <c r="G4401" t="s">
        <v>9631</v>
      </c>
      <c r="H4401" t="s">
        <v>10552</v>
      </c>
      <c r="I4401" t="s">
        <v>11383</v>
      </c>
      <c r="J4401">
        <v>10468</v>
      </c>
      <c r="K4401" t="s">
        <v>11446</v>
      </c>
      <c r="L4401" t="s">
        <v>13921</v>
      </c>
      <c r="M4401" t="s">
        <v>14744</v>
      </c>
      <c r="N4401" t="s">
        <v>14781</v>
      </c>
      <c r="P4401" t="s">
        <v>14805</v>
      </c>
      <c r="Q4401" t="s">
        <v>11448</v>
      </c>
      <c r="S4401" t="s">
        <v>14827</v>
      </c>
      <c r="T4401" t="s">
        <v>14832</v>
      </c>
      <c r="U4401" t="s">
        <v>505</v>
      </c>
      <c r="V4401">
        <v>874.3200000000001</v>
      </c>
      <c r="W4401" t="s">
        <v>14858</v>
      </c>
      <c r="X4401" t="s">
        <v>14863</v>
      </c>
      <c r="Z4401" t="s">
        <v>18542</v>
      </c>
      <c r="AB4401" t="s">
        <v>23667</v>
      </c>
      <c r="AC4401">
        <v>36</v>
      </c>
      <c r="AD4401" t="s">
        <v>24595</v>
      </c>
      <c r="AE4401" t="s">
        <v>24613</v>
      </c>
      <c r="AF4401">
        <v>29</v>
      </c>
      <c r="AG4401">
        <v>1</v>
      </c>
      <c r="AH4401">
        <v>0</v>
      </c>
      <c r="AI4401">
        <v>108.18</v>
      </c>
      <c r="AL4401" t="s">
        <v>5011</v>
      </c>
      <c r="AM4401">
        <v>13512</v>
      </c>
      <c r="AS4401">
        <v>11.4</v>
      </c>
      <c r="AT4401" t="s">
        <v>509</v>
      </c>
      <c r="AU4401" t="s">
        <v>25242</v>
      </c>
      <c r="AV4401" t="s">
        <v>25335</v>
      </c>
      <c r="AW4401" t="s">
        <v>11447</v>
      </c>
    </row>
    <row r="4402" spans="1:49">
      <c r="A4402" s="1">
        <f>HYPERLINK("https://lsnyc.legalserver.org/matter/dynamic-profile/view/1909169","19-1909169")</f>
        <v>0</v>
      </c>
      <c r="B4402" t="s">
        <v>80</v>
      </c>
      <c r="C4402" t="s">
        <v>462</v>
      </c>
      <c r="E4402" t="s">
        <v>1209</v>
      </c>
      <c r="F4402" t="s">
        <v>5570</v>
      </c>
      <c r="G4402" t="s">
        <v>9632</v>
      </c>
      <c r="H4402" t="s">
        <v>10541</v>
      </c>
      <c r="I4402" t="s">
        <v>11383</v>
      </c>
      <c r="J4402">
        <v>10468</v>
      </c>
      <c r="K4402" t="s">
        <v>11446</v>
      </c>
      <c r="L4402" t="s">
        <v>13922</v>
      </c>
      <c r="M4402" t="s">
        <v>14744</v>
      </c>
      <c r="N4402" t="s">
        <v>14781</v>
      </c>
      <c r="P4402" t="s">
        <v>14805</v>
      </c>
      <c r="Q4402" t="s">
        <v>11448</v>
      </c>
      <c r="S4402" t="s">
        <v>14827</v>
      </c>
      <c r="U4402" t="s">
        <v>645</v>
      </c>
      <c r="V4402">
        <v>936.36</v>
      </c>
      <c r="W4402" t="s">
        <v>14858</v>
      </c>
      <c r="Z4402" t="s">
        <v>18543</v>
      </c>
      <c r="AA4402" t="s">
        <v>19940</v>
      </c>
      <c r="AB4402" t="s">
        <v>23668</v>
      </c>
      <c r="AC4402">
        <v>0</v>
      </c>
      <c r="AD4402" t="s">
        <v>24595</v>
      </c>
      <c r="AF4402">
        <v>6</v>
      </c>
      <c r="AG4402">
        <v>1</v>
      </c>
      <c r="AH4402">
        <v>2</v>
      </c>
      <c r="AI4402">
        <v>0</v>
      </c>
      <c r="AL4402" t="s">
        <v>5011</v>
      </c>
      <c r="AM4402">
        <v>0</v>
      </c>
      <c r="AS4402">
        <v>5</v>
      </c>
      <c r="AT4402" t="s">
        <v>574</v>
      </c>
      <c r="AU4402" t="s">
        <v>25232</v>
      </c>
      <c r="AV4402" t="s">
        <v>25334</v>
      </c>
      <c r="AW4402" t="s">
        <v>11447</v>
      </c>
    </row>
    <row r="4403" spans="1:49">
      <c r="A4403" s="1">
        <f>HYPERLINK("https://lsnyc.legalserver.org/matter/dynamic-profile/view/1908123","19-1908123")</f>
        <v>0</v>
      </c>
      <c r="B4403" t="s">
        <v>300</v>
      </c>
      <c r="C4403" t="s">
        <v>372</v>
      </c>
      <c r="E4403" t="s">
        <v>2498</v>
      </c>
      <c r="F4403" t="s">
        <v>3857</v>
      </c>
      <c r="G4403" t="s">
        <v>9633</v>
      </c>
      <c r="H4403" t="s">
        <v>10451</v>
      </c>
      <c r="I4403" t="s">
        <v>11383</v>
      </c>
      <c r="J4403">
        <v>10457</v>
      </c>
      <c r="K4403" t="s">
        <v>11446</v>
      </c>
      <c r="L4403" t="s">
        <v>13923</v>
      </c>
      <c r="M4403" t="s">
        <v>14744</v>
      </c>
      <c r="N4403" t="s">
        <v>14781</v>
      </c>
      <c r="P4403" t="s">
        <v>14805</v>
      </c>
      <c r="Q4403" t="s">
        <v>11446</v>
      </c>
      <c r="S4403" t="s">
        <v>14827</v>
      </c>
      <c r="T4403" t="s">
        <v>14833</v>
      </c>
      <c r="U4403" t="s">
        <v>645</v>
      </c>
      <c r="V4403">
        <v>710.54</v>
      </c>
      <c r="W4403" t="s">
        <v>14858</v>
      </c>
      <c r="X4403" t="s">
        <v>14873</v>
      </c>
      <c r="Z4403" t="s">
        <v>18544</v>
      </c>
      <c r="AB4403" t="s">
        <v>23669</v>
      </c>
      <c r="AC4403">
        <v>39</v>
      </c>
      <c r="AD4403" t="s">
        <v>11479</v>
      </c>
      <c r="AF4403">
        <v>29</v>
      </c>
      <c r="AG4403">
        <v>2</v>
      </c>
      <c r="AH4403">
        <v>2</v>
      </c>
      <c r="AI4403">
        <v>15.65</v>
      </c>
      <c r="AL4403" t="s">
        <v>5011</v>
      </c>
      <c r="AM4403">
        <v>4030</v>
      </c>
      <c r="AS4403">
        <v>6.5</v>
      </c>
      <c r="AT4403" t="s">
        <v>592</v>
      </c>
      <c r="AU4403" t="s">
        <v>25311</v>
      </c>
      <c r="AV4403" t="s">
        <v>25335</v>
      </c>
      <c r="AW4403" t="s">
        <v>11447</v>
      </c>
    </row>
    <row r="4404" spans="1:49">
      <c r="A4404" s="1">
        <f>HYPERLINK("https://lsnyc.legalserver.org/matter/dynamic-profile/view/1911255","19-1911255")</f>
        <v>0</v>
      </c>
      <c r="B4404" t="s">
        <v>303</v>
      </c>
      <c r="C4404" t="s">
        <v>511</v>
      </c>
      <c r="E4404" t="s">
        <v>1495</v>
      </c>
      <c r="F4404" t="s">
        <v>3675</v>
      </c>
      <c r="G4404" t="s">
        <v>9634</v>
      </c>
      <c r="H4404">
        <v>437</v>
      </c>
      <c r="I4404" t="s">
        <v>11383</v>
      </c>
      <c r="J4404">
        <v>10462</v>
      </c>
      <c r="K4404" t="s">
        <v>11446</v>
      </c>
      <c r="L4404" t="s">
        <v>13924</v>
      </c>
      <c r="M4404" t="s">
        <v>14744</v>
      </c>
      <c r="N4404" t="s">
        <v>14781</v>
      </c>
      <c r="P4404" t="s">
        <v>14805</v>
      </c>
      <c r="Q4404" t="s">
        <v>11448</v>
      </c>
      <c r="S4404" t="s">
        <v>14827</v>
      </c>
      <c r="U4404" t="s">
        <v>645</v>
      </c>
      <c r="V4404">
        <v>1461.7</v>
      </c>
      <c r="W4404" t="s">
        <v>14858</v>
      </c>
      <c r="X4404" t="s">
        <v>14873</v>
      </c>
      <c r="Z4404" t="s">
        <v>18545</v>
      </c>
      <c r="AB4404" t="s">
        <v>23670</v>
      </c>
      <c r="AC4404">
        <v>187</v>
      </c>
      <c r="AD4404" t="s">
        <v>11479</v>
      </c>
      <c r="AE4404" t="s">
        <v>11459</v>
      </c>
      <c r="AF4404">
        <v>3</v>
      </c>
      <c r="AG4404">
        <v>2</v>
      </c>
      <c r="AH4404">
        <v>2</v>
      </c>
      <c r="AI4404">
        <v>87.61</v>
      </c>
      <c r="AL4404" t="s">
        <v>5011</v>
      </c>
      <c r="AM4404">
        <v>22560</v>
      </c>
      <c r="AS4404">
        <v>20.9</v>
      </c>
      <c r="AT4404" t="s">
        <v>521</v>
      </c>
      <c r="AU4404" t="s">
        <v>25252</v>
      </c>
      <c r="AV4404" t="s">
        <v>25335</v>
      </c>
      <c r="AW4404" t="s">
        <v>11447</v>
      </c>
    </row>
    <row r="4405" spans="1:49">
      <c r="A4405" s="1">
        <f>HYPERLINK("https://lsnyc.legalserver.org/matter/dynamic-profile/view/1909872","19-1909872")</f>
        <v>0</v>
      </c>
      <c r="B4405" t="s">
        <v>201</v>
      </c>
      <c r="C4405" t="s">
        <v>412</v>
      </c>
      <c r="E4405" t="s">
        <v>1540</v>
      </c>
      <c r="F4405" t="s">
        <v>4801</v>
      </c>
      <c r="G4405" t="s">
        <v>9635</v>
      </c>
      <c r="H4405" t="s">
        <v>10467</v>
      </c>
      <c r="I4405" t="s">
        <v>11383</v>
      </c>
      <c r="J4405">
        <v>10457</v>
      </c>
      <c r="K4405" t="s">
        <v>11446</v>
      </c>
      <c r="L4405" t="s">
        <v>13925</v>
      </c>
      <c r="M4405" t="s">
        <v>14743</v>
      </c>
      <c r="N4405" t="s">
        <v>14781</v>
      </c>
      <c r="P4405" t="s">
        <v>14805</v>
      </c>
      <c r="Q4405" t="s">
        <v>11448</v>
      </c>
      <c r="S4405" t="s">
        <v>14827</v>
      </c>
      <c r="T4405" t="s">
        <v>14832</v>
      </c>
      <c r="U4405" t="s">
        <v>645</v>
      </c>
      <c r="V4405">
        <v>1089.27</v>
      </c>
      <c r="W4405" t="s">
        <v>14858</v>
      </c>
      <c r="X4405" t="s">
        <v>14865</v>
      </c>
      <c r="Z4405" t="s">
        <v>15462</v>
      </c>
      <c r="AB4405" t="s">
        <v>23671</v>
      </c>
      <c r="AC4405">
        <v>54</v>
      </c>
      <c r="AD4405" t="s">
        <v>24595</v>
      </c>
      <c r="AE4405" t="s">
        <v>11459</v>
      </c>
      <c r="AF4405">
        <v>13</v>
      </c>
      <c r="AG4405">
        <v>2</v>
      </c>
      <c r="AH4405">
        <v>0</v>
      </c>
      <c r="AI4405">
        <v>205.8</v>
      </c>
      <c r="AJ4405" t="s">
        <v>645</v>
      </c>
      <c r="AK4405" t="s">
        <v>24629</v>
      </c>
      <c r="AL4405" t="s">
        <v>5011</v>
      </c>
      <c r="AM4405">
        <v>34800</v>
      </c>
      <c r="AS4405">
        <v>31.6</v>
      </c>
      <c r="AT4405" t="s">
        <v>592</v>
      </c>
      <c r="AU4405" t="s">
        <v>237</v>
      </c>
      <c r="AV4405" t="s">
        <v>25335</v>
      </c>
      <c r="AW4405" t="s">
        <v>11447</v>
      </c>
    </row>
    <row r="4406" spans="1:49">
      <c r="A4406" s="1">
        <f>HYPERLINK("https://lsnyc.legalserver.org/matter/dynamic-profile/view/1908515","19-1908515")</f>
        <v>0</v>
      </c>
      <c r="B4406" t="s">
        <v>298</v>
      </c>
      <c r="C4406" t="s">
        <v>466</v>
      </c>
      <c r="E4406" t="s">
        <v>1047</v>
      </c>
      <c r="F4406" t="s">
        <v>5817</v>
      </c>
      <c r="G4406" t="s">
        <v>9636</v>
      </c>
      <c r="H4406">
        <v>1</v>
      </c>
      <c r="I4406" t="s">
        <v>11383</v>
      </c>
      <c r="J4406">
        <v>10467</v>
      </c>
      <c r="K4406" t="s">
        <v>11446</v>
      </c>
      <c r="L4406" t="s">
        <v>13926</v>
      </c>
      <c r="M4406" t="s">
        <v>14743</v>
      </c>
      <c r="N4406" t="s">
        <v>14781</v>
      </c>
      <c r="P4406" t="s">
        <v>14805</v>
      </c>
      <c r="Q4406" t="s">
        <v>11448</v>
      </c>
      <c r="S4406" t="s">
        <v>14827</v>
      </c>
      <c r="U4406" t="s">
        <v>645</v>
      </c>
      <c r="V4406">
        <v>1500</v>
      </c>
      <c r="W4406" t="s">
        <v>14858</v>
      </c>
      <c r="X4406" t="s">
        <v>14873</v>
      </c>
      <c r="Z4406" t="s">
        <v>15882</v>
      </c>
      <c r="AB4406" t="s">
        <v>23672</v>
      </c>
      <c r="AC4406">
        <v>2</v>
      </c>
      <c r="AD4406" t="s">
        <v>24600</v>
      </c>
      <c r="AF4406">
        <v>16</v>
      </c>
      <c r="AG4406">
        <v>3</v>
      </c>
      <c r="AH4406">
        <v>0</v>
      </c>
      <c r="AI4406">
        <v>225.04</v>
      </c>
      <c r="AJ4406" t="s">
        <v>645</v>
      </c>
      <c r="AK4406" t="s">
        <v>24629</v>
      </c>
      <c r="AL4406" t="s">
        <v>5011</v>
      </c>
      <c r="AM4406">
        <v>48000</v>
      </c>
      <c r="AN4406" t="s">
        <v>24898</v>
      </c>
      <c r="AS4406">
        <v>4.8</v>
      </c>
      <c r="AT4406" t="s">
        <v>460</v>
      </c>
      <c r="AU4406" t="s">
        <v>25252</v>
      </c>
      <c r="AV4406" t="s">
        <v>25335</v>
      </c>
      <c r="AW4406" t="s">
        <v>11447</v>
      </c>
    </row>
    <row r="4407" spans="1:49">
      <c r="A4407" s="1">
        <f>HYPERLINK("https://lsnyc.legalserver.org/matter/dynamic-profile/view/1910399","19-1910399")</f>
        <v>0</v>
      </c>
      <c r="B4407" t="s">
        <v>111</v>
      </c>
      <c r="C4407" t="s">
        <v>508</v>
      </c>
      <c r="E4407" t="s">
        <v>1982</v>
      </c>
      <c r="F4407" t="s">
        <v>5818</v>
      </c>
      <c r="G4407" t="s">
        <v>9637</v>
      </c>
      <c r="H4407" t="s">
        <v>11255</v>
      </c>
      <c r="I4407" t="s">
        <v>11383</v>
      </c>
      <c r="J4407">
        <v>10462</v>
      </c>
      <c r="K4407" t="s">
        <v>11446</v>
      </c>
      <c r="L4407" t="s">
        <v>13927</v>
      </c>
      <c r="M4407" t="s">
        <v>14744</v>
      </c>
      <c r="N4407" t="s">
        <v>14781</v>
      </c>
      <c r="P4407" t="s">
        <v>14805</v>
      </c>
      <c r="Q4407" t="s">
        <v>11448</v>
      </c>
      <c r="S4407" t="s">
        <v>14827</v>
      </c>
      <c r="U4407" t="s">
        <v>645</v>
      </c>
      <c r="V4407">
        <v>1010.35</v>
      </c>
      <c r="W4407" t="s">
        <v>14858</v>
      </c>
      <c r="X4407" t="s">
        <v>14863</v>
      </c>
      <c r="Z4407" t="s">
        <v>18546</v>
      </c>
      <c r="AB4407" t="s">
        <v>23673</v>
      </c>
      <c r="AC4407">
        <v>105</v>
      </c>
      <c r="AD4407" t="s">
        <v>24595</v>
      </c>
      <c r="AE4407" t="s">
        <v>11459</v>
      </c>
      <c r="AF4407">
        <v>6</v>
      </c>
      <c r="AG4407">
        <v>3</v>
      </c>
      <c r="AH4407">
        <v>0</v>
      </c>
      <c r="AI4407">
        <v>260.67</v>
      </c>
      <c r="AJ4407" t="s">
        <v>645</v>
      </c>
      <c r="AK4407" t="s">
        <v>24629</v>
      </c>
      <c r="AL4407" t="s">
        <v>5011</v>
      </c>
      <c r="AM4407">
        <v>55600</v>
      </c>
      <c r="AN4407" t="s">
        <v>24898</v>
      </c>
      <c r="AS4407">
        <v>4.3</v>
      </c>
      <c r="AT4407" t="s">
        <v>467</v>
      </c>
      <c r="AU4407" t="s">
        <v>25242</v>
      </c>
      <c r="AV4407" t="s">
        <v>25335</v>
      </c>
      <c r="AW4407" t="s">
        <v>11447</v>
      </c>
    </row>
    <row r="4408" spans="1:49">
      <c r="A4408" s="1">
        <f>HYPERLINK("https://lsnyc.legalserver.org/matter/dynamic-profile/view/1908859","19-1908859")</f>
        <v>0</v>
      </c>
      <c r="B4408" t="s">
        <v>111</v>
      </c>
      <c r="C4408" t="s">
        <v>585</v>
      </c>
      <c r="E4408" t="s">
        <v>1331</v>
      </c>
      <c r="F4408" t="s">
        <v>3746</v>
      </c>
      <c r="G4408" t="s">
        <v>9638</v>
      </c>
      <c r="H4408" t="s">
        <v>11256</v>
      </c>
      <c r="I4408" t="s">
        <v>11383</v>
      </c>
      <c r="J4408">
        <v>10467</v>
      </c>
      <c r="K4408" t="s">
        <v>11446</v>
      </c>
      <c r="L4408" t="s">
        <v>13928</v>
      </c>
      <c r="M4408" t="s">
        <v>14744</v>
      </c>
      <c r="N4408" t="s">
        <v>14781</v>
      </c>
      <c r="P4408" t="s">
        <v>14805</v>
      </c>
      <c r="Q4408" t="s">
        <v>11448</v>
      </c>
      <c r="S4408" t="s">
        <v>14827</v>
      </c>
      <c r="U4408" t="s">
        <v>645</v>
      </c>
      <c r="V4408">
        <v>1033</v>
      </c>
      <c r="W4408" t="s">
        <v>14858</v>
      </c>
      <c r="X4408" t="s">
        <v>14863</v>
      </c>
      <c r="Z4408" t="s">
        <v>18547</v>
      </c>
      <c r="AC4408">
        <v>152</v>
      </c>
      <c r="AD4408" t="s">
        <v>11479</v>
      </c>
      <c r="AE4408" t="s">
        <v>11459</v>
      </c>
      <c r="AF4408">
        <v>8</v>
      </c>
      <c r="AG4408">
        <v>2</v>
      </c>
      <c r="AH4408">
        <v>2</v>
      </c>
      <c r="AI4408">
        <v>282.72</v>
      </c>
      <c r="AJ4408" t="s">
        <v>645</v>
      </c>
      <c r="AK4408" t="s">
        <v>24629</v>
      </c>
      <c r="AM4408">
        <v>72800</v>
      </c>
      <c r="AN4408" t="s">
        <v>24898</v>
      </c>
      <c r="AS4408">
        <v>12.05</v>
      </c>
      <c r="AT4408" t="s">
        <v>516</v>
      </c>
      <c r="AU4408" t="s">
        <v>25242</v>
      </c>
      <c r="AV4408" t="s">
        <v>25335</v>
      </c>
      <c r="AW4408" t="s">
        <v>11447</v>
      </c>
    </row>
    <row r="4409" spans="1:49">
      <c r="A4409" s="1">
        <f>HYPERLINK("https://lsnyc.legalserver.org/matter/dynamic-profile/view/1908186","19-1908186")</f>
        <v>0</v>
      </c>
      <c r="B4409" t="s">
        <v>298</v>
      </c>
      <c r="C4409" t="s">
        <v>372</v>
      </c>
      <c r="E4409" t="s">
        <v>3169</v>
      </c>
      <c r="F4409" t="s">
        <v>3730</v>
      </c>
      <c r="G4409" t="s">
        <v>9639</v>
      </c>
      <c r="H4409" t="s">
        <v>11257</v>
      </c>
      <c r="I4409" t="s">
        <v>11383</v>
      </c>
      <c r="J4409">
        <v>10462</v>
      </c>
      <c r="K4409" t="s">
        <v>11446</v>
      </c>
      <c r="L4409" t="s">
        <v>13929</v>
      </c>
      <c r="M4409" t="s">
        <v>14744</v>
      </c>
      <c r="N4409" t="s">
        <v>14781</v>
      </c>
      <c r="P4409" t="s">
        <v>14805</v>
      </c>
      <c r="Q4409" t="s">
        <v>11448</v>
      </c>
      <c r="S4409" t="s">
        <v>14827</v>
      </c>
      <c r="U4409" t="s">
        <v>645</v>
      </c>
      <c r="V4409">
        <v>875.63</v>
      </c>
      <c r="W4409" t="s">
        <v>14858</v>
      </c>
      <c r="Z4409" t="s">
        <v>18548</v>
      </c>
      <c r="AB4409" t="s">
        <v>23674</v>
      </c>
      <c r="AC4409">
        <v>79</v>
      </c>
      <c r="AD4409" t="s">
        <v>24595</v>
      </c>
      <c r="AF4409">
        <v>10</v>
      </c>
      <c r="AG4409">
        <v>1</v>
      </c>
      <c r="AH4409">
        <v>0</v>
      </c>
      <c r="AI4409">
        <v>415</v>
      </c>
      <c r="AJ4409" t="s">
        <v>645</v>
      </c>
      <c r="AK4409" t="s">
        <v>24629</v>
      </c>
      <c r="AL4409" t="s">
        <v>5011</v>
      </c>
      <c r="AM4409">
        <v>51833</v>
      </c>
      <c r="AN4409" t="s">
        <v>24898</v>
      </c>
      <c r="AS4409">
        <v>9.5</v>
      </c>
      <c r="AT4409" t="s">
        <v>506</v>
      </c>
      <c r="AU4409" t="s">
        <v>145</v>
      </c>
      <c r="AV4409" t="s">
        <v>25335</v>
      </c>
      <c r="AW4409" t="s">
        <v>11447</v>
      </c>
    </row>
    <row r="4410" spans="1:49">
      <c r="A4410" s="1">
        <f>HYPERLINK("https://lsnyc.legalserver.org/matter/dynamic-profile/view/1908262","19-1908262")</f>
        <v>0</v>
      </c>
      <c r="B4410" t="s">
        <v>299</v>
      </c>
      <c r="C4410" t="s">
        <v>524</v>
      </c>
      <c r="E4410" t="s">
        <v>3170</v>
      </c>
      <c r="F4410" t="s">
        <v>5819</v>
      </c>
      <c r="G4410" t="s">
        <v>9567</v>
      </c>
      <c r="H4410" t="s">
        <v>11169</v>
      </c>
      <c r="I4410" t="s">
        <v>11383</v>
      </c>
      <c r="J4410">
        <v>10457</v>
      </c>
      <c r="K4410" t="s">
        <v>11446</v>
      </c>
      <c r="L4410" t="s">
        <v>13930</v>
      </c>
      <c r="M4410" t="s">
        <v>14743</v>
      </c>
      <c r="N4410" t="s">
        <v>14781</v>
      </c>
      <c r="P4410" t="s">
        <v>14805</v>
      </c>
      <c r="Q4410" t="s">
        <v>11448</v>
      </c>
      <c r="S4410" t="s">
        <v>14827</v>
      </c>
      <c r="T4410" t="s">
        <v>14833</v>
      </c>
      <c r="U4410" t="s">
        <v>586</v>
      </c>
      <c r="V4410">
        <v>582</v>
      </c>
      <c r="W4410" t="s">
        <v>14858</v>
      </c>
      <c r="Z4410" t="s">
        <v>18549</v>
      </c>
      <c r="AB4410" t="s">
        <v>23675</v>
      </c>
      <c r="AC4410">
        <v>166</v>
      </c>
      <c r="AD4410" t="s">
        <v>24604</v>
      </c>
      <c r="AE4410" t="s">
        <v>24610</v>
      </c>
      <c r="AF4410">
        <v>13</v>
      </c>
      <c r="AG4410">
        <v>1</v>
      </c>
      <c r="AH4410">
        <v>2</v>
      </c>
      <c r="AI4410">
        <v>67.04000000000001</v>
      </c>
      <c r="AL4410" t="s">
        <v>24663</v>
      </c>
      <c r="AM4410">
        <v>14300</v>
      </c>
      <c r="AS4410">
        <v>8.5</v>
      </c>
      <c r="AT4410" t="s">
        <v>521</v>
      </c>
      <c r="AU4410" t="s">
        <v>237</v>
      </c>
      <c r="AV4410" t="s">
        <v>25335</v>
      </c>
      <c r="AW4410" t="s">
        <v>11447</v>
      </c>
    </row>
    <row r="4411" spans="1:49">
      <c r="A4411" s="1">
        <f>HYPERLINK("https://lsnyc.legalserver.org/matter/dynamic-profile/view/1912203","19-1912203")</f>
        <v>0</v>
      </c>
      <c r="B4411" t="s">
        <v>97</v>
      </c>
      <c r="C4411" t="s">
        <v>586</v>
      </c>
      <c r="E4411" t="s">
        <v>3171</v>
      </c>
      <c r="F4411" t="s">
        <v>4038</v>
      </c>
      <c r="G4411" t="s">
        <v>9640</v>
      </c>
      <c r="H4411" t="s">
        <v>10547</v>
      </c>
      <c r="I4411" t="s">
        <v>11383</v>
      </c>
      <c r="J4411">
        <v>10467</v>
      </c>
      <c r="K4411" t="s">
        <v>11446</v>
      </c>
      <c r="L4411" t="s">
        <v>13931</v>
      </c>
      <c r="M4411" t="s">
        <v>14744</v>
      </c>
      <c r="N4411" t="s">
        <v>14781</v>
      </c>
      <c r="P4411" t="s">
        <v>14805</v>
      </c>
      <c r="Q4411" t="s">
        <v>11448</v>
      </c>
      <c r="S4411" t="s">
        <v>14827</v>
      </c>
      <c r="U4411" t="s">
        <v>586</v>
      </c>
      <c r="V4411">
        <v>1087</v>
      </c>
      <c r="W4411" t="s">
        <v>14858</v>
      </c>
      <c r="X4411" t="s">
        <v>14871</v>
      </c>
      <c r="Z4411" t="s">
        <v>18550</v>
      </c>
      <c r="AA4411" t="s">
        <v>19941</v>
      </c>
      <c r="AB4411" t="s">
        <v>23676</v>
      </c>
      <c r="AC4411">
        <v>30</v>
      </c>
      <c r="AD4411" t="s">
        <v>24595</v>
      </c>
      <c r="AE4411" t="s">
        <v>11459</v>
      </c>
      <c r="AF4411">
        <v>8</v>
      </c>
      <c r="AG4411">
        <v>4</v>
      </c>
      <c r="AH4411">
        <v>0</v>
      </c>
      <c r="AI4411">
        <v>73.95999999999999</v>
      </c>
      <c r="AL4411" t="s">
        <v>24632</v>
      </c>
      <c r="AM4411">
        <v>19044</v>
      </c>
      <c r="AS4411">
        <v>10.7</v>
      </c>
      <c r="AT4411" t="s">
        <v>537</v>
      </c>
      <c r="AU4411" t="s">
        <v>25268</v>
      </c>
      <c r="AV4411" t="s">
        <v>25334</v>
      </c>
      <c r="AW4411" t="s">
        <v>11447</v>
      </c>
    </row>
    <row r="4412" spans="1:49">
      <c r="A4412" s="1">
        <f>HYPERLINK("https://lsnyc.legalserver.org/matter/dynamic-profile/view/1910415","19-1910415")</f>
        <v>0</v>
      </c>
      <c r="B4412" t="s">
        <v>134</v>
      </c>
      <c r="C4412" t="s">
        <v>508</v>
      </c>
      <c r="E4412" t="s">
        <v>3172</v>
      </c>
      <c r="F4412" t="s">
        <v>5820</v>
      </c>
      <c r="G4412" t="s">
        <v>9602</v>
      </c>
      <c r="H4412" t="s">
        <v>10524</v>
      </c>
      <c r="I4412" t="s">
        <v>11383</v>
      </c>
      <c r="J4412">
        <v>10457</v>
      </c>
      <c r="K4412" t="s">
        <v>11446</v>
      </c>
      <c r="L4412" t="s">
        <v>13932</v>
      </c>
      <c r="M4412" t="s">
        <v>14744</v>
      </c>
      <c r="N4412" t="s">
        <v>14781</v>
      </c>
      <c r="P4412" t="s">
        <v>14805</v>
      </c>
      <c r="Q4412" t="s">
        <v>11448</v>
      </c>
      <c r="S4412" t="s">
        <v>14827</v>
      </c>
      <c r="U4412" t="s">
        <v>586</v>
      </c>
      <c r="V4412">
        <v>1268</v>
      </c>
      <c r="W4412" t="s">
        <v>14858</v>
      </c>
      <c r="Z4412" t="s">
        <v>18551</v>
      </c>
      <c r="AB4412" t="s">
        <v>23677</v>
      </c>
      <c r="AC4412">
        <v>43</v>
      </c>
      <c r="AD4412" t="s">
        <v>24595</v>
      </c>
      <c r="AF4412">
        <v>2</v>
      </c>
      <c r="AG4412">
        <v>1</v>
      </c>
      <c r="AH4412">
        <v>0</v>
      </c>
      <c r="AI4412">
        <v>81.38</v>
      </c>
      <c r="AL4412" t="s">
        <v>5011</v>
      </c>
      <c r="AM4412">
        <v>10164</v>
      </c>
      <c r="AS4412">
        <v>2.5</v>
      </c>
      <c r="AT4412" t="s">
        <v>586</v>
      </c>
      <c r="AU4412" t="s">
        <v>145</v>
      </c>
      <c r="AV4412" t="s">
        <v>25335</v>
      </c>
      <c r="AW4412" t="s">
        <v>11447</v>
      </c>
    </row>
    <row r="4413" spans="1:49">
      <c r="A4413" s="1">
        <f>HYPERLINK("https://lsnyc.legalserver.org/matter/dynamic-profile/view/1912284","19-1912284")</f>
        <v>0</v>
      </c>
      <c r="B4413" t="s">
        <v>97</v>
      </c>
      <c r="C4413" t="s">
        <v>586</v>
      </c>
      <c r="E4413" t="s">
        <v>1372</v>
      </c>
      <c r="F4413" t="s">
        <v>5821</v>
      </c>
      <c r="G4413" t="s">
        <v>9641</v>
      </c>
      <c r="H4413" t="s">
        <v>10854</v>
      </c>
      <c r="I4413" t="s">
        <v>11383</v>
      </c>
      <c r="J4413">
        <v>10462</v>
      </c>
      <c r="K4413" t="s">
        <v>11446</v>
      </c>
      <c r="L4413" t="s">
        <v>13933</v>
      </c>
      <c r="M4413" t="s">
        <v>14744</v>
      </c>
      <c r="N4413" t="s">
        <v>14781</v>
      </c>
      <c r="P4413" t="s">
        <v>14805</v>
      </c>
      <c r="Q4413" t="s">
        <v>11448</v>
      </c>
      <c r="S4413" t="s">
        <v>14827</v>
      </c>
      <c r="T4413" t="s">
        <v>14832</v>
      </c>
      <c r="U4413" t="s">
        <v>586</v>
      </c>
      <c r="V4413">
        <v>1513.52</v>
      </c>
      <c r="W4413" t="s">
        <v>14858</v>
      </c>
      <c r="X4413" t="s">
        <v>14868</v>
      </c>
      <c r="Z4413" t="s">
        <v>18552</v>
      </c>
      <c r="AA4413" t="s">
        <v>19942</v>
      </c>
      <c r="AB4413" t="s">
        <v>23678</v>
      </c>
      <c r="AC4413">
        <v>15</v>
      </c>
      <c r="AD4413" t="s">
        <v>24595</v>
      </c>
      <c r="AE4413" t="s">
        <v>24610</v>
      </c>
      <c r="AF4413">
        <v>9</v>
      </c>
      <c r="AG4413">
        <v>2</v>
      </c>
      <c r="AH4413">
        <v>1</v>
      </c>
      <c r="AI4413">
        <v>124.89</v>
      </c>
      <c r="AL4413" t="s">
        <v>5011</v>
      </c>
      <c r="AM4413">
        <v>26640</v>
      </c>
      <c r="AS4413">
        <v>12.8</v>
      </c>
      <c r="AT4413" t="s">
        <v>491</v>
      </c>
      <c r="AU4413" t="s">
        <v>25268</v>
      </c>
      <c r="AV4413" t="s">
        <v>25334</v>
      </c>
      <c r="AW4413" t="s">
        <v>11447</v>
      </c>
    </row>
    <row r="4414" spans="1:49">
      <c r="A4414" s="1">
        <f>HYPERLINK("https://lsnyc.legalserver.org/matter/dynamic-profile/view/1898474","19-1898474")</f>
        <v>0</v>
      </c>
      <c r="B4414" t="s">
        <v>112</v>
      </c>
      <c r="C4414" t="s">
        <v>360</v>
      </c>
      <c r="E4414" t="s">
        <v>1190</v>
      </c>
      <c r="F4414" t="s">
        <v>5822</v>
      </c>
      <c r="G4414" t="s">
        <v>9642</v>
      </c>
      <c r="H4414" t="s">
        <v>10884</v>
      </c>
      <c r="I4414" t="s">
        <v>11383</v>
      </c>
      <c r="J4414">
        <v>10468</v>
      </c>
      <c r="K4414" t="s">
        <v>11446</v>
      </c>
      <c r="L4414" t="s">
        <v>13934</v>
      </c>
      <c r="M4414" t="s">
        <v>14744</v>
      </c>
      <c r="N4414" t="s">
        <v>14781</v>
      </c>
      <c r="P4414" t="s">
        <v>14805</v>
      </c>
      <c r="Q4414" t="s">
        <v>11448</v>
      </c>
      <c r="S4414" t="s">
        <v>14827</v>
      </c>
      <c r="U4414" t="s">
        <v>586</v>
      </c>
      <c r="V4414">
        <v>1044</v>
      </c>
      <c r="W4414" t="s">
        <v>14858</v>
      </c>
      <c r="X4414" t="s">
        <v>14863</v>
      </c>
      <c r="Z4414" t="s">
        <v>18553</v>
      </c>
      <c r="AB4414" t="s">
        <v>23679</v>
      </c>
      <c r="AC4414">
        <v>56</v>
      </c>
      <c r="AE4414" t="s">
        <v>11459</v>
      </c>
      <c r="AF4414">
        <v>9</v>
      </c>
      <c r="AG4414">
        <v>1</v>
      </c>
      <c r="AH4414">
        <v>0</v>
      </c>
      <c r="AI4414">
        <v>187.35</v>
      </c>
      <c r="AL4414" t="s">
        <v>24632</v>
      </c>
      <c r="AM4414">
        <v>23400</v>
      </c>
      <c r="AN4414" t="s">
        <v>24889</v>
      </c>
      <c r="AS4414">
        <v>13.9</v>
      </c>
      <c r="AT4414" t="s">
        <v>495</v>
      </c>
      <c r="AU4414" t="s">
        <v>25252</v>
      </c>
      <c r="AV4414" t="s">
        <v>25335</v>
      </c>
      <c r="AW4414" t="s">
        <v>11448</v>
      </c>
    </row>
    <row r="4415" spans="1:49">
      <c r="A4415" s="1">
        <f>HYPERLINK("https://lsnyc.legalserver.org/matter/dynamic-profile/view/1912067","19-1912067")</f>
        <v>0</v>
      </c>
      <c r="B4415" t="s">
        <v>297</v>
      </c>
      <c r="C4415" t="s">
        <v>551</v>
      </c>
      <c r="E4415" t="s">
        <v>1272</v>
      </c>
      <c r="F4415" t="s">
        <v>3709</v>
      </c>
      <c r="G4415" t="s">
        <v>9643</v>
      </c>
      <c r="H4415" t="s">
        <v>10698</v>
      </c>
      <c r="I4415" t="s">
        <v>11383</v>
      </c>
      <c r="J4415">
        <v>10468</v>
      </c>
      <c r="K4415" t="s">
        <v>11446</v>
      </c>
      <c r="L4415" t="s">
        <v>13935</v>
      </c>
      <c r="M4415" t="s">
        <v>14744</v>
      </c>
      <c r="N4415" t="s">
        <v>14781</v>
      </c>
      <c r="P4415" t="s">
        <v>14805</v>
      </c>
      <c r="Q4415" t="s">
        <v>11448</v>
      </c>
      <c r="S4415" t="s">
        <v>14827</v>
      </c>
      <c r="T4415" t="s">
        <v>14837</v>
      </c>
      <c r="U4415" t="s">
        <v>551</v>
      </c>
      <c r="V4415">
        <v>1523.26</v>
      </c>
      <c r="W4415" t="s">
        <v>14858</v>
      </c>
      <c r="X4415" t="s">
        <v>14863</v>
      </c>
      <c r="Z4415" t="s">
        <v>18554</v>
      </c>
      <c r="AA4415" t="s">
        <v>19943</v>
      </c>
      <c r="AB4415" t="s">
        <v>23680</v>
      </c>
      <c r="AC4415">
        <v>0</v>
      </c>
      <c r="AD4415" t="s">
        <v>24596</v>
      </c>
      <c r="AE4415" t="s">
        <v>24610</v>
      </c>
      <c r="AF4415">
        <v>8</v>
      </c>
      <c r="AG4415">
        <v>1</v>
      </c>
      <c r="AH4415">
        <v>0</v>
      </c>
      <c r="AI4415">
        <v>84.36</v>
      </c>
      <c r="AL4415" t="s">
        <v>5011</v>
      </c>
      <c r="AM4415">
        <v>10536</v>
      </c>
      <c r="AS4415">
        <v>17.55</v>
      </c>
      <c r="AT4415" t="s">
        <v>495</v>
      </c>
      <c r="AU4415" t="s">
        <v>25268</v>
      </c>
      <c r="AV4415" t="s">
        <v>25334</v>
      </c>
      <c r="AW4415" t="s">
        <v>11447</v>
      </c>
    </row>
    <row r="4416" spans="1:49">
      <c r="A4416" s="1">
        <f>HYPERLINK("https://lsnyc.legalserver.org/matter/dynamic-profile/view/1912026","19-1912026")</f>
        <v>0</v>
      </c>
      <c r="B4416" t="s">
        <v>298</v>
      </c>
      <c r="C4416" t="s">
        <v>551</v>
      </c>
      <c r="E4416" t="s">
        <v>2282</v>
      </c>
      <c r="F4416" t="s">
        <v>3662</v>
      </c>
      <c r="G4416" t="s">
        <v>9644</v>
      </c>
      <c r="H4416" t="s">
        <v>10450</v>
      </c>
      <c r="I4416" t="s">
        <v>11383</v>
      </c>
      <c r="J4416">
        <v>10457</v>
      </c>
      <c r="K4416" t="s">
        <v>11446</v>
      </c>
      <c r="L4416" t="s">
        <v>13936</v>
      </c>
      <c r="M4416" t="s">
        <v>14744</v>
      </c>
      <c r="N4416" t="s">
        <v>14781</v>
      </c>
      <c r="P4416" t="s">
        <v>14805</v>
      </c>
      <c r="Q4416" t="s">
        <v>11448</v>
      </c>
      <c r="S4416" t="s">
        <v>14827</v>
      </c>
      <c r="U4416" t="s">
        <v>551</v>
      </c>
      <c r="V4416">
        <v>1097.78</v>
      </c>
      <c r="W4416" t="s">
        <v>14858</v>
      </c>
      <c r="X4416" t="s">
        <v>14865</v>
      </c>
      <c r="Z4416" t="s">
        <v>18555</v>
      </c>
      <c r="AB4416" t="s">
        <v>23681</v>
      </c>
      <c r="AC4416">
        <v>25</v>
      </c>
      <c r="AD4416" t="s">
        <v>11479</v>
      </c>
      <c r="AE4416" t="s">
        <v>11459</v>
      </c>
      <c r="AF4416">
        <v>6</v>
      </c>
      <c r="AG4416">
        <v>2</v>
      </c>
      <c r="AH4416">
        <v>4</v>
      </c>
      <c r="AI4416">
        <v>124.31</v>
      </c>
      <c r="AL4416" t="s">
        <v>5011</v>
      </c>
      <c r="AM4416">
        <v>43000</v>
      </c>
      <c r="AS4416">
        <v>5.95</v>
      </c>
      <c r="AT4416" t="s">
        <v>506</v>
      </c>
      <c r="AU4416" t="s">
        <v>25252</v>
      </c>
      <c r="AV4416" t="s">
        <v>25335</v>
      </c>
      <c r="AW4416" t="s">
        <v>11447</v>
      </c>
    </row>
    <row r="4417" spans="1:49">
      <c r="A4417" s="1">
        <f>HYPERLINK("https://lsnyc.legalserver.org/matter/dynamic-profile/view/1912014","19-1912014")</f>
        <v>0</v>
      </c>
      <c r="B4417" t="s">
        <v>298</v>
      </c>
      <c r="C4417" t="s">
        <v>551</v>
      </c>
      <c r="E4417" t="s">
        <v>3173</v>
      </c>
      <c r="F4417" t="s">
        <v>1866</v>
      </c>
      <c r="G4417" t="s">
        <v>9645</v>
      </c>
      <c r="H4417" t="s">
        <v>11258</v>
      </c>
      <c r="I4417" t="s">
        <v>11383</v>
      </c>
      <c r="J4417">
        <v>10467</v>
      </c>
      <c r="K4417" t="s">
        <v>11446</v>
      </c>
      <c r="L4417" t="s">
        <v>13937</v>
      </c>
      <c r="M4417" t="s">
        <v>14744</v>
      </c>
      <c r="N4417" t="s">
        <v>14781</v>
      </c>
      <c r="P4417" t="s">
        <v>14805</v>
      </c>
      <c r="Q4417" t="s">
        <v>11448</v>
      </c>
      <c r="S4417" t="s">
        <v>14827</v>
      </c>
      <c r="U4417" t="s">
        <v>551</v>
      </c>
      <c r="V4417">
        <v>1382</v>
      </c>
      <c r="W4417" t="s">
        <v>14858</v>
      </c>
      <c r="X4417" t="s">
        <v>14873</v>
      </c>
      <c r="Z4417" t="s">
        <v>18556</v>
      </c>
      <c r="AB4417" t="s">
        <v>23682</v>
      </c>
      <c r="AC4417">
        <v>736</v>
      </c>
      <c r="AD4417" t="s">
        <v>11479</v>
      </c>
      <c r="AE4417" t="s">
        <v>11459</v>
      </c>
      <c r="AF4417">
        <v>6</v>
      </c>
      <c r="AG4417">
        <v>2</v>
      </c>
      <c r="AH4417">
        <v>1</v>
      </c>
      <c r="AI4417">
        <v>187.53</v>
      </c>
      <c r="AL4417" t="s">
        <v>5011</v>
      </c>
      <c r="AM4417">
        <v>40000</v>
      </c>
      <c r="AS4417">
        <v>7</v>
      </c>
      <c r="AT4417" t="s">
        <v>654</v>
      </c>
      <c r="AU4417" t="s">
        <v>25252</v>
      </c>
      <c r="AV4417" t="s">
        <v>25335</v>
      </c>
      <c r="AW4417" t="s">
        <v>11447</v>
      </c>
    </row>
    <row r="4418" spans="1:49">
      <c r="A4418" s="1">
        <f>HYPERLINK("https://lsnyc.legalserver.org/matter/dynamic-profile/view/1912220","19-1912220")</f>
        <v>0</v>
      </c>
      <c r="B4418" t="s">
        <v>112</v>
      </c>
      <c r="C4418" t="s">
        <v>559</v>
      </c>
      <c r="E4418" t="s">
        <v>3174</v>
      </c>
      <c r="F4418" t="s">
        <v>3730</v>
      </c>
      <c r="G4418" t="s">
        <v>9646</v>
      </c>
      <c r="H4418" t="s">
        <v>10522</v>
      </c>
      <c r="I4418" t="s">
        <v>11383</v>
      </c>
      <c r="J4418">
        <v>10468</v>
      </c>
      <c r="K4418" t="s">
        <v>11446</v>
      </c>
      <c r="L4418" t="s">
        <v>13938</v>
      </c>
      <c r="M4418" t="s">
        <v>14743</v>
      </c>
      <c r="N4418" t="s">
        <v>14781</v>
      </c>
      <c r="P4418" t="s">
        <v>14805</v>
      </c>
      <c r="Q4418" t="s">
        <v>11448</v>
      </c>
      <c r="S4418" t="s">
        <v>14827</v>
      </c>
      <c r="U4418" t="s">
        <v>559</v>
      </c>
      <c r="V4418">
        <v>660</v>
      </c>
      <c r="W4418" t="s">
        <v>14858</v>
      </c>
      <c r="X4418" t="s">
        <v>14865</v>
      </c>
      <c r="Z4418" t="s">
        <v>18557</v>
      </c>
      <c r="AB4418" t="s">
        <v>23683</v>
      </c>
      <c r="AC4418">
        <v>32</v>
      </c>
      <c r="AF4418">
        <v>1</v>
      </c>
      <c r="AG4418">
        <v>1</v>
      </c>
      <c r="AH4418">
        <v>1</v>
      </c>
      <c r="AI4418">
        <v>0</v>
      </c>
      <c r="AL4418" t="s">
        <v>24632</v>
      </c>
      <c r="AM4418">
        <v>0</v>
      </c>
      <c r="AS4418">
        <v>3</v>
      </c>
      <c r="AT4418" t="s">
        <v>571</v>
      </c>
      <c r="AU4418" t="s">
        <v>25232</v>
      </c>
      <c r="AV4418" t="s">
        <v>25335</v>
      </c>
      <c r="AW4418" t="s">
        <v>11447</v>
      </c>
    </row>
    <row r="4419" spans="1:49">
      <c r="A4419" s="1">
        <f>HYPERLINK("https://lsnyc.legalserver.org/matter/dynamic-profile/view/1911810","19-1911810")</f>
        <v>0</v>
      </c>
      <c r="B4419" t="s">
        <v>142</v>
      </c>
      <c r="C4419" t="s">
        <v>645</v>
      </c>
      <c r="E4419" t="s">
        <v>1589</v>
      </c>
      <c r="F4419" t="s">
        <v>5823</v>
      </c>
      <c r="G4419" t="s">
        <v>9647</v>
      </c>
      <c r="I4419" t="s">
        <v>11383</v>
      </c>
      <c r="J4419">
        <v>10467</v>
      </c>
      <c r="K4419" t="s">
        <v>11446</v>
      </c>
      <c r="L4419" t="s">
        <v>13939</v>
      </c>
      <c r="M4419" t="s">
        <v>14744</v>
      </c>
      <c r="N4419" t="s">
        <v>14781</v>
      </c>
      <c r="P4419" t="s">
        <v>14805</v>
      </c>
      <c r="Q4419" t="s">
        <v>11448</v>
      </c>
      <c r="S4419" t="s">
        <v>14827</v>
      </c>
      <c r="U4419" t="s">
        <v>559</v>
      </c>
      <c r="V4419">
        <v>1154.47</v>
      </c>
      <c r="W4419" t="s">
        <v>14858</v>
      </c>
      <c r="X4419" t="s">
        <v>14863</v>
      </c>
      <c r="Z4419" t="s">
        <v>15651</v>
      </c>
      <c r="AA4419" t="s">
        <v>19944</v>
      </c>
      <c r="AB4419" t="s">
        <v>23684</v>
      </c>
      <c r="AC4419">
        <v>736</v>
      </c>
      <c r="AD4419" t="s">
        <v>24605</v>
      </c>
      <c r="AF4419">
        <v>10</v>
      </c>
      <c r="AG4419">
        <v>1</v>
      </c>
      <c r="AH4419">
        <v>0</v>
      </c>
      <c r="AI4419">
        <v>78.20999999999999</v>
      </c>
      <c r="AL4419" t="s">
        <v>5011</v>
      </c>
      <c r="AM4419">
        <v>9768</v>
      </c>
      <c r="AS4419">
        <v>5.25</v>
      </c>
      <c r="AT4419" t="s">
        <v>478</v>
      </c>
      <c r="AU4419" t="s">
        <v>245</v>
      </c>
      <c r="AV4419" t="s">
        <v>25334</v>
      </c>
      <c r="AW4419" t="s">
        <v>11447</v>
      </c>
    </row>
    <row r="4420" spans="1:49">
      <c r="A4420" s="1">
        <f>HYPERLINK("https://lsnyc.legalserver.org/matter/dynamic-profile/view/1912270","19-1912270")</f>
        <v>0</v>
      </c>
      <c r="B4420" t="s">
        <v>111</v>
      </c>
      <c r="C4420" t="s">
        <v>559</v>
      </c>
      <c r="E4420" t="s">
        <v>2455</v>
      </c>
      <c r="F4420" t="s">
        <v>4426</v>
      </c>
      <c r="G4420" t="s">
        <v>9648</v>
      </c>
      <c r="H4420" t="s">
        <v>10816</v>
      </c>
      <c r="I4420" t="s">
        <v>11383</v>
      </c>
      <c r="J4420">
        <v>10467</v>
      </c>
      <c r="K4420" t="s">
        <v>11446</v>
      </c>
      <c r="L4420" t="s">
        <v>13940</v>
      </c>
      <c r="M4420" t="s">
        <v>14744</v>
      </c>
      <c r="N4420" t="s">
        <v>14781</v>
      </c>
      <c r="P4420" t="s">
        <v>14805</v>
      </c>
      <c r="Q4420" t="s">
        <v>11448</v>
      </c>
      <c r="S4420" t="s">
        <v>14827</v>
      </c>
      <c r="U4420" t="s">
        <v>559</v>
      </c>
      <c r="V4420">
        <v>1360</v>
      </c>
      <c r="W4420" t="s">
        <v>14858</v>
      </c>
      <c r="X4420" t="s">
        <v>14863</v>
      </c>
      <c r="Z4420" t="s">
        <v>18558</v>
      </c>
      <c r="AA4420" t="s">
        <v>19945</v>
      </c>
      <c r="AB4420" t="s">
        <v>23685</v>
      </c>
      <c r="AC4420">
        <v>84</v>
      </c>
      <c r="AD4420" t="s">
        <v>24595</v>
      </c>
      <c r="AE4420" t="s">
        <v>11459</v>
      </c>
      <c r="AF4420">
        <v>2</v>
      </c>
      <c r="AG4420">
        <v>1</v>
      </c>
      <c r="AH4420">
        <v>1</v>
      </c>
      <c r="AI4420">
        <v>129.25</v>
      </c>
      <c r="AL4420" t="s">
        <v>5011</v>
      </c>
      <c r="AM4420">
        <v>21856</v>
      </c>
      <c r="AS4420">
        <v>3.75</v>
      </c>
      <c r="AT4420" t="s">
        <v>537</v>
      </c>
      <c r="AU4420" t="s">
        <v>25242</v>
      </c>
      <c r="AV4420" t="s">
        <v>25334</v>
      </c>
      <c r="AW4420" t="s">
        <v>11447</v>
      </c>
    </row>
    <row r="4421" spans="1:49">
      <c r="A4421" s="1">
        <f>HYPERLINK("https://lsnyc.legalserver.org/matter/dynamic-profile/view/1911249","19-1911249")</f>
        <v>0</v>
      </c>
      <c r="B4421" t="s">
        <v>303</v>
      </c>
      <c r="C4421" t="s">
        <v>511</v>
      </c>
      <c r="E4421" t="s">
        <v>1372</v>
      </c>
      <c r="F4421" t="s">
        <v>5824</v>
      </c>
      <c r="G4421" t="s">
        <v>9649</v>
      </c>
      <c r="H4421" t="s">
        <v>10581</v>
      </c>
      <c r="I4421" t="s">
        <v>11383</v>
      </c>
      <c r="J4421">
        <v>10457</v>
      </c>
      <c r="K4421" t="s">
        <v>11446</v>
      </c>
      <c r="L4421" t="s">
        <v>13941</v>
      </c>
      <c r="M4421" t="s">
        <v>14743</v>
      </c>
      <c r="N4421" t="s">
        <v>14781</v>
      </c>
      <c r="P4421" t="s">
        <v>14805</v>
      </c>
      <c r="Q4421" t="s">
        <v>11448</v>
      </c>
      <c r="S4421" t="s">
        <v>14827</v>
      </c>
      <c r="U4421" t="s">
        <v>733</v>
      </c>
      <c r="V4421">
        <v>1300</v>
      </c>
      <c r="W4421" t="s">
        <v>14858</v>
      </c>
      <c r="X4421" t="s">
        <v>14873</v>
      </c>
      <c r="Z4421" t="s">
        <v>18559</v>
      </c>
      <c r="AA4421" t="s">
        <v>19946</v>
      </c>
      <c r="AB4421" t="s">
        <v>23686</v>
      </c>
      <c r="AC4421">
        <v>26</v>
      </c>
      <c r="AD4421" t="s">
        <v>24595</v>
      </c>
      <c r="AE4421" t="s">
        <v>24610</v>
      </c>
      <c r="AF4421">
        <v>8</v>
      </c>
      <c r="AG4421">
        <v>3</v>
      </c>
      <c r="AH4421">
        <v>0</v>
      </c>
      <c r="AI4421">
        <v>57.33</v>
      </c>
      <c r="AL4421" t="s">
        <v>5011</v>
      </c>
      <c r="AM4421">
        <v>12228</v>
      </c>
      <c r="AS4421">
        <v>60.6</v>
      </c>
      <c r="AT4421" t="s">
        <v>516</v>
      </c>
      <c r="AU4421" t="s">
        <v>25252</v>
      </c>
      <c r="AV4421" t="s">
        <v>25335</v>
      </c>
      <c r="AW4421" t="s">
        <v>11447</v>
      </c>
    </row>
    <row r="4422" spans="1:49">
      <c r="A4422" s="1">
        <f>HYPERLINK("https://lsnyc.legalserver.org/matter/dynamic-profile/view/1911746","19-1911746")</f>
        <v>0</v>
      </c>
      <c r="B4422" t="s">
        <v>272</v>
      </c>
      <c r="C4422" t="s">
        <v>505</v>
      </c>
      <c r="E4422" t="s">
        <v>1104</v>
      </c>
      <c r="F4422" t="s">
        <v>4042</v>
      </c>
      <c r="G4422" t="s">
        <v>9650</v>
      </c>
      <c r="H4422" t="s">
        <v>10450</v>
      </c>
      <c r="I4422" t="s">
        <v>11383</v>
      </c>
      <c r="J4422">
        <v>10468</v>
      </c>
      <c r="K4422" t="s">
        <v>11446</v>
      </c>
      <c r="L4422" t="s">
        <v>13942</v>
      </c>
      <c r="M4422" t="s">
        <v>14744</v>
      </c>
      <c r="N4422" t="s">
        <v>14781</v>
      </c>
      <c r="P4422" t="s">
        <v>14805</v>
      </c>
      <c r="Q4422" t="s">
        <v>11448</v>
      </c>
      <c r="S4422" t="s">
        <v>14827</v>
      </c>
      <c r="T4422" t="s">
        <v>14832</v>
      </c>
      <c r="U4422" t="s">
        <v>489</v>
      </c>
      <c r="V4422">
        <v>1230</v>
      </c>
      <c r="W4422" t="s">
        <v>14858</v>
      </c>
      <c r="X4422" t="s">
        <v>14863</v>
      </c>
      <c r="Z4422" t="s">
        <v>18560</v>
      </c>
      <c r="AA4422" t="s">
        <v>19947</v>
      </c>
      <c r="AB4422" t="s">
        <v>23687</v>
      </c>
      <c r="AC4422">
        <v>53</v>
      </c>
      <c r="AD4422" t="s">
        <v>24595</v>
      </c>
      <c r="AE4422" t="s">
        <v>24610</v>
      </c>
      <c r="AF4422">
        <v>20</v>
      </c>
      <c r="AG4422">
        <v>1</v>
      </c>
      <c r="AH4422">
        <v>0</v>
      </c>
      <c r="AI4422">
        <v>77.73</v>
      </c>
      <c r="AM4422">
        <v>9708</v>
      </c>
      <c r="AS4422">
        <v>3.8</v>
      </c>
      <c r="AT4422" t="s">
        <v>478</v>
      </c>
      <c r="AU4422" t="s">
        <v>25242</v>
      </c>
      <c r="AV4422" t="s">
        <v>25335</v>
      </c>
      <c r="AW4422" t="s">
        <v>11447</v>
      </c>
    </row>
    <row r="4423" spans="1:49">
      <c r="A4423" s="1">
        <f>HYPERLINK("https://lsnyc.legalserver.org/matter/dynamic-profile/view/1912476","19-1912476")</f>
        <v>0</v>
      </c>
      <c r="B4423" t="s">
        <v>300</v>
      </c>
      <c r="C4423" t="s">
        <v>489</v>
      </c>
      <c r="E4423" t="s">
        <v>3175</v>
      </c>
      <c r="F4423" t="s">
        <v>4764</v>
      </c>
      <c r="G4423" t="s">
        <v>9651</v>
      </c>
      <c r="H4423" t="s">
        <v>10473</v>
      </c>
      <c r="I4423" t="s">
        <v>11383</v>
      </c>
      <c r="J4423">
        <v>10468</v>
      </c>
      <c r="K4423" t="s">
        <v>11446</v>
      </c>
      <c r="L4423" t="s">
        <v>13943</v>
      </c>
      <c r="M4423" t="s">
        <v>14744</v>
      </c>
      <c r="N4423" t="s">
        <v>14781</v>
      </c>
      <c r="P4423" t="s">
        <v>14805</v>
      </c>
      <c r="Q4423" t="s">
        <v>11448</v>
      </c>
      <c r="S4423" t="s">
        <v>14827</v>
      </c>
      <c r="T4423" t="s">
        <v>14832</v>
      </c>
      <c r="U4423" t="s">
        <v>489</v>
      </c>
      <c r="V4423">
        <v>406.88</v>
      </c>
      <c r="W4423" t="s">
        <v>14858</v>
      </c>
      <c r="X4423" t="s">
        <v>14865</v>
      </c>
      <c r="Z4423" t="s">
        <v>18561</v>
      </c>
      <c r="AB4423" t="s">
        <v>23688</v>
      </c>
      <c r="AC4423">
        <v>6</v>
      </c>
      <c r="AD4423" t="s">
        <v>24595</v>
      </c>
      <c r="AE4423" t="s">
        <v>11459</v>
      </c>
      <c r="AF4423">
        <v>40</v>
      </c>
      <c r="AG4423">
        <v>1</v>
      </c>
      <c r="AH4423">
        <v>0</v>
      </c>
      <c r="AI4423">
        <v>83.59</v>
      </c>
      <c r="AL4423" t="s">
        <v>5011</v>
      </c>
      <c r="AM4423">
        <v>10440</v>
      </c>
      <c r="AS4423">
        <v>5.5</v>
      </c>
      <c r="AT4423" t="s">
        <v>537</v>
      </c>
      <c r="AU4423" t="s">
        <v>25239</v>
      </c>
      <c r="AV4423" t="s">
        <v>25335</v>
      </c>
      <c r="AW4423" t="s">
        <v>11447</v>
      </c>
    </row>
    <row r="4424" spans="1:49">
      <c r="A4424" s="1">
        <f>HYPERLINK("https://lsnyc.legalserver.org/matter/dynamic-profile/view/1912495","19-1912495")</f>
        <v>0</v>
      </c>
      <c r="B4424" t="s">
        <v>115</v>
      </c>
      <c r="C4424" t="s">
        <v>489</v>
      </c>
      <c r="E4424" t="s">
        <v>3176</v>
      </c>
      <c r="F4424" t="s">
        <v>3561</v>
      </c>
      <c r="G4424" t="s">
        <v>9652</v>
      </c>
      <c r="H4424">
        <v>20</v>
      </c>
      <c r="I4424" t="s">
        <v>11383</v>
      </c>
      <c r="J4424">
        <v>10457</v>
      </c>
      <c r="K4424" t="s">
        <v>11446</v>
      </c>
      <c r="L4424" t="s">
        <v>13944</v>
      </c>
      <c r="M4424" t="s">
        <v>14744</v>
      </c>
      <c r="N4424" t="s">
        <v>14781</v>
      </c>
      <c r="P4424" t="s">
        <v>14805</v>
      </c>
      <c r="Q4424" t="s">
        <v>11446</v>
      </c>
      <c r="S4424" t="s">
        <v>14827</v>
      </c>
      <c r="T4424" t="s">
        <v>14832</v>
      </c>
      <c r="U4424" t="s">
        <v>489</v>
      </c>
      <c r="V4424">
        <v>857.3099999999999</v>
      </c>
      <c r="W4424" t="s">
        <v>14858</v>
      </c>
      <c r="X4424" t="s">
        <v>14873</v>
      </c>
      <c r="Z4424" t="s">
        <v>18562</v>
      </c>
      <c r="AB4424" t="s">
        <v>23689</v>
      </c>
      <c r="AC4424">
        <v>73</v>
      </c>
      <c r="AD4424" t="s">
        <v>24595</v>
      </c>
      <c r="AF4424">
        <v>23</v>
      </c>
      <c r="AG4424">
        <v>1</v>
      </c>
      <c r="AH4424">
        <v>0</v>
      </c>
      <c r="AI4424">
        <v>86.47</v>
      </c>
      <c r="AL4424" t="s">
        <v>5011</v>
      </c>
      <c r="AM4424">
        <v>10800</v>
      </c>
      <c r="AS4424">
        <v>3.5</v>
      </c>
      <c r="AT4424" t="s">
        <v>491</v>
      </c>
      <c r="AU4424" t="s">
        <v>25311</v>
      </c>
      <c r="AV4424" t="s">
        <v>25335</v>
      </c>
      <c r="AW4424" t="s">
        <v>11447</v>
      </c>
    </row>
    <row r="4425" spans="1:49">
      <c r="A4425" s="1">
        <f>HYPERLINK("https://lsnyc.legalserver.org/matter/dynamic-profile/view/1912071","19-1912071")</f>
        <v>0</v>
      </c>
      <c r="B4425" t="s">
        <v>300</v>
      </c>
      <c r="C4425" t="s">
        <v>551</v>
      </c>
      <c r="E4425" t="s">
        <v>2433</v>
      </c>
      <c r="F4425" t="s">
        <v>2719</v>
      </c>
      <c r="G4425" t="s">
        <v>7044</v>
      </c>
      <c r="H4425" t="s">
        <v>10568</v>
      </c>
      <c r="I4425" t="s">
        <v>11383</v>
      </c>
      <c r="J4425">
        <v>10457</v>
      </c>
      <c r="K4425" t="s">
        <v>11446</v>
      </c>
      <c r="L4425" t="s">
        <v>13945</v>
      </c>
      <c r="M4425" t="s">
        <v>14744</v>
      </c>
      <c r="N4425" t="s">
        <v>14781</v>
      </c>
      <c r="P4425" t="s">
        <v>14805</v>
      </c>
      <c r="Q4425" t="s">
        <v>11448</v>
      </c>
      <c r="S4425" t="s">
        <v>14827</v>
      </c>
      <c r="U4425" t="s">
        <v>489</v>
      </c>
      <c r="V4425">
        <v>947</v>
      </c>
      <c r="W4425" t="s">
        <v>14858</v>
      </c>
      <c r="X4425" t="s">
        <v>14865</v>
      </c>
      <c r="Z4425" t="s">
        <v>18563</v>
      </c>
      <c r="AB4425" t="s">
        <v>23690</v>
      </c>
      <c r="AC4425">
        <v>281</v>
      </c>
      <c r="AD4425" t="s">
        <v>24597</v>
      </c>
      <c r="AE4425" t="s">
        <v>24610</v>
      </c>
      <c r="AF4425">
        <v>12</v>
      </c>
      <c r="AG4425">
        <v>2</v>
      </c>
      <c r="AH4425">
        <v>0</v>
      </c>
      <c r="AI4425">
        <v>177.41</v>
      </c>
      <c r="AL4425" t="s">
        <v>5011</v>
      </c>
      <c r="AM4425">
        <v>30000</v>
      </c>
      <c r="AS4425">
        <v>3.5</v>
      </c>
      <c r="AT4425" t="s">
        <v>491</v>
      </c>
      <c r="AU4425" t="s">
        <v>25239</v>
      </c>
      <c r="AV4425" t="s">
        <v>25335</v>
      </c>
      <c r="AW4425" t="s">
        <v>11447</v>
      </c>
    </row>
    <row r="4426" spans="1:49">
      <c r="A4426" s="1">
        <f>HYPERLINK("https://lsnyc.legalserver.org/matter/dynamic-profile/view/1912498","19-1912498")</f>
        <v>0</v>
      </c>
      <c r="B4426" t="s">
        <v>80</v>
      </c>
      <c r="C4426" t="s">
        <v>489</v>
      </c>
      <c r="E4426" t="s">
        <v>2459</v>
      </c>
      <c r="F4426" t="s">
        <v>4598</v>
      </c>
      <c r="G4426" t="s">
        <v>9653</v>
      </c>
      <c r="H4426" t="s">
        <v>10730</v>
      </c>
      <c r="I4426" t="s">
        <v>11383</v>
      </c>
      <c r="J4426">
        <v>10468</v>
      </c>
      <c r="K4426" t="s">
        <v>11446</v>
      </c>
      <c r="L4426" t="s">
        <v>13946</v>
      </c>
      <c r="M4426" t="s">
        <v>14744</v>
      </c>
      <c r="N4426" t="s">
        <v>14781</v>
      </c>
      <c r="P4426" t="s">
        <v>14805</v>
      </c>
      <c r="Q4426" t="s">
        <v>11448</v>
      </c>
      <c r="S4426" t="s">
        <v>14827</v>
      </c>
      <c r="U4426" t="s">
        <v>489</v>
      </c>
      <c r="V4426">
        <v>1135.15</v>
      </c>
      <c r="W4426" t="s">
        <v>14858</v>
      </c>
      <c r="X4426" t="s">
        <v>14868</v>
      </c>
      <c r="Z4426" t="s">
        <v>15028</v>
      </c>
      <c r="AA4426" t="s">
        <v>19948</v>
      </c>
      <c r="AB4426" t="s">
        <v>23691</v>
      </c>
      <c r="AC4426">
        <v>69</v>
      </c>
      <c r="AD4426" t="s">
        <v>24595</v>
      </c>
      <c r="AF4426">
        <v>7</v>
      </c>
      <c r="AG4426">
        <v>2</v>
      </c>
      <c r="AH4426">
        <v>0</v>
      </c>
      <c r="AI4426">
        <v>199.88</v>
      </c>
      <c r="AL4426" t="s">
        <v>5011</v>
      </c>
      <c r="AM4426">
        <v>33800</v>
      </c>
      <c r="AS4426">
        <v>1</v>
      </c>
      <c r="AT4426" t="s">
        <v>489</v>
      </c>
      <c r="AU4426" t="s">
        <v>145</v>
      </c>
      <c r="AV4426" t="s">
        <v>25334</v>
      </c>
      <c r="AW4426" t="s">
        <v>11447</v>
      </c>
    </row>
    <row r="4427" spans="1:49">
      <c r="A4427" s="1">
        <f>HYPERLINK("https://lsnyc.legalserver.org/matter/dynamic-profile/view/1912592","19-1912592")</f>
        <v>0</v>
      </c>
      <c r="B4427" t="s">
        <v>134</v>
      </c>
      <c r="C4427" t="s">
        <v>472</v>
      </c>
      <c r="E4427" t="s">
        <v>1261</v>
      </c>
      <c r="F4427" t="s">
        <v>5825</v>
      </c>
      <c r="G4427" t="s">
        <v>9654</v>
      </c>
      <c r="H4427" t="s">
        <v>10465</v>
      </c>
      <c r="I4427" t="s">
        <v>11383</v>
      </c>
      <c r="J4427">
        <v>10467</v>
      </c>
      <c r="K4427" t="s">
        <v>11446</v>
      </c>
      <c r="L4427" t="s">
        <v>13947</v>
      </c>
      <c r="M4427" t="s">
        <v>14744</v>
      </c>
      <c r="N4427" t="s">
        <v>14781</v>
      </c>
      <c r="P4427" t="s">
        <v>14805</v>
      </c>
      <c r="Q4427" t="s">
        <v>11448</v>
      </c>
      <c r="S4427" t="s">
        <v>14827</v>
      </c>
      <c r="U4427" t="s">
        <v>472</v>
      </c>
      <c r="V4427">
        <v>1303</v>
      </c>
      <c r="W4427" t="s">
        <v>14858</v>
      </c>
      <c r="Z4427" t="s">
        <v>17532</v>
      </c>
      <c r="AA4427" t="s">
        <v>19949</v>
      </c>
      <c r="AB4427" t="s">
        <v>23692</v>
      </c>
      <c r="AC4427">
        <v>8</v>
      </c>
      <c r="AD4427" t="s">
        <v>24595</v>
      </c>
      <c r="AE4427" t="s">
        <v>24616</v>
      </c>
      <c r="AF4427">
        <v>4</v>
      </c>
      <c r="AG4427">
        <v>1</v>
      </c>
      <c r="AH4427">
        <v>1</v>
      </c>
      <c r="AI4427">
        <v>24.7</v>
      </c>
      <c r="AL4427" t="s">
        <v>24632</v>
      </c>
      <c r="AM4427">
        <v>4176</v>
      </c>
      <c r="AS4427">
        <v>2</v>
      </c>
      <c r="AT4427" t="s">
        <v>472</v>
      </c>
      <c r="AU4427" t="s">
        <v>25239</v>
      </c>
      <c r="AV4427" t="s">
        <v>25334</v>
      </c>
      <c r="AW4427" t="s">
        <v>11447</v>
      </c>
    </row>
    <row r="4428" spans="1:49">
      <c r="A4428" s="1">
        <f>HYPERLINK("https://lsnyc.legalserver.org/matter/dynamic-profile/view/1912635","19-1912635")</f>
        <v>0</v>
      </c>
      <c r="B4428" t="s">
        <v>96</v>
      </c>
      <c r="C4428" t="s">
        <v>472</v>
      </c>
      <c r="E4428" t="s">
        <v>2390</v>
      </c>
      <c r="F4428" t="s">
        <v>5826</v>
      </c>
      <c r="G4428" t="s">
        <v>9655</v>
      </c>
      <c r="H4428">
        <v>509</v>
      </c>
      <c r="I4428" t="s">
        <v>11383</v>
      </c>
      <c r="J4428">
        <v>10457</v>
      </c>
      <c r="K4428" t="s">
        <v>11446</v>
      </c>
      <c r="L4428" t="s">
        <v>13948</v>
      </c>
      <c r="M4428" t="s">
        <v>14744</v>
      </c>
      <c r="N4428" t="s">
        <v>14781</v>
      </c>
      <c r="P4428" t="s">
        <v>14805</v>
      </c>
      <c r="Q4428" t="s">
        <v>11448</v>
      </c>
      <c r="S4428" t="s">
        <v>14827</v>
      </c>
      <c r="T4428" t="s">
        <v>14832</v>
      </c>
      <c r="U4428" t="s">
        <v>472</v>
      </c>
      <c r="V4428">
        <v>682.1</v>
      </c>
      <c r="W4428" t="s">
        <v>14858</v>
      </c>
      <c r="X4428" t="s">
        <v>14863</v>
      </c>
      <c r="Z4428" t="s">
        <v>17705</v>
      </c>
      <c r="AA4428" t="s">
        <v>19950</v>
      </c>
      <c r="AB4428" t="s">
        <v>23693</v>
      </c>
      <c r="AC4428">
        <v>0</v>
      </c>
      <c r="AD4428" t="s">
        <v>11479</v>
      </c>
      <c r="AE4428" t="s">
        <v>11459</v>
      </c>
      <c r="AF4428">
        <v>7</v>
      </c>
      <c r="AG4428">
        <v>3</v>
      </c>
      <c r="AH4428">
        <v>3</v>
      </c>
      <c r="AI4428">
        <v>30.07</v>
      </c>
      <c r="AL4428" t="s">
        <v>24632</v>
      </c>
      <c r="AM4428">
        <v>10400</v>
      </c>
      <c r="AS4428">
        <v>4.6</v>
      </c>
      <c r="AT4428" t="s">
        <v>509</v>
      </c>
      <c r="AU4428" t="s">
        <v>25268</v>
      </c>
      <c r="AV4428" t="s">
        <v>25334</v>
      </c>
      <c r="AW4428" t="s">
        <v>11447</v>
      </c>
    </row>
    <row r="4429" spans="1:49">
      <c r="A4429" s="1">
        <f>HYPERLINK("https://lsnyc.legalserver.org/matter/dynamic-profile/view/1912651","19-1912651")</f>
        <v>0</v>
      </c>
      <c r="B4429" t="s">
        <v>304</v>
      </c>
      <c r="C4429" t="s">
        <v>472</v>
      </c>
      <c r="E4429" t="s">
        <v>3177</v>
      </c>
      <c r="F4429" t="s">
        <v>4001</v>
      </c>
      <c r="G4429" t="s">
        <v>9656</v>
      </c>
      <c r="H4429" t="s">
        <v>10452</v>
      </c>
      <c r="I4429" t="s">
        <v>11383</v>
      </c>
      <c r="J4429">
        <v>10457</v>
      </c>
      <c r="K4429" t="s">
        <v>11446</v>
      </c>
      <c r="L4429" t="s">
        <v>13949</v>
      </c>
      <c r="M4429" t="s">
        <v>14744</v>
      </c>
      <c r="N4429" t="s">
        <v>14781</v>
      </c>
      <c r="P4429" t="s">
        <v>14805</v>
      </c>
      <c r="S4429" t="s">
        <v>14827</v>
      </c>
      <c r="U4429" t="s">
        <v>472</v>
      </c>
      <c r="V4429">
        <v>1215</v>
      </c>
      <c r="W4429" t="s">
        <v>14858</v>
      </c>
      <c r="X4429" t="s">
        <v>14873</v>
      </c>
      <c r="Z4429" t="s">
        <v>18564</v>
      </c>
      <c r="AA4429" t="s">
        <v>19951</v>
      </c>
      <c r="AB4429" t="s">
        <v>23694</v>
      </c>
      <c r="AC4429">
        <v>60</v>
      </c>
      <c r="AD4429" t="s">
        <v>24595</v>
      </c>
      <c r="AE4429" t="s">
        <v>24615</v>
      </c>
      <c r="AF4429">
        <v>11</v>
      </c>
      <c r="AG4429">
        <v>2</v>
      </c>
      <c r="AH4429">
        <v>2</v>
      </c>
      <c r="AI4429">
        <v>56.54</v>
      </c>
      <c r="AL4429" t="s">
        <v>5011</v>
      </c>
      <c r="AM4429">
        <v>14560</v>
      </c>
      <c r="AS4429">
        <v>14.5</v>
      </c>
      <c r="AT4429" t="s">
        <v>509</v>
      </c>
      <c r="AU4429" t="s">
        <v>25311</v>
      </c>
      <c r="AV4429" t="s">
        <v>25335</v>
      </c>
      <c r="AW4429" t="s">
        <v>11447</v>
      </c>
    </row>
    <row r="4430" spans="1:49">
      <c r="A4430" s="1">
        <f>HYPERLINK("https://lsnyc.legalserver.org/matter/dynamic-profile/view/1912531","19-1912531")</f>
        <v>0</v>
      </c>
      <c r="B4430" t="s">
        <v>111</v>
      </c>
      <c r="C4430" t="s">
        <v>472</v>
      </c>
      <c r="E4430" t="s">
        <v>1361</v>
      </c>
      <c r="F4430" t="s">
        <v>3547</v>
      </c>
      <c r="G4430" t="s">
        <v>9657</v>
      </c>
      <c r="I4430" t="s">
        <v>11383</v>
      </c>
      <c r="J4430">
        <v>10457</v>
      </c>
      <c r="K4430" t="s">
        <v>11446</v>
      </c>
      <c r="L4430" t="s">
        <v>13950</v>
      </c>
      <c r="M4430" t="s">
        <v>14744</v>
      </c>
      <c r="N4430" t="s">
        <v>14781</v>
      </c>
      <c r="P4430" t="s">
        <v>14805</v>
      </c>
      <c r="Q4430" t="s">
        <v>11448</v>
      </c>
      <c r="S4430" t="s">
        <v>14827</v>
      </c>
      <c r="T4430" t="s">
        <v>14832</v>
      </c>
      <c r="U4430" t="s">
        <v>472</v>
      </c>
      <c r="V4430">
        <v>598</v>
      </c>
      <c r="W4430" t="s">
        <v>14858</v>
      </c>
      <c r="Z4430" t="s">
        <v>17145</v>
      </c>
      <c r="AA4430" t="s">
        <v>19952</v>
      </c>
      <c r="AB4430" t="s">
        <v>23695</v>
      </c>
      <c r="AC4430">
        <v>43</v>
      </c>
      <c r="AD4430" t="s">
        <v>24595</v>
      </c>
      <c r="AE4430" t="s">
        <v>11459</v>
      </c>
      <c r="AF4430">
        <v>25</v>
      </c>
      <c r="AG4430">
        <v>2</v>
      </c>
      <c r="AH4430">
        <v>0</v>
      </c>
      <c r="AI4430">
        <v>88.14</v>
      </c>
      <c r="AL4430" t="s">
        <v>5011</v>
      </c>
      <c r="AM4430">
        <v>14904</v>
      </c>
      <c r="AS4430">
        <v>5.3</v>
      </c>
      <c r="AT4430" t="s">
        <v>516</v>
      </c>
      <c r="AU4430" t="s">
        <v>25242</v>
      </c>
      <c r="AV4430" t="s">
        <v>25334</v>
      </c>
      <c r="AW4430" t="s">
        <v>11447</v>
      </c>
    </row>
    <row r="4431" spans="1:49">
      <c r="A4431" s="1">
        <f>HYPERLINK("https://lsnyc.legalserver.org/matter/dynamic-profile/view/1912613","19-1912613")</f>
        <v>0</v>
      </c>
      <c r="B4431" t="s">
        <v>134</v>
      </c>
      <c r="C4431" t="s">
        <v>472</v>
      </c>
      <c r="E4431" t="s">
        <v>2559</v>
      </c>
      <c r="F4431" t="s">
        <v>5827</v>
      </c>
      <c r="G4431" t="s">
        <v>9658</v>
      </c>
      <c r="H4431" t="s">
        <v>10501</v>
      </c>
      <c r="I4431" t="s">
        <v>11383</v>
      </c>
      <c r="J4431">
        <v>10467</v>
      </c>
      <c r="K4431" t="s">
        <v>11446</v>
      </c>
      <c r="L4431" t="s">
        <v>13951</v>
      </c>
      <c r="M4431" t="s">
        <v>14744</v>
      </c>
      <c r="N4431" t="s">
        <v>14781</v>
      </c>
      <c r="P4431" t="s">
        <v>14805</v>
      </c>
      <c r="Q4431" t="s">
        <v>11448</v>
      </c>
      <c r="S4431" t="s">
        <v>14827</v>
      </c>
      <c r="T4431" t="s">
        <v>14832</v>
      </c>
      <c r="U4431" t="s">
        <v>472</v>
      </c>
      <c r="V4431">
        <v>2300</v>
      </c>
      <c r="W4431" t="s">
        <v>14858</v>
      </c>
      <c r="X4431" t="s">
        <v>14865</v>
      </c>
      <c r="Z4431" t="s">
        <v>18565</v>
      </c>
      <c r="AB4431" t="s">
        <v>23696</v>
      </c>
      <c r="AC4431">
        <v>3</v>
      </c>
      <c r="AD4431" t="s">
        <v>24596</v>
      </c>
      <c r="AE4431" t="s">
        <v>24610</v>
      </c>
      <c r="AF4431">
        <v>1</v>
      </c>
      <c r="AG4431">
        <v>1</v>
      </c>
      <c r="AH4431">
        <v>0</v>
      </c>
      <c r="AI4431">
        <v>94.16</v>
      </c>
      <c r="AL4431" t="s">
        <v>5011</v>
      </c>
      <c r="AM4431">
        <v>11760</v>
      </c>
      <c r="AS4431">
        <v>2</v>
      </c>
      <c r="AT4431" t="s">
        <v>472</v>
      </c>
      <c r="AU4431" t="s">
        <v>25239</v>
      </c>
      <c r="AV4431" t="s">
        <v>25335</v>
      </c>
      <c r="AW4431" t="s">
        <v>11447</v>
      </c>
    </row>
    <row r="4432" spans="1:49">
      <c r="A4432" s="1">
        <f>HYPERLINK("https://lsnyc.legalserver.org/matter/dynamic-profile/view/1912748","19-1912748")</f>
        <v>0</v>
      </c>
      <c r="B4432" t="s">
        <v>305</v>
      </c>
      <c r="C4432" t="s">
        <v>578</v>
      </c>
      <c r="E4432" t="s">
        <v>1168</v>
      </c>
      <c r="F4432" t="s">
        <v>5828</v>
      </c>
      <c r="G4432" t="s">
        <v>9659</v>
      </c>
      <c r="I4432" t="s">
        <v>11383</v>
      </c>
      <c r="J4432">
        <v>10462</v>
      </c>
      <c r="K4432" t="s">
        <v>11446</v>
      </c>
      <c r="L4432" t="s">
        <v>13952</v>
      </c>
      <c r="M4432" t="s">
        <v>14744</v>
      </c>
      <c r="N4432" t="s">
        <v>14781</v>
      </c>
      <c r="P4432" t="s">
        <v>14805</v>
      </c>
      <c r="Q4432" t="s">
        <v>11448</v>
      </c>
      <c r="S4432" t="s">
        <v>14827</v>
      </c>
      <c r="T4432" t="s">
        <v>14832</v>
      </c>
      <c r="U4432" t="s">
        <v>578</v>
      </c>
      <c r="V4432">
        <v>1609.99</v>
      </c>
      <c r="W4432" t="s">
        <v>14858</v>
      </c>
      <c r="X4432" t="s">
        <v>14873</v>
      </c>
      <c r="Z4432" t="s">
        <v>18566</v>
      </c>
      <c r="AA4432" t="s">
        <v>19953</v>
      </c>
      <c r="AB4432" t="s">
        <v>23697</v>
      </c>
      <c r="AC4432">
        <v>157</v>
      </c>
      <c r="AD4432" t="s">
        <v>24595</v>
      </c>
      <c r="AE4432" t="s">
        <v>24615</v>
      </c>
      <c r="AF4432">
        <v>5</v>
      </c>
      <c r="AG4432">
        <v>2</v>
      </c>
      <c r="AH4432">
        <v>3</v>
      </c>
      <c r="AI4432">
        <v>8.35</v>
      </c>
      <c r="AL4432" t="s">
        <v>5011</v>
      </c>
      <c r="AM4432">
        <v>2520</v>
      </c>
      <c r="AS4432">
        <v>11.55</v>
      </c>
      <c r="AT4432" t="s">
        <v>509</v>
      </c>
      <c r="AU4432" t="s">
        <v>25311</v>
      </c>
      <c r="AV4432" t="s">
        <v>25334</v>
      </c>
      <c r="AW4432" t="s">
        <v>11447</v>
      </c>
    </row>
    <row r="4433" spans="1:49">
      <c r="A4433" s="1">
        <f>HYPERLINK("https://lsnyc.legalserver.org/matter/dynamic-profile/view/1907711","19-1907711")</f>
        <v>0</v>
      </c>
      <c r="B4433" t="s">
        <v>115</v>
      </c>
      <c r="C4433" t="s">
        <v>633</v>
      </c>
      <c r="E4433" t="s">
        <v>1331</v>
      </c>
      <c r="F4433" t="s">
        <v>2773</v>
      </c>
      <c r="G4433" t="s">
        <v>9473</v>
      </c>
      <c r="I4433" t="s">
        <v>11383</v>
      </c>
      <c r="J4433">
        <v>10467</v>
      </c>
      <c r="K4433" t="s">
        <v>11446</v>
      </c>
      <c r="L4433" t="s">
        <v>13953</v>
      </c>
      <c r="M4433" t="s">
        <v>14744</v>
      </c>
      <c r="N4433" t="s">
        <v>14781</v>
      </c>
      <c r="P4433" t="s">
        <v>14805</v>
      </c>
      <c r="Q4433" t="s">
        <v>11448</v>
      </c>
      <c r="S4433" t="s">
        <v>14827</v>
      </c>
      <c r="T4433" t="s">
        <v>14834</v>
      </c>
      <c r="U4433" t="s">
        <v>578</v>
      </c>
      <c r="V4433">
        <v>1537</v>
      </c>
      <c r="W4433" t="s">
        <v>14858</v>
      </c>
      <c r="Z4433" t="s">
        <v>17112</v>
      </c>
      <c r="AA4433" t="s">
        <v>19954</v>
      </c>
      <c r="AB4433" t="s">
        <v>23698</v>
      </c>
      <c r="AC4433">
        <v>28</v>
      </c>
      <c r="AD4433" t="s">
        <v>24595</v>
      </c>
      <c r="AE4433" t="s">
        <v>24617</v>
      </c>
      <c r="AF4433">
        <v>2</v>
      </c>
      <c r="AG4433">
        <v>1</v>
      </c>
      <c r="AH4433">
        <v>3</v>
      </c>
      <c r="AI4433">
        <v>13.13</v>
      </c>
      <c r="AL4433" t="s">
        <v>5011</v>
      </c>
      <c r="AM4433">
        <v>3380</v>
      </c>
      <c r="AO4433" t="s">
        <v>24931</v>
      </c>
      <c r="AP4433" t="s">
        <v>24942</v>
      </c>
      <c r="AQ4433" t="s">
        <v>24986</v>
      </c>
      <c r="AR4433" t="s">
        <v>25020</v>
      </c>
      <c r="AS4433">
        <v>6</v>
      </c>
      <c r="AT4433" t="s">
        <v>645</v>
      </c>
      <c r="AU4433" t="s">
        <v>145</v>
      </c>
      <c r="AV4433" t="s">
        <v>25334</v>
      </c>
      <c r="AW4433" t="s">
        <v>11447</v>
      </c>
    </row>
    <row r="4434" spans="1:49">
      <c r="A4434" s="1">
        <f>HYPERLINK("https://lsnyc.legalserver.org/matter/dynamic-profile/view/1909165","19-1909165")</f>
        <v>0</v>
      </c>
      <c r="B4434" t="s">
        <v>115</v>
      </c>
      <c r="C4434" t="s">
        <v>462</v>
      </c>
      <c r="E4434" t="s">
        <v>3178</v>
      </c>
      <c r="F4434" t="s">
        <v>5829</v>
      </c>
      <c r="G4434" t="s">
        <v>9660</v>
      </c>
      <c r="H4434">
        <v>4</v>
      </c>
      <c r="I4434" t="s">
        <v>11383</v>
      </c>
      <c r="J4434">
        <v>10468</v>
      </c>
      <c r="K4434" t="s">
        <v>11446</v>
      </c>
      <c r="L4434" t="s">
        <v>13954</v>
      </c>
      <c r="M4434" t="s">
        <v>14744</v>
      </c>
      <c r="N4434" t="s">
        <v>14781</v>
      </c>
      <c r="P4434" t="s">
        <v>14805</v>
      </c>
      <c r="Q4434" t="s">
        <v>11448</v>
      </c>
      <c r="S4434" t="s">
        <v>14827</v>
      </c>
      <c r="U4434" t="s">
        <v>578</v>
      </c>
      <c r="V4434">
        <v>1117</v>
      </c>
      <c r="W4434" t="s">
        <v>14858</v>
      </c>
      <c r="X4434" t="s">
        <v>14873</v>
      </c>
      <c r="Z4434" t="s">
        <v>18567</v>
      </c>
      <c r="AA4434" t="s">
        <v>19955</v>
      </c>
      <c r="AB4434" t="s">
        <v>23699</v>
      </c>
      <c r="AC4434">
        <v>39</v>
      </c>
      <c r="AD4434" t="s">
        <v>24595</v>
      </c>
      <c r="AF4434">
        <v>4</v>
      </c>
      <c r="AG4434">
        <v>1</v>
      </c>
      <c r="AH4434">
        <v>2</v>
      </c>
      <c r="AI4434">
        <v>15.6</v>
      </c>
      <c r="AL4434" t="s">
        <v>24632</v>
      </c>
      <c r="AM4434">
        <v>3328</v>
      </c>
      <c r="AS4434">
        <v>6.5</v>
      </c>
      <c r="AT4434" t="s">
        <v>539</v>
      </c>
      <c r="AU4434" t="s">
        <v>25311</v>
      </c>
      <c r="AV4434" t="s">
        <v>25334</v>
      </c>
      <c r="AW4434" t="s">
        <v>11447</v>
      </c>
    </row>
    <row r="4435" spans="1:49">
      <c r="A4435" s="1">
        <f>HYPERLINK("https://lsnyc.legalserver.org/matter/dynamic-profile/view/1907610","19-1907610")</f>
        <v>0</v>
      </c>
      <c r="B4435" t="s">
        <v>115</v>
      </c>
      <c r="C4435" t="s">
        <v>630</v>
      </c>
      <c r="E4435" t="s">
        <v>1951</v>
      </c>
      <c r="F4435" t="s">
        <v>3597</v>
      </c>
      <c r="G4435" t="s">
        <v>9661</v>
      </c>
      <c r="H4435">
        <v>3</v>
      </c>
      <c r="I4435" t="s">
        <v>11383</v>
      </c>
      <c r="J4435">
        <v>10467</v>
      </c>
      <c r="K4435" t="s">
        <v>11446</v>
      </c>
      <c r="L4435" t="s">
        <v>13955</v>
      </c>
      <c r="M4435" t="s">
        <v>14743</v>
      </c>
      <c r="N4435" t="s">
        <v>14781</v>
      </c>
      <c r="P4435" t="s">
        <v>14805</v>
      </c>
      <c r="Q4435" t="s">
        <v>11448</v>
      </c>
      <c r="S4435" t="s">
        <v>14827</v>
      </c>
      <c r="T4435" t="s">
        <v>14832</v>
      </c>
      <c r="U4435" t="s">
        <v>578</v>
      </c>
      <c r="V4435">
        <v>2300</v>
      </c>
      <c r="W4435" t="s">
        <v>14858</v>
      </c>
      <c r="Z4435" t="s">
        <v>18568</v>
      </c>
      <c r="AB4435" t="s">
        <v>23700</v>
      </c>
      <c r="AC4435">
        <v>3</v>
      </c>
      <c r="AF4435">
        <v>1</v>
      </c>
      <c r="AG4435">
        <v>1</v>
      </c>
      <c r="AH4435">
        <v>0</v>
      </c>
      <c r="AI4435">
        <v>74.08</v>
      </c>
      <c r="AM4435">
        <v>9252</v>
      </c>
      <c r="AS4435">
        <v>5.5</v>
      </c>
      <c r="AT4435" t="s">
        <v>477</v>
      </c>
      <c r="AU4435" t="s">
        <v>145</v>
      </c>
      <c r="AV4435" t="s">
        <v>25335</v>
      </c>
      <c r="AW4435" t="s">
        <v>11447</v>
      </c>
    </row>
    <row r="4436" spans="1:49">
      <c r="A4436" s="1">
        <f>HYPERLINK("https://lsnyc.legalserver.org/matter/dynamic-profile/view/1912763","19-1912763")</f>
        <v>0</v>
      </c>
      <c r="B4436" t="s">
        <v>305</v>
      </c>
      <c r="C4436" t="s">
        <v>578</v>
      </c>
      <c r="E4436" t="s">
        <v>1982</v>
      </c>
      <c r="F4436" t="s">
        <v>5830</v>
      </c>
      <c r="G4436" t="s">
        <v>9662</v>
      </c>
      <c r="H4436">
        <v>3</v>
      </c>
      <c r="I4436" t="s">
        <v>11383</v>
      </c>
      <c r="J4436">
        <v>10462</v>
      </c>
      <c r="K4436" t="s">
        <v>11446</v>
      </c>
      <c r="L4436" t="s">
        <v>13956</v>
      </c>
      <c r="M4436" t="s">
        <v>14744</v>
      </c>
      <c r="N4436" t="s">
        <v>14781</v>
      </c>
      <c r="P4436" t="s">
        <v>14805</v>
      </c>
      <c r="Q4436" t="s">
        <v>11448</v>
      </c>
      <c r="S4436" t="s">
        <v>14827</v>
      </c>
      <c r="T4436" t="s">
        <v>14832</v>
      </c>
      <c r="U4436" t="s">
        <v>578</v>
      </c>
      <c r="V4436">
        <v>1600</v>
      </c>
      <c r="W4436" t="s">
        <v>14858</v>
      </c>
      <c r="X4436" t="s">
        <v>14873</v>
      </c>
      <c r="Z4436" t="s">
        <v>18085</v>
      </c>
      <c r="AA4436" t="s">
        <v>19956</v>
      </c>
      <c r="AB4436" t="s">
        <v>23701</v>
      </c>
      <c r="AC4436">
        <v>2</v>
      </c>
      <c r="AD4436" t="s">
        <v>24600</v>
      </c>
      <c r="AE4436" t="s">
        <v>11459</v>
      </c>
      <c r="AF4436">
        <v>1</v>
      </c>
      <c r="AG4436">
        <v>2</v>
      </c>
      <c r="AH4436">
        <v>2</v>
      </c>
      <c r="AI4436">
        <v>181.75</v>
      </c>
      <c r="AL4436" t="s">
        <v>5011</v>
      </c>
      <c r="AM4436">
        <v>46800</v>
      </c>
      <c r="AS4436">
        <v>22.65</v>
      </c>
      <c r="AT4436" t="s">
        <v>592</v>
      </c>
      <c r="AU4436" t="s">
        <v>25311</v>
      </c>
      <c r="AV4436" t="s">
        <v>25335</v>
      </c>
      <c r="AW4436" t="s">
        <v>11447</v>
      </c>
    </row>
    <row r="4437" spans="1:49">
      <c r="A4437" s="1">
        <f>HYPERLINK("https://lsnyc.legalserver.org/matter/dynamic-profile/view/1909607","19-1909607")</f>
        <v>0</v>
      </c>
      <c r="B4437" t="s">
        <v>272</v>
      </c>
      <c r="C4437" t="s">
        <v>463</v>
      </c>
      <c r="E4437" t="s">
        <v>3179</v>
      </c>
      <c r="F4437" t="s">
        <v>2002</v>
      </c>
      <c r="G4437" t="s">
        <v>9663</v>
      </c>
      <c r="I4437" t="s">
        <v>11383</v>
      </c>
      <c r="J4437">
        <v>10468</v>
      </c>
      <c r="K4437" t="s">
        <v>11446</v>
      </c>
      <c r="L4437" t="s">
        <v>13957</v>
      </c>
      <c r="M4437" t="s">
        <v>14743</v>
      </c>
      <c r="N4437" t="s">
        <v>14781</v>
      </c>
      <c r="P4437" t="s">
        <v>14805</v>
      </c>
      <c r="Q4437" t="s">
        <v>11448</v>
      </c>
      <c r="S4437" t="s">
        <v>14827</v>
      </c>
      <c r="T4437" t="s">
        <v>14832</v>
      </c>
      <c r="U4437" t="s">
        <v>470</v>
      </c>
      <c r="V4437">
        <v>1008.93</v>
      </c>
      <c r="W4437" t="s">
        <v>14858</v>
      </c>
      <c r="X4437" t="s">
        <v>14863</v>
      </c>
      <c r="Z4437" t="s">
        <v>18569</v>
      </c>
      <c r="AA4437" t="s">
        <v>19957</v>
      </c>
      <c r="AB4437" t="s">
        <v>23702</v>
      </c>
      <c r="AC4437">
        <v>36</v>
      </c>
      <c r="AD4437" t="s">
        <v>24595</v>
      </c>
      <c r="AE4437" t="s">
        <v>11459</v>
      </c>
      <c r="AF4437">
        <v>9</v>
      </c>
      <c r="AG4437">
        <v>1</v>
      </c>
      <c r="AH4437">
        <v>1</v>
      </c>
      <c r="AI4437">
        <v>127.74</v>
      </c>
      <c r="AL4437" t="s">
        <v>5011</v>
      </c>
      <c r="AM4437">
        <v>21600</v>
      </c>
      <c r="AS4437">
        <v>9.949999999999999</v>
      </c>
      <c r="AT4437" t="s">
        <v>537</v>
      </c>
      <c r="AU4437" t="s">
        <v>25242</v>
      </c>
      <c r="AV4437" t="s">
        <v>25335</v>
      </c>
      <c r="AW4437" t="s">
        <v>11447</v>
      </c>
    </row>
    <row r="4438" spans="1:49">
      <c r="A4438" s="1">
        <f>HYPERLINK("https://lsnyc.legalserver.org/matter/dynamic-profile/view/1912563","19-1912563")</f>
        <v>0</v>
      </c>
      <c r="B4438" t="s">
        <v>96</v>
      </c>
      <c r="C4438" t="s">
        <v>526</v>
      </c>
      <c r="E4438" t="s">
        <v>3180</v>
      </c>
      <c r="F4438" t="s">
        <v>3675</v>
      </c>
      <c r="G4438" t="s">
        <v>9628</v>
      </c>
      <c r="H4438" t="s">
        <v>10524</v>
      </c>
      <c r="I4438" t="s">
        <v>11383</v>
      </c>
      <c r="J4438">
        <v>10468</v>
      </c>
      <c r="K4438" t="s">
        <v>11446</v>
      </c>
      <c r="L4438" t="s">
        <v>13958</v>
      </c>
      <c r="M4438" t="s">
        <v>14744</v>
      </c>
      <c r="N4438" t="s">
        <v>14781</v>
      </c>
      <c r="P4438" t="s">
        <v>14805</v>
      </c>
      <c r="Q4438" t="s">
        <v>11448</v>
      </c>
      <c r="S4438" t="s">
        <v>14827</v>
      </c>
      <c r="T4438" t="s">
        <v>14832</v>
      </c>
      <c r="U4438" t="s">
        <v>470</v>
      </c>
      <c r="V4438">
        <v>1020.12</v>
      </c>
      <c r="W4438" t="s">
        <v>14858</v>
      </c>
      <c r="X4438" t="s">
        <v>14863</v>
      </c>
      <c r="Z4438" t="s">
        <v>18570</v>
      </c>
      <c r="AB4438" t="s">
        <v>23703</v>
      </c>
      <c r="AC4438">
        <v>29</v>
      </c>
      <c r="AD4438" t="s">
        <v>24595</v>
      </c>
      <c r="AE4438" t="s">
        <v>11459</v>
      </c>
      <c r="AF4438">
        <v>7</v>
      </c>
      <c r="AG4438">
        <v>2</v>
      </c>
      <c r="AH4438">
        <v>1</v>
      </c>
      <c r="AI4438">
        <v>168.78</v>
      </c>
      <c r="AL4438" t="s">
        <v>5011</v>
      </c>
      <c r="AM4438">
        <v>36000</v>
      </c>
      <c r="AS4438">
        <v>4.3</v>
      </c>
      <c r="AT4438" t="s">
        <v>509</v>
      </c>
      <c r="AU4438" t="s">
        <v>25268</v>
      </c>
      <c r="AV4438" t="s">
        <v>25335</v>
      </c>
      <c r="AW4438" t="s">
        <v>11447</v>
      </c>
    </row>
    <row r="4439" spans="1:49">
      <c r="A4439" s="1">
        <f>HYPERLINK("https://lsnyc.legalserver.org/matter/dynamic-profile/view/1908845","19-1908845")</f>
        <v>0</v>
      </c>
      <c r="B4439" t="s">
        <v>111</v>
      </c>
      <c r="C4439" t="s">
        <v>585</v>
      </c>
      <c r="E4439" t="s">
        <v>3181</v>
      </c>
      <c r="F4439" t="s">
        <v>5831</v>
      </c>
      <c r="G4439" t="s">
        <v>9436</v>
      </c>
      <c r="H4439" t="s">
        <v>11259</v>
      </c>
      <c r="I4439" t="s">
        <v>11383</v>
      </c>
      <c r="J4439">
        <v>10457</v>
      </c>
      <c r="K4439" t="s">
        <v>11446</v>
      </c>
      <c r="L4439" t="s">
        <v>13959</v>
      </c>
      <c r="M4439" t="s">
        <v>14744</v>
      </c>
      <c r="N4439" t="s">
        <v>14781</v>
      </c>
      <c r="P4439" t="s">
        <v>14805</v>
      </c>
      <c r="Q4439" t="s">
        <v>11448</v>
      </c>
      <c r="S4439" t="s">
        <v>14827</v>
      </c>
      <c r="U4439" t="s">
        <v>574</v>
      </c>
      <c r="V4439">
        <v>1268</v>
      </c>
      <c r="W4439" t="s">
        <v>14858</v>
      </c>
      <c r="X4439" t="s">
        <v>14863</v>
      </c>
      <c r="Z4439" t="s">
        <v>18571</v>
      </c>
      <c r="AA4439" t="s">
        <v>19958</v>
      </c>
      <c r="AB4439" t="s">
        <v>23704</v>
      </c>
      <c r="AC4439">
        <v>49</v>
      </c>
      <c r="AD4439" t="s">
        <v>24595</v>
      </c>
      <c r="AE4439" t="s">
        <v>24616</v>
      </c>
      <c r="AF4439">
        <v>2</v>
      </c>
      <c r="AG4439">
        <v>1</v>
      </c>
      <c r="AH4439">
        <v>2</v>
      </c>
      <c r="AI4439">
        <v>0</v>
      </c>
      <c r="AL4439" t="s">
        <v>24632</v>
      </c>
      <c r="AM4439">
        <v>0</v>
      </c>
      <c r="AS4439">
        <v>9.949999999999999</v>
      </c>
      <c r="AT4439" t="s">
        <v>490</v>
      </c>
      <c r="AU4439" t="s">
        <v>25242</v>
      </c>
      <c r="AV4439" t="s">
        <v>25334</v>
      </c>
      <c r="AW4439" t="s">
        <v>11447</v>
      </c>
    </row>
    <row r="4440" spans="1:49">
      <c r="A4440" s="1">
        <f>HYPERLINK("https://lsnyc.legalserver.org/matter/dynamic-profile/view/1911452","19-1911452")</f>
        <v>0</v>
      </c>
      <c r="B4440" t="s">
        <v>300</v>
      </c>
      <c r="C4440" t="s">
        <v>486</v>
      </c>
      <c r="E4440" t="s">
        <v>1527</v>
      </c>
      <c r="F4440" t="s">
        <v>4373</v>
      </c>
      <c r="G4440" t="s">
        <v>9664</v>
      </c>
      <c r="H4440" t="s">
        <v>10758</v>
      </c>
      <c r="I4440" t="s">
        <v>11383</v>
      </c>
      <c r="J4440">
        <v>10467</v>
      </c>
      <c r="K4440" t="s">
        <v>11446</v>
      </c>
      <c r="L4440" t="s">
        <v>13960</v>
      </c>
      <c r="M4440" t="s">
        <v>14744</v>
      </c>
      <c r="N4440" t="s">
        <v>14781</v>
      </c>
      <c r="P4440" t="s">
        <v>14805</v>
      </c>
      <c r="Q4440" t="s">
        <v>11448</v>
      </c>
      <c r="S4440" t="s">
        <v>14827</v>
      </c>
      <c r="U4440" t="s">
        <v>574</v>
      </c>
      <c r="V4440">
        <v>934</v>
      </c>
      <c r="W4440" t="s">
        <v>14858</v>
      </c>
      <c r="X4440" t="s">
        <v>14865</v>
      </c>
      <c r="Z4440" t="s">
        <v>18572</v>
      </c>
      <c r="AA4440" t="s">
        <v>19959</v>
      </c>
      <c r="AB4440" t="s">
        <v>23705</v>
      </c>
      <c r="AC4440">
        <v>71</v>
      </c>
      <c r="AD4440" t="s">
        <v>24596</v>
      </c>
      <c r="AE4440" t="s">
        <v>24615</v>
      </c>
      <c r="AF4440">
        <v>6</v>
      </c>
      <c r="AG4440">
        <v>1</v>
      </c>
      <c r="AH4440">
        <v>3</v>
      </c>
      <c r="AI4440">
        <v>15.66</v>
      </c>
      <c r="AL4440" t="s">
        <v>24632</v>
      </c>
      <c r="AM4440">
        <v>4032</v>
      </c>
      <c r="AS4440">
        <v>8.9</v>
      </c>
      <c r="AT4440" t="s">
        <v>506</v>
      </c>
      <c r="AU4440" t="s">
        <v>25239</v>
      </c>
      <c r="AV4440" t="s">
        <v>25334</v>
      </c>
      <c r="AW4440" t="s">
        <v>11447</v>
      </c>
    </row>
    <row r="4441" spans="1:49">
      <c r="A4441" s="1">
        <f>HYPERLINK("https://lsnyc.legalserver.org/matter/dynamic-profile/view/1911453","19-1911453")</f>
        <v>0</v>
      </c>
      <c r="B4441" t="s">
        <v>273</v>
      </c>
      <c r="C4441" t="s">
        <v>486</v>
      </c>
      <c r="E4441" t="s">
        <v>3182</v>
      </c>
      <c r="F4441" t="s">
        <v>3552</v>
      </c>
      <c r="G4441" t="s">
        <v>9665</v>
      </c>
      <c r="H4441" t="s">
        <v>10510</v>
      </c>
      <c r="I4441" t="s">
        <v>11383</v>
      </c>
      <c r="J4441">
        <v>10467</v>
      </c>
      <c r="K4441" t="s">
        <v>11446</v>
      </c>
      <c r="L4441" t="s">
        <v>13961</v>
      </c>
      <c r="M4441" t="s">
        <v>14744</v>
      </c>
      <c r="N4441" t="s">
        <v>14781</v>
      </c>
      <c r="P4441" t="s">
        <v>14805</v>
      </c>
      <c r="Q4441" t="s">
        <v>11448</v>
      </c>
      <c r="S4441" t="s">
        <v>14827</v>
      </c>
      <c r="T4441" t="s">
        <v>14835</v>
      </c>
      <c r="U4441" t="s">
        <v>574</v>
      </c>
      <c r="V4441">
        <v>1024</v>
      </c>
      <c r="W4441" t="s">
        <v>14858</v>
      </c>
      <c r="X4441" t="s">
        <v>14863</v>
      </c>
      <c r="Z4441" t="s">
        <v>18573</v>
      </c>
      <c r="AA4441" t="s">
        <v>19960</v>
      </c>
      <c r="AB4441" t="s">
        <v>23706</v>
      </c>
      <c r="AC4441">
        <v>51</v>
      </c>
      <c r="AD4441" t="s">
        <v>24595</v>
      </c>
      <c r="AF4441">
        <v>5</v>
      </c>
      <c r="AG4441">
        <v>1</v>
      </c>
      <c r="AH4441">
        <v>4</v>
      </c>
      <c r="AI4441">
        <v>86.18000000000001</v>
      </c>
      <c r="AL4441" t="s">
        <v>5011</v>
      </c>
      <c r="AM4441">
        <v>26000</v>
      </c>
      <c r="AS4441">
        <v>9</v>
      </c>
      <c r="AT4441" t="s">
        <v>521</v>
      </c>
      <c r="AU4441" t="s">
        <v>145</v>
      </c>
      <c r="AV4441" t="s">
        <v>25335</v>
      </c>
      <c r="AW4441" t="s">
        <v>11447</v>
      </c>
    </row>
    <row r="4442" spans="1:49">
      <c r="A4442" s="1">
        <f>HYPERLINK("https://lsnyc.legalserver.org/matter/dynamic-profile/view/1909971","19-1909971")</f>
        <v>0</v>
      </c>
      <c r="B4442" t="s">
        <v>112</v>
      </c>
      <c r="C4442" t="s">
        <v>468</v>
      </c>
      <c r="E4442" t="s">
        <v>1330</v>
      </c>
      <c r="F4442" t="s">
        <v>5042</v>
      </c>
      <c r="G4442" t="s">
        <v>9666</v>
      </c>
      <c r="H4442">
        <v>2</v>
      </c>
      <c r="I4442" t="s">
        <v>11383</v>
      </c>
      <c r="J4442">
        <v>10462</v>
      </c>
      <c r="K4442" t="s">
        <v>11446</v>
      </c>
      <c r="L4442" t="s">
        <v>13962</v>
      </c>
      <c r="M4442" t="s">
        <v>14744</v>
      </c>
      <c r="N4442" t="s">
        <v>14781</v>
      </c>
      <c r="P4442" t="s">
        <v>14805</v>
      </c>
      <c r="Q4442" t="s">
        <v>11448</v>
      </c>
      <c r="S4442" t="s">
        <v>14827</v>
      </c>
      <c r="T4442" t="s">
        <v>14832</v>
      </c>
      <c r="U4442" t="s">
        <v>574</v>
      </c>
      <c r="V4442">
        <v>2000</v>
      </c>
      <c r="W4442" t="s">
        <v>14858</v>
      </c>
      <c r="X4442" t="s">
        <v>14873</v>
      </c>
      <c r="Z4442" t="s">
        <v>16508</v>
      </c>
      <c r="AB4442" t="s">
        <v>23707</v>
      </c>
      <c r="AC4442">
        <v>2</v>
      </c>
      <c r="AD4442" t="s">
        <v>24600</v>
      </c>
      <c r="AF4442">
        <v>2</v>
      </c>
      <c r="AG4442">
        <v>4</v>
      </c>
      <c r="AH4442">
        <v>0</v>
      </c>
      <c r="AI4442">
        <v>169.93</v>
      </c>
      <c r="AL4442" t="s">
        <v>5011</v>
      </c>
      <c r="AM4442">
        <v>43756</v>
      </c>
      <c r="AS4442">
        <v>7.8</v>
      </c>
      <c r="AT4442" t="s">
        <v>478</v>
      </c>
      <c r="AU4442" t="s">
        <v>25311</v>
      </c>
      <c r="AV4442" t="s">
        <v>25335</v>
      </c>
      <c r="AW4442" t="s">
        <v>11447</v>
      </c>
    </row>
    <row r="4443" spans="1:49">
      <c r="A4443" s="1">
        <f>HYPERLINK("https://lsnyc.legalserver.org/matter/dynamic-profile/view/1910431","19-1910431")</f>
        <v>0</v>
      </c>
      <c r="B4443" t="s">
        <v>201</v>
      </c>
      <c r="C4443" t="s">
        <v>468</v>
      </c>
      <c r="E4443" t="s">
        <v>3183</v>
      </c>
      <c r="F4443" t="s">
        <v>3975</v>
      </c>
      <c r="G4443" t="s">
        <v>9592</v>
      </c>
      <c r="H4443" t="s">
        <v>10575</v>
      </c>
      <c r="I4443" t="s">
        <v>11383</v>
      </c>
      <c r="J4443">
        <v>10467</v>
      </c>
      <c r="K4443" t="s">
        <v>11446</v>
      </c>
      <c r="L4443" t="s">
        <v>13963</v>
      </c>
      <c r="M4443" t="s">
        <v>14744</v>
      </c>
      <c r="N4443" t="s">
        <v>14781</v>
      </c>
      <c r="P4443" t="s">
        <v>14805</v>
      </c>
      <c r="Q4443" t="s">
        <v>11448</v>
      </c>
      <c r="S4443" t="s">
        <v>14827</v>
      </c>
      <c r="T4443" t="s">
        <v>14837</v>
      </c>
      <c r="U4443" t="s">
        <v>603</v>
      </c>
      <c r="V4443">
        <v>1566.92</v>
      </c>
      <c r="W4443" t="s">
        <v>14858</v>
      </c>
      <c r="X4443" t="s">
        <v>14865</v>
      </c>
      <c r="Z4443" t="s">
        <v>18574</v>
      </c>
      <c r="AA4443" t="s">
        <v>19961</v>
      </c>
      <c r="AB4443" t="s">
        <v>23708</v>
      </c>
      <c r="AC4443">
        <v>60</v>
      </c>
      <c r="AD4443" t="s">
        <v>24595</v>
      </c>
      <c r="AE4443" t="s">
        <v>24616</v>
      </c>
      <c r="AF4443">
        <v>4</v>
      </c>
      <c r="AG4443">
        <v>1</v>
      </c>
      <c r="AH4443">
        <v>2</v>
      </c>
      <c r="AI4443">
        <v>58.12</v>
      </c>
      <c r="AL4443" t="s">
        <v>5011</v>
      </c>
      <c r="AM4443">
        <v>12396</v>
      </c>
      <c r="AO4443" t="s">
        <v>24932</v>
      </c>
      <c r="AP4443" t="s">
        <v>24943</v>
      </c>
      <c r="AQ4443" t="s">
        <v>24986</v>
      </c>
      <c r="AR4443" t="s">
        <v>25018</v>
      </c>
      <c r="AS4443">
        <v>17.3</v>
      </c>
      <c r="AT4443" t="s">
        <v>495</v>
      </c>
      <c r="AU4443" t="s">
        <v>237</v>
      </c>
      <c r="AV4443" t="s">
        <v>25334</v>
      </c>
      <c r="AW4443" t="s">
        <v>11447</v>
      </c>
    </row>
    <row r="4444" spans="1:49">
      <c r="A4444" s="1">
        <f>HYPERLINK("https://lsnyc.legalserver.org/matter/dynamic-profile/view/1913060","19-1913060")</f>
        <v>0</v>
      </c>
      <c r="B4444" t="s">
        <v>60</v>
      </c>
      <c r="C4444" t="s">
        <v>603</v>
      </c>
      <c r="E4444" t="s">
        <v>1425</v>
      </c>
      <c r="F4444" t="s">
        <v>5832</v>
      </c>
      <c r="G4444" t="s">
        <v>9667</v>
      </c>
      <c r="H4444" t="s">
        <v>10552</v>
      </c>
      <c r="I4444" t="s">
        <v>11383</v>
      </c>
      <c r="J4444">
        <v>10468</v>
      </c>
      <c r="K4444" t="s">
        <v>11446</v>
      </c>
      <c r="L4444" t="s">
        <v>13964</v>
      </c>
      <c r="M4444" t="s">
        <v>14744</v>
      </c>
      <c r="N4444" t="s">
        <v>14778</v>
      </c>
      <c r="P4444" t="s">
        <v>14805</v>
      </c>
      <c r="Q4444" t="s">
        <v>11448</v>
      </c>
      <c r="S4444" t="s">
        <v>14827</v>
      </c>
      <c r="T4444" t="s">
        <v>14832</v>
      </c>
      <c r="U4444" t="s">
        <v>603</v>
      </c>
      <c r="V4444">
        <v>1178.75</v>
      </c>
      <c r="W4444" t="s">
        <v>14858</v>
      </c>
      <c r="X4444" t="s">
        <v>14873</v>
      </c>
      <c r="Z4444" t="s">
        <v>18575</v>
      </c>
      <c r="AB4444" t="s">
        <v>23709</v>
      </c>
      <c r="AC4444">
        <v>47</v>
      </c>
      <c r="AD4444" t="s">
        <v>24595</v>
      </c>
      <c r="AE4444" t="s">
        <v>11459</v>
      </c>
      <c r="AF4444">
        <v>11</v>
      </c>
      <c r="AG4444">
        <v>1</v>
      </c>
      <c r="AH4444">
        <v>2</v>
      </c>
      <c r="AI4444">
        <v>133.82</v>
      </c>
      <c r="AL4444" t="s">
        <v>24632</v>
      </c>
      <c r="AM4444">
        <v>28543.84</v>
      </c>
      <c r="AN4444" t="s">
        <v>24899</v>
      </c>
      <c r="AS4444">
        <v>2</v>
      </c>
      <c r="AT4444" t="s">
        <v>477</v>
      </c>
      <c r="AU4444" t="s">
        <v>25311</v>
      </c>
      <c r="AV4444" t="s">
        <v>25335</v>
      </c>
      <c r="AW4444" t="s">
        <v>11447</v>
      </c>
    </row>
    <row r="4445" spans="1:49">
      <c r="A4445" s="1">
        <f>HYPERLINK("https://lsnyc.legalserver.org/matter/dynamic-profile/view/1910258","19-1910258")</f>
        <v>0</v>
      </c>
      <c r="B4445" t="s">
        <v>272</v>
      </c>
      <c r="C4445" t="s">
        <v>528</v>
      </c>
      <c r="E4445" t="s">
        <v>1426</v>
      </c>
      <c r="F4445" t="s">
        <v>5833</v>
      </c>
      <c r="G4445" t="s">
        <v>9668</v>
      </c>
      <c r="H4445" t="s">
        <v>10569</v>
      </c>
      <c r="I4445" t="s">
        <v>11383</v>
      </c>
      <c r="J4445">
        <v>10468</v>
      </c>
      <c r="K4445" t="s">
        <v>11446</v>
      </c>
      <c r="L4445" t="s">
        <v>13965</v>
      </c>
      <c r="M4445" t="s">
        <v>14743</v>
      </c>
      <c r="N4445" t="s">
        <v>14781</v>
      </c>
      <c r="P4445" t="s">
        <v>14805</v>
      </c>
      <c r="Q4445" t="s">
        <v>11448</v>
      </c>
      <c r="S4445" t="s">
        <v>14827</v>
      </c>
      <c r="T4445" t="s">
        <v>14832</v>
      </c>
      <c r="U4445" t="s">
        <v>603</v>
      </c>
      <c r="V4445">
        <v>978.29</v>
      </c>
      <c r="W4445" t="s">
        <v>14858</v>
      </c>
      <c r="X4445" t="s">
        <v>14863</v>
      </c>
      <c r="Z4445" t="s">
        <v>18576</v>
      </c>
      <c r="AB4445" t="s">
        <v>23710</v>
      </c>
      <c r="AC4445">
        <v>60</v>
      </c>
      <c r="AD4445" t="s">
        <v>24595</v>
      </c>
      <c r="AE4445" t="s">
        <v>11459</v>
      </c>
      <c r="AF4445">
        <v>20</v>
      </c>
      <c r="AG4445">
        <v>3</v>
      </c>
      <c r="AH4445">
        <v>0</v>
      </c>
      <c r="AI4445">
        <v>260.85</v>
      </c>
      <c r="AM4445">
        <v>55640</v>
      </c>
      <c r="AS4445">
        <v>13.3</v>
      </c>
      <c r="AT4445" t="s">
        <v>603</v>
      </c>
      <c r="AU4445" t="s">
        <v>25242</v>
      </c>
      <c r="AV4445" t="s">
        <v>25335</v>
      </c>
      <c r="AW4445" t="s">
        <v>11447</v>
      </c>
    </row>
    <row r="4446" spans="1:49">
      <c r="A4446" s="1">
        <f>HYPERLINK("https://lsnyc.legalserver.org/matter/dynamic-profile/view/1912796","19-1912796")</f>
        <v>0</v>
      </c>
      <c r="B4446" t="s">
        <v>299</v>
      </c>
      <c r="C4446" t="s">
        <v>578</v>
      </c>
      <c r="E4446" t="s">
        <v>3184</v>
      </c>
      <c r="F4446" t="s">
        <v>3662</v>
      </c>
      <c r="G4446" t="s">
        <v>9669</v>
      </c>
      <c r="H4446">
        <v>2</v>
      </c>
      <c r="I4446" t="s">
        <v>11383</v>
      </c>
      <c r="J4446">
        <v>10467</v>
      </c>
      <c r="K4446" t="s">
        <v>11446</v>
      </c>
      <c r="L4446" t="s">
        <v>13966</v>
      </c>
      <c r="M4446" t="s">
        <v>14744</v>
      </c>
      <c r="N4446" t="s">
        <v>14781</v>
      </c>
      <c r="P4446" t="s">
        <v>14805</v>
      </c>
      <c r="Q4446" t="s">
        <v>11448</v>
      </c>
      <c r="S4446" t="s">
        <v>14827</v>
      </c>
      <c r="U4446" t="s">
        <v>515</v>
      </c>
      <c r="V4446">
        <v>1700</v>
      </c>
      <c r="W4446" t="s">
        <v>14858</v>
      </c>
      <c r="X4446" t="s">
        <v>14865</v>
      </c>
      <c r="Z4446" t="s">
        <v>18577</v>
      </c>
      <c r="AB4446" t="s">
        <v>23711</v>
      </c>
      <c r="AC4446">
        <v>2</v>
      </c>
      <c r="AD4446" t="s">
        <v>24607</v>
      </c>
      <c r="AE4446" t="s">
        <v>24615</v>
      </c>
      <c r="AF4446">
        <v>1</v>
      </c>
      <c r="AG4446">
        <v>1</v>
      </c>
      <c r="AH4446">
        <v>2</v>
      </c>
      <c r="AI4446">
        <v>15.53</v>
      </c>
      <c r="AL4446" t="s">
        <v>5011</v>
      </c>
      <c r="AM4446">
        <v>3312</v>
      </c>
      <c r="AS4446">
        <v>8</v>
      </c>
      <c r="AT4446" t="s">
        <v>521</v>
      </c>
      <c r="AU4446" t="s">
        <v>237</v>
      </c>
      <c r="AV4446" t="s">
        <v>25335</v>
      </c>
      <c r="AW4446" t="s">
        <v>11447</v>
      </c>
    </row>
    <row r="4447" spans="1:49">
      <c r="A4447" s="1">
        <f>HYPERLINK("https://lsnyc.legalserver.org/matter/dynamic-profile/view/1912402","19-1912402")</f>
        <v>0</v>
      </c>
      <c r="B4447" t="s">
        <v>241</v>
      </c>
      <c r="C4447" t="s">
        <v>489</v>
      </c>
      <c r="E4447" t="s">
        <v>1691</v>
      </c>
      <c r="F4447" t="s">
        <v>5834</v>
      </c>
      <c r="G4447" t="s">
        <v>8018</v>
      </c>
      <c r="H4447" t="s">
        <v>10569</v>
      </c>
      <c r="I4447" t="s">
        <v>11383</v>
      </c>
      <c r="J4447">
        <v>10467</v>
      </c>
      <c r="K4447" t="s">
        <v>11446</v>
      </c>
      <c r="L4447" t="s">
        <v>13967</v>
      </c>
      <c r="M4447" t="s">
        <v>14744</v>
      </c>
      <c r="N4447" t="s">
        <v>14781</v>
      </c>
      <c r="P4447" t="s">
        <v>14805</v>
      </c>
      <c r="Q4447" t="s">
        <v>11448</v>
      </c>
      <c r="S4447" t="s">
        <v>14827</v>
      </c>
      <c r="T4447" t="s">
        <v>14832</v>
      </c>
      <c r="U4447" t="s">
        <v>515</v>
      </c>
      <c r="V4447">
        <v>1303</v>
      </c>
      <c r="W4447" t="s">
        <v>14858</v>
      </c>
      <c r="X4447" t="s">
        <v>14865</v>
      </c>
      <c r="Z4447" t="s">
        <v>18578</v>
      </c>
      <c r="AA4447" t="s">
        <v>19962</v>
      </c>
      <c r="AB4447" t="s">
        <v>23712</v>
      </c>
      <c r="AC4447">
        <v>8</v>
      </c>
      <c r="AD4447" t="s">
        <v>24595</v>
      </c>
      <c r="AE4447" t="s">
        <v>24615</v>
      </c>
      <c r="AF4447">
        <v>5</v>
      </c>
      <c r="AG4447">
        <v>1</v>
      </c>
      <c r="AH4447">
        <v>1</v>
      </c>
      <c r="AI4447">
        <v>66.84999999999999</v>
      </c>
      <c r="AL4447" t="s">
        <v>5011</v>
      </c>
      <c r="AM4447">
        <v>11304.7</v>
      </c>
      <c r="AS4447">
        <v>15.7</v>
      </c>
      <c r="AT4447" t="s">
        <v>495</v>
      </c>
      <c r="AU4447" t="s">
        <v>25239</v>
      </c>
      <c r="AV4447" t="s">
        <v>25334</v>
      </c>
      <c r="AW4447" t="s">
        <v>11447</v>
      </c>
    </row>
    <row r="4448" spans="1:49">
      <c r="A4448" s="1">
        <f>HYPERLINK("https://lsnyc.legalserver.org/matter/dynamic-profile/view/1911837","19-1911837")</f>
        <v>0</v>
      </c>
      <c r="B4448" t="s">
        <v>304</v>
      </c>
      <c r="C4448" t="s">
        <v>645</v>
      </c>
      <c r="E4448" t="s">
        <v>3185</v>
      </c>
      <c r="F4448" t="s">
        <v>5835</v>
      </c>
      <c r="G4448" t="s">
        <v>9670</v>
      </c>
      <c r="H4448" t="s">
        <v>10581</v>
      </c>
      <c r="I4448" t="s">
        <v>11383</v>
      </c>
      <c r="J4448">
        <v>10468</v>
      </c>
      <c r="K4448" t="s">
        <v>11446</v>
      </c>
      <c r="L4448" t="s">
        <v>13968</v>
      </c>
      <c r="M4448" t="s">
        <v>14744</v>
      </c>
      <c r="N4448" t="s">
        <v>14781</v>
      </c>
      <c r="P4448" t="s">
        <v>14805</v>
      </c>
      <c r="Q4448" t="s">
        <v>11448</v>
      </c>
      <c r="S4448" t="s">
        <v>14827</v>
      </c>
      <c r="T4448" t="s">
        <v>14832</v>
      </c>
      <c r="U4448" t="s">
        <v>515</v>
      </c>
      <c r="V4448">
        <v>1033</v>
      </c>
      <c r="W4448" t="s">
        <v>14858</v>
      </c>
      <c r="X4448" t="s">
        <v>14865</v>
      </c>
      <c r="Z4448" t="s">
        <v>17696</v>
      </c>
      <c r="AA4448" t="s">
        <v>19963</v>
      </c>
      <c r="AB4448" t="s">
        <v>23713</v>
      </c>
      <c r="AC4448">
        <v>25</v>
      </c>
      <c r="AD4448" t="s">
        <v>24595</v>
      </c>
      <c r="AE4448" t="s">
        <v>24610</v>
      </c>
      <c r="AF4448">
        <v>13</v>
      </c>
      <c r="AG4448">
        <v>2</v>
      </c>
      <c r="AH4448">
        <v>2</v>
      </c>
      <c r="AI4448">
        <v>141.36</v>
      </c>
      <c r="AL4448" t="s">
        <v>5011</v>
      </c>
      <c r="AM4448">
        <v>36400</v>
      </c>
      <c r="AS4448">
        <v>24.25</v>
      </c>
      <c r="AT4448" t="s">
        <v>654</v>
      </c>
      <c r="AU4448" t="s">
        <v>25239</v>
      </c>
      <c r="AV4448" t="s">
        <v>25335</v>
      </c>
      <c r="AW4448" t="s">
        <v>11447</v>
      </c>
    </row>
    <row r="4449" spans="1:49">
      <c r="A4449" s="1">
        <f>HYPERLINK("https://lsnyc.legalserver.org/matter/dynamic-profile/view/1912259","19-1912259")</f>
        <v>0</v>
      </c>
      <c r="B4449" t="s">
        <v>111</v>
      </c>
      <c r="C4449" t="s">
        <v>559</v>
      </c>
      <c r="E4449" t="s">
        <v>1273</v>
      </c>
      <c r="F4449" t="s">
        <v>3716</v>
      </c>
      <c r="G4449" t="s">
        <v>9671</v>
      </c>
      <c r="H4449" t="s">
        <v>10481</v>
      </c>
      <c r="I4449" t="s">
        <v>11383</v>
      </c>
      <c r="J4449">
        <v>10457</v>
      </c>
      <c r="K4449" t="s">
        <v>11446</v>
      </c>
      <c r="L4449" t="s">
        <v>13969</v>
      </c>
      <c r="M4449" t="s">
        <v>14743</v>
      </c>
      <c r="N4449" t="s">
        <v>14781</v>
      </c>
      <c r="P4449" t="s">
        <v>14805</v>
      </c>
      <c r="Q4449" t="s">
        <v>11448</v>
      </c>
      <c r="S4449" t="s">
        <v>14827</v>
      </c>
      <c r="U4449" t="s">
        <v>515</v>
      </c>
      <c r="V4449">
        <v>894</v>
      </c>
      <c r="W4449" t="s">
        <v>14858</v>
      </c>
      <c r="X4449" t="s">
        <v>14863</v>
      </c>
      <c r="Z4449" t="s">
        <v>18359</v>
      </c>
      <c r="AB4449" t="s">
        <v>23714</v>
      </c>
      <c r="AC4449">
        <v>11</v>
      </c>
      <c r="AD4449" t="s">
        <v>24599</v>
      </c>
      <c r="AE4449" t="s">
        <v>24610</v>
      </c>
      <c r="AF4449">
        <v>18</v>
      </c>
      <c r="AG4449">
        <v>3</v>
      </c>
      <c r="AH4449">
        <v>0</v>
      </c>
      <c r="AI4449">
        <v>187.53</v>
      </c>
      <c r="AL4449" t="s">
        <v>5011</v>
      </c>
      <c r="AM4449">
        <v>40000</v>
      </c>
      <c r="AS4449">
        <v>5.8</v>
      </c>
      <c r="AT4449" t="s">
        <v>521</v>
      </c>
      <c r="AU4449" t="s">
        <v>25242</v>
      </c>
      <c r="AV4449" t="s">
        <v>25335</v>
      </c>
      <c r="AW4449" t="s">
        <v>11447</v>
      </c>
    </row>
    <row r="4450" spans="1:49">
      <c r="A4450" s="1">
        <f>HYPERLINK("https://lsnyc.legalserver.org/matter/dynamic-profile/view/1913319","19-1913319")</f>
        <v>0</v>
      </c>
      <c r="B4450" t="s">
        <v>268</v>
      </c>
      <c r="C4450" t="s">
        <v>483</v>
      </c>
      <c r="E4450" t="s">
        <v>1357</v>
      </c>
      <c r="F4450" t="s">
        <v>4974</v>
      </c>
      <c r="G4450" t="s">
        <v>9672</v>
      </c>
      <c r="H4450">
        <v>3</v>
      </c>
      <c r="I4450" t="s">
        <v>11383</v>
      </c>
      <c r="J4450">
        <v>10467</v>
      </c>
      <c r="K4450" t="s">
        <v>11446</v>
      </c>
      <c r="L4450" t="s">
        <v>13970</v>
      </c>
      <c r="M4450" t="s">
        <v>14743</v>
      </c>
      <c r="N4450" t="s">
        <v>14781</v>
      </c>
      <c r="P4450" t="s">
        <v>14805</v>
      </c>
      <c r="Q4450" t="s">
        <v>11448</v>
      </c>
      <c r="S4450" t="s">
        <v>14827</v>
      </c>
      <c r="U4450" t="s">
        <v>483</v>
      </c>
      <c r="V4450">
        <v>2280</v>
      </c>
      <c r="W4450" t="s">
        <v>14858</v>
      </c>
      <c r="X4450" t="s">
        <v>14865</v>
      </c>
      <c r="Z4450" t="s">
        <v>18579</v>
      </c>
      <c r="AA4450" t="s">
        <v>19964</v>
      </c>
      <c r="AB4450" t="s">
        <v>23715</v>
      </c>
      <c r="AC4450">
        <v>2</v>
      </c>
      <c r="AD4450" t="s">
        <v>24600</v>
      </c>
      <c r="AE4450" t="s">
        <v>24611</v>
      </c>
      <c r="AF4450">
        <v>2</v>
      </c>
      <c r="AG4450">
        <v>1</v>
      </c>
      <c r="AH4450">
        <v>1</v>
      </c>
      <c r="AI4450">
        <v>30.94</v>
      </c>
      <c r="AL4450" t="s">
        <v>5011</v>
      </c>
      <c r="AM4450">
        <v>5232</v>
      </c>
      <c r="AS4450">
        <v>20.45</v>
      </c>
      <c r="AT4450" t="s">
        <v>654</v>
      </c>
      <c r="AU4450" t="s">
        <v>25239</v>
      </c>
      <c r="AV4450" t="s">
        <v>25334</v>
      </c>
      <c r="AW4450" t="s">
        <v>11447</v>
      </c>
    </row>
    <row r="4451" spans="1:49">
      <c r="A4451" s="1">
        <f>HYPERLINK("https://lsnyc.legalserver.org/matter/dynamic-profile/view/1913358","19-1913358")</f>
        <v>0</v>
      </c>
      <c r="B4451" t="s">
        <v>111</v>
      </c>
      <c r="C4451" t="s">
        <v>483</v>
      </c>
      <c r="E4451" t="s">
        <v>1276</v>
      </c>
      <c r="F4451" t="s">
        <v>1168</v>
      </c>
      <c r="G4451" t="s">
        <v>6695</v>
      </c>
      <c r="H4451">
        <v>7</v>
      </c>
      <c r="I4451" t="s">
        <v>11383</v>
      </c>
      <c r="J4451">
        <v>10457</v>
      </c>
      <c r="K4451" t="s">
        <v>11446</v>
      </c>
      <c r="L4451" t="s">
        <v>13971</v>
      </c>
      <c r="M4451" t="s">
        <v>14744</v>
      </c>
      <c r="N4451" t="s">
        <v>14781</v>
      </c>
      <c r="P4451" t="s">
        <v>14805</v>
      </c>
      <c r="Q4451" t="s">
        <v>11448</v>
      </c>
      <c r="S4451" t="s">
        <v>14827</v>
      </c>
      <c r="T4451" t="s">
        <v>14832</v>
      </c>
      <c r="U4451" t="s">
        <v>483</v>
      </c>
      <c r="V4451">
        <v>554.5</v>
      </c>
      <c r="W4451" t="s">
        <v>14858</v>
      </c>
      <c r="X4451" t="s">
        <v>14863</v>
      </c>
      <c r="Z4451" t="s">
        <v>18580</v>
      </c>
      <c r="AA4451" t="s">
        <v>19965</v>
      </c>
      <c r="AB4451" t="s">
        <v>23716</v>
      </c>
      <c r="AC4451">
        <v>14</v>
      </c>
      <c r="AD4451" t="s">
        <v>24599</v>
      </c>
      <c r="AE4451" t="s">
        <v>11459</v>
      </c>
      <c r="AF4451">
        <v>35</v>
      </c>
      <c r="AG4451">
        <v>1</v>
      </c>
      <c r="AH4451">
        <v>0</v>
      </c>
      <c r="AI4451">
        <v>100.5</v>
      </c>
      <c r="AM4451">
        <v>12552</v>
      </c>
      <c r="AS4451">
        <v>4</v>
      </c>
      <c r="AT4451" t="s">
        <v>537</v>
      </c>
      <c r="AU4451" t="s">
        <v>25242</v>
      </c>
      <c r="AV4451" t="s">
        <v>25334</v>
      </c>
      <c r="AW4451" t="s">
        <v>11447</v>
      </c>
    </row>
    <row r="4452" spans="1:49">
      <c r="A4452" s="1">
        <f>HYPERLINK("https://lsnyc.legalserver.org/matter/dynamic-profile/view/1910349","19-1910349")</f>
        <v>0</v>
      </c>
      <c r="B4452" t="s">
        <v>111</v>
      </c>
      <c r="C4452" t="s">
        <v>540</v>
      </c>
      <c r="E4452" t="s">
        <v>2230</v>
      </c>
      <c r="F4452" t="s">
        <v>5360</v>
      </c>
      <c r="G4452" t="s">
        <v>9673</v>
      </c>
      <c r="H4452" t="s">
        <v>10460</v>
      </c>
      <c r="I4452" t="s">
        <v>11383</v>
      </c>
      <c r="J4452">
        <v>10457</v>
      </c>
      <c r="K4452" t="s">
        <v>11446</v>
      </c>
      <c r="L4452" t="s">
        <v>13972</v>
      </c>
      <c r="M4452" t="s">
        <v>14743</v>
      </c>
      <c r="N4452" t="s">
        <v>14781</v>
      </c>
      <c r="P4452" t="s">
        <v>14805</v>
      </c>
      <c r="Q4452" t="s">
        <v>11448</v>
      </c>
      <c r="S4452" t="s">
        <v>14827</v>
      </c>
      <c r="U4452" t="s">
        <v>484</v>
      </c>
      <c r="V4452">
        <v>0</v>
      </c>
      <c r="W4452" t="s">
        <v>14858</v>
      </c>
      <c r="X4452" t="s">
        <v>14863</v>
      </c>
      <c r="Z4452" t="s">
        <v>18581</v>
      </c>
      <c r="AA4452" t="s">
        <v>19966</v>
      </c>
      <c r="AB4452" t="s">
        <v>23717</v>
      </c>
      <c r="AC4452">
        <v>32</v>
      </c>
      <c r="AD4452" t="s">
        <v>24595</v>
      </c>
      <c r="AE4452" t="s">
        <v>11459</v>
      </c>
      <c r="AF4452">
        <v>2</v>
      </c>
      <c r="AG4452">
        <v>1</v>
      </c>
      <c r="AH4452">
        <v>0</v>
      </c>
      <c r="AI4452">
        <v>0</v>
      </c>
      <c r="AL4452" t="s">
        <v>5011</v>
      </c>
      <c r="AM4452">
        <v>0</v>
      </c>
      <c r="AS4452">
        <v>11.4</v>
      </c>
      <c r="AT4452" t="s">
        <v>509</v>
      </c>
      <c r="AU4452" t="s">
        <v>25242</v>
      </c>
      <c r="AV4452" t="s">
        <v>25335</v>
      </c>
      <c r="AW4452" t="s">
        <v>11447</v>
      </c>
    </row>
    <row r="4453" spans="1:49">
      <c r="A4453" s="1">
        <f>HYPERLINK("https://lsnyc.legalserver.org/matter/dynamic-profile/view/1908027","19-1908027")</f>
        <v>0</v>
      </c>
      <c r="B4453" t="s">
        <v>69</v>
      </c>
      <c r="C4453" t="s">
        <v>455</v>
      </c>
      <c r="E4453" t="s">
        <v>2100</v>
      </c>
      <c r="F4453" t="s">
        <v>4646</v>
      </c>
      <c r="G4453" t="s">
        <v>7675</v>
      </c>
      <c r="H4453" t="s">
        <v>10547</v>
      </c>
      <c r="I4453" t="s">
        <v>11383</v>
      </c>
      <c r="J4453">
        <v>10467</v>
      </c>
      <c r="K4453" t="s">
        <v>11446</v>
      </c>
      <c r="L4453" t="s">
        <v>13973</v>
      </c>
      <c r="M4453" t="s">
        <v>14744</v>
      </c>
      <c r="N4453" t="s">
        <v>14781</v>
      </c>
      <c r="P4453" t="s">
        <v>14805</v>
      </c>
      <c r="Q4453" t="s">
        <v>11448</v>
      </c>
      <c r="S4453" t="s">
        <v>14827</v>
      </c>
      <c r="T4453" t="s">
        <v>14832</v>
      </c>
      <c r="U4453" t="s">
        <v>484</v>
      </c>
      <c r="V4453">
        <v>1333.64</v>
      </c>
      <c r="W4453" t="s">
        <v>14858</v>
      </c>
      <c r="X4453" t="s">
        <v>14868</v>
      </c>
      <c r="Z4453" t="s">
        <v>16541</v>
      </c>
      <c r="AB4453" t="s">
        <v>21579</v>
      </c>
      <c r="AC4453">
        <v>48</v>
      </c>
      <c r="AD4453" t="s">
        <v>24595</v>
      </c>
      <c r="AE4453" t="s">
        <v>11459</v>
      </c>
      <c r="AF4453">
        <v>27</v>
      </c>
      <c r="AG4453">
        <v>4</v>
      </c>
      <c r="AH4453">
        <v>0</v>
      </c>
      <c r="AI4453">
        <v>54.34</v>
      </c>
      <c r="AL4453" t="s">
        <v>5011</v>
      </c>
      <c r="AM4453">
        <v>13992</v>
      </c>
      <c r="AS4453">
        <v>14.5</v>
      </c>
      <c r="AT4453" t="s">
        <v>537</v>
      </c>
      <c r="AU4453" t="s">
        <v>25239</v>
      </c>
      <c r="AV4453" t="s">
        <v>25335</v>
      </c>
      <c r="AW4453" t="s">
        <v>11447</v>
      </c>
    </row>
    <row r="4454" spans="1:49">
      <c r="A4454" s="1">
        <f>HYPERLINK("https://lsnyc.legalserver.org/matter/dynamic-profile/view/1908454","19-1908454")</f>
        <v>0</v>
      </c>
      <c r="B4454" t="s">
        <v>257</v>
      </c>
      <c r="C4454" t="s">
        <v>466</v>
      </c>
      <c r="E4454" t="s">
        <v>1267</v>
      </c>
      <c r="F4454" t="s">
        <v>3839</v>
      </c>
      <c r="G4454" t="s">
        <v>9674</v>
      </c>
      <c r="H4454" t="s">
        <v>11260</v>
      </c>
      <c r="I4454" t="s">
        <v>11383</v>
      </c>
      <c r="J4454">
        <v>10463</v>
      </c>
      <c r="K4454" t="s">
        <v>11446</v>
      </c>
      <c r="L4454" t="s">
        <v>13974</v>
      </c>
      <c r="M4454" t="s">
        <v>14744</v>
      </c>
      <c r="N4454" t="s">
        <v>14781</v>
      </c>
      <c r="P4454" t="s">
        <v>14805</v>
      </c>
      <c r="Q4454" t="s">
        <v>11448</v>
      </c>
      <c r="S4454" t="s">
        <v>14827</v>
      </c>
      <c r="U4454" t="s">
        <v>484</v>
      </c>
      <c r="V4454">
        <v>1600</v>
      </c>
      <c r="W4454" t="s">
        <v>14858</v>
      </c>
      <c r="X4454" t="s">
        <v>14868</v>
      </c>
      <c r="Z4454" t="s">
        <v>15810</v>
      </c>
      <c r="AA4454" t="s">
        <v>19967</v>
      </c>
      <c r="AB4454" t="s">
        <v>23718</v>
      </c>
      <c r="AC4454">
        <v>45</v>
      </c>
      <c r="AD4454" t="s">
        <v>24595</v>
      </c>
      <c r="AF4454">
        <v>5</v>
      </c>
      <c r="AG4454">
        <v>4</v>
      </c>
      <c r="AH4454">
        <v>1</v>
      </c>
      <c r="AI4454">
        <v>84.19</v>
      </c>
      <c r="AL4454" t="s">
        <v>5011</v>
      </c>
      <c r="AM4454">
        <v>25400</v>
      </c>
      <c r="AS4454">
        <v>11.5</v>
      </c>
      <c r="AT4454" t="s">
        <v>478</v>
      </c>
      <c r="AU4454" t="s">
        <v>25252</v>
      </c>
      <c r="AV4454" t="s">
        <v>25335</v>
      </c>
      <c r="AW4454" t="s">
        <v>11447</v>
      </c>
    </row>
    <row r="4455" spans="1:49">
      <c r="A4455" s="1">
        <f>HYPERLINK("https://lsnyc.legalserver.org/matter/dynamic-profile/view/1911381","19-1911381")</f>
        <v>0</v>
      </c>
      <c r="B4455" t="s">
        <v>300</v>
      </c>
      <c r="C4455" t="s">
        <v>467</v>
      </c>
      <c r="E4455" t="s">
        <v>2823</v>
      </c>
      <c r="F4455" t="s">
        <v>3662</v>
      </c>
      <c r="G4455" t="s">
        <v>9667</v>
      </c>
      <c r="H4455" t="s">
        <v>10529</v>
      </c>
      <c r="I4455" t="s">
        <v>11383</v>
      </c>
      <c r="J4455">
        <v>10468</v>
      </c>
      <c r="K4455" t="s">
        <v>11446</v>
      </c>
      <c r="L4455" t="s">
        <v>13975</v>
      </c>
      <c r="M4455" t="s">
        <v>14744</v>
      </c>
      <c r="N4455" t="s">
        <v>14781</v>
      </c>
      <c r="P4455" t="s">
        <v>14805</v>
      </c>
      <c r="Q4455" t="s">
        <v>11448</v>
      </c>
      <c r="S4455" t="s">
        <v>14827</v>
      </c>
      <c r="T4455" t="s">
        <v>14833</v>
      </c>
      <c r="U4455" t="s">
        <v>484</v>
      </c>
      <c r="V4455">
        <v>1573.36</v>
      </c>
      <c r="W4455" t="s">
        <v>14858</v>
      </c>
      <c r="X4455" t="s">
        <v>14865</v>
      </c>
      <c r="Z4455" t="s">
        <v>18582</v>
      </c>
      <c r="AA4455" t="s">
        <v>19968</v>
      </c>
      <c r="AB4455" t="s">
        <v>23719</v>
      </c>
      <c r="AC4455">
        <v>47</v>
      </c>
      <c r="AD4455" t="s">
        <v>24595</v>
      </c>
      <c r="AE4455" t="s">
        <v>11459</v>
      </c>
      <c r="AF4455">
        <v>3</v>
      </c>
      <c r="AG4455">
        <v>3</v>
      </c>
      <c r="AH4455">
        <v>7</v>
      </c>
      <c r="AI4455">
        <v>93.51000000000001</v>
      </c>
      <c r="AL4455" t="s">
        <v>24632</v>
      </c>
      <c r="AM4455">
        <v>48880</v>
      </c>
      <c r="AS4455">
        <v>10.25</v>
      </c>
      <c r="AT4455" t="s">
        <v>477</v>
      </c>
      <c r="AU4455" t="s">
        <v>25239</v>
      </c>
      <c r="AV4455" t="s">
        <v>25334</v>
      </c>
      <c r="AW4455" t="s">
        <v>11447</v>
      </c>
    </row>
    <row r="4456" spans="1:49">
      <c r="A4456" s="1">
        <f>HYPERLINK("https://lsnyc.legalserver.org/matter/dynamic-profile/view/1913592","19-1913592")</f>
        <v>0</v>
      </c>
      <c r="B4456" t="s">
        <v>302</v>
      </c>
      <c r="C4456" t="s">
        <v>515</v>
      </c>
      <c r="E4456" t="s">
        <v>1244</v>
      </c>
      <c r="F4456" t="s">
        <v>3622</v>
      </c>
      <c r="G4456" t="s">
        <v>9431</v>
      </c>
      <c r="H4456">
        <v>6</v>
      </c>
      <c r="I4456" t="s">
        <v>11383</v>
      </c>
      <c r="J4456">
        <v>10457</v>
      </c>
      <c r="K4456" t="s">
        <v>11446</v>
      </c>
      <c r="L4456" t="s">
        <v>13976</v>
      </c>
      <c r="M4456" t="s">
        <v>14744</v>
      </c>
      <c r="N4456" t="s">
        <v>14781</v>
      </c>
      <c r="P4456" t="s">
        <v>14805</v>
      </c>
      <c r="Q4456" t="s">
        <v>11448</v>
      </c>
      <c r="S4456" t="s">
        <v>14827</v>
      </c>
      <c r="U4456" t="s">
        <v>484</v>
      </c>
      <c r="V4456">
        <v>1315</v>
      </c>
      <c r="W4456" t="s">
        <v>14858</v>
      </c>
      <c r="X4456" t="s">
        <v>14863</v>
      </c>
      <c r="Z4456" t="s">
        <v>18583</v>
      </c>
      <c r="AB4456" t="s">
        <v>23720</v>
      </c>
      <c r="AC4456">
        <v>0</v>
      </c>
      <c r="AD4456" t="s">
        <v>24596</v>
      </c>
      <c r="AE4456" t="s">
        <v>24610</v>
      </c>
      <c r="AF4456">
        <v>8</v>
      </c>
      <c r="AG4456">
        <v>1</v>
      </c>
      <c r="AH4456">
        <v>1</v>
      </c>
      <c r="AI4456">
        <v>109.92</v>
      </c>
      <c r="AL4456" t="s">
        <v>24632</v>
      </c>
      <c r="AM4456">
        <v>18588</v>
      </c>
      <c r="AS4456">
        <v>0.35</v>
      </c>
      <c r="AT4456" t="s">
        <v>516</v>
      </c>
      <c r="AU4456" t="s">
        <v>25268</v>
      </c>
      <c r="AV4456" t="s">
        <v>25335</v>
      </c>
      <c r="AW4456" t="s">
        <v>11447</v>
      </c>
    </row>
    <row r="4457" spans="1:49">
      <c r="A4457" s="1">
        <f>HYPERLINK("https://lsnyc.legalserver.org/matter/dynamic-profile/view/1913439","19-1913439")</f>
        <v>0</v>
      </c>
      <c r="B4457" t="s">
        <v>96</v>
      </c>
      <c r="C4457" t="s">
        <v>484</v>
      </c>
      <c r="E4457" t="s">
        <v>1378</v>
      </c>
      <c r="F4457" t="s">
        <v>3875</v>
      </c>
      <c r="G4457" t="s">
        <v>6695</v>
      </c>
      <c r="H4457">
        <v>12</v>
      </c>
      <c r="I4457" t="s">
        <v>11383</v>
      </c>
      <c r="J4457">
        <v>10457</v>
      </c>
      <c r="K4457" t="s">
        <v>11446</v>
      </c>
      <c r="L4457" t="s">
        <v>11569</v>
      </c>
      <c r="M4457" t="s">
        <v>14744</v>
      </c>
      <c r="N4457" t="s">
        <v>14781</v>
      </c>
      <c r="P4457" t="s">
        <v>14805</v>
      </c>
      <c r="Q4457" t="s">
        <v>11448</v>
      </c>
      <c r="S4457" t="s">
        <v>14827</v>
      </c>
      <c r="T4457" t="s">
        <v>14832</v>
      </c>
      <c r="U4457" t="s">
        <v>484</v>
      </c>
      <c r="V4457">
        <v>804</v>
      </c>
      <c r="W4457" t="s">
        <v>14858</v>
      </c>
      <c r="X4457" t="s">
        <v>14863</v>
      </c>
      <c r="Z4457" t="s">
        <v>15323</v>
      </c>
      <c r="AB4457" t="s">
        <v>20471</v>
      </c>
      <c r="AC4457">
        <v>15</v>
      </c>
      <c r="AE4457" t="s">
        <v>11459</v>
      </c>
      <c r="AF4457">
        <v>10</v>
      </c>
      <c r="AG4457">
        <v>1</v>
      </c>
      <c r="AH4457">
        <v>0</v>
      </c>
      <c r="AI4457">
        <v>156.96</v>
      </c>
      <c r="AL4457" t="s">
        <v>5011</v>
      </c>
      <c r="AM4457">
        <v>19604</v>
      </c>
      <c r="AS4457">
        <v>1.2</v>
      </c>
      <c r="AT4457" t="s">
        <v>592</v>
      </c>
      <c r="AU4457" t="s">
        <v>245</v>
      </c>
      <c r="AV4457" t="s">
        <v>25335</v>
      </c>
      <c r="AW4457" t="s">
        <v>11447</v>
      </c>
    </row>
    <row r="4458" spans="1:49">
      <c r="A4458" s="1">
        <f>HYPERLINK("https://lsnyc.legalserver.org/matter/dynamic-profile/view/1911732","19-1911732")</f>
        <v>0</v>
      </c>
      <c r="B4458" t="s">
        <v>272</v>
      </c>
      <c r="C4458" t="s">
        <v>505</v>
      </c>
      <c r="E4458" t="s">
        <v>3186</v>
      </c>
      <c r="F4458" t="s">
        <v>5355</v>
      </c>
      <c r="G4458" t="s">
        <v>9675</v>
      </c>
      <c r="H4458" t="s">
        <v>10581</v>
      </c>
      <c r="I4458" t="s">
        <v>11383</v>
      </c>
      <c r="J4458">
        <v>10467</v>
      </c>
      <c r="K4458" t="s">
        <v>11446</v>
      </c>
      <c r="L4458" t="s">
        <v>13977</v>
      </c>
      <c r="M4458" t="s">
        <v>14744</v>
      </c>
      <c r="N4458" t="s">
        <v>14781</v>
      </c>
      <c r="P4458" t="s">
        <v>14805</v>
      </c>
      <c r="Q4458" t="s">
        <v>11448</v>
      </c>
      <c r="S4458" t="s">
        <v>14827</v>
      </c>
      <c r="T4458" t="s">
        <v>14832</v>
      </c>
      <c r="U4458" t="s">
        <v>484</v>
      </c>
      <c r="V4458">
        <v>1142</v>
      </c>
      <c r="W4458" t="s">
        <v>14858</v>
      </c>
      <c r="X4458" t="s">
        <v>14863</v>
      </c>
      <c r="Z4458" t="s">
        <v>18584</v>
      </c>
      <c r="AB4458" t="s">
        <v>23721</v>
      </c>
      <c r="AC4458">
        <v>53</v>
      </c>
      <c r="AD4458" t="s">
        <v>24595</v>
      </c>
      <c r="AE4458" t="s">
        <v>11459</v>
      </c>
      <c r="AF4458">
        <v>10</v>
      </c>
      <c r="AG4458">
        <v>1</v>
      </c>
      <c r="AH4458">
        <v>2</v>
      </c>
      <c r="AI4458">
        <v>168.78</v>
      </c>
      <c r="AL4458" t="s">
        <v>5011</v>
      </c>
      <c r="AM4458">
        <v>36000</v>
      </c>
      <c r="AS4458">
        <v>4.15</v>
      </c>
      <c r="AT4458" t="s">
        <v>516</v>
      </c>
      <c r="AU4458" t="s">
        <v>25242</v>
      </c>
      <c r="AV4458" t="s">
        <v>25335</v>
      </c>
      <c r="AW4458" t="s">
        <v>11447</v>
      </c>
    </row>
    <row r="4459" spans="1:49">
      <c r="A4459" s="1">
        <f>HYPERLINK("https://lsnyc.legalserver.org/matter/dynamic-profile/view/1898706","19-1898706")</f>
        <v>0</v>
      </c>
      <c r="B4459" t="s">
        <v>273</v>
      </c>
      <c r="C4459" t="s">
        <v>518</v>
      </c>
      <c r="E4459" t="s">
        <v>1423</v>
      </c>
      <c r="F4459" t="s">
        <v>1395</v>
      </c>
      <c r="G4459" t="s">
        <v>9676</v>
      </c>
      <c r="H4459" t="s">
        <v>11182</v>
      </c>
      <c r="I4459" t="s">
        <v>11383</v>
      </c>
      <c r="J4459">
        <v>10467</v>
      </c>
      <c r="K4459" t="s">
        <v>11446</v>
      </c>
      <c r="L4459" t="s">
        <v>13978</v>
      </c>
      <c r="M4459" t="s">
        <v>14744</v>
      </c>
      <c r="N4459" t="s">
        <v>14781</v>
      </c>
      <c r="P4459" t="s">
        <v>14805</v>
      </c>
      <c r="Q4459" t="s">
        <v>11448</v>
      </c>
      <c r="S4459" t="s">
        <v>14827</v>
      </c>
      <c r="U4459" t="s">
        <v>484</v>
      </c>
      <c r="V4459">
        <v>0</v>
      </c>
      <c r="W4459" t="s">
        <v>14858</v>
      </c>
      <c r="Z4459" t="s">
        <v>18585</v>
      </c>
      <c r="AC4459">
        <v>451</v>
      </c>
      <c r="AD4459" t="s">
        <v>24597</v>
      </c>
      <c r="AF4459">
        <v>0</v>
      </c>
      <c r="AG4459">
        <v>2</v>
      </c>
      <c r="AH4459">
        <v>0</v>
      </c>
      <c r="AI4459">
        <v>248.37</v>
      </c>
      <c r="AL4459" t="s">
        <v>5011</v>
      </c>
      <c r="AM4459">
        <v>42000</v>
      </c>
      <c r="AS4459">
        <v>16.3</v>
      </c>
      <c r="AT4459" t="s">
        <v>338</v>
      </c>
      <c r="AU4459" t="s">
        <v>145</v>
      </c>
      <c r="AV4459" t="s">
        <v>25335</v>
      </c>
      <c r="AW4459" t="s">
        <v>11446</v>
      </c>
    </row>
    <row r="4460" spans="1:49">
      <c r="A4460" s="1">
        <f>HYPERLINK("https://lsnyc.legalserver.org/matter/dynamic-profile/view/1913626","19-1913626")</f>
        <v>0</v>
      </c>
      <c r="B4460" t="s">
        <v>302</v>
      </c>
      <c r="C4460" t="s">
        <v>477</v>
      </c>
      <c r="E4460" t="s">
        <v>1496</v>
      </c>
      <c r="F4460" t="s">
        <v>3547</v>
      </c>
      <c r="G4460" t="s">
        <v>9677</v>
      </c>
      <c r="H4460" t="s">
        <v>10730</v>
      </c>
      <c r="I4460" t="s">
        <v>11383</v>
      </c>
      <c r="J4460">
        <v>10467</v>
      </c>
      <c r="K4460" t="s">
        <v>11446</v>
      </c>
      <c r="L4460" t="s">
        <v>13979</v>
      </c>
      <c r="M4460" t="s">
        <v>14744</v>
      </c>
      <c r="N4460" t="s">
        <v>14781</v>
      </c>
      <c r="P4460" t="s">
        <v>14805</v>
      </c>
      <c r="Q4460" t="s">
        <v>11448</v>
      </c>
      <c r="S4460" t="s">
        <v>14827</v>
      </c>
      <c r="T4460" t="s">
        <v>14832</v>
      </c>
      <c r="U4460" t="s">
        <v>477</v>
      </c>
      <c r="V4460">
        <v>1526.97</v>
      </c>
      <c r="W4460" t="s">
        <v>14858</v>
      </c>
      <c r="X4460" t="s">
        <v>14865</v>
      </c>
      <c r="Z4460" t="s">
        <v>18586</v>
      </c>
      <c r="AA4460" t="s">
        <v>19969</v>
      </c>
      <c r="AB4460" t="s">
        <v>23722</v>
      </c>
      <c r="AC4460">
        <v>13</v>
      </c>
      <c r="AD4460" t="s">
        <v>24595</v>
      </c>
      <c r="AE4460" t="s">
        <v>24610</v>
      </c>
      <c r="AF4460">
        <v>14</v>
      </c>
      <c r="AG4460">
        <v>2</v>
      </c>
      <c r="AH4460">
        <v>0</v>
      </c>
      <c r="AI4460">
        <v>61.5</v>
      </c>
      <c r="AL4460" t="s">
        <v>24632</v>
      </c>
      <c r="AM4460">
        <v>10400</v>
      </c>
      <c r="AS4460">
        <v>5</v>
      </c>
      <c r="AT4460" t="s">
        <v>509</v>
      </c>
      <c r="AU4460" t="s">
        <v>25311</v>
      </c>
      <c r="AV4460" t="s">
        <v>25334</v>
      </c>
      <c r="AW4460" t="s">
        <v>11447</v>
      </c>
    </row>
    <row r="4461" spans="1:49">
      <c r="A4461" s="1">
        <f>HYPERLINK("https://lsnyc.legalserver.org/matter/dynamic-profile/view/1913526","19-1913526")</f>
        <v>0</v>
      </c>
      <c r="B4461" t="s">
        <v>241</v>
      </c>
      <c r="C4461" t="s">
        <v>477</v>
      </c>
      <c r="E4461" t="s">
        <v>1108</v>
      </c>
      <c r="F4461" t="s">
        <v>3561</v>
      </c>
      <c r="G4461" t="s">
        <v>9678</v>
      </c>
      <c r="H4461" t="s">
        <v>10555</v>
      </c>
      <c r="I4461" t="s">
        <v>11383</v>
      </c>
      <c r="J4461">
        <v>10457</v>
      </c>
      <c r="K4461" t="s">
        <v>11446</v>
      </c>
      <c r="L4461" t="s">
        <v>13980</v>
      </c>
      <c r="M4461" t="s">
        <v>14744</v>
      </c>
      <c r="N4461" t="s">
        <v>14781</v>
      </c>
      <c r="P4461" t="s">
        <v>14805</v>
      </c>
      <c r="Q4461" t="s">
        <v>11448</v>
      </c>
      <c r="S4461" t="s">
        <v>14827</v>
      </c>
      <c r="U4461" t="s">
        <v>477</v>
      </c>
      <c r="V4461">
        <v>881</v>
      </c>
      <c r="W4461" t="s">
        <v>14858</v>
      </c>
      <c r="X4461" t="s">
        <v>14865</v>
      </c>
      <c r="Z4461" t="s">
        <v>18587</v>
      </c>
      <c r="AA4461" t="s">
        <v>19970</v>
      </c>
      <c r="AB4461" t="s">
        <v>23723</v>
      </c>
      <c r="AC4461">
        <v>97</v>
      </c>
      <c r="AD4461" t="s">
        <v>24595</v>
      </c>
      <c r="AE4461" t="s">
        <v>24610</v>
      </c>
      <c r="AF4461">
        <v>3</v>
      </c>
      <c r="AG4461">
        <v>1</v>
      </c>
      <c r="AH4461">
        <v>0</v>
      </c>
      <c r="AI4461">
        <v>110.01</v>
      </c>
      <c r="AL4461" t="s">
        <v>24632</v>
      </c>
      <c r="AM4461">
        <v>13740</v>
      </c>
      <c r="AS4461">
        <v>10.2</v>
      </c>
      <c r="AT4461" t="s">
        <v>654</v>
      </c>
      <c r="AU4461" t="s">
        <v>145</v>
      </c>
      <c r="AV4461" t="s">
        <v>25335</v>
      </c>
      <c r="AW4461" t="s">
        <v>11447</v>
      </c>
    </row>
    <row r="4462" spans="1:49">
      <c r="A4462" s="1">
        <f>HYPERLINK("https://lsnyc.legalserver.org/matter/dynamic-profile/view/1913530","19-1913530")</f>
        <v>0</v>
      </c>
      <c r="B4462" t="s">
        <v>300</v>
      </c>
      <c r="C4462" t="s">
        <v>477</v>
      </c>
      <c r="E4462" t="s">
        <v>3187</v>
      </c>
      <c r="F4462" t="s">
        <v>1035</v>
      </c>
      <c r="G4462" t="s">
        <v>9679</v>
      </c>
      <c r="H4462" t="s">
        <v>10844</v>
      </c>
      <c r="I4462" t="s">
        <v>11383</v>
      </c>
      <c r="J4462">
        <v>10457</v>
      </c>
      <c r="K4462" t="s">
        <v>11446</v>
      </c>
      <c r="L4462" t="s">
        <v>13981</v>
      </c>
      <c r="M4462" t="s">
        <v>14744</v>
      </c>
      <c r="N4462" t="s">
        <v>14781</v>
      </c>
      <c r="P4462" t="s">
        <v>14805</v>
      </c>
      <c r="Q4462" t="s">
        <v>11448</v>
      </c>
      <c r="S4462" t="s">
        <v>14827</v>
      </c>
      <c r="U4462" t="s">
        <v>477</v>
      </c>
      <c r="V4462">
        <v>1174</v>
      </c>
      <c r="W4462" t="s">
        <v>14858</v>
      </c>
      <c r="X4462" t="s">
        <v>14865</v>
      </c>
      <c r="Z4462" t="s">
        <v>18588</v>
      </c>
      <c r="AB4462" t="s">
        <v>23724</v>
      </c>
      <c r="AC4462">
        <v>110</v>
      </c>
      <c r="AD4462" t="s">
        <v>11479</v>
      </c>
      <c r="AE4462" t="s">
        <v>24612</v>
      </c>
      <c r="AF4462">
        <v>6</v>
      </c>
      <c r="AG4462">
        <v>2</v>
      </c>
      <c r="AH4462">
        <v>0</v>
      </c>
      <c r="AI4462">
        <v>111.18</v>
      </c>
      <c r="AL4462" t="s">
        <v>5011</v>
      </c>
      <c r="AM4462">
        <v>18800</v>
      </c>
      <c r="AS4462">
        <v>1.55</v>
      </c>
      <c r="AT4462" t="s">
        <v>537</v>
      </c>
      <c r="AU4462" t="s">
        <v>25239</v>
      </c>
      <c r="AV4462" t="s">
        <v>25335</v>
      </c>
      <c r="AW4462" t="s">
        <v>11447</v>
      </c>
    </row>
    <row r="4463" spans="1:49">
      <c r="A4463" s="1">
        <f>HYPERLINK("https://lsnyc.legalserver.org/matter/dynamic-profile/view/1913535","19-1913535")</f>
        <v>0</v>
      </c>
      <c r="B4463" t="s">
        <v>241</v>
      </c>
      <c r="C4463" t="s">
        <v>477</v>
      </c>
      <c r="E4463" t="s">
        <v>2865</v>
      </c>
      <c r="F4463" t="s">
        <v>5836</v>
      </c>
      <c r="G4463" t="s">
        <v>9680</v>
      </c>
      <c r="H4463" t="s">
        <v>11261</v>
      </c>
      <c r="I4463" t="s">
        <v>11383</v>
      </c>
      <c r="J4463">
        <v>10467</v>
      </c>
      <c r="K4463" t="s">
        <v>11446</v>
      </c>
      <c r="L4463" t="s">
        <v>13982</v>
      </c>
      <c r="M4463" t="s">
        <v>14744</v>
      </c>
      <c r="N4463" t="s">
        <v>14781</v>
      </c>
      <c r="P4463" t="s">
        <v>14805</v>
      </c>
      <c r="Q4463" t="s">
        <v>11448</v>
      </c>
      <c r="S4463" t="s">
        <v>14827</v>
      </c>
      <c r="U4463" t="s">
        <v>477</v>
      </c>
      <c r="V4463">
        <v>599</v>
      </c>
      <c r="W4463" t="s">
        <v>14858</v>
      </c>
      <c r="Z4463" t="s">
        <v>18589</v>
      </c>
      <c r="AB4463" t="s">
        <v>23725</v>
      </c>
      <c r="AC4463">
        <v>0</v>
      </c>
      <c r="AD4463" t="s">
        <v>24597</v>
      </c>
      <c r="AF4463">
        <v>30</v>
      </c>
      <c r="AG4463">
        <v>1</v>
      </c>
      <c r="AH4463">
        <v>1</v>
      </c>
      <c r="AI4463">
        <v>123</v>
      </c>
      <c r="AL4463" t="s">
        <v>5011</v>
      </c>
      <c r="AM4463">
        <v>20800</v>
      </c>
      <c r="AS4463">
        <v>4.7</v>
      </c>
      <c r="AT4463" t="s">
        <v>495</v>
      </c>
      <c r="AU4463" t="s">
        <v>145</v>
      </c>
      <c r="AV4463" t="s">
        <v>25335</v>
      </c>
      <c r="AW4463" t="s">
        <v>11447</v>
      </c>
    </row>
    <row r="4464" spans="1:49">
      <c r="A4464" s="1">
        <f>HYPERLINK("https://lsnyc.legalserver.org/matter/dynamic-profile/view/1913692","19-1913692")</f>
        <v>0</v>
      </c>
      <c r="B4464" t="s">
        <v>302</v>
      </c>
      <c r="C4464" t="s">
        <v>476</v>
      </c>
      <c r="E4464" t="s">
        <v>1243</v>
      </c>
      <c r="F4464" t="s">
        <v>5837</v>
      </c>
      <c r="G4464" t="s">
        <v>9681</v>
      </c>
      <c r="H4464" t="s">
        <v>10542</v>
      </c>
      <c r="I4464" t="s">
        <v>11383</v>
      </c>
      <c r="J4464">
        <v>10457</v>
      </c>
      <c r="K4464" t="s">
        <v>11446</v>
      </c>
      <c r="L4464" t="s">
        <v>13983</v>
      </c>
      <c r="M4464" t="s">
        <v>14744</v>
      </c>
      <c r="N4464" t="s">
        <v>14781</v>
      </c>
      <c r="P4464" t="s">
        <v>14805</v>
      </c>
      <c r="Q4464" t="s">
        <v>11448</v>
      </c>
      <c r="S4464" t="s">
        <v>14827</v>
      </c>
      <c r="T4464" t="s">
        <v>14832</v>
      </c>
      <c r="U4464" t="s">
        <v>476</v>
      </c>
      <c r="V4464">
        <v>1300</v>
      </c>
      <c r="W4464" t="s">
        <v>14858</v>
      </c>
      <c r="X4464" t="s">
        <v>14865</v>
      </c>
      <c r="Z4464" t="s">
        <v>17078</v>
      </c>
      <c r="AA4464" t="s">
        <v>19971</v>
      </c>
      <c r="AB4464" t="s">
        <v>23726</v>
      </c>
      <c r="AC4464">
        <v>20</v>
      </c>
      <c r="AD4464" t="s">
        <v>24595</v>
      </c>
      <c r="AF4464">
        <v>1</v>
      </c>
      <c r="AG4464">
        <v>1</v>
      </c>
      <c r="AH4464">
        <v>2</v>
      </c>
      <c r="AI4464">
        <v>60.46</v>
      </c>
      <c r="AL4464" t="s">
        <v>24632</v>
      </c>
      <c r="AM4464">
        <v>12896</v>
      </c>
      <c r="AS4464">
        <v>5.5</v>
      </c>
      <c r="AT4464" t="s">
        <v>509</v>
      </c>
      <c r="AU4464" t="s">
        <v>25311</v>
      </c>
      <c r="AV4464" t="s">
        <v>25334</v>
      </c>
      <c r="AW4464" t="s">
        <v>11447</v>
      </c>
    </row>
    <row r="4465" spans="1:49">
      <c r="A4465" s="1">
        <f>HYPERLINK("https://lsnyc.legalserver.org/matter/dynamic-profile/view/1913766","19-1913766")</f>
        <v>0</v>
      </c>
      <c r="B4465" t="s">
        <v>241</v>
      </c>
      <c r="C4465" t="s">
        <v>476</v>
      </c>
      <c r="E4465" t="s">
        <v>3188</v>
      </c>
      <c r="F4465" t="s">
        <v>5355</v>
      </c>
      <c r="G4465" t="s">
        <v>9682</v>
      </c>
      <c r="H4465" t="s">
        <v>11262</v>
      </c>
      <c r="I4465" t="s">
        <v>11383</v>
      </c>
      <c r="J4465">
        <v>10467</v>
      </c>
      <c r="K4465" t="s">
        <v>11446</v>
      </c>
      <c r="L4465" t="s">
        <v>13984</v>
      </c>
      <c r="M4465" t="s">
        <v>14744</v>
      </c>
      <c r="N4465" t="s">
        <v>14778</v>
      </c>
      <c r="P4465" t="s">
        <v>14805</v>
      </c>
      <c r="Q4465" t="s">
        <v>11448</v>
      </c>
      <c r="S4465" t="s">
        <v>14827</v>
      </c>
      <c r="T4465" t="s">
        <v>14832</v>
      </c>
      <c r="U4465" t="s">
        <v>476</v>
      </c>
      <c r="V4465">
        <v>1675</v>
      </c>
      <c r="W4465" t="s">
        <v>14858</v>
      </c>
      <c r="X4465" t="s">
        <v>14865</v>
      </c>
      <c r="Z4465" t="s">
        <v>18590</v>
      </c>
      <c r="AB4465" t="s">
        <v>23727</v>
      </c>
      <c r="AC4465">
        <v>680</v>
      </c>
      <c r="AD4465" t="s">
        <v>24595</v>
      </c>
      <c r="AE4465" t="s">
        <v>11459</v>
      </c>
      <c r="AF4465">
        <v>1</v>
      </c>
      <c r="AG4465">
        <v>2</v>
      </c>
      <c r="AH4465">
        <v>0</v>
      </c>
      <c r="AI4465">
        <v>554.38</v>
      </c>
      <c r="AL4465" t="s">
        <v>5011</v>
      </c>
      <c r="AM4465">
        <v>93746</v>
      </c>
      <c r="AS4465">
        <v>1</v>
      </c>
      <c r="AT4465" t="s">
        <v>580</v>
      </c>
      <c r="AU4465" t="s">
        <v>25239</v>
      </c>
      <c r="AV4465" t="s">
        <v>25335</v>
      </c>
      <c r="AW4465" t="s">
        <v>11447</v>
      </c>
    </row>
    <row r="4466" spans="1:49">
      <c r="A4466" s="1">
        <f>HYPERLINK("https://lsnyc.legalserver.org/matter/dynamic-profile/view/1913820","19-1913820")</f>
        <v>0</v>
      </c>
      <c r="B4466" t="s">
        <v>256</v>
      </c>
      <c r="C4466" t="s">
        <v>533</v>
      </c>
      <c r="E4466" t="s">
        <v>1043</v>
      </c>
      <c r="F4466" t="s">
        <v>5838</v>
      </c>
      <c r="G4466" t="s">
        <v>8993</v>
      </c>
      <c r="H4466" t="s">
        <v>10481</v>
      </c>
      <c r="I4466" t="s">
        <v>11383</v>
      </c>
      <c r="J4466">
        <v>10466</v>
      </c>
      <c r="K4466" t="s">
        <v>11446</v>
      </c>
      <c r="L4466" t="s">
        <v>13201</v>
      </c>
      <c r="M4466" t="s">
        <v>14750</v>
      </c>
      <c r="N4466" t="s">
        <v>14783</v>
      </c>
      <c r="P4466" t="s">
        <v>14805</v>
      </c>
      <c r="Q4466" t="s">
        <v>11448</v>
      </c>
      <c r="S4466" t="s">
        <v>14828</v>
      </c>
      <c r="U4466" t="s">
        <v>533</v>
      </c>
      <c r="V4466">
        <v>1056</v>
      </c>
      <c r="W4466" t="s">
        <v>14858</v>
      </c>
      <c r="X4466" t="s">
        <v>14755</v>
      </c>
      <c r="Z4466" t="s">
        <v>18591</v>
      </c>
      <c r="AB4466" t="s">
        <v>23728</v>
      </c>
      <c r="AC4466">
        <v>0</v>
      </c>
      <c r="AD4466" t="s">
        <v>24597</v>
      </c>
      <c r="AE4466" t="s">
        <v>11459</v>
      </c>
      <c r="AF4466">
        <v>10</v>
      </c>
      <c r="AG4466">
        <v>2</v>
      </c>
      <c r="AH4466">
        <v>2</v>
      </c>
      <c r="AI4466">
        <v>180.66</v>
      </c>
      <c r="AL4466" t="s">
        <v>5011</v>
      </c>
      <c r="AM4466">
        <v>46520</v>
      </c>
      <c r="AN4466" t="s">
        <v>24900</v>
      </c>
      <c r="AS4466">
        <v>0</v>
      </c>
      <c r="AU4466" t="s">
        <v>221</v>
      </c>
      <c r="AV4466" t="s">
        <v>25335</v>
      </c>
      <c r="AW4466" t="s">
        <v>11447</v>
      </c>
    </row>
    <row r="4467" spans="1:49">
      <c r="A4467" s="1">
        <f>HYPERLINK("https://lsnyc.legalserver.org/matter/dynamic-profile/view/1913940","19-1913940")</f>
        <v>0</v>
      </c>
      <c r="B4467" t="s">
        <v>297</v>
      </c>
      <c r="C4467" t="s">
        <v>490</v>
      </c>
      <c r="E4467" t="s">
        <v>2034</v>
      </c>
      <c r="F4467" t="s">
        <v>5839</v>
      </c>
      <c r="G4467" t="s">
        <v>9614</v>
      </c>
      <c r="H4467">
        <v>4</v>
      </c>
      <c r="I4467" t="s">
        <v>11383</v>
      </c>
      <c r="J4467">
        <v>10468</v>
      </c>
      <c r="K4467" t="s">
        <v>11446</v>
      </c>
      <c r="L4467" t="s">
        <v>13985</v>
      </c>
      <c r="M4467" t="s">
        <v>14744</v>
      </c>
      <c r="N4467" t="s">
        <v>14781</v>
      </c>
      <c r="P4467" t="s">
        <v>14805</v>
      </c>
      <c r="Q4467" t="s">
        <v>11448</v>
      </c>
      <c r="S4467" t="s">
        <v>14827</v>
      </c>
      <c r="T4467" t="s">
        <v>14832</v>
      </c>
      <c r="U4467" t="s">
        <v>490</v>
      </c>
      <c r="V4467">
        <v>1079.48</v>
      </c>
      <c r="W4467" t="s">
        <v>14858</v>
      </c>
      <c r="X4467" t="s">
        <v>14863</v>
      </c>
      <c r="Z4467" t="s">
        <v>18592</v>
      </c>
      <c r="AC4467">
        <v>44</v>
      </c>
      <c r="AD4467" t="s">
        <v>11479</v>
      </c>
      <c r="AE4467" t="s">
        <v>11459</v>
      </c>
      <c r="AF4467">
        <v>6</v>
      </c>
      <c r="AG4467">
        <v>1</v>
      </c>
      <c r="AH4467">
        <v>3</v>
      </c>
      <c r="AI4467">
        <v>18.17</v>
      </c>
      <c r="AL4467" t="s">
        <v>24632</v>
      </c>
      <c r="AM4467">
        <v>4680</v>
      </c>
      <c r="AS4467">
        <v>1</v>
      </c>
      <c r="AT4467" t="s">
        <v>506</v>
      </c>
      <c r="AU4467" t="s">
        <v>25242</v>
      </c>
      <c r="AV4467" t="s">
        <v>25335</v>
      </c>
      <c r="AW4467" t="s">
        <v>11447</v>
      </c>
    </row>
    <row r="4468" spans="1:49">
      <c r="A4468" s="1">
        <f>HYPERLINK("https://lsnyc.legalserver.org/matter/dynamic-profile/view/1911862","19-1911862")</f>
        <v>0</v>
      </c>
      <c r="B4468" t="s">
        <v>306</v>
      </c>
      <c r="C4468" t="s">
        <v>645</v>
      </c>
      <c r="E4468" t="s">
        <v>1910</v>
      </c>
      <c r="F4468" t="s">
        <v>5452</v>
      </c>
      <c r="G4468" t="s">
        <v>8956</v>
      </c>
      <c r="H4468" t="s">
        <v>10581</v>
      </c>
      <c r="I4468" t="s">
        <v>11383</v>
      </c>
      <c r="J4468">
        <v>10468</v>
      </c>
      <c r="K4468" t="s">
        <v>11446</v>
      </c>
      <c r="L4468" t="s">
        <v>13986</v>
      </c>
      <c r="M4468" t="s">
        <v>14744</v>
      </c>
      <c r="N4468" t="s">
        <v>14781</v>
      </c>
      <c r="P4468" t="s">
        <v>14805</v>
      </c>
      <c r="Q4468" t="s">
        <v>11448</v>
      </c>
      <c r="S4468" t="s">
        <v>14827</v>
      </c>
      <c r="T4468" t="s">
        <v>14832</v>
      </c>
      <c r="U4468" t="s">
        <v>580</v>
      </c>
      <c r="V4468">
        <v>1147.96</v>
      </c>
      <c r="W4468" t="s">
        <v>14858</v>
      </c>
      <c r="X4468" t="s">
        <v>14873</v>
      </c>
      <c r="Z4468" t="s">
        <v>17850</v>
      </c>
      <c r="AB4468" t="s">
        <v>22935</v>
      </c>
      <c r="AC4468">
        <v>53</v>
      </c>
      <c r="AD4468" t="s">
        <v>24595</v>
      </c>
      <c r="AE4468" t="s">
        <v>11459</v>
      </c>
      <c r="AF4468">
        <v>27</v>
      </c>
      <c r="AG4468">
        <v>1</v>
      </c>
      <c r="AH4468">
        <v>0</v>
      </c>
      <c r="AI4468">
        <v>74.08</v>
      </c>
      <c r="AL4468" t="s">
        <v>24632</v>
      </c>
      <c r="AM4468">
        <v>9252</v>
      </c>
      <c r="AS4468">
        <v>11.3</v>
      </c>
      <c r="AT4468" t="s">
        <v>516</v>
      </c>
      <c r="AU4468" t="s">
        <v>25252</v>
      </c>
      <c r="AV4468" t="s">
        <v>25335</v>
      </c>
      <c r="AW4468" t="s">
        <v>11447</v>
      </c>
    </row>
    <row r="4469" spans="1:49">
      <c r="A4469" s="1">
        <f>HYPERLINK("https://lsnyc.legalserver.org/matter/dynamic-profile/view/1910627","19-1910627")</f>
        <v>0</v>
      </c>
      <c r="B4469" t="s">
        <v>79</v>
      </c>
      <c r="C4469" t="s">
        <v>644</v>
      </c>
      <c r="E4469" t="s">
        <v>3189</v>
      </c>
      <c r="F4469" t="s">
        <v>4079</v>
      </c>
      <c r="G4469" t="s">
        <v>9683</v>
      </c>
      <c r="H4469" t="s">
        <v>10522</v>
      </c>
      <c r="I4469" t="s">
        <v>11383</v>
      </c>
      <c r="J4469">
        <v>10457</v>
      </c>
      <c r="K4469" t="s">
        <v>11446</v>
      </c>
      <c r="L4469" t="s">
        <v>13987</v>
      </c>
      <c r="M4469" t="s">
        <v>14743</v>
      </c>
      <c r="N4469" t="s">
        <v>14781</v>
      </c>
      <c r="P4469" t="s">
        <v>14805</v>
      </c>
      <c r="Q4469" t="s">
        <v>11448</v>
      </c>
      <c r="S4469" t="s">
        <v>14827</v>
      </c>
      <c r="U4469" t="s">
        <v>478</v>
      </c>
      <c r="V4469">
        <v>1045.5</v>
      </c>
      <c r="W4469" t="s">
        <v>14858</v>
      </c>
      <c r="X4469" t="s">
        <v>14872</v>
      </c>
      <c r="Z4469" t="s">
        <v>18593</v>
      </c>
      <c r="AB4469" t="s">
        <v>23729</v>
      </c>
      <c r="AC4469">
        <v>32</v>
      </c>
      <c r="AD4469" t="s">
        <v>24595</v>
      </c>
      <c r="AE4469" t="s">
        <v>11459</v>
      </c>
      <c r="AF4469">
        <v>4</v>
      </c>
      <c r="AG4469">
        <v>2</v>
      </c>
      <c r="AH4469">
        <v>0</v>
      </c>
      <c r="AI4469">
        <v>94.62</v>
      </c>
      <c r="AL4469" t="s">
        <v>5011</v>
      </c>
      <c r="AM4469">
        <v>16000</v>
      </c>
      <c r="AS4469">
        <v>1.7</v>
      </c>
      <c r="AT4469" t="s">
        <v>521</v>
      </c>
      <c r="AU4469" t="s">
        <v>25232</v>
      </c>
      <c r="AV4469" t="s">
        <v>25335</v>
      </c>
      <c r="AW4469" t="s">
        <v>11447</v>
      </c>
    </row>
    <row r="4470" spans="1:49">
      <c r="A4470" s="1">
        <f>HYPERLINK("https://lsnyc.legalserver.org/matter/dynamic-profile/view/1912520","19-1912520")</f>
        <v>0</v>
      </c>
      <c r="B4470" t="s">
        <v>257</v>
      </c>
      <c r="C4470" t="s">
        <v>489</v>
      </c>
      <c r="E4470" t="s">
        <v>3190</v>
      </c>
      <c r="F4470" t="s">
        <v>1635</v>
      </c>
      <c r="G4470" t="s">
        <v>9684</v>
      </c>
      <c r="H4470" t="s">
        <v>10522</v>
      </c>
      <c r="I4470" t="s">
        <v>11383</v>
      </c>
      <c r="J4470">
        <v>10457</v>
      </c>
      <c r="K4470" t="s">
        <v>11446</v>
      </c>
      <c r="L4470" t="s">
        <v>13988</v>
      </c>
      <c r="M4470" t="s">
        <v>14744</v>
      </c>
      <c r="N4470" t="s">
        <v>14781</v>
      </c>
      <c r="P4470" t="s">
        <v>14805</v>
      </c>
      <c r="Q4470" t="s">
        <v>11448</v>
      </c>
      <c r="S4470" t="s">
        <v>14827</v>
      </c>
      <c r="T4470" t="s">
        <v>14833</v>
      </c>
      <c r="U4470" t="s">
        <v>478</v>
      </c>
      <c r="V4470">
        <v>1009.8</v>
      </c>
      <c r="W4470" t="s">
        <v>14858</v>
      </c>
      <c r="X4470" t="s">
        <v>14873</v>
      </c>
      <c r="Z4470" t="s">
        <v>18594</v>
      </c>
      <c r="AB4470" t="s">
        <v>23730</v>
      </c>
      <c r="AC4470">
        <v>42</v>
      </c>
      <c r="AD4470" t="s">
        <v>24595</v>
      </c>
      <c r="AE4470" t="s">
        <v>11459</v>
      </c>
      <c r="AF4470">
        <v>8</v>
      </c>
      <c r="AG4470">
        <v>2</v>
      </c>
      <c r="AH4470">
        <v>0</v>
      </c>
      <c r="AI4470">
        <v>141.93</v>
      </c>
      <c r="AL4470" t="s">
        <v>5011</v>
      </c>
      <c r="AM4470">
        <v>24000</v>
      </c>
      <c r="AS4470">
        <v>6.4</v>
      </c>
      <c r="AT4470" t="s">
        <v>654</v>
      </c>
      <c r="AU4470" t="s">
        <v>25252</v>
      </c>
      <c r="AV4470" t="s">
        <v>25335</v>
      </c>
      <c r="AW4470" t="s">
        <v>11447</v>
      </c>
    </row>
    <row r="4471" spans="1:49">
      <c r="A4471" s="1">
        <f>HYPERLINK("https://lsnyc.legalserver.org/matter/dynamic-profile/view/1909856","19-1909856")</f>
        <v>0</v>
      </c>
      <c r="B4471" t="s">
        <v>49</v>
      </c>
      <c r="C4471" t="s">
        <v>504</v>
      </c>
      <c r="E4471" t="s">
        <v>1249</v>
      </c>
      <c r="F4471" t="s">
        <v>3939</v>
      </c>
      <c r="G4471" t="s">
        <v>9685</v>
      </c>
      <c r="H4471">
        <v>85</v>
      </c>
      <c r="I4471" t="s">
        <v>11383</v>
      </c>
      <c r="J4471">
        <v>10467</v>
      </c>
      <c r="K4471" t="s">
        <v>11446</v>
      </c>
      <c r="L4471" t="s">
        <v>13989</v>
      </c>
      <c r="M4471" t="s">
        <v>14744</v>
      </c>
      <c r="N4471" t="s">
        <v>14781</v>
      </c>
      <c r="P4471" t="s">
        <v>14805</v>
      </c>
      <c r="Q4471" t="s">
        <v>11448</v>
      </c>
      <c r="S4471" t="s">
        <v>14827</v>
      </c>
      <c r="U4471" t="s">
        <v>491</v>
      </c>
      <c r="V4471">
        <v>625</v>
      </c>
      <c r="W4471" t="s">
        <v>14858</v>
      </c>
      <c r="X4471" t="s">
        <v>14863</v>
      </c>
      <c r="Z4471" t="s">
        <v>18595</v>
      </c>
      <c r="AB4471" t="s">
        <v>23731</v>
      </c>
      <c r="AC4471">
        <v>121</v>
      </c>
      <c r="AD4471" t="s">
        <v>24597</v>
      </c>
      <c r="AF4471">
        <v>19</v>
      </c>
      <c r="AG4471">
        <v>1</v>
      </c>
      <c r="AH4471">
        <v>1</v>
      </c>
      <c r="AI4471">
        <v>147.6</v>
      </c>
      <c r="AL4471" t="s">
        <v>5011</v>
      </c>
      <c r="AM4471">
        <v>24960</v>
      </c>
      <c r="AS4471">
        <v>0</v>
      </c>
      <c r="AU4471" t="s">
        <v>145</v>
      </c>
      <c r="AV4471" t="s">
        <v>25335</v>
      </c>
      <c r="AW4471" t="s">
        <v>11447</v>
      </c>
    </row>
    <row r="4472" spans="1:49">
      <c r="A4472" s="1">
        <f>HYPERLINK("https://lsnyc.legalserver.org/matter/dynamic-profile/view/1912998","19-1912998")</f>
        <v>0</v>
      </c>
      <c r="B4472" t="s">
        <v>272</v>
      </c>
      <c r="C4472" t="s">
        <v>603</v>
      </c>
      <c r="E4472" t="s">
        <v>1218</v>
      </c>
      <c r="F4472" t="s">
        <v>1254</v>
      </c>
      <c r="G4472" t="s">
        <v>7962</v>
      </c>
      <c r="H4472" t="s">
        <v>10845</v>
      </c>
      <c r="I4472" t="s">
        <v>11383</v>
      </c>
      <c r="J4472">
        <v>10467</v>
      </c>
      <c r="K4472" t="s">
        <v>11446</v>
      </c>
      <c r="L4472" t="s">
        <v>13990</v>
      </c>
      <c r="M4472" t="s">
        <v>14744</v>
      </c>
      <c r="N4472" t="s">
        <v>14781</v>
      </c>
      <c r="P4472" t="s">
        <v>14805</v>
      </c>
      <c r="Q4472" t="s">
        <v>11448</v>
      </c>
      <c r="S4472" t="s">
        <v>14827</v>
      </c>
      <c r="T4472" t="s">
        <v>14832</v>
      </c>
      <c r="U4472" t="s">
        <v>495</v>
      </c>
      <c r="V4472">
        <v>483.6</v>
      </c>
      <c r="W4472" t="s">
        <v>14858</v>
      </c>
      <c r="X4472" t="s">
        <v>14863</v>
      </c>
      <c r="Z4472" t="s">
        <v>18596</v>
      </c>
      <c r="AB4472" t="s">
        <v>23732</v>
      </c>
      <c r="AC4472">
        <v>126</v>
      </c>
      <c r="AD4472" t="s">
        <v>24597</v>
      </c>
      <c r="AE4472" t="s">
        <v>24610</v>
      </c>
      <c r="AF4472">
        <v>29</v>
      </c>
      <c r="AG4472">
        <v>2</v>
      </c>
      <c r="AH4472">
        <v>0</v>
      </c>
      <c r="AI4472">
        <v>48.4</v>
      </c>
      <c r="AL4472" t="s">
        <v>5011</v>
      </c>
      <c r="AM4472">
        <v>8184</v>
      </c>
      <c r="AS4472">
        <v>5.3</v>
      </c>
      <c r="AT4472" t="s">
        <v>516</v>
      </c>
      <c r="AU4472" t="s">
        <v>25242</v>
      </c>
      <c r="AV4472" t="s">
        <v>25335</v>
      </c>
      <c r="AW4472" t="s">
        <v>11447</v>
      </c>
    </row>
    <row r="4473" spans="1:49">
      <c r="A4473" s="1">
        <f>HYPERLINK("https://lsnyc.legalserver.org/matter/dynamic-profile/view/1912170","19-1912170")</f>
        <v>0</v>
      </c>
      <c r="B4473" t="s">
        <v>272</v>
      </c>
      <c r="C4473" t="s">
        <v>559</v>
      </c>
      <c r="E4473" t="s">
        <v>3191</v>
      </c>
      <c r="F4473" t="s">
        <v>5840</v>
      </c>
      <c r="G4473" t="s">
        <v>9562</v>
      </c>
      <c r="H4473" t="s">
        <v>11263</v>
      </c>
      <c r="I4473" t="s">
        <v>11383</v>
      </c>
      <c r="J4473">
        <v>10457</v>
      </c>
      <c r="K4473" t="s">
        <v>11446</v>
      </c>
      <c r="L4473" t="s">
        <v>13991</v>
      </c>
      <c r="M4473" t="s">
        <v>14743</v>
      </c>
      <c r="N4473" t="s">
        <v>14781</v>
      </c>
      <c r="P4473" t="s">
        <v>14805</v>
      </c>
      <c r="Q4473" t="s">
        <v>11448</v>
      </c>
      <c r="S4473" t="s">
        <v>14827</v>
      </c>
      <c r="U4473" t="s">
        <v>495</v>
      </c>
      <c r="V4473">
        <v>1262.5</v>
      </c>
      <c r="W4473" t="s">
        <v>14858</v>
      </c>
      <c r="X4473" t="s">
        <v>14863</v>
      </c>
      <c r="Z4473" t="s">
        <v>18597</v>
      </c>
      <c r="AB4473" t="s">
        <v>23733</v>
      </c>
      <c r="AC4473">
        <v>221</v>
      </c>
      <c r="AD4473" t="s">
        <v>24595</v>
      </c>
      <c r="AE4473" t="s">
        <v>11459</v>
      </c>
      <c r="AF4473">
        <v>17</v>
      </c>
      <c r="AG4473">
        <v>2</v>
      </c>
      <c r="AH4473">
        <v>5</v>
      </c>
      <c r="AI4473">
        <v>53.32</v>
      </c>
      <c r="AL4473" t="s">
        <v>5011</v>
      </c>
      <c r="AM4473">
        <v>20800</v>
      </c>
      <c r="AS4473">
        <v>10.35</v>
      </c>
      <c r="AT4473" t="s">
        <v>592</v>
      </c>
      <c r="AU4473" t="s">
        <v>25242</v>
      </c>
      <c r="AV4473" t="s">
        <v>25335</v>
      </c>
      <c r="AW4473" t="s">
        <v>11447</v>
      </c>
    </row>
    <row r="4474" spans="1:49">
      <c r="A4474" s="1">
        <f>HYPERLINK("https://lsnyc.legalserver.org/matter/dynamic-profile/view/1902533","19-1902533")</f>
        <v>0</v>
      </c>
      <c r="B4474" t="s">
        <v>82</v>
      </c>
      <c r="C4474" t="s">
        <v>517</v>
      </c>
      <c r="E4474" t="s">
        <v>2459</v>
      </c>
      <c r="F4474" t="s">
        <v>4598</v>
      </c>
      <c r="G4474" t="s">
        <v>9653</v>
      </c>
      <c r="H4474" t="s">
        <v>10730</v>
      </c>
      <c r="I4474" t="s">
        <v>11383</v>
      </c>
      <c r="J4474">
        <v>10468</v>
      </c>
      <c r="K4474" t="s">
        <v>11446</v>
      </c>
      <c r="L4474" t="s">
        <v>13992</v>
      </c>
      <c r="M4474" t="s">
        <v>14744</v>
      </c>
      <c r="N4474" t="s">
        <v>14778</v>
      </c>
      <c r="P4474" t="s">
        <v>14805</v>
      </c>
      <c r="Q4474" t="s">
        <v>11448</v>
      </c>
      <c r="S4474" t="s">
        <v>14827</v>
      </c>
      <c r="T4474" t="s">
        <v>14834</v>
      </c>
      <c r="V4474">
        <v>1107.47</v>
      </c>
      <c r="W4474" t="s">
        <v>14858</v>
      </c>
      <c r="X4474" t="s">
        <v>14880</v>
      </c>
      <c r="Z4474" t="s">
        <v>15028</v>
      </c>
      <c r="AA4474">
        <v>58022651</v>
      </c>
      <c r="AB4474" t="s">
        <v>23691</v>
      </c>
      <c r="AC4474">
        <v>69</v>
      </c>
      <c r="AD4474" t="s">
        <v>24595</v>
      </c>
      <c r="AE4474" t="s">
        <v>14755</v>
      </c>
      <c r="AF4474">
        <v>7</v>
      </c>
      <c r="AG4474">
        <v>2</v>
      </c>
      <c r="AH4474">
        <v>0</v>
      </c>
      <c r="AI4474">
        <v>0</v>
      </c>
      <c r="AL4474" t="s">
        <v>5011</v>
      </c>
      <c r="AM4474">
        <v>0</v>
      </c>
      <c r="AS4474">
        <v>1.55</v>
      </c>
      <c r="AT4474" t="s">
        <v>504</v>
      </c>
      <c r="AU4474" t="s">
        <v>25242</v>
      </c>
      <c r="AV4474" t="s">
        <v>25334</v>
      </c>
      <c r="AW4474" t="s">
        <v>11447</v>
      </c>
    </row>
    <row r="4475" spans="1:49">
      <c r="A4475" s="1">
        <f>HYPERLINK("https://lsnyc.legalserver.org/matter/dynamic-profile/view/1912620","19-1912620")</f>
        <v>0</v>
      </c>
      <c r="B4475" t="s">
        <v>304</v>
      </c>
      <c r="C4475" t="s">
        <v>472</v>
      </c>
      <c r="E4475" t="s">
        <v>3192</v>
      </c>
      <c r="F4475" t="s">
        <v>5841</v>
      </c>
      <c r="G4475" t="s">
        <v>9686</v>
      </c>
      <c r="H4475">
        <v>205</v>
      </c>
      <c r="I4475" t="s">
        <v>11383</v>
      </c>
      <c r="J4475">
        <v>10468</v>
      </c>
      <c r="K4475" t="s">
        <v>11446</v>
      </c>
      <c r="L4475" t="s">
        <v>13993</v>
      </c>
      <c r="M4475" t="s">
        <v>14744</v>
      </c>
      <c r="N4475" t="s">
        <v>14781</v>
      </c>
      <c r="P4475" t="s">
        <v>14805</v>
      </c>
      <c r="S4475" t="s">
        <v>14827</v>
      </c>
      <c r="V4475">
        <v>975</v>
      </c>
      <c r="W4475" t="s">
        <v>14858</v>
      </c>
      <c r="Z4475" t="s">
        <v>18598</v>
      </c>
      <c r="AB4475" t="s">
        <v>23734</v>
      </c>
      <c r="AC4475">
        <v>51</v>
      </c>
      <c r="AF4475">
        <v>6</v>
      </c>
      <c r="AG4475">
        <v>1</v>
      </c>
      <c r="AH4475">
        <v>0</v>
      </c>
      <c r="AI4475">
        <v>0</v>
      </c>
      <c r="AK4475" t="s">
        <v>24629</v>
      </c>
      <c r="AL4475" t="s">
        <v>5011</v>
      </c>
      <c r="AM4475">
        <v>0</v>
      </c>
      <c r="AS4475">
        <v>15.5</v>
      </c>
      <c r="AT4475" t="s">
        <v>516</v>
      </c>
      <c r="AU4475" t="s">
        <v>25311</v>
      </c>
      <c r="AV4475" t="s">
        <v>25335</v>
      </c>
      <c r="AW4475" t="s">
        <v>11447</v>
      </c>
    </row>
    <row r="4476" spans="1:49">
      <c r="A4476" s="1">
        <f>HYPERLINK("https://lsnyc.legalserver.org/matter/dynamic-profile/view/1913707","19-1913707")</f>
        <v>0</v>
      </c>
      <c r="B4476" t="s">
        <v>134</v>
      </c>
      <c r="C4476" t="s">
        <v>476</v>
      </c>
      <c r="E4476" t="s">
        <v>1249</v>
      </c>
      <c r="F4476" t="s">
        <v>3547</v>
      </c>
      <c r="G4476" t="s">
        <v>9687</v>
      </c>
      <c r="H4476" t="s">
        <v>10467</v>
      </c>
      <c r="I4476" t="s">
        <v>11383</v>
      </c>
      <c r="J4476">
        <v>10468</v>
      </c>
      <c r="K4476" t="s">
        <v>11446</v>
      </c>
      <c r="L4476" t="s">
        <v>13994</v>
      </c>
      <c r="M4476" t="s">
        <v>14744</v>
      </c>
      <c r="P4476" t="s">
        <v>14805</v>
      </c>
      <c r="Q4476" t="s">
        <v>11448</v>
      </c>
      <c r="S4476" t="s">
        <v>14830</v>
      </c>
      <c r="V4476">
        <v>1080.44</v>
      </c>
      <c r="W4476" t="s">
        <v>14858</v>
      </c>
      <c r="X4476" t="s">
        <v>14865</v>
      </c>
      <c r="AC4476">
        <v>21</v>
      </c>
      <c r="AD4476" t="s">
        <v>11479</v>
      </c>
      <c r="AF4476">
        <v>0</v>
      </c>
      <c r="AG4476">
        <v>1</v>
      </c>
      <c r="AH4476">
        <v>0</v>
      </c>
      <c r="AI4476">
        <v>0</v>
      </c>
      <c r="AL4476" t="s">
        <v>5011</v>
      </c>
      <c r="AM4476">
        <v>0</v>
      </c>
      <c r="AS4476">
        <v>2.5</v>
      </c>
      <c r="AT4476" t="s">
        <v>476</v>
      </c>
      <c r="AU4476" t="s">
        <v>25239</v>
      </c>
      <c r="AV4476" t="s">
        <v>11459</v>
      </c>
      <c r="AW4476" t="s">
        <v>11447</v>
      </c>
    </row>
    <row r="4477" spans="1:49">
      <c r="A4477" s="1">
        <f>HYPERLINK("https://lsnyc.legalserver.org/matter/dynamic-profile/view/1914001","19-1914001")</f>
        <v>0</v>
      </c>
      <c r="B4477" t="s">
        <v>130</v>
      </c>
      <c r="C4477" t="s">
        <v>490</v>
      </c>
      <c r="E4477" t="s">
        <v>1096</v>
      </c>
      <c r="F4477" t="s">
        <v>5788</v>
      </c>
      <c r="G4477" t="s">
        <v>9688</v>
      </c>
      <c r="H4477" t="s">
        <v>10559</v>
      </c>
      <c r="I4477" t="s">
        <v>11383</v>
      </c>
      <c r="J4477">
        <v>10468</v>
      </c>
      <c r="K4477" t="s">
        <v>11446</v>
      </c>
      <c r="L4477" t="s">
        <v>13995</v>
      </c>
      <c r="M4477" t="s">
        <v>14744</v>
      </c>
      <c r="N4477" t="s">
        <v>14781</v>
      </c>
      <c r="P4477" t="s">
        <v>14805</v>
      </c>
      <c r="Q4477" t="s">
        <v>11448</v>
      </c>
      <c r="S4477" t="s">
        <v>14827</v>
      </c>
      <c r="V4477">
        <v>1450</v>
      </c>
      <c r="W4477" t="s">
        <v>14858</v>
      </c>
      <c r="X4477" t="s">
        <v>14863</v>
      </c>
      <c r="Z4477" t="s">
        <v>18599</v>
      </c>
      <c r="AB4477" t="s">
        <v>23735</v>
      </c>
      <c r="AC4477">
        <v>42</v>
      </c>
      <c r="AD4477" t="s">
        <v>11479</v>
      </c>
      <c r="AE4477" t="s">
        <v>11459</v>
      </c>
      <c r="AF4477">
        <v>-1</v>
      </c>
      <c r="AG4477">
        <v>1</v>
      </c>
      <c r="AH4477">
        <v>1</v>
      </c>
      <c r="AI4477">
        <v>0</v>
      </c>
      <c r="AL4477" t="s">
        <v>24632</v>
      </c>
      <c r="AM4477">
        <v>0</v>
      </c>
      <c r="AS4477">
        <v>2</v>
      </c>
      <c r="AT4477" t="s">
        <v>592</v>
      </c>
      <c r="AU4477" t="s">
        <v>245</v>
      </c>
      <c r="AW4477" t="s">
        <v>11447</v>
      </c>
    </row>
    <row r="4478" spans="1:49">
      <c r="A4478" s="1">
        <f>HYPERLINK("https://lsnyc.legalserver.org/matter/dynamic-profile/view/1901542","19-1901542")</f>
        <v>0</v>
      </c>
      <c r="B4478" t="s">
        <v>130</v>
      </c>
      <c r="C4478" t="s">
        <v>330</v>
      </c>
      <c r="E4478" t="s">
        <v>3193</v>
      </c>
      <c r="F4478" t="s">
        <v>3969</v>
      </c>
      <c r="G4478" t="s">
        <v>9689</v>
      </c>
      <c r="H4478" t="s">
        <v>11264</v>
      </c>
      <c r="I4478" t="s">
        <v>11383</v>
      </c>
      <c r="J4478">
        <v>10467</v>
      </c>
      <c r="K4478" t="s">
        <v>11446</v>
      </c>
      <c r="L4478" t="s">
        <v>13996</v>
      </c>
      <c r="M4478" t="s">
        <v>14744</v>
      </c>
      <c r="N4478" t="s">
        <v>14778</v>
      </c>
      <c r="P4478" t="s">
        <v>14805</v>
      </c>
      <c r="Q4478" t="s">
        <v>11448</v>
      </c>
      <c r="S4478" t="s">
        <v>14827</v>
      </c>
      <c r="V4478">
        <v>1178</v>
      </c>
      <c r="W4478" t="s">
        <v>14858</v>
      </c>
      <c r="X4478" t="s">
        <v>14868</v>
      </c>
      <c r="Z4478" t="s">
        <v>18600</v>
      </c>
      <c r="AB4478" t="s">
        <v>23736</v>
      </c>
      <c r="AC4478">
        <v>10</v>
      </c>
      <c r="AD4478" t="s">
        <v>24595</v>
      </c>
      <c r="AE4478" t="s">
        <v>11459</v>
      </c>
      <c r="AF4478">
        <v>19</v>
      </c>
      <c r="AG4478">
        <v>1</v>
      </c>
      <c r="AH4478">
        <v>0</v>
      </c>
      <c r="AI4478">
        <v>0</v>
      </c>
      <c r="AL4478" t="s">
        <v>5011</v>
      </c>
      <c r="AM4478">
        <v>0</v>
      </c>
      <c r="AS4478">
        <v>6.95</v>
      </c>
      <c r="AT4478" t="s">
        <v>346</v>
      </c>
      <c r="AU4478" t="s">
        <v>25242</v>
      </c>
      <c r="AV4478" t="s">
        <v>25335</v>
      </c>
      <c r="AW4478" t="s">
        <v>11447</v>
      </c>
    </row>
    <row r="4479" spans="1:49">
      <c r="A4479" s="1">
        <f>HYPERLINK("https://lsnyc.legalserver.org/matter/dynamic-profile/view/1903406","19-1903406")</f>
        <v>0</v>
      </c>
      <c r="B4479" t="s">
        <v>96</v>
      </c>
      <c r="C4479" t="s">
        <v>608</v>
      </c>
      <c r="E4479" t="s">
        <v>1554</v>
      </c>
      <c r="F4479" t="s">
        <v>5842</v>
      </c>
      <c r="G4479" t="s">
        <v>7962</v>
      </c>
      <c r="H4479" t="s">
        <v>10468</v>
      </c>
      <c r="I4479" t="s">
        <v>11444</v>
      </c>
      <c r="J4479">
        <v>10467</v>
      </c>
      <c r="K4479" t="s">
        <v>11446</v>
      </c>
      <c r="L4479" t="s">
        <v>13997</v>
      </c>
      <c r="M4479" t="s">
        <v>14744</v>
      </c>
      <c r="N4479" t="s">
        <v>14783</v>
      </c>
      <c r="P4479" t="s">
        <v>14805</v>
      </c>
      <c r="Q4479" t="s">
        <v>11448</v>
      </c>
      <c r="S4479" t="s">
        <v>14830</v>
      </c>
      <c r="T4479" t="s">
        <v>14832</v>
      </c>
      <c r="V4479">
        <v>252</v>
      </c>
      <c r="W4479" t="s">
        <v>14858</v>
      </c>
      <c r="X4479" t="s">
        <v>14863</v>
      </c>
      <c r="Z4479" t="s">
        <v>18601</v>
      </c>
      <c r="AA4479" t="s">
        <v>19972</v>
      </c>
      <c r="AB4479" t="s">
        <v>23737</v>
      </c>
      <c r="AC4479">
        <v>733</v>
      </c>
      <c r="AE4479" t="s">
        <v>11459</v>
      </c>
      <c r="AF4479">
        <v>1</v>
      </c>
      <c r="AG4479">
        <v>1</v>
      </c>
      <c r="AH4479">
        <v>1</v>
      </c>
      <c r="AI4479">
        <v>0</v>
      </c>
      <c r="AL4479" t="s">
        <v>5011</v>
      </c>
      <c r="AM4479">
        <v>0</v>
      </c>
      <c r="AS4479">
        <v>15.9</v>
      </c>
      <c r="AT4479" t="s">
        <v>515</v>
      </c>
      <c r="AU4479" t="s">
        <v>245</v>
      </c>
      <c r="AV4479" t="s">
        <v>25334</v>
      </c>
      <c r="AW4479" t="s">
        <v>11447</v>
      </c>
    </row>
    <row r="4480" spans="1:49">
      <c r="A4480" s="1">
        <f>HYPERLINK("https://lsnyc.legalserver.org/matter/dynamic-profile/view/1904104","19-1904104")</f>
        <v>0</v>
      </c>
      <c r="B4480" t="s">
        <v>273</v>
      </c>
      <c r="C4480" t="s">
        <v>621</v>
      </c>
      <c r="E4480" t="s">
        <v>3194</v>
      </c>
      <c r="F4480" t="s">
        <v>4403</v>
      </c>
      <c r="G4480" t="s">
        <v>9519</v>
      </c>
      <c r="H4480" t="s">
        <v>10574</v>
      </c>
      <c r="I4480" t="s">
        <v>11383</v>
      </c>
      <c r="J4480">
        <v>10467</v>
      </c>
      <c r="K4480" t="s">
        <v>11446</v>
      </c>
      <c r="L4480" t="s">
        <v>13786</v>
      </c>
      <c r="M4480" t="s">
        <v>14744</v>
      </c>
      <c r="P4480" t="s">
        <v>14805</v>
      </c>
      <c r="Q4480" t="s">
        <v>11448</v>
      </c>
      <c r="S4480" t="s">
        <v>14827</v>
      </c>
      <c r="V4480">
        <v>1500</v>
      </c>
      <c r="W4480" t="s">
        <v>14858</v>
      </c>
      <c r="Z4480" t="s">
        <v>18602</v>
      </c>
      <c r="AB4480" t="s">
        <v>23738</v>
      </c>
      <c r="AC4480">
        <v>48</v>
      </c>
      <c r="AD4480" t="s">
        <v>24595</v>
      </c>
      <c r="AF4480">
        <v>1</v>
      </c>
      <c r="AG4480">
        <v>1</v>
      </c>
      <c r="AH4480">
        <v>0</v>
      </c>
      <c r="AI4480">
        <v>0</v>
      </c>
      <c r="AL4480" t="s">
        <v>5011</v>
      </c>
      <c r="AM4480">
        <v>0</v>
      </c>
      <c r="AS4480">
        <v>1</v>
      </c>
      <c r="AT4480" t="s">
        <v>373</v>
      </c>
      <c r="AU4480" t="s">
        <v>145</v>
      </c>
      <c r="AV4480" t="s">
        <v>25335</v>
      </c>
      <c r="AW4480" t="s">
        <v>11447</v>
      </c>
    </row>
    <row r="4481" spans="1:49">
      <c r="A4481" s="1">
        <f>HYPERLINK("https://lsnyc.legalserver.org/matter/dynamic-profile/view/1913192","19-1913192")</f>
        <v>0</v>
      </c>
      <c r="B4481" t="s">
        <v>143</v>
      </c>
      <c r="C4481" t="s">
        <v>571</v>
      </c>
      <c r="E4481" t="s">
        <v>3195</v>
      </c>
      <c r="F4481" t="s">
        <v>5843</v>
      </c>
      <c r="G4481" t="s">
        <v>9690</v>
      </c>
      <c r="H4481" t="s">
        <v>10471</v>
      </c>
      <c r="I4481" t="s">
        <v>11383</v>
      </c>
      <c r="J4481">
        <v>10467</v>
      </c>
      <c r="K4481" t="s">
        <v>11446</v>
      </c>
      <c r="L4481" t="s">
        <v>13998</v>
      </c>
      <c r="M4481" t="s">
        <v>14744</v>
      </c>
      <c r="P4481" t="s">
        <v>14805</v>
      </c>
      <c r="Q4481" t="s">
        <v>11448</v>
      </c>
      <c r="S4481" t="s">
        <v>14827</v>
      </c>
      <c r="V4481">
        <v>1470</v>
      </c>
      <c r="W4481" t="s">
        <v>14858</v>
      </c>
      <c r="X4481" t="s">
        <v>14873</v>
      </c>
      <c r="Z4481" t="s">
        <v>18603</v>
      </c>
      <c r="AB4481" t="s">
        <v>23739</v>
      </c>
      <c r="AC4481">
        <v>66</v>
      </c>
      <c r="AD4481" t="s">
        <v>24595</v>
      </c>
      <c r="AF4481">
        <v>3</v>
      </c>
      <c r="AG4481">
        <v>1</v>
      </c>
      <c r="AH4481">
        <v>0</v>
      </c>
      <c r="AI4481">
        <v>0</v>
      </c>
      <c r="AL4481" t="s">
        <v>5011</v>
      </c>
      <c r="AM4481">
        <v>0</v>
      </c>
      <c r="AS4481">
        <v>0</v>
      </c>
      <c r="AU4481" t="s">
        <v>25252</v>
      </c>
      <c r="AV4481" t="s">
        <v>25335</v>
      </c>
      <c r="AW4481" t="s">
        <v>11447</v>
      </c>
    </row>
    <row r="4482" spans="1:49">
      <c r="A4482" s="1">
        <f>HYPERLINK("https://lsnyc.legalserver.org/matter/dynamic-profile/view/1914087","19-1914087")</f>
        <v>0</v>
      </c>
      <c r="B4482" t="s">
        <v>272</v>
      </c>
      <c r="C4482" t="s">
        <v>580</v>
      </c>
      <c r="E4482" t="s">
        <v>3196</v>
      </c>
      <c r="F4482" t="s">
        <v>5844</v>
      </c>
      <c r="G4482" t="s">
        <v>9430</v>
      </c>
      <c r="H4482" t="s">
        <v>10677</v>
      </c>
      <c r="I4482" t="s">
        <v>11383</v>
      </c>
      <c r="J4482">
        <v>10467</v>
      </c>
      <c r="K4482" t="s">
        <v>11447</v>
      </c>
      <c r="L4482" t="s">
        <v>13999</v>
      </c>
      <c r="M4482" t="s">
        <v>14744</v>
      </c>
      <c r="N4482" t="s">
        <v>14781</v>
      </c>
      <c r="P4482" t="s">
        <v>14805</v>
      </c>
      <c r="Q4482" t="s">
        <v>11448</v>
      </c>
      <c r="S4482" t="s">
        <v>14827</v>
      </c>
      <c r="T4482" t="s">
        <v>14832</v>
      </c>
      <c r="V4482">
        <v>968.54</v>
      </c>
      <c r="W4482" t="s">
        <v>14858</v>
      </c>
      <c r="X4482" t="s">
        <v>14863</v>
      </c>
      <c r="Z4482" t="s">
        <v>18604</v>
      </c>
      <c r="AB4482" t="s">
        <v>23740</v>
      </c>
      <c r="AC4482">
        <v>67</v>
      </c>
      <c r="AD4482" t="s">
        <v>24595</v>
      </c>
      <c r="AF4482">
        <v>30</v>
      </c>
      <c r="AG4482">
        <v>1</v>
      </c>
      <c r="AH4482">
        <v>0</v>
      </c>
      <c r="AI4482">
        <v>0</v>
      </c>
      <c r="AL4482" t="s">
        <v>5011</v>
      </c>
      <c r="AM4482">
        <v>0</v>
      </c>
      <c r="AN4482" t="s">
        <v>24901</v>
      </c>
      <c r="AS4482">
        <v>3.4</v>
      </c>
      <c r="AT4482" t="s">
        <v>491</v>
      </c>
      <c r="AU4482" t="s">
        <v>145</v>
      </c>
      <c r="AW4482" t="s">
        <v>11447</v>
      </c>
    </row>
    <row r="4483" spans="1:49">
      <c r="A4483" s="1">
        <f>HYPERLINK("https://lsnyc.legalserver.org/matter/dynamic-profile/view/1914515","19-1914515")</f>
        <v>0</v>
      </c>
      <c r="B4483" t="s">
        <v>82</v>
      </c>
      <c r="C4483" t="s">
        <v>478</v>
      </c>
      <c r="E4483" t="s">
        <v>1057</v>
      </c>
      <c r="F4483" t="s">
        <v>5845</v>
      </c>
      <c r="G4483" t="s">
        <v>9691</v>
      </c>
      <c r="H4483" t="s">
        <v>10495</v>
      </c>
      <c r="I4483" t="s">
        <v>11383</v>
      </c>
      <c r="J4483">
        <v>10467</v>
      </c>
      <c r="K4483" t="s">
        <v>11446</v>
      </c>
      <c r="L4483" t="s">
        <v>14000</v>
      </c>
      <c r="M4483" t="s">
        <v>14744</v>
      </c>
      <c r="P4483" t="s">
        <v>14805</v>
      </c>
      <c r="Q4483" t="s">
        <v>11448</v>
      </c>
      <c r="S4483" t="s">
        <v>14827</v>
      </c>
      <c r="V4483">
        <v>1403</v>
      </c>
      <c r="W4483" t="s">
        <v>14858</v>
      </c>
      <c r="X4483" t="s">
        <v>14863</v>
      </c>
      <c r="Z4483" t="s">
        <v>18605</v>
      </c>
      <c r="AB4483" t="s">
        <v>23741</v>
      </c>
      <c r="AC4483">
        <v>74</v>
      </c>
      <c r="AE4483" t="s">
        <v>11459</v>
      </c>
      <c r="AF4483">
        <v>9</v>
      </c>
      <c r="AG4483">
        <v>4</v>
      </c>
      <c r="AH4483">
        <v>1</v>
      </c>
      <c r="AI4483">
        <v>0</v>
      </c>
      <c r="AL4483" t="s">
        <v>5011</v>
      </c>
      <c r="AM4483">
        <v>0</v>
      </c>
      <c r="AS4483">
        <v>1.4</v>
      </c>
      <c r="AT4483" t="s">
        <v>491</v>
      </c>
      <c r="AU4483" t="s">
        <v>245</v>
      </c>
      <c r="AW4483" t="s">
        <v>11447</v>
      </c>
    </row>
    <row r="4484" spans="1:49">
      <c r="A4484" s="1">
        <f>HYPERLINK("https://lsnyc.legalserver.org/matter/dynamic-profile/view/1901742","19-1901742")</f>
        <v>0</v>
      </c>
      <c r="B4484" t="s">
        <v>142</v>
      </c>
      <c r="C4484" t="s">
        <v>530</v>
      </c>
      <c r="E4484" t="s">
        <v>3197</v>
      </c>
      <c r="F4484" t="s">
        <v>3799</v>
      </c>
      <c r="G4484" t="s">
        <v>9692</v>
      </c>
      <c r="H4484" t="s">
        <v>10579</v>
      </c>
      <c r="I4484" t="s">
        <v>11383</v>
      </c>
      <c r="J4484">
        <v>10467</v>
      </c>
      <c r="K4484" t="s">
        <v>11446</v>
      </c>
      <c r="N4484" t="s">
        <v>14781</v>
      </c>
      <c r="P4484" t="s">
        <v>14805</v>
      </c>
      <c r="S4484" t="s">
        <v>14827</v>
      </c>
      <c r="V4484">
        <v>0</v>
      </c>
      <c r="W4484" t="s">
        <v>14858</v>
      </c>
      <c r="Z4484" t="s">
        <v>18606</v>
      </c>
      <c r="AB4484" t="s">
        <v>23742</v>
      </c>
      <c r="AC4484">
        <v>73</v>
      </c>
      <c r="AF4484">
        <v>0</v>
      </c>
      <c r="AG4484">
        <v>4</v>
      </c>
      <c r="AH4484">
        <v>0</v>
      </c>
      <c r="AI4484">
        <v>0</v>
      </c>
      <c r="AL4484" t="s">
        <v>24632</v>
      </c>
      <c r="AM4484">
        <v>0</v>
      </c>
      <c r="AS4484">
        <v>10</v>
      </c>
      <c r="AT4484" t="s">
        <v>516</v>
      </c>
      <c r="AU4484" t="s">
        <v>237</v>
      </c>
      <c r="AV4484" t="s">
        <v>25335</v>
      </c>
      <c r="AW4484" t="s">
        <v>11447</v>
      </c>
    </row>
    <row r="4485" spans="1:49">
      <c r="A4485" s="1">
        <f>HYPERLINK("https://lsnyc.legalserver.org/matter/dynamic-profile/view/1890141","19-1890141")</f>
        <v>0</v>
      </c>
      <c r="B4485" t="s">
        <v>143</v>
      </c>
      <c r="C4485" t="s">
        <v>353</v>
      </c>
      <c r="E4485" t="s">
        <v>2948</v>
      </c>
      <c r="F4485" t="s">
        <v>5467</v>
      </c>
      <c r="G4485" t="s">
        <v>9693</v>
      </c>
      <c r="H4485" t="s">
        <v>10594</v>
      </c>
      <c r="I4485" t="s">
        <v>11383</v>
      </c>
      <c r="J4485">
        <v>10462</v>
      </c>
      <c r="K4485" t="s">
        <v>11447</v>
      </c>
      <c r="L4485" t="s">
        <v>14001</v>
      </c>
      <c r="M4485" t="s">
        <v>14744</v>
      </c>
      <c r="N4485" t="s">
        <v>14781</v>
      </c>
      <c r="P4485" t="s">
        <v>14805</v>
      </c>
      <c r="Q4485" t="s">
        <v>11448</v>
      </c>
      <c r="S4485" t="s">
        <v>14827</v>
      </c>
      <c r="V4485">
        <v>1340</v>
      </c>
      <c r="W4485" t="s">
        <v>14858</v>
      </c>
      <c r="X4485" t="s">
        <v>14755</v>
      </c>
      <c r="Z4485" t="s">
        <v>18607</v>
      </c>
      <c r="AB4485" t="s">
        <v>23743</v>
      </c>
      <c r="AC4485">
        <v>60</v>
      </c>
      <c r="AD4485" t="s">
        <v>24600</v>
      </c>
      <c r="AE4485" t="s">
        <v>11459</v>
      </c>
      <c r="AF4485">
        <v>9</v>
      </c>
      <c r="AG4485">
        <v>1</v>
      </c>
      <c r="AH4485">
        <v>0</v>
      </c>
      <c r="AI4485">
        <v>0</v>
      </c>
      <c r="AL4485" t="s">
        <v>5011</v>
      </c>
      <c r="AM4485">
        <v>0</v>
      </c>
      <c r="AN4485" t="s">
        <v>24902</v>
      </c>
      <c r="AS4485">
        <v>38.2</v>
      </c>
      <c r="AT4485" t="s">
        <v>539</v>
      </c>
      <c r="AU4485" t="s">
        <v>25225</v>
      </c>
      <c r="AW4485" t="s">
        <v>11447</v>
      </c>
    </row>
    <row r="4486" spans="1:49">
      <c r="A4486" s="1">
        <f>HYPERLINK("https://lsnyc.legalserver.org/matter/dynamic-profile/view/1913182","19-1913182")</f>
        <v>0</v>
      </c>
      <c r="B4486" t="s">
        <v>298</v>
      </c>
      <c r="C4486" t="s">
        <v>571</v>
      </c>
      <c r="E4486" t="s">
        <v>1392</v>
      </c>
      <c r="F4486" t="s">
        <v>1227</v>
      </c>
      <c r="G4486" t="s">
        <v>9694</v>
      </c>
      <c r="H4486" t="s">
        <v>10510</v>
      </c>
      <c r="I4486" t="s">
        <v>11383</v>
      </c>
      <c r="J4486">
        <v>10462</v>
      </c>
      <c r="K4486" t="s">
        <v>11446</v>
      </c>
      <c r="L4486" t="s">
        <v>14002</v>
      </c>
      <c r="M4486" t="s">
        <v>14744</v>
      </c>
      <c r="P4486" t="s">
        <v>14805</v>
      </c>
      <c r="Q4486" t="s">
        <v>11448</v>
      </c>
      <c r="S4486" t="s">
        <v>14827</v>
      </c>
      <c r="V4486">
        <v>1500</v>
      </c>
      <c r="W4486" t="s">
        <v>14858</v>
      </c>
      <c r="X4486" t="s">
        <v>14873</v>
      </c>
      <c r="Z4486" t="s">
        <v>17211</v>
      </c>
      <c r="AB4486" t="s">
        <v>23744</v>
      </c>
      <c r="AC4486">
        <v>72</v>
      </c>
      <c r="AD4486" t="s">
        <v>11479</v>
      </c>
      <c r="AE4486" t="s">
        <v>11459</v>
      </c>
      <c r="AF4486">
        <v>8</v>
      </c>
      <c r="AG4486">
        <v>1</v>
      </c>
      <c r="AH4486">
        <v>0</v>
      </c>
      <c r="AI4486">
        <v>0</v>
      </c>
      <c r="AL4486" t="s">
        <v>5011</v>
      </c>
      <c r="AM4486">
        <v>0</v>
      </c>
      <c r="AS4486">
        <v>7</v>
      </c>
      <c r="AT4486" t="s">
        <v>495</v>
      </c>
      <c r="AU4486" t="s">
        <v>25252</v>
      </c>
      <c r="AV4486" t="s">
        <v>25335</v>
      </c>
      <c r="AW4486" t="s">
        <v>11447</v>
      </c>
    </row>
    <row r="4487" spans="1:49">
      <c r="A4487" s="1">
        <f>HYPERLINK("https://lsnyc.legalserver.org/matter/dynamic-profile/view/1913280","19-1913280")</f>
        <v>0</v>
      </c>
      <c r="B4487" t="s">
        <v>272</v>
      </c>
      <c r="C4487" t="s">
        <v>515</v>
      </c>
      <c r="E4487" t="s">
        <v>1690</v>
      </c>
      <c r="F4487" t="s">
        <v>3675</v>
      </c>
      <c r="G4487" t="s">
        <v>9695</v>
      </c>
      <c r="H4487" t="s">
        <v>10481</v>
      </c>
      <c r="I4487" t="s">
        <v>11383</v>
      </c>
      <c r="J4487">
        <v>10458</v>
      </c>
      <c r="K4487" t="s">
        <v>11446</v>
      </c>
      <c r="L4487" t="s">
        <v>14003</v>
      </c>
      <c r="M4487" t="s">
        <v>14744</v>
      </c>
      <c r="N4487" t="s">
        <v>14782</v>
      </c>
      <c r="P4487" t="s">
        <v>14805</v>
      </c>
      <c r="Q4487" t="s">
        <v>11448</v>
      </c>
      <c r="S4487" t="s">
        <v>14827</v>
      </c>
      <c r="V4487">
        <v>1421.1</v>
      </c>
      <c r="W4487" t="s">
        <v>14858</v>
      </c>
      <c r="X4487" t="s">
        <v>14863</v>
      </c>
      <c r="Z4487" t="s">
        <v>18608</v>
      </c>
      <c r="AB4487" t="s">
        <v>23745</v>
      </c>
      <c r="AC4487">
        <v>28</v>
      </c>
      <c r="AD4487" t="s">
        <v>11479</v>
      </c>
      <c r="AE4487" t="s">
        <v>11459</v>
      </c>
      <c r="AF4487">
        <v>1</v>
      </c>
      <c r="AG4487">
        <v>1</v>
      </c>
      <c r="AH4487">
        <v>0</v>
      </c>
      <c r="AI4487">
        <v>0</v>
      </c>
      <c r="AL4487" t="s">
        <v>5011</v>
      </c>
      <c r="AM4487">
        <v>0</v>
      </c>
      <c r="AS4487">
        <v>2.5</v>
      </c>
      <c r="AT4487" t="s">
        <v>491</v>
      </c>
      <c r="AU4487" t="s">
        <v>25242</v>
      </c>
      <c r="AV4487" t="s">
        <v>25335</v>
      </c>
      <c r="AW4487" t="s">
        <v>11447</v>
      </c>
    </row>
    <row r="4488" spans="1:49">
      <c r="A4488" s="1">
        <f>HYPERLINK("https://lsnyc.legalserver.org/matter/dynamic-profile/view/1899952","19-1899952")</f>
        <v>0</v>
      </c>
      <c r="B4488" t="s">
        <v>132</v>
      </c>
      <c r="C4488" t="s">
        <v>331</v>
      </c>
      <c r="E4488" t="s">
        <v>1762</v>
      </c>
      <c r="F4488" t="s">
        <v>1297</v>
      </c>
      <c r="G4488" t="s">
        <v>9455</v>
      </c>
      <c r="H4488" t="s">
        <v>10547</v>
      </c>
      <c r="I4488" t="s">
        <v>11383</v>
      </c>
      <c r="J4488">
        <v>10457</v>
      </c>
      <c r="K4488" t="s">
        <v>11448</v>
      </c>
      <c r="L4488" t="s">
        <v>14004</v>
      </c>
      <c r="M4488" t="s">
        <v>14744</v>
      </c>
      <c r="N4488" t="s">
        <v>14781</v>
      </c>
      <c r="P4488" t="s">
        <v>14805</v>
      </c>
      <c r="S4488" t="s">
        <v>14827</v>
      </c>
      <c r="V4488">
        <v>1151.46</v>
      </c>
      <c r="W4488" t="s">
        <v>14858</v>
      </c>
      <c r="Z4488" t="s">
        <v>18609</v>
      </c>
      <c r="AB4488" t="s">
        <v>23746</v>
      </c>
      <c r="AC4488">
        <v>55</v>
      </c>
      <c r="AF4488">
        <v>6</v>
      </c>
      <c r="AG4488">
        <v>1</v>
      </c>
      <c r="AH4488">
        <v>0</v>
      </c>
      <c r="AI4488">
        <v>0</v>
      </c>
      <c r="AL4488" t="s">
        <v>5011</v>
      </c>
      <c r="AM4488">
        <v>0</v>
      </c>
      <c r="AN4488" t="s">
        <v>24903</v>
      </c>
      <c r="AS4488">
        <v>31.6</v>
      </c>
      <c r="AT4488" t="s">
        <v>509</v>
      </c>
      <c r="AU4488" t="s">
        <v>145</v>
      </c>
      <c r="AV4488" t="s">
        <v>25335</v>
      </c>
      <c r="AW4488" t="s">
        <v>11447</v>
      </c>
    </row>
    <row r="4489" spans="1:49">
      <c r="A4489" s="1">
        <f>HYPERLINK("https://lsnyc.legalserver.org/matter/dynamic-profile/view/1914547","19-1914547")</f>
        <v>0</v>
      </c>
      <c r="B4489" t="s">
        <v>96</v>
      </c>
      <c r="C4489" t="s">
        <v>539</v>
      </c>
      <c r="E4489" t="s">
        <v>3198</v>
      </c>
      <c r="F4489" t="s">
        <v>5846</v>
      </c>
      <c r="G4489" t="s">
        <v>9696</v>
      </c>
      <c r="H4489" t="s">
        <v>10988</v>
      </c>
      <c r="I4489" t="s">
        <v>11383</v>
      </c>
      <c r="J4489">
        <v>10457</v>
      </c>
      <c r="K4489" t="s">
        <v>11446</v>
      </c>
      <c r="L4489" t="s">
        <v>14005</v>
      </c>
      <c r="M4489" t="s">
        <v>14744</v>
      </c>
      <c r="N4489" t="s">
        <v>14781</v>
      </c>
      <c r="P4489" t="s">
        <v>14805</v>
      </c>
      <c r="Q4489" t="s">
        <v>11448</v>
      </c>
      <c r="S4489" t="s">
        <v>14827</v>
      </c>
      <c r="V4489">
        <v>1476.59</v>
      </c>
      <c r="W4489" t="s">
        <v>14858</v>
      </c>
      <c r="X4489" t="s">
        <v>14863</v>
      </c>
      <c r="Z4489" t="s">
        <v>18610</v>
      </c>
      <c r="AB4489" t="s">
        <v>23747</v>
      </c>
      <c r="AC4489">
        <v>0</v>
      </c>
      <c r="AD4489" t="s">
        <v>24605</v>
      </c>
      <c r="AE4489" t="s">
        <v>24610</v>
      </c>
      <c r="AF4489">
        <v>29</v>
      </c>
      <c r="AG4489">
        <v>2</v>
      </c>
      <c r="AH4489">
        <v>1</v>
      </c>
      <c r="AI4489">
        <v>0</v>
      </c>
      <c r="AL4489" t="s">
        <v>5011</v>
      </c>
      <c r="AM4489">
        <v>0</v>
      </c>
      <c r="AS4489">
        <v>1</v>
      </c>
      <c r="AT4489" t="s">
        <v>521</v>
      </c>
      <c r="AU4489" t="s">
        <v>25268</v>
      </c>
      <c r="AV4489" t="s">
        <v>25335</v>
      </c>
      <c r="AW4489" t="s">
        <v>11447</v>
      </c>
    </row>
    <row r="4490" spans="1:49">
      <c r="A4490" s="1">
        <f>HYPERLINK("https://lsnyc.legalserver.org/matter/dynamic-profile/view/1915443","19-1915443")</f>
        <v>0</v>
      </c>
      <c r="B4490" t="s">
        <v>303</v>
      </c>
      <c r="C4490" t="s">
        <v>654</v>
      </c>
      <c r="E4490" t="s">
        <v>2135</v>
      </c>
      <c r="F4490" t="s">
        <v>2002</v>
      </c>
      <c r="G4490" t="s">
        <v>9697</v>
      </c>
      <c r="H4490" t="s">
        <v>10598</v>
      </c>
      <c r="I4490" t="s">
        <v>11383</v>
      </c>
      <c r="J4490">
        <v>10457</v>
      </c>
      <c r="K4490" t="s">
        <v>11446</v>
      </c>
      <c r="L4490" t="s">
        <v>14006</v>
      </c>
      <c r="M4490" t="s">
        <v>14744</v>
      </c>
      <c r="P4490" t="s">
        <v>14805</v>
      </c>
      <c r="Q4490" t="s">
        <v>11448</v>
      </c>
      <c r="S4490" t="s">
        <v>14827</v>
      </c>
      <c r="V4490">
        <v>1047</v>
      </c>
      <c r="W4490" t="s">
        <v>14858</v>
      </c>
      <c r="X4490" t="s">
        <v>14873</v>
      </c>
      <c r="Z4490" t="s">
        <v>18611</v>
      </c>
      <c r="AA4490">
        <v>301404861</v>
      </c>
      <c r="AB4490" t="s">
        <v>23748</v>
      </c>
      <c r="AC4490">
        <v>51</v>
      </c>
      <c r="AD4490" t="s">
        <v>11479</v>
      </c>
      <c r="AF4490">
        <v>7</v>
      </c>
      <c r="AG4490">
        <v>2</v>
      </c>
      <c r="AH4490">
        <v>2</v>
      </c>
      <c r="AI4490">
        <v>0</v>
      </c>
      <c r="AL4490" t="s">
        <v>24632</v>
      </c>
      <c r="AM4490">
        <v>0</v>
      </c>
      <c r="AS4490">
        <v>1.2</v>
      </c>
      <c r="AT4490" t="s">
        <v>654</v>
      </c>
      <c r="AU4490" t="s">
        <v>25252</v>
      </c>
      <c r="AV4490" t="s">
        <v>25335</v>
      </c>
      <c r="AW4490" t="s">
        <v>11447</v>
      </c>
    </row>
    <row r="4491" spans="1:49">
      <c r="A4491" s="1">
        <f>HYPERLINK("https://lsnyc.legalserver.org/matter/dynamic-profile/view/1913529","19-1913529")</f>
        <v>0</v>
      </c>
      <c r="B4491" t="s">
        <v>82</v>
      </c>
      <c r="C4491" t="s">
        <v>477</v>
      </c>
      <c r="E4491" t="s">
        <v>2358</v>
      </c>
      <c r="F4491" t="s">
        <v>5847</v>
      </c>
      <c r="G4491" t="s">
        <v>6452</v>
      </c>
      <c r="H4491" t="s">
        <v>11265</v>
      </c>
      <c r="I4491" t="s">
        <v>11383</v>
      </c>
      <c r="J4491">
        <v>10453</v>
      </c>
      <c r="K4491" t="s">
        <v>11446</v>
      </c>
      <c r="M4491" t="s">
        <v>14744</v>
      </c>
      <c r="N4491" t="s">
        <v>14782</v>
      </c>
      <c r="P4491" t="s">
        <v>14805</v>
      </c>
      <c r="Q4491" t="s">
        <v>11448</v>
      </c>
      <c r="S4491" t="s">
        <v>14827</v>
      </c>
      <c r="V4491">
        <v>207</v>
      </c>
      <c r="W4491" t="s">
        <v>14858</v>
      </c>
      <c r="X4491" t="s">
        <v>14863</v>
      </c>
      <c r="Z4491" t="s">
        <v>18612</v>
      </c>
      <c r="AA4491" t="s">
        <v>19973</v>
      </c>
      <c r="AB4491" t="s">
        <v>23749</v>
      </c>
      <c r="AC4491">
        <v>44</v>
      </c>
      <c r="AD4491" t="s">
        <v>11479</v>
      </c>
      <c r="AE4491" t="s">
        <v>24610</v>
      </c>
      <c r="AF4491">
        <v>5</v>
      </c>
      <c r="AG4491">
        <v>2</v>
      </c>
      <c r="AH4491">
        <v>1</v>
      </c>
      <c r="AI4491">
        <v>0</v>
      </c>
      <c r="AL4491" t="s">
        <v>5011</v>
      </c>
      <c r="AM4491">
        <v>0</v>
      </c>
      <c r="AS4491">
        <v>1.8</v>
      </c>
      <c r="AT4491" t="s">
        <v>491</v>
      </c>
      <c r="AU4491" t="s">
        <v>245</v>
      </c>
      <c r="AV4491" t="s">
        <v>25334</v>
      </c>
      <c r="AW4491" t="s">
        <v>11447</v>
      </c>
    </row>
    <row r="4492" spans="1:49">
      <c r="A4492" s="1">
        <f>HYPERLINK("https://lsnyc.legalserver.org/matter/dynamic-profile/view/1914200","19-1914200")</f>
        <v>0</v>
      </c>
      <c r="B4492" t="s">
        <v>157</v>
      </c>
      <c r="C4492" t="s">
        <v>539</v>
      </c>
      <c r="E4492" t="s">
        <v>1057</v>
      </c>
      <c r="F4492" t="s">
        <v>5119</v>
      </c>
      <c r="G4492" t="s">
        <v>9698</v>
      </c>
      <c r="H4492" t="s">
        <v>10547</v>
      </c>
      <c r="I4492" t="s">
        <v>11383</v>
      </c>
      <c r="J4492">
        <v>10457</v>
      </c>
      <c r="K4492" t="s">
        <v>11446</v>
      </c>
      <c r="L4492" t="s">
        <v>14007</v>
      </c>
      <c r="M4492" t="s">
        <v>14744</v>
      </c>
      <c r="P4492" t="s">
        <v>14805</v>
      </c>
      <c r="Q4492" t="s">
        <v>11448</v>
      </c>
      <c r="S4492" t="s">
        <v>14827</v>
      </c>
      <c r="V4492">
        <v>740</v>
      </c>
      <c r="W4492" t="s">
        <v>14858</v>
      </c>
      <c r="X4492" t="s">
        <v>14865</v>
      </c>
      <c r="Z4492" t="s">
        <v>18613</v>
      </c>
      <c r="AB4492" t="s">
        <v>23750</v>
      </c>
      <c r="AC4492">
        <v>67</v>
      </c>
      <c r="AD4492" t="s">
        <v>24595</v>
      </c>
      <c r="AE4492" t="s">
        <v>11459</v>
      </c>
      <c r="AF4492">
        <v>46</v>
      </c>
      <c r="AG4492">
        <v>1</v>
      </c>
      <c r="AH4492">
        <v>0</v>
      </c>
      <c r="AI4492">
        <v>11.35</v>
      </c>
      <c r="AL4492" t="s">
        <v>5011</v>
      </c>
      <c r="AM4492">
        <v>1417.2</v>
      </c>
      <c r="AS4492">
        <v>0.5</v>
      </c>
      <c r="AT4492" t="s">
        <v>539</v>
      </c>
      <c r="AU4492" t="s">
        <v>25239</v>
      </c>
      <c r="AV4492" t="s">
        <v>25335</v>
      </c>
      <c r="AW4492" t="s">
        <v>11447</v>
      </c>
    </row>
    <row r="4493" spans="1:49">
      <c r="A4493" s="1">
        <f>HYPERLINK("https://lsnyc.legalserver.org/matter/dynamic-profile/view/1915353","19-1915353")</f>
        <v>0</v>
      </c>
      <c r="B4493" t="s">
        <v>306</v>
      </c>
      <c r="C4493" t="s">
        <v>495</v>
      </c>
      <c r="E4493" t="s">
        <v>1244</v>
      </c>
      <c r="F4493" t="s">
        <v>5848</v>
      </c>
      <c r="G4493" t="s">
        <v>7069</v>
      </c>
      <c r="H4493" t="s">
        <v>11266</v>
      </c>
      <c r="I4493" t="s">
        <v>11383</v>
      </c>
      <c r="J4493">
        <v>10457</v>
      </c>
      <c r="K4493" t="s">
        <v>11446</v>
      </c>
      <c r="L4493" t="s">
        <v>14008</v>
      </c>
      <c r="M4493" t="s">
        <v>14744</v>
      </c>
      <c r="P4493" t="s">
        <v>14805</v>
      </c>
      <c r="Q4493" t="s">
        <v>11448</v>
      </c>
      <c r="S4493" t="s">
        <v>14827</v>
      </c>
      <c r="V4493">
        <v>1188</v>
      </c>
      <c r="W4493" t="s">
        <v>14858</v>
      </c>
      <c r="X4493" t="s">
        <v>14868</v>
      </c>
      <c r="Z4493" t="s">
        <v>18614</v>
      </c>
      <c r="AA4493">
        <v>3011205</v>
      </c>
      <c r="AB4493" t="s">
        <v>23751</v>
      </c>
      <c r="AC4493">
        <v>108</v>
      </c>
      <c r="AD4493" t="s">
        <v>11479</v>
      </c>
      <c r="AF4493">
        <v>20</v>
      </c>
      <c r="AG4493">
        <v>2</v>
      </c>
      <c r="AH4493">
        <v>0</v>
      </c>
      <c r="AI4493">
        <v>12.92</v>
      </c>
      <c r="AL4493" t="s">
        <v>24632</v>
      </c>
      <c r="AM4493">
        <v>2184</v>
      </c>
      <c r="AS4493">
        <v>0.3</v>
      </c>
      <c r="AT4493" t="s">
        <v>495</v>
      </c>
      <c r="AU4493" t="s">
        <v>25252</v>
      </c>
      <c r="AV4493" t="s">
        <v>25335</v>
      </c>
      <c r="AW4493" t="s">
        <v>11447</v>
      </c>
    </row>
    <row r="4494" spans="1:49">
      <c r="A4494" s="1">
        <f>HYPERLINK("https://lsnyc.legalserver.org/matter/dynamic-profile/view/1912013","19-1912013")</f>
        <v>0</v>
      </c>
      <c r="B4494" t="s">
        <v>297</v>
      </c>
      <c r="C4494" t="s">
        <v>526</v>
      </c>
      <c r="E4494" t="s">
        <v>2061</v>
      </c>
      <c r="F4494" t="s">
        <v>5849</v>
      </c>
      <c r="G4494" t="s">
        <v>9699</v>
      </c>
      <c r="H4494">
        <v>1201</v>
      </c>
      <c r="I4494" t="s">
        <v>11383</v>
      </c>
      <c r="J4494">
        <v>10457</v>
      </c>
      <c r="K4494" t="s">
        <v>11446</v>
      </c>
      <c r="L4494" t="s">
        <v>14009</v>
      </c>
      <c r="M4494" t="s">
        <v>14743</v>
      </c>
      <c r="N4494" t="s">
        <v>14781</v>
      </c>
      <c r="P4494" t="s">
        <v>14805</v>
      </c>
      <c r="Q4494" t="s">
        <v>11448</v>
      </c>
      <c r="S4494" t="s">
        <v>14827</v>
      </c>
      <c r="T4494" t="s">
        <v>14832</v>
      </c>
      <c r="V4494">
        <v>275</v>
      </c>
      <c r="W4494" t="s">
        <v>14858</v>
      </c>
      <c r="X4494" t="s">
        <v>14865</v>
      </c>
      <c r="Z4494" t="s">
        <v>15620</v>
      </c>
      <c r="AB4494" t="s">
        <v>23752</v>
      </c>
      <c r="AC4494">
        <v>99</v>
      </c>
      <c r="AD4494" t="s">
        <v>24604</v>
      </c>
      <c r="AE4494" t="s">
        <v>24610</v>
      </c>
      <c r="AF4494">
        <v>27</v>
      </c>
      <c r="AG4494">
        <v>3</v>
      </c>
      <c r="AH4494">
        <v>0</v>
      </c>
      <c r="AI4494">
        <v>13.28</v>
      </c>
      <c r="AL4494" t="s">
        <v>5011</v>
      </c>
      <c r="AM4494">
        <v>2832</v>
      </c>
      <c r="AS4494">
        <v>5.15</v>
      </c>
      <c r="AT4494" t="s">
        <v>506</v>
      </c>
      <c r="AU4494" t="s">
        <v>237</v>
      </c>
      <c r="AV4494" t="s">
        <v>25335</v>
      </c>
      <c r="AW4494" t="s">
        <v>11447</v>
      </c>
    </row>
    <row r="4495" spans="1:49">
      <c r="A4495" s="1">
        <f>HYPERLINK("https://lsnyc.legalserver.org/matter/dynamic-profile/view/1914060","19-1914060")</f>
        <v>0</v>
      </c>
      <c r="B4495" t="s">
        <v>268</v>
      </c>
      <c r="C4495" t="s">
        <v>580</v>
      </c>
      <c r="E4495" t="s">
        <v>1750</v>
      </c>
      <c r="F4495" t="s">
        <v>4073</v>
      </c>
      <c r="G4495" t="s">
        <v>9639</v>
      </c>
      <c r="H4495">
        <v>543</v>
      </c>
      <c r="I4495" t="s">
        <v>11383</v>
      </c>
      <c r="J4495">
        <v>10462</v>
      </c>
      <c r="K4495" t="s">
        <v>11446</v>
      </c>
      <c r="L4495" t="s">
        <v>14010</v>
      </c>
      <c r="M4495" t="s">
        <v>14744</v>
      </c>
      <c r="N4495" t="s">
        <v>14781</v>
      </c>
      <c r="P4495" t="s">
        <v>14805</v>
      </c>
      <c r="Q4495" t="s">
        <v>11448</v>
      </c>
      <c r="S4495" t="s">
        <v>14827</v>
      </c>
      <c r="V4495">
        <v>1144.44</v>
      </c>
      <c r="W4495" t="s">
        <v>14858</v>
      </c>
      <c r="X4495" t="s">
        <v>14865</v>
      </c>
      <c r="Z4495" t="s">
        <v>18615</v>
      </c>
      <c r="AA4495" t="s">
        <v>19974</v>
      </c>
      <c r="AB4495" t="s">
        <v>23753</v>
      </c>
      <c r="AC4495">
        <v>79</v>
      </c>
      <c r="AD4495" t="s">
        <v>11479</v>
      </c>
      <c r="AE4495" t="s">
        <v>11459</v>
      </c>
      <c r="AF4495">
        <v>6</v>
      </c>
      <c r="AG4495">
        <v>1</v>
      </c>
      <c r="AH4495">
        <v>1</v>
      </c>
      <c r="AI4495">
        <v>18.26</v>
      </c>
      <c r="AL4495" t="s">
        <v>5011</v>
      </c>
      <c r="AM4495">
        <v>3088.28</v>
      </c>
      <c r="AS4495">
        <v>5.6</v>
      </c>
      <c r="AT4495" t="s">
        <v>495</v>
      </c>
      <c r="AU4495" t="s">
        <v>25239</v>
      </c>
      <c r="AV4495" t="s">
        <v>25335</v>
      </c>
      <c r="AW4495" t="s">
        <v>11447</v>
      </c>
    </row>
    <row r="4496" spans="1:49">
      <c r="A4496" s="1">
        <f>HYPERLINK("https://lsnyc.legalserver.org/matter/dynamic-profile/view/1908855","19-1908855")</f>
        <v>0</v>
      </c>
      <c r="B4496" t="s">
        <v>157</v>
      </c>
      <c r="C4496" t="s">
        <v>640</v>
      </c>
      <c r="E4496" t="s">
        <v>1087</v>
      </c>
      <c r="F4496" t="s">
        <v>3986</v>
      </c>
      <c r="G4496" t="s">
        <v>9700</v>
      </c>
      <c r="H4496" t="s">
        <v>11267</v>
      </c>
      <c r="I4496" t="s">
        <v>11383</v>
      </c>
      <c r="J4496">
        <v>10467</v>
      </c>
      <c r="K4496" t="s">
        <v>11446</v>
      </c>
      <c r="L4496" t="s">
        <v>14011</v>
      </c>
      <c r="M4496" t="s">
        <v>14744</v>
      </c>
      <c r="N4496" t="s">
        <v>14782</v>
      </c>
      <c r="P4496" t="s">
        <v>14805</v>
      </c>
      <c r="Q4496" t="s">
        <v>11448</v>
      </c>
      <c r="S4496" t="s">
        <v>14827</v>
      </c>
      <c r="V4496">
        <v>1359.82</v>
      </c>
      <c r="W4496" t="s">
        <v>14858</v>
      </c>
      <c r="X4496" t="s">
        <v>14865</v>
      </c>
      <c r="Z4496" t="s">
        <v>18616</v>
      </c>
      <c r="AA4496" t="s">
        <v>19975</v>
      </c>
      <c r="AB4496" t="s">
        <v>23754</v>
      </c>
      <c r="AC4496">
        <v>100</v>
      </c>
      <c r="AD4496" t="s">
        <v>11479</v>
      </c>
      <c r="AE4496" t="s">
        <v>11459</v>
      </c>
      <c r="AF4496">
        <v>4</v>
      </c>
      <c r="AG4496">
        <v>1</v>
      </c>
      <c r="AH4496">
        <v>1</v>
      </c>
      <c r="AI4496">
        <v>19.73</v>
      </c>
      <c r="AL4496" t="s">
        <v>5011</v>
      </c>
      <c r="AM4496">
        <v>3336</v>
      </c>
      <c r="AS4496">
        <v>0.5</v>
      </c>
      <c r="AT4496" t="s">
        <v>640</v>
      </c>
      <c r="AU4496" t="s">
        <v>25239</v>
      </c>
      <c r="AV4496" t="s">
        <v>25334</v>
      </c>
      <c r="AW4496" t="s">
        <v>11447</v>
      </c>
    </row>
    <row r="4497" spans="1:49">
      <c r="A4497" s="1">
        <f>HYPERLINK("https://lsnyc.legalserver.org/matter/dynamic-profile/view/1913668","19-1913668")</f>
        <v>0</v>
      </c>
      <c r="B4497" t="s">
        <v>304</v>
      </c>
      <c r="C4497" t="s">
        <v>476</v>
      </c>
      <c r="E4497" t="s">
        <v>3199</v>
      </c>
      <c r="F4497" t="s">
        <v>5850</v>
      </c>
      <c r="G4497" t="s">
        <v>6575</v>
      </c>
      <c r="H4497" t="s">
        <v>10514</v>
      </c>
      <c r="I4497" t="s">
        <v>11383</v>
      </c>
      <c r="J4497">
        <v>10462</v>
      </c>
      <c r="K4497" t="s">
        <v>11446</v>
      </c>
      <c r="L4497" t="s">
        <v>14012</v>
      </c>
      <c r="M4497" t="s">
        <v>14744</v>
      </c>
      <c r="N4497" t="s">
        <v>14781</v>
      </c>
      <c r="P4497" t="s">
        <v>14805</v>
      </c>
      <c r="Q4497" t="s">
        <v>11446</v>
      </c>
      <c r="S4497" t="s">
        <v>14827</v>
      </c>
      <c r="V4497">
        <v>1431</v>
      </c>
      <c r="W4497" t="s">
        <v>14858</v>
      </c>
      <c r="X4497" t="s">
        <v>14873</v>
      </c>
      <c r="Z4497" t="s">
        <v>15211</v>
      </c>
      <c r="AA4497" t="s">
        <v>19976</v>
      </c>
      <c r="AB4497" t="s">
        <v>23755</v>
      </c>
      <c r="AC4497">
        <v>0</v>
      </c>
      <c r="AE4497" t="s">
        <v>24610</v>
      </c>
      <c r="AF4497">
        <v>3</v>
      </c>
      <c r="AG4497">
        <v>1</v>
      </c>
      <c r="AH4497">
        <v>2</v>
      </c>
      <c r="AI4497">
        <v>20.48</v>
      </c>
      <c r="AL4497" t="s">
        <v>24632</v>
      </c>
      <c r="AM4497">
        <v>4368</v>
      </c>
      <c r="AS4497">
        <v>5</v>
      </c>
      <c r="AT4497" t="s">
        <v>592</v>
      </c>
      <c r="AU4497" t="s">
        <v>25311</v>
      </c>
      <c r="AV4497" t="s">
        <v>25334</v>
      </c>
      <c r="AW4497" t="s">
        <v>11447</v>
      </c>
    </row>
    <row r="4498" spans="1:49">
      <c r="A4498" s="1">
        <f>HYPERLINK("https://lsnyc.legalserver.org/matter/dynamic-profile/view/1908350","19-1908350")</f>
        <v>0</v>
      </c>
      <c r="B4498" t="s">
        <v>256</v>
      </c>
      <c r="C4498" t="s">
        <v>464</v>
      </c>
      <c r="E4498" t="s">
        <v>3200</v>
      </c>
      <c r="F4498" t="s">
        <v>3571</v>
      </c>
      <c r="G4498" t="s">
        <v>7070</v>
      </c>
      <c r="H4498" t="s">
        <v>10870</v>
      </c>
      <c r="I4498" t="s">
        <v>11383</v>
      </c>
      <c r="J4498">
        <v>10457</v>
      </c>
      <c r="K4498" t="s">
        <v>11446</v>
      </c>
      <c r="L4498" t="s">
        <v>14013</v>
      </c>
      <c r="M4498" t="s">
        <v>14743</v>
      </c>
      <c r="N4498" t="s">
        <v>14778</v>
      </c>
      <c r="P4498" t="s">
        <v>14805</v>
      </c>
      <c r="Q4498" t="s">
        <v>11448</v>
      </c>
      <c r="S4498" t="s">
        <v>14827</v>
      </c>
      <c r="V4498">
        <v>985</v>
      </c>
      <c r="W4498" t="s">
        <v>14858</v>
      </c>
      <c r="X4498" t="s">
        <v>14863</v>
      </c>
      <c r="Z4498" t="s">
        <v>18617</v>
      </c>
      <c r="AA4498" t="s">
        <v>19977</v>
      </c>
      <c r="AB4498" t="s">
        <v>23756</v>
      </c>
      <c r="AC4498">
        <v>70</v>
      </c>
      <c r="AD4498" t="s">
        <v>11479</v>
      </c>
      <c r="AE4498" t="s">
        <v>11459</v>
      </c>
      <c r="AF4498">
        <v>3</v>
      </c>
      <c r="AG4498">
        <v>1</v>
      </c>
      <c r="AH4498">
        <v>1</v>
      </c>
      <c r="AI4498">
        <v>20.69</v>
      </c>
      <c r="AL4498" t="s">
        <v>5011</v>
      </c>
      <c r="AM4498">
        <v>3498</v>
      </c>
      <c r="AS4498">
        <v>5.3</v>
      </c>
      <c r="AT4498" t="s">
        <v>586</v>
      </c>
      <c r="AU4498" t="s">
        <v>245</v>
      </c>
      <c r="AV4498" t="s">
        <v>25335</v>
      </c>
      <c r="AW4498" t="s">
        <v>11447</v>
      </c>
    </row>
    <row r="4499" spans="1:49">
      <c r="A4499" s="1">
        <f>HYPERLINK("https://lsnyc.legalserver.org/matter/dynamic-profile/view/1911404","19-1911404")</f>
        <v>0</v>
      </c>
      <c r="B4499" t="s">
        <v>80</v>
      </c>
      <c r="C4499" t="s">
        <v>467</v>
      </c>
      <c r="E4499" t="s">
        <v>1025</v>
      </c>
      <c r="F4499" t="s">
        <v>5851</v>
      </c>
      <c r="G4499" t="s">
        <v>9701</v>
      </c>
      <c r="H4499" t="s">
        <v>10568</v>
      </c>
      <c r="I4499" t="s">
        <v>11383</v>
      </c>
      <c r="J4499">
        <v>10462</v>
      </c>
      <c r="K4499" t="s">
        <v>11446</v>
      </c>
      <c r="L4499" t="s">
        <v>14014</v>
      </c>
      <c r="M4499" t="s">
        <v>14744</v>
      </c>
      <c r="N4499" t="s">
        <v>14782</v>
      </c>
      <c r="P4499" t="s">
        <v>14805</v>
      </c>
      <c r="Q4499" t="s">
        <v>11448</v>
      </c>
      <c r="S4499" t="s">
        <v>14827</v>
      </c>
      <c r="V4499">
        <v>1450</v>
      </c>
      <c r="W4499" t="s">
        <v>14858</v>
      </c>
      <c r="X4499" t="s">
        <v>14865</v>
      </c>
      <c r="Z4499" t="s">
        <v>17623</v>
      </c>
      <c r="AB4499" t="s">
        <v>23757</v>
      </c>
      <c r="AC4499">
        <v>78</v>
      </c>
      <c r="AD4499" t="s">
        <v>24595</v>
      </c>
      <c r="AF4499">
        <v>1</v>
      </c>
      <c r="AG4499">
        <v>1</v>
      </c>
      <c r="AH4499">
        <v>1</v>
      </c>
      <c r="AI4499">
        <v>22.6</v>
      </c>
      <c r="AL4499" t="s">
        <v>5011</v>
      </c>
      <c r="AM4499">
        <v>3822</v>
      </c>
      <c r="AS4499">
        <v>1</v>
      </c>
      <c r="AT4499" t="s">
        <v>467</v>
      </c>
      <c r="AU4499" t="s">
        <v>145</v>
      </c>
      <c r="AV4499" t="s">
        <v>25335</v>
      </c>
      <c r="AW4499" t="s">
        <v>11447</v>
      </c>
    </row>
    <row r="4500" spans="1:49">
      <c r="A4500" s="1">
        <f>HYPERLINK("https://lsnyc.legalserver.org/matter/dynamic-profile/view/1904952","19-1904952")</f>
        <v>0</v>
      </c>
      <c r="B4500" t="s">
        <v>143</v>
      </c>
      <c r="C4500" t="s">
        <v>593</v>
      </c>
      <c r="E4500" t="s">
        <v>1523</v>
      </c>
      <c r="F4500" t="s">
        <v>5852</v>
      </c>
      <c r="G4500" t="s">
        <v>9457</v>
      </c>
      <c r="H4500" t="s">
        <v>11268</v>
      </c>
      <c r="I4500" t="s">
        <v>11383</v>
      </c>
      <c r="J4500">
        <v>10467</v>
      </c>
      <c r="K4500" t="s">
        <v>11446</v>
      </c>
      <c r="L4500" t="s">
        <v>14015</v>
      </c>
      <c r="M4500" t="s">
        <v>14743</v>
      </c>
      <c r="N4500" t="s">
        <v>14781</v>
      </c>
      <c r="P4500" t="s">
        <v>14805</v>
      </c>
      <c r="Q4500" t="s">
        <v>11448</v>
      </c>
      <c r="S4500" t="s">
        <v>14827</v>
      </c>
      <c r="V4500">
        <v>0</v>
      </c>
      <c r="W4500" t="s">
        <v>14858</v>
      </c>
      <c r="Z4500" t="s">
        <v>18618</v>
      </c>
      <c r="AB4500" t="s">
        <v>23758</v>
      </c>
      <c r="AC4500">
        <v>83</v>
      </c>
      <c r="AF4500">
        <v>0</v>
      </c>
      <c r="AG4500">
        <v>2</v>
      </c>
      <c r="AH4500">
        <v>1</v>
      </c>
      <c r="AI4500">
        <v>23.77</v>
      </c>
      <c r="AL4500" t="s">
        <v>24632</v>
      </c>
      <c r="AM4500">
        <v>5070</v>
      </c>
      <c r="AN4500" t="s">
        <v>24747</v>
      </c>
      <c r="AS4500">
        <v>9</v>
      </c>
      <c r="AT4500" t="s">
        <v>586</v>
      </c>
      <c r="AU4500" t="s">
        <v>145</v>
      </c>
      <c r="AW4500" t="s">
        <v>11447</v>
      </c>
    </row>
    <row r="4501" spans="1:49">
      <c r="A4501" s="1">
        <f>HYPERLINK("https://lsnyc.legalserver.org/matter/dynamic-profile/view/1901971","19-1901971")</f>
        <v>0</v>
      </c>
      <c r="B4501" t="s">
        <v>142</v>
      </c>
      <c r="C4501" t="s">
        <v>349</v>
      </c>
      <c r="E4501" t="s">
        <v>1328</v>
      </c>
      <c r="F4501" t="s">
        <v>5853</v>
      </c>
      <c r="G4501" t="s">
        <v>9702</v>
      </c>
      <c r="H4501" t="s">
        <v>10594</v>
      </c>
      <c r="I4501" t="s">
        <v>11383</v>
      </c>
      <c r="J4501">
        <v>10467</v>
      </c>
      <c r="K4501" t="s">
        <v>11446</v>
      </c>
      <c r="L4501" t="s">
        <v>14016</v>
      </c>
      <c r="M4501" t="s">
        <v>14744</v>
      </c>
      <c r="N4501" t="s">
        <v>14781</v>
      </c>
      <c r="P4501" t="s">
        <v>14805</v>
      </c>
      <c r="Q4501" t="s">
        <v>11448</v>
      </c>
      <c r="S4501" t="s">
        <v>14827</v>
      </c>
      <c r="V4501">
        <v>1285</v>
      </c>
      <c r="W4501" t="s">
        <v>14858</v>
      </c>
      <c r="X4501" t="s">
        <v>14863</v>
      </c>
      <c r="Z4501" t="s">
        <v>18619</v>
      </c>
      <c r="AC4501">
        <v>75</v>
      </c>
      <c r="AE4501" t="s">
        <v>11459</v>
      </c>
      <c r="AF4501">
        <v>3</v>
      </c>
      <c r="AG4501">
        <v>1</v>
      </c>
      <c r="AH4501">
        <v>4</v>
      </c>
      <c r="AI4501">
        <v>23.86</v>
      </c>
      <c r="AL4501" t="s">
        <v>24632</v>
      </c>
      <c r="AM4501">
        <v>7200</v>
      </c>
      <c r="AS4501">
        <v>14.5</v>
      </c>
      <c r="AT4501" t="s">
        <v>516</v>
      </c>
      <c r="AU4501" t="s">
        <v>245</v>
      </c>
      <c r="AV4501" t="s">
        <v>25335</v>
      </c>
      <c r="AW4501" t="s">
        <v>11447</v>
      </c>
    </row>
    <row r="4502" spans="1:49">
      <c r="A4502" s="1">
        <f>HYPERLINK("https://lsnyc.legalserver.org/matter/dynamic-profile/view/1912033","19-1912033")</f>
        <v>0</v>
      </c>
      <c r="B4502" t="s">
        <v>268</v>
      </c>
      <c r="C4502" t="s">
        <v>551</v>
      </c>
      <c r="E4502" t="s">
        <v>1256</v>
      </c>
      <c r="F4502" t="s">
        <v>3815</v>
      </c>
      <c r="G4502" t="s">
        <v>9514</v>
      </c>
      <c r="H4502" t="s">
        <v>11269</v>
      </c>
      <c r="I4502" t="s">
        <v>11383</v>
      </c>
      <c r="J4502">
        <v>10468</v>
      </c>
      <c r="K4502" t="s">
        <v>11446</v>
      </c>
      <c r="L4502" t="s">
        <v>14017</v>
      </c>
      <c r="M4502" t="s">
        <v>14744</v>
      </c>
      <c r="P4502" t="s">
        <v>14805</v>
      </c>
      <c r="Q4502" t="s">
        <v>11448</v>
      </c>
      <c r="S4502" t="s">
        <v>14827</v>
      </c>
      <c r="V4502">
        <v>1500</v>
      </c>
      <c r="W4502" t="s">
        <v>14858</v>
      </c>
      <c r="X4502" t="s">
        <v>14865</v>
      </c>
      <c r="Z4502" t="s">
        <v>18620</v>
      </c>
      <c r="AC4502">
        <v>59</v>
      </c>
      <c r="AD4502" t="s">
        <v>11479</v>
      </c>
      <c r="AE4502" t="s">
        <v>24615</v>
      </c>
      <c r="AF4502">
        <v>7</v>
      </c>
      <c r="AG4502">
        <v>1</v>
      </c>
      <c r="AH4502">
        <v>2</v>
      </c>
      <c r="AI4502">
        <v>27.3</v>
      </c>
      <c r="AL4502" t="s">
        <v>5011</v>
      </c>
      <c r="AM4502">
        <v>5824</v>
      </c>
      <c r="AS4502">
        <v>1.52</v>
      </c>
      <c r="AT4502" t="s">
        <v>491</v>
      </c>
      <c r="AU4502" t="s">
        <v>25239</v>
      </c>
      <c r="AV4502" t="s">
        <v>25335</v>
      </c>
      <c r="AW4502" t="s">
        <v>11447</v>
      </c>
    </row>
    <row r="4503" spans="1:49">
      <c r="A4503" s="1">
        <f>HYPERLINK("https://lsnyc.legalserver.org/matter/dynamic-profile/view/1912460","19-1912460")</f>
        <v>0</v>
      </c>
      <c r="B4503" t="s">
        <v>297</v>
      </c>
      <c r="C4503" t="s">
        <v>551</v>
      </c>
      <c r="E4503" t="s">
        <v>1249</v>
      </c>
      <c r="F4503" t="s">
        <v>5854</v>
      </c>
      <c r="G4503" t="s">
        <v>9703</v>
      </c>
      <c r="H4503">
        <v>33</v>
      </c>
      <c r="I4503" t="s">
        <v>11383</v>
      </c>
      <c r="J4503">
        <v>10468</v>
      </c>
      <c r="K4503" t="s">
        <v>11446</v>
      </c>
      <c r="L4503" t="s">
        <v>14018</v>
      </c>
      <c r="M4503" t="s">
        <v>14744</v>
      </c>
      <c r="N4503" t="s">
        <v>14781</v>
      </c>
      <c r="P4503" t="s">
        <v>14805</v>
      </c>
      <c r="Q4503" t="s">
        <v>11448</v>
      </c>
      <c r="S4503" t="s">
        <v>14827</v>
      </c>
      <c r="T4503" t="s">
        <v>14832</v>
      </c>
      <c r="V4503">
        <v>701</v>
      </c>
      <c r="W4503" t="s">
        <v>14858</v>
      </c>
      <c r="X4503" t="s">
        <v>14865</v>
      </c>
      <c r="Z4503" t="s">
        <v>18621</v>
      </c>
      <c r="AB4503" t="s">
        <v>23759</v>
      </c>
      <c r="AC4503">
        <v>28</v>
      </c>
      <c r="AD4503" t="s">
        <v>24595</v>
      </c>
      <c r="AE4503" t="s">
        <v>11459</v>
      </c>
      <c r="AF4503">
        <v>20</v>
      </c>
      <c r="AG4503">
        <v>2</v>
      </c>
      <c r="AH4503">
        <v>2</v>
      </c>
      <c r="AI4503">
        <v>32.62</v>
      </c>
      <c r="AL4503" t="s">
        <v>24632</v>
      </c>
      <c r="AM4503">
        <v>8400</v>
      </c>
      <c r="AS4503">
        <v>7</v>
      </c>
      <c r="AT4503" t="s">
        <v>495</v>
      </c>
      <c r="AU4503" t="s">
        <v>237</v>
      </c>
      <c r="AV4503" t="s">
        <v>25335</v>
      </c>
      <c r="AW4503" t="s">
        <v>11447</v>
      </c>
    </row>
    <row r="4504" spans="1:49">
      <c r="A4504" s="1">
        <f>HYPERLINK("https://lsnyc.legalserver.org/matter/dynamic-profile/view/1901787","19-1901787")</f>
        <v>0</v>
      </c>
      <c r="B4504" t="s">
        <v>82</v>
      </c>
      <c r="C4504" t="s">
        <v>487</v>
      </c>
      <c r="E4504" t="s">
        <v>1598</v>
      </c>
      <c r="F4504" t="s">
        <v>4151</v>
      </c>
      <c r="G4504" t="s">
        <v>9704</v>
      </c>
      <c r="H4504" t="s">
        <v>10484</v>
      </c>
      <c r="I4504" t="s">
        <v>11383</v>
      </c>
      <c r="J4504">
        <v>10457</v>
      </c>
      <c r="K4504" t="s">
        <v>11446</v>
      </c>
      <c r="L4504" t="s">
        <v>14019</v>
      </c>
      <c r="M4504" t="s">
        <v>14744</v>
      </c>
      <c r="N4504" t="s">
        <v>14781</v>
      </c>
      <c r="P4504" t="s">
        <v>14805</v>
      </c>
      <c r="Q4504" t="s">
        <v>11448</v>
      </c>
      <c r="S4504" t="s">
        <v>14827</v>
      </c>
      <c r="T4504" t="s">
        <v>14832</v>
      </c>
      <c r="V4504">
        <v>1073</v>
      </c>
      <c r="W4504" t="s">
        <v>14858</v>
      </c>
      <c r="X4504" t="s">
        <v>14863</v>
      </c>
      <c r="Z4504" t="s">
        <v>18622</v>
      </c>
      <c r="AB4504" t="s">
        <v>23760</v>
      </c>
      <c r="AC4504">
        <v>28</v>
      </c>
      <c r="AD4504" t="s">
        <v>11479</v>
      </c>
      <c r="AE4504" t="s">
        <v>24615</v>
      </c>
      <c r="AF4504">
        <v>5</v>
      </c>
      <c r="AG4504">
        <v>1</v>
      </c>
      <c r="AH4504">
        <v>3</v>
      </c>
      <c r="AI4504">
        <v>33.93</v>
      </c>
      <c r="AL4504" t="s">
        <v>5011</v>
      </c>
      <c r="AM4504">
        <v>8736</v>
      </c>
      <c r="AS4504">
        <v>6.6</v>
      </c>
      <c r="AT4504" t="s">
        <v>516</v>
      </c>
      <c r="AU4504" t="s">
        <v>245</v>
      </c>
      <c r="AW4504" t="s">
        <v>11447</v>
      </c>
    </row>
    <row r="4505" spans="1:49">
      <c r="A4505" s="1">
        <f>HYPERLINK("https://lsnyc.legalserver.org/matter/dynamic-profile/view/1897470","19-1897470")</f>
        <v>0</v>
      </c>
      <c r="B4505" t="s">
        <v>134</v>
      </c>
      <c r="C4505" t="s">
        <v>773</v>
      </c>
      <c r="E4505" t="s">
        <v>1089</v>
      </c>
      <c r="F4505" t="s">
        <v>4025</v>
      </c>
      <c r="G4505" t="s">
        <v>6787</v>
      </c>
      <c r="H4505">
        <v>512</v>
      </c>
      <c r="I4505" t="s">
        <v>11383</v>
      </c>
      <c r="J4505">
        <v>10457</v>
      </c>
      <c r="K4505" t="s">
        <v>11446</v>
      </c>
      <c r="L4505" t="s">
        <v>14020</v>
      </c>
      <c r="M4505" t="s">
        <v>14744</v>
      </c>
      <c r="N4505" t="s">
        <v>14781</v>
      </c>
      <c r="P4505" t="s">
        <v>14805</v>
      </c>
      <c r="Q4505" t="s">
        <v>11448</v>
      </c>
      <c r="S4505" t="s">
        <v>14827</v>
      </c>
      <c r="T4505" t="s">
        <v>14832</v>
      </c>
      <c r="V4505">
        <v>1200</v>
      </c>
      <c r="W4505" t="s">
        <v>14858</v>
      </c>
      <c r="X4505" t="s">
        <v>14865</v>
      </c>
      <c r="Z4505" t="s">
        <v>18623</v>
      </c>
      <c r="AB4505" t="s">
        <v>23761</v>
      </c>
      <c r="AC4505">
        <v>99</v>
      </c>
      <c r="AD4505" t="s">
        <v>24604</v>
      </c>
      <c r="AE4505" t="s">
        <v>24610</v>
      </c>
      <c r="AF4505">
        <v>10</v>
      </c>
      <c r="AG4505">
        <v>1</v>
      </c>
      <c r="AH4505">
        <v>0</v>
      </c>
      <c r="AI4505">
        <v>37.09</v>
      </c>
      <c r="AL4505" t="s">
        <v>5011</v>
      </c>
      <c r="AM4505">
        <v>4632</v>
      </c>
      <c r="AN4505" t="s">
        <v>24904</v>
      </c>
      <c r="AS4505">
        <v>12.75</v>
      </c>
      <c r="AT4505" t="s">
        <v>515</v>
      </c>
      <c r="AU4505" t="s">
        <v>25239</v>
      </c>
      <c r="AV4505" t="s">
        <v>25335</v>
      </c>
      <c r="AW4505" t="s">
        <v>11448</v>
      </c>
    </row>
    <row r="4506" spans="1:49">
      <c r="A4506" s="1">
        <f>HYPERLINK("https://lsnyc.legalserver.org/matter/dynamic-profile/view/1910309","19-1910309")</f>
        <v>0</v>
      </c>
      <c r="B4506" t="s">
        <v>273</v>
      </c>
      <c r="C4506" t="s">
        <v>540</v>
      </c>
      <c r="E4506" t="s">
        <v>2455</v>
      </c>
      <c r="F4506" t="s">
        <v>4768</v>
      </c>
      <c r="G4506" t="s">
        <v>9705</v>
      </c>
      <c r="H4506" t="s">
        <v>10569</v>
      </c>
      <c r="I4506" t="s">
        <v>11383</v>
      </c>
      <c r="J4506">
        <v>10468</v>
      </c>
      <c r="K4506" t="s">
        <v>11446</v>
      </c>
      <c r="L4506" t="s">
        <v>14021</v>
      </c>
      <c r="M4506" t="s">
        <v>14743</v>
      </c>
      <c r="N4506" t="s">
        <v>14781</v>
      </c>
      <c r="P4506" t="s">
        <v>14805</v>
      </c>
      <c r="S4506" t="s">
        <v>14827</v>
      </c>
      <c r="V4506">
        <v>1621</v>
      </c>
      <c r="W4506" t="s">
        <v>14858</v>
      </c>
      <c r="Z4506" t="s">
        <v>15251</v>
      </c>
      <c r="AA4506" t="s">
        <v>19978</v>
      </c>
      <c r="AB4506" t="s">
        <v>23762</v>
      </c>
      <c r="AC4506">
        <v>0</v>
      </c>
      <c r="AD4506" t="s">
        <v>24596</v>
      </c>
      <c r="AE4506" t="s">
        <v>24610</v>
      </c>
      <c r="AF4506">
        <v>11</v>
      </c>
      <c r="AG4506">
        <v>3</v>
      </c>
      <c r="AH4506">
        <v>0</v>
      </c>
      <c r="AI4506">
        <v>38.99</v>
      </c>
      <c r="AL4506" t="s">
        <v>5011</v>
      </c>
      <c r="AM4506">
        <v>8316</v>
      </c>
      <c r="AS4506">
        <v>9.800000000000001</v>
      </c>
      <c r="AT4506" t="s">
        <v>1020</v>
      </c>
      <c r="AU4506" t="s">
        <v>25311</v>
      </c>
      <c r="AV4506" t="s">
        <v>25334</v>
      </c>
      <c r="AW4506" t="s">
        <v>11447</v>
      </c>
    </row>
    <row r="4507" spans="1:49">
      <c r="A4507" s="1">
        <f>HYPERLINK("https://lsnyc.legalserver.org/matter/dynamic-profile/view/1915010","19-1915010")</f>
        <v>0</v>
      </c>
      <c r="B4507" t="s">
        <v>157</v>
      </c>
      <c r="C4507" t="s">
        <v>521</v>
      </c>
      <c r="E4507" t="s">
        <v>3201</v>
      </c>
      <c r="F4507" t="s">
        <v>4085</v>
      </c>
      <c r="G4507" t="s">
        <v>9706</v>
      </c>
      <c r="H4507" t="s">
        <v>10489</v>
      </c>
      <c r="I4507" t="s">
        <v>11383</v>
      </c>
      <c r="J4507">
        <v>10467</v>
      </c>
      <c r="K4507" t="s">
        <v>11447</v>
      </c>
      <c r="M4507" t="s">
        <v>14744</v>
      </c>
      <c r="P4507" t="s">
        <v>14805</v>
      </c>
      <c r="Q4507" t="s">
        <v>11446</v>
      </c>
      <c r="S4507" t="s">
        <v>14827</v>
      </c>
      <c r="V4507">
        <v>1700</v>
      </c>
      <c r="W4507" t="s">
        <v>14858</v>
      </c>
      <c r="X4507" t="s">
        <v>14873</v>
      </c>
      <c r="Z4507" t="s">
        <v>18624</v>
      </c>
      <c r="AA4507" t="s">
        <v>19979</v>
      </c>
      <c r="AB4507" t="s">
        <v>23763</v>
      </c>
      <c r="AC4507">
        <v>0</v>
      </c>
      <c r="AE4507" t="s">
        <v>24611</v>
      </c>
      <c r="AF4507">
        <v>5</v>
      </c>
      <c r="AG4507">
        <v>1</v>
      </c>
      <c r="AH4507">
        <v>0</v>
      </c>
      <c r="AI4507">
        <v>39.14</v>
      </c>
      <c r="AL4507" t="s">
        <v>5011</v>
      </c>
      <c r="AM4507">
        <v>4888</v>
      </c>
      <c r="AS4507">
        <v>0</v>
      </c>
      <c r="AU4507" t="s">
        <v>25311</v>
      </c>
      <c r="AV4507" t="s">
        <v>25335</v>
      </c>
      <c r="AW4507" t="s">
        <v>11447</v>
      </c>
    </row>
    <row r="4508" spans="1:49">
      <c r="A4508" s="1">
        <f>HYPERLINK("https://lsnyc.legalserver.org/matter/dynamic-profile/view/1911521","19-1911521")</f>
        <v>0</v>
      </c>
      <c r="B4508" t="s">
        <v>134</v>
      </c>
      <c r="C4508" t="s">
        <v>486</v>
      </c>
      <c r="E4508" t="s">
        <v>1423</v>
      </c>
      <c r="F4508" t="s">
        <v>1075</v>
      </c>
      <c r="G4508" t="s">
        <v>9707</v>
      </c>
      <c r="H4508" t="s">
        <v>10689</v>
      </c>
      <c r="I4508" t="s">
        <v>11383</v>
      </c>
      <c r="J4508">
        <v>10462</v>
      </c>
      <c r="K4508" t="s">
        <v>11446</v>
      </c>
      <c r="L4508" t="s">
        <v>14022</v>
      </c>
      <c r="M4508" t="s">
        <v>14743</v>
      </c>
      <c r="N4508" t="s">
        <v>14781</v>
      </c>
      <c r="P4508" t="s">
        <v>14805</v>
      </c>
      <c r="Q4508" t="s">
        <v>11448</v>
      </c>
      <c r="S4508" t="s">
        <v>14827</v>
      </c>
      <c r="V4508">
        <v>1610</v>
      </c>
      <c r="W4508" t="s">
        <v>14858</v>
      </c>
      <c r="Z4508" t="s">
        <v>18625</v>
      </c>
      <c r="AB4508" t="s">
        <v>23764</v>
      </c>
      <c r="AC4508">
        <v>64</v>
      </c>
      <c r="AD4508" t="s">
        <v>24596</v>
      </c>
      <c r="AF4508">
        <v>19</v>
      </c>
      <c r="AG4508">
        <v>3</v>
      </c>
      <c r="AH4508">
        <v>0</v>
      </c>
      <c r="AI4508">
        <v>42.42</v>
      </c>
      <c r="AL4508" t="s">
        <v>5011</v>
      </c>
      <c r="AM4508">
        <v>9048</v>
      </c>
      <c r="AS4508">
        <v>3.5</v>
      </c>
      <c r="AT4508" t="s">
        <v>472</v>
      </c>
      <c r="AU4508" t="s">
        <v>145</v>
      </c>
      <c r="AV4508" t="s">
        <v>25335</v>
      </c>
      <c r="AW4508" t="s">
        <v>11447</v>
      </c>
    </row>
    <row r="4509" spans="1:49">
      <c r="A4509" s="1">
        <f>HYPERLINK("https://lsnyc.legalserver.org/matter/dynamic-profile/view/1913683","19-1913683")</f>
        <v>0</v>
      </c>
      <c r="B4509" t="s">
        <v>304</v>
      </c>
      <c r="C4509" t="s">
        <v>476</v>
      </c>
      <c r="E4509" t="s">
        <v>3202</v>
      </c>
      <c r="F4509" t="s">
        <v>1724</v>
      </c>
      <c r="G4509" t="s">
        <v>9708</v>
      </c>
      <c r="H4509">
        <v>16</v>
      </c>
      <c r="I4509" t="s">
        <v>11383</v>
      </c>
      <c r="J4509">
        <v>10467</v>
      </c>
      <c r="K4509" t="s">
        <v>11446</v>
      </c>
      <c r="L4509" t="s">
        <v>14023</v>
      </c>
      <c r="M4509" t="s">
        <v>14744</v>
      </c>
      <c r="N4509" t="s">
        <v>14782</v>
      </c>
      <c r="P4509" t="s">
        <v>14805</v>
      </c>
      <c r="Q4509" t="s">
        <v>11446</v>
      </c>
      <c r="S4509" t="s">
        <v>14827</v>
      </c>
      <c r="V4509">
        <v>1478.78</v>
      </c>
      <c r="W4509" t="s">
        <v>14858</v>
      </c>
      <c r="X4509" t="s">
        <v>14873</v>
      </c>
      <c r="Z4509" t="s">
        <v>18626</v>
      </c>
      <c r="AB4509" t="s">
        <v>19344</v>
      </c>
      <c r="AC4509">
        <v>0</v>
      </c>
      <c r="AF4509">
        <v>4</v>
      </c>
      <c r="AG4509">
        <v>1</v>
      </c>
      <c r="AH4509">
        <v>4</v>
      </c>
      <c r="AI4509">
        <v>43.09</v>
      </c>
      <c r="AL4509" t="s">
        <v>24632</v>
      </c>
      <c r="AM4509">
        <v>13000</v>
      </c>
      <c r="AS4509">
        <v>2.5</v>
      </c>
      <c r="AT4509" t="s">
        <v>516</v>
      </c>
      <c r="AU4509" t="s">
        <v>25311</v>
      </c>
      <c r="AV4509" t="s">
        <v>25335</v>
      </c>
      <c r="AW4509" t="s">
        <v>11447</v>
      </c>
    </row>
    <row r="4510" spans="1:49">
      <c r="A4510" s="1">
        <f>HYPERLINK("https://lsnyc.legalserver.org/matter/dynamic-profile/view/1915378","19-1915378")</f>
        <v>0</v>
      </c>
      <c r="B4510" t="s">
        <v>80</v>
      </c>
      <c r="C4510" t="s">
        <v>495</v>
      </c>
      <c r="E4510" t="s">
        <v>1598</v>
      </c>
      <c r="F4510" t="s">
        <v>4038</v>
      </c>
      <c r="G4510" t="s">
        <v>9709</v>
      </c>
      <c r="H4510">
        <v>10467</v>
      </c>
      <c r="I4510" t="s">
        <v>11383</v>
      </c>
      <c r="J4510">
        <v>10467</v>
      </c>
      <c r="K4510" t="s">
        <v>11447</v>
      </c>
      <c r="L4510" t="s">
        <v>14024</v>
      </c>
      <c r="M4510" t="s">
        <v>14744</v>
      </c>
      <c r="N4510" t="s">
        <v>14781</v>
      </c>
      <c r="P4510" t="s">
        <v>14805</v>
      </c>
      <c r="S4510" t="s">
        <v>14827</v>
      </c>
      <c r="V4510">
        <v>1668</v>
      </c>
      <c r="W4510" t="s">
        <v>14858</v>
      </c>
      <c r="X4510" t="s">
        <v>14863</v>
      </c>
      <c r="Z4510" t="s">
        <v>18627</v>
      </c>
      <c r="AB4510" t="s">
        <v>23765</v>
      </c>
      <c r="AC4510">
        <v>4</v>
      </c>
      <c r="AF4510">
        <v>7</v>
      </c>
      <c r="AG4510">
        <v>1</v>
      </c>
      <c r="AH4510">
        <v>3</v>
      </c>
      <c r="AI4510">
        <v>50.49</v>
      </c>
      <c r="AL4510" t="s">
        <v>5011</v>
      </c>
      <c r="AM4510">
        <v>13000</v>
      </c>
      <c r="AS4510">
        <v>0</v>
      </c>
      <c r="AU4510" t="s">
        <v>25251</v>
      </c>
      <c r="AW4510" t="s">
        <v>11447</v>
      </c>
    </row>
    <row r="4511" spans="1:49">
      <c r="A4511" s="1">
        <f>HYPERLINK("https://lsnyc.legalserver.org/matter/dynamic-profile/view/1911013","19-1911013")</f>
        <v>0</v>
      </c>
      <c r="B4511" t="s">
        <v>157</v>
      </c>
      <c r="C4511" t="s">
        <v>460</v>
      </c>
      <c r="E4511" t="s">
        <v>1661</v>
      </c>
      <c r="F4511" t="s">
        <v>2719</v>
      </c>
      <c r="G4511" t="s">
        <v>9710</v>
      </c>
      <c r="H4511" t="s">
        <v>10589</v>
      </c>
      <c r="I4511" t="s">
        <v>11383</v>
      </c>
      <c r="J4511">
        <v>10468</v>
      </c>
      <c r="K4511" t="s">
        <v>11446</v>
      </c>
      <c r="L4511" t="s">
        <v>14025</v>
      </c>
      <c r="M4511" t="s">
        <v>14744</v>
      </c>
      <c r="N4511" t="s">
        <v>14782</v>
      </c>
      <c r="P4511" t="s">
        <v>14805</v>
      </c>
      <c r="Q4511" t="s">
        <v>11448</v>
      </c>
      <c r="S4511" t="s">
        <v>14827</v>
      </c>
      <c r="V4511">
        <v>250</v>
      </c>
      <c r="W4511" t="s">
        <v>14858</v>
      </c>
      <c r="X4511" t="s">
        <v>14865</v>
      </c>
      <c r="Z4511" t="s">
        <v>18628</v>
      </c>
      <c r="AA4511" t="s">
        <v>19980</v>
      </c>
      <c r="AB4511" t="s">
        <v>23766</v>
      </c>
      <c r="AC4511">
        <v>20</v>
      </c>
      <c r="AD4511" t="s">
        <v>11479</v>
      </c>
      <c r="AE4511" t="s">
        <v>24610</v>
      </c>
      <c r="AF4511">
        <v>0</v>
      </c>
      <c r="AG4511">
        <v>2</v>
      </c>
      <c r="AH4511">
        <v>0</v>
      </c>
      <c r="AI4511">
        <v>53.22</v>
      </c>
      <c r="AL4511" t="s">
        <v>5011</v>
      </c>
      <c r="AM4511">
        <v>9000</v>
      </c>
      <c r="AS4511">
        <v>0.75</v>
      </c>
      <c r="AT4511" t="s">
        <v>475</v>
      </c>
      <c r="AU4511" t="s">
        <v>25239</v>
      </c>
      <c r="AV4511" t="s">
        <v>25334</v>
      </c>
      <c r="AW4511" t="s">
        <v>11447</v>
      </c>
    </row>
    <row r="4512" spans="1:49">
      <c r="A4512" s="1">
        <f>HYPERLINK("https://lsnyc.legalserver.org/matter/dynamic-profile/view/1915340","19-1915340")</f>
        <v>0</v>
      </c>
      <c r="B4512" t="s">
        <v>306</v>
      </c>
      <c r="C4512" t="s">
        <v>495</v>
      </c>
      <c r="E4512" t="s">
        <v>3203</v>
      </c>
      <c r="F4512" t="s">
        <v>4772</v>
      </c>
      <c r="G4512" t="s">
        <v>9711</v>
      </c>
      <c r="H4512">
        <v>304</v>
      </c>
      <c r="I4512" t="s">
        <v>11383</v>
      </c>
      <c r="J4512">
        <v>10457</v>
      </c>
      <c r="K4512" t="s">
        <v>11446</v>
      </c>
      <c r="L4512" t="s">
        <v>14026</v>
      </c>
      <c r="M4512" t="s">
        <v>14744</v>
      </c>
      <c r="P4512" t="s">
        <v>14805</v>
      </c>
      <c r="Q4512" t="s">
        <v>11448</v>
      </c>
      <c r="S4512" t="s">
        <v>14827</v>
      </c>
      <c r="V4512">
        <v>853</v>
      </c>
      <c r="W4512" t="s">
        <v>14858</v>
      </c>
      <c r="X4512" t="s">
        <v>14873</v>
      </c>
      <c r="Z4512" t="s">
        <v>18629</v>
      </c>
      <c r="AA4512" t="s">
        <v>19981</v>
      </c>
      <c r="AB4512" t="s">
        <v>23767</v>
      </c>
      <c r="AC4512">
        <v>40</v>
      </c>
      <c r="AD4512" t="s">
        <v>24595</v>
      </c>
      <c r="AF4512">
        <v>2</v>
      </c>
      <c r="AG4512">
        <v>1</v>
      </c>
      <c r="AH4512">
        <v>0</v>
      </c>
      <c r="AI4512">
        <v>54.61</v>
      </c>
      <c r="AL4512" t="s">
        <v>24646</v>
      </c>
      <c r="AM4512">
        <v>6820.2</v>
      </c>
      <c r="AS4512">
        <v>0.3</v>
      </c>
      <c r="AT4512" t="s">
        <v>495</v>
      </c>
      <c r="AU4512" t="s">
        <v>25252</v>
      </c>
      <c r="AV4512" t="s">
        <v>25335</v>
      </c>
      <c r="AW4512" t="s">
        <v>11447</v>
      </c>
    </row>
    <row r="4513" spans="1:49">
      <c r="A4513" s="1">
        <f>HYPERLINK("https://lsnyc.legalserver.org/matter/dynamic-profile/view/1915032","19-1915032")</f>
        <v>0</v>
      </c>
      <c r="B4513" t="s">
        <v>82</v>
      </c>
      <c r="C4513" t="s">
        <v>521</v>
      </c>
      <c r="E4513" t="s">
        <v>2987</v>
      </c>
      <c r="F4513" t="s">
        <v>4563</v>
      </c>
      <c r="G4513" t="s">
        <v>9712</v>
      </c>
      <c r="H4513" t="s">
        <v>10559</v>
      </c>
      <c r="I4513" t="s">
        <v>11383</v>
      </c>
      <c r="J4513">
        <v>10457</v>
      </c>
      <c r="K4513" t="s">
        <v>11446</v>
      </c>
      <c r="L4513" t="s">
        <v>14027</v>
      </c>
      <c r="M4513" t="s">
        <v>14744</v>
      </c>
      <c r="N4513" t="s">
        <v>14781</v>
      </c>
      <c r="P4513" t="s">
        <v>14805</v>
      </c>
      <c r="Q4513" t="s">
        <v>11448</v>
      </c>
      <c r="S4513" t="s">
        <v>14827</v>
      </c>
      <c r="V4513">
        <v>1400</v>
      </c>
      <c r="W4513" t="s">
        <v>14858</v>
      </c>
      <c r="X4513" t="s">
        <v>14863</v>
      </c>
      <c r="Z4513" t="s">
        <v>17470</v>
      </c>
      <c r="AB4513" t="s">
        <v>23768</v>
      </c>
      <c r="AC4513">
        <v>16</v>
      </c>
      <c r="AD4513" t="s">
        <v>11479</v>
      </c>
      <c r="AE4513" t="s">
        <v>24610</v>
      </c>
      <c r="AF4513">
        <v>16</v>
      </c>
      <c r="AG4513">
        <v>1</v>
      </c>
      <c r="AH4513">
        <v>2</v>
      </c>
      <c r="AI4513">
        <v>56.26</v>
      </c>
      <c r="AL4513" t="s">
        <v>5011</v>
      </c>
      <c r="AM4513">
        <v>12000</v>
      </c>
      <c r="AS4513">
        <v>0</v>
      </c>
      <c r="AU4513" t="s">
        <v>245</v>
      </c>
      <c r="AW4513" t="s">
        <v>11447</v>
      </c>
    </row>
    <row r="4514" spans="1:49">
      <c r="A4514" s="1">
        <f>HYPERLINK("https://lsnyc.legalserver.org/matter/dynamic-profile/view/1915262","19-1915262")</f>
        <v>0</v>
      </c>
      <c r="B4514" t="s">
        <v>69</v>
      </c>
      <c r="C4514" t="s">
        <v>509</v>
      </c>
      <c r="E4514" t="s">
        <v>1422</v>
      </c>
      <c r="F4514" t="s">
        <v>1109</v>
      </c>
      <c r="G4514" t="s">
        <v>9625</v>
      </c>
      <c r="H4514" t="s">
        <v>10888</v>
      </c>
      <c r="I4514" t="s">
        <v>11383</v>
      </c>
      <c r="J4514">
        <v>10468</v>
      </c>
      <c r="K4514" t="s">
        <v>11446</v>
      </c>
      <c r="L4514" t="s">
        <v>14028</v>
      </c>
      <c r="M4514" t="s">
        <v>14744</v>
      </c>
      <c r="P4514" t="s">
        <v>14805</v>
      </c>
      <c r="Q4514" t="s">
        <v>11448</v>
      </c>
      <c r="S4514" t="s">
        <v>14827</v>
      </c>
      <c r="V4514">
        <v>930</v>
      </c>
      <c r="W4514" t="s">
        <v>14858</v>
      </c>
      <c r="X4514" t="s">
        <v>14865</v>
      </c>
      <c r="Z4514" t="s">
        <v>18630</v>
      </c>
      <c r="AB4514" t="s">
        <v>23769</v>
      </c>
      <c r="AC4514">
        <v>0</v>
      </c>
      <c r="AD4514" t="s">
        <v>11479</v>
      </c>
      <c r="AE4514" t="s">
        <v>24615</v>
      </c>
      <c r="AF4514">
        <v>0</v>
      </c>
      <c r="AG4514">
        <v>2</v>
      </c>
      <c r="AH4514">
        <v>2</v>
      </c>
      <c r="AI4514">
        <v>58.56</v>
      </c>
      <c r="AL4514" t="s">
        <v>5011</v>
      </c>
      <c r="AM4514">
        <v>15080</v>
      </c>
      <c r="AS4514">
        <v>0.5</v>
      </c>
      <c r="AT4514" t="s">
        <v>509</v>
      </c>
      <c r="AU4514" t="s">
        <v>25239</v>
      </c>
      <c r="AV4514" t="s">
        <v>25335</v>
      </c>
      <c r="AW4514" t="s">
        <v>11447</v>
      </c>
    </row>
    <row r="4515" spans="1:49">
      <c r="A4515" s="1">
        <f>HYPERLINK("https://lsnyc.legalserver.org/matter/dynamic-profile/view/1912426","19-1912426")</f>
        <v>0</v>
      </c>
      <c r="B4515" t="s">
        <v>302</v>
      </c>
      <c r="C4515" t="s">
        <v>489</v>
      </c>
      <c r="E4515" t="s">
        <v>1144</v>
      </c>
      <c r="F4515" t="s">
        <v>3696</v>
      </c>
      <c r="G4515" t="s">
        <v>9713</v>
      </c>
      <c r="H4515">
        <v>2</v>
      </c>
      <c r="I4515" t="s">
        <v>11383</v>
      </c>
      <c r="J4515">
        <v>10467</v>
      </c>
      <c r="K4515" t="s">
        <v>11446</v>
      </c>
      <c r="L4515" t="s">
        <v>14029</v>
      </c>
      <c r="M4515" t="s">
        <v>14744</v>
      </c>
      <c r="P4515" t="s">
        <v>14805</v>
      </c>
      <c r="S4515" t="s">
        <v>14827</v>
      </c>
      <c r="V4515">
        <v>2350</v>
      </c>
      <c r="W4515" t="s">
        <v>14858</v>
      </c>
      <c r="X4515" t="s">
        <v>14873</v>
      </c>
      <c r="Z4515" t="s">
        <v>16023</v>
      </c>
      <c r="AA4515" t="s">
        <v>19982</v>
      </c>
      <c r="AB4515" t="s">
        <v>23770</v>
      </c>
      <c r="AC4515">
        <v>3</v>
      </c>
      <c r="AF4515">
        <v>0</v>
      </c>
      <c r="AG4515">
        <v>2</v>
      </c>
      <c r="AH4515">
        <v>3</v>
      </c>
      <c r="AI4515">
        <v>59.9</v>
      </c>
      <c r="AL4515" t="s">
        <v>5011</v>
      </c>
      <c r="AM4515">
        <v>18072</v>
      </c>
      <c r="AS4515">
        <v>8.5</v>
      </c>
      <c r="AT4515" t="s">
        <v>516</v>
      </c>
      <c r="AU4515" t="s">
        <v>25311</v>
      </c>
      <c r="AV4515" t="s">
        <v>25334</v>
      </c>
      <c r="AW4515" t="s">
        <v>11447</v>
      </c>
    </row>
    <row r="4516" spans="1:49">
      <c r="A4516" s="1">
        <f>HYPERLINK("https://lsnyc.legalserver.org/matter/dynamic-profile/view/1913190","19-1913190")</f>
        <v>0</v>
      </c>
      <c r="B4516" t="s">
        <v>143</v>
      </c>
      <c r="C4516" t="s">
        <v>571</v>
      </c>
      <c r="E4516" t="s">
        <v>3204</v>
      </c>
      <c r="F4516" t="s">
        <v>3799</v>
      </c>
      <c r="G4516" t="s">
        <v>9714</v>
      </c>
      <c r="H4516">
        <v>1</v>
      </c>
      <c r="I4516" t="s">
        <v>11383</v>
      </c>
      <c r="J4516">
        <v>10467</v>
      </c>
      <c r="K4516" t="s">
        <v>11446</v>
      </c>
      <c r="L4516" t="s">
        <v>14030</v>
      </c>
      <c r="M4516" t="s">
        <v>14743</v>
      </c>
      <c r="P4516" t="s">
        <v>14805</v>
      </c>
      <c r="Q4516" t="s">
        <v>11448</v>
      </c>
      <c r="S4516" t="s">
        <v>14827</v>
      </c>
      <c r="V4516">
        <v>1284</v>
      </c>
      <c r="W4516" t="s">
        <v>14858</v>
      </c>
      <c r="X4516" t="s">
        <v>14873</v>
      </c>
      <c r="Z4516" t="s">
        <v>18631</v>
      </c>
      <c r="AA4516" t="s">
        <v>19983</v>
      </c>
      <c r="AC4516">
        <v>3</v>
      </c>
      <c r="AD4516" t="s">
        <v>11479</v>
      </c>
      <c r="AE4516" t="s">
        <v>24616</v>
      </c>
      <c r="AF4516">
        <v>2</v>
      </c>
      <c r="AG4516">
        <v>1</v>
      </c>
      <c r="AH4516">
        <v>2</v>
      </c>
      <c r="AI4516">
        <v>60.2</v>
      </c>
      <c r="AL4516" t="s">
        <v>24632</v>
      </c>
      <c r="AM4516">
        <v>12840</v>
      </c>
      <c r="AS4516">
        <v>1.7</v>
      </c>
      <c r="AT4516" t="s">
        <v>509</v>
      </c>
      <c r="AU4516" t="s">
        <v>25252</v>
      </c>
      <c r="AV4516" t="s">
        <v>25335</v>
      </c>
      <c r="AW4516" t="s">
        <v>11447</v>
      </c>
    </row>
    <row r="4517" spans="1:49">
      <c r="A4517" s="1">
        <f>HYPERLINK("https://lsnyc.legalserver.org/matter/dynamic-profile/view/1909667","19-1909667")</f>
        <v>0</v>
      </c>
      <c r="B4517" t="s">
        <v>140</v>
      </c>
      <c r="C4517" t="s">
        <v>463</v>
      </c>
      <c r="E4517" t="s">
        <v>3205</v>
      </c>
      <c r="F4517" t="s">
        <v>3716</v>
      </c>
      <c r="G4517" t="s">
        <v>9715</v>
      </c>
      <c r="I4517" t="s">
        <v>11383</v>
      </c>
      <c r="J4517">
        <v>10457</v>
      </c>
      <c r="K4517" t="s">
        <v>11446</v>
      </c>
      <c r="L4517" t="s">
        <v>14031</v>
      </c>
      <c r="M4517" t="s">
        <v>14744</v>
      </c>
      <c r="N4517" t="s">
        <v>14781</v>
      </c>
      <c r="P4517" t="s">
        <v>14805</v>
      </c>
      <c r="Q4517" t="s">
        <v>11448</v>
      </c>
      <c r="S4517" t="s">
        <v>14827</v>
      </c>
      <c r="V4517">
        <v>1112.26</v>
      </c>
      <c r="W4517" t="s">
        <v>14858</v>
      </c>
      <c r="X4517" t="s">
        <v>14865</v>
      </c>
      <c r="Z4517" t="s">
        <v>18632</v>
      </c>
      <c r="AA4517" t="s">
        <v>19984</v>
      </c>
      <c r="AB4517" t="s">
        <v>23771</v>
      </c>
      <c r="AC4517">
        <v>86</v>
      </c>
      <c r="AD4517" t="s">
        <v>24595</v>
      </c>
      <c r="AE4517" t="s">
        <v>14755</v>
      </c>
      <c r="AF4517">
        <v>5</v>
      </c>
      <c r="AG4517">
        <v>2</v>
      </c>
      <c r="AH4517">
        <v>0</v>
      </c>
      <c r="AI4517">
        <v>60.32</v>
      </c>
      <c r="AM4517">
        <v>10200</v>
      </c>
      <c r="AS4517">
        <v>18.9</v>
      </c>
      <c r="AT4517" t="s">
        <v>592</v>
      </c>
      <c r="AU4517" t="s">
        <v>25242</v>
      </c>
      <c r="AV4517" t="s">
        <v>25335</v>
      </c>
      <c r="AW4517" t="s">
        <v>11447</v>
      </c>
    </row>
    <row r="4518" spans="1:49">
      <c r="A4518" s="1">
        <f>HYPERLINK("https://lsnyc.legalserver.org/matter/dynamic-profile/view/1910824","19-1910824")</f>
        <v>0</v>
      </c>
      <c r="B4518" t="s">
        <v>299</v>
      </c>
      <c r="C4518" t="s">
        <v>602</v>
      </c>
      <c r="E4518" t="s">
        <v>3206</v>
      </c>
      <c r="F4518" t="s">
        <v>5855</v>
      </c>
      <c r="G4518" t="s">
        <v>9716</v>
      </c>
      <c r="H4518" t="s">
        <v>10481</v>
      </c>
      <c r="I4518" t="s">
        <v>11383</v>
      </c>
      <c r="J4518">
        <v>10467</v>
      </c>
      <c r="K4518" t="s">
        <v>11446</v>
      </c>
      <c r="L4518" t="s">
        <v>14032</v>
      </c>
      <c r="M4518" t="s">
        <v>14744</v>
      </c>
      <c r="N4518" t="s">
        <v>14782</v>
      </c>
      <c r="P4518" t="s">
        <v>14805</v>
      </c>
      <c r="Q4518" t="s">
        <v>11448</v>
      </c>
      <c r="S4518" t="s">
        <v>14827</v>
      </c>
      <c r="V4518">
        <v>0</v>
      </c>
      <c r="W4518" t="s">
        <v>14858</v>
      </c>
      <c r="X4518" t="s">
        <v>14865</v>
      </c>
      <c r="Z4518" t="s">
        <v>18633</v>
      </c>
      <c r="AA4518" t="s">
        <v>19985</v>
      </c>
      <c r="AC4518">
        <v>51</v>
      </c>
      <c r="AD4518" t="s">
        <v>11479</v>
      </c>
      <c r="AE4518" t="s">
        <v>24616</v>
      </c>
      <c r="AF4518">
        <v>0</v>
      </c>
      <c r="AG4518">
        <v>2</v>
      </c>
      <c r="AH4518">
        <v>2</v>
      </c>
      <c r="AI4518">
        <v>60.58</v>
      </c>
      <c r="AL4518" t="s">
        <v>5011</v>
      </c>
      <c r="AM4518">
        <v>15600</v>
      </c>
      <c r="AS4518">
        <v>23</v>
      </c>
      <c r="AT4518" t="s">
        <v>533</v>
      </c>
      <c r="AU4518" t="s">
        <v>237</v>
      </c>
      <c r="AV4518" t="s">
        <v>25334</v>
      </c>
      <c r="AW4518" t="s">
        <v>11447</v>
      </c>
    </row>
    <row r="4519" spans="1:49">
      <c r="A4519" s="1">
        <f>HYPERLINK("https://lsnyc.legalserver.org/matter/dynamic-profile/view/1874858","18-1874858")</f>
        <v>0</v>
      </c>
      <c r="B4519" t="s">
        <v>80</v>
      </c>
      <c r="C4519" t="s">
        <v>706</v>
      </c>
      <c r="E4519" t="s">
        <v>1642</v>
      </c>
      <c r="F4519" t="s">
        <v>1856</v>
      </c>
      <c r="G4519" t="s">
        <v>9422</v>
      </c>
      <c r="H4519" t="s">
        <v>10481</v>
      </c>
      <c r="I4519" t="s">
        <v>11383</v>
      </c>
      <c r="J4519">
        <v>10468</v>
      </c>
      <c r="K4519" t="s">
        <v>11446</v>
      </c>
      <c r="L4519" t="s">
        <v>14033</v>
      </c>
      <c r="M4519" t="s">
        <v>14744</v>
      </c>
      <c r="N4519" t="s">
        <v>14781</v>
      </c>
      <c r="P4519" t="s">
        <v>14805</v>
      </c>
      <c r="Q4519" t="s">
        <v>11448</v>
      </c>
      <c r="S4519" t="s">
        <v>14827</v>
      </c>
      <c r="T4519" t="s">
        <v>14833</v>
      </c>
      <c r="V4519">
        <v>1058.97</v>
      </c>
      <c r="W4519" t="s">
        <v>14858</v>
      </c>
      <c r="X4519" t="s">
        <v>14867</v>
      </c>
      <c r="Z4519" t="s">
        <v>18634</v>
      </c>
      <c r="AC4519">
        <v>47</v>
      </c>
      <c r="AD4519" t="s">
        <v>24595</v>
      </c>
      <c r="AE4519" t="s">
        <v>11459</v>
      </c>
      <c r="AF4519">
        <v>40</v>
      </c>
      <c r="AG4519">
        <v>2</v>
      </c>
      <c r="AH4519">
        <v>0</v>
      </c>
      <c r="AI4519">
        <v>60.73</v>
      </c>
      <c r="AL4519" t="s">
        <v>5011</v>
      </c>
      <c r="AM4519">
        <v>9996</v>
      </c>
      <c r="AN4519" t="s">
        <v>24905</v>
      </c>
      <c r="AS4519">
        <v>13.9</v>
      </c>
      <c r="AT4519" t="s">
        <v>660</v>
      </c>
      <c r="AU4519" t="s">
        <v>25260</v>
      </c>
      <c r="AW4519" t="s">
        <v>11448</v>
      </c>
    </row>
    <row r="4520" spans="1:49">
      <c r="A4520" s="1">
        <f>HYPERLINK("https://lsnyc.legalserver.org/matter/dynamic-profile/view/1912306","19-1912306")</f>
        <v>0</v>
      </c>
      <c r="B4520" t="s">
        <v>82</v>
      </c>
      <c r="C4520" t="s">
        <v>473</v>
      </c>
      <c r="E4520" t="s">
        <v>1228</v>
      </c>
      <c r="F4520" t="s">
        <v>3555</v>
      </c>
      <c r="G4520" t="s">
        <v>9717</v>
      </c>
      <c r="H4520" t="s">
        <v>10676</v>
      </c>
      <c r="I4520" t="s">
        <v>11383</v>
      </c>
      <c r="J4520">
        <v>10457</v>
      </c>
      <c r="K4520" t="s">
        <v>11446</v>
      </c>
      <c r="L4520" t="s">
        <v>14034</v>
      </c>
      <c r="M4520" t="s">
        <v>14744</v>
      </c>
      <c r="N4520" t="s">
        <v>14781</v>
      </c>
      <c r="P4520" t="s">
        <v>14805</v>
      </c>
      <c r="Q4520" t="s">
        <v>11448</v>
      </c>
      <c r="S4520" t="s">
        <v>14827</v>
      </c>
      <c r="T4520" t="s">
        <v>14832</v>
      </c>
      <c r="V4520">
        <v>1268.75</v>
      </c>
      <c r="W4520" t="s">
        <v>14858</v>
      </c>
      <c r="X4520" t="s">
        <v>14863</v>
      </c>
      <c r="Z4520" t="s">
        <v>18635</v>
      </c>
      <c r="AB4520" t="s">
        <v>23772</v>
      </c>
      <c r="AC4520">
        <v>44</v>
      </c>
      <c r="AD4520" t="s">
        <v>11479</v>
      </c>
      <c r="AE4520" t="s">
        <v>11459</v>
      </c>
      <c r="AF4520">
        <v>2</v>
      </c>
      <c r="AG4520">
        <v>1</v>
      </c>
      <c r="AH4520">
        <v>1</v>
      </c>
      <c r="AI4520">
        <v>61.5</v>
      </c>
      <c r="AL4520" t="s">
        <v>5011</v>
      </c>
      <c r="AM4520">
        <v>10400</v>
      </c>
      <c r="AS4520">
        <v>2.05</v>
      </c>
      <c r="AT4520" t="s">
        <v>592</v>
      </c>
      <c r="AU4520" t="s">
        <v>245</v>
      </c>
      <c r="AW4520" t="s">
        <v>11447</v>
      </c>
    </row>
    <row r="4521" spans="1:49">
      <c r="A4521" s="1">
        <f>HYPERLINK("https://lsnyc.legalserver.org/matter/dynamic-profile/view/1914833","19-1914833")</f>
        <v>0</v>
      </c>
      <c r="B4521" t="s">
        <v>304</v>
      </c>
      <c r="C4521" t="s">
        <v>537</v>
      </c>
      <c r="E4521" t="s">
        <v>1523</v>
      </c>
      <c r="F4521" t="s">
        <v>4026</v>
      </c>
      <c r="G4521" t="s">
        <v>9718</v>
      </c>
      <c r="H4521" t="s">
        <v>10569</v>
      </c>
      <c r="I4521" t="s">
        <v>11383</v>
      </c>
      <c r="J4521">
        <v>10457</v>
      </c>
      <c r="K4521" t="s">
        <v>11446</v>
      </c>
      <c r="L4521" t="s">
        <v>14035</v>
      </c>
      <c r="M4521" t="s">
        <v>14744</v>
      </c>
      <c r="N4521" t="s">
        <v>14781</v>
      </c>
      <c r="P4521" t="s">
        <v>14805</v>
      </c>
      <c r="Q4521" t="s">
        <v>11448</v>
      </c>
      <c r="S4521" t="s">
        <v>14827</v>
      </c>
      <c r="V4521">
        <v>1834</v>
      </c>
      <c r="W4521" t="s">
        <v>14858</v>
      </c>
      <c r="Z4521" t="s">
        <v>16110</v>
      </c>
      <c r="AB4521" t="s">
        <v>23773</v>
      </c>
      <c r="AC4521">
        <v>21</v>
      </c>
      <c r="AD4521" t="s">
        <v>24595</v>
      </c>
      <c r="AF4521">
        <v>15</v>
      </c>
      <c r="AG4521">
        <v>1</v>
      </c>
      <c r="AH4521">
        <v>0</v>
      </c>
      <c r="AI4521">
        <v>62.45</v>
      </c>
      <c r="AL4521" t="s">
        <v>24632</v>
      </c>
      <c r="AM4521">
        <v>7800</v>
      </c>
      <c r="AS4521">
        <v>2</v>
      </c>
      <c r="AT4521" t="s">
        <v>521</v>
      </c>
      <c r="AU4521" t="s">
        <v>25232</v>
      </c>
      <c r="AW4521" t="s">
        <v>11447</v>
      </c>
    </row>
    <row r="4522" spans="1:49">
      <c r="A4522" s="1">
        <f>HYPERLINK("https://lsnyc.legalserver.org/matter/dynamic-profile/view/1913917","19-1913917")</f>
        <v>0</v>
      </c>
      <c r="B4522" t="s">
        <v>134</v>
      </c>
      <c r="C4522" t="s">
        <v>490</v>
      </c>
      <c r="E4522" t="s">
        <v>3207</v>
      </c>
      <c r="F4522" t="s">
        <v>5856</v>
      </c>
      <c r="G4522" t="s">
        <v>9719</v>
      </c>
      <c r="H4522" t="s">
        <v>10508</v>
      </c>
      <c r="I4522" t="s">
        <v>11383</v>
      </c>
      <c r="J4522">
        <v>10467</v>
      </c>
      <c r="K4522" t="s">
        <v>11446</v>
      </c>
      <c r="L4522" t="s">
        <v>14036</v>
      </c>
      <c r="M4522" t="s">
        <v>14744</v>
      </c>
      <c r="P4522" t="s">
        <v>14805</v>
      </c>
      <c r="Q4522" t="s">
        <v>11448</v>
      </c>
      <c r="S4522" t="s">
        <v>14827</v>
      </c>
      <c r="V4522">
        <v>1340.7</v>
      </c>
      <c r="W4522" t="s">
        <v>14858</v>
      </c>
      <c r="X4522" t="s">
        <v>14865</v>
      </c>
      <c r="Z4522" t="s">
        <v>18636</v>
      </c>
      <c r="AA4522" t="s">
        <v>19986</v>
      </c>
      <c r="AB4522" t="s">
        <v>23774</v>
      </c>
      <c r="AC4522">
        <v>61</v>
      </c>
      <c r="AD4522" t="s">
        <v>24595</v>
      </c>
      <c r="AF4522">
        <v>2</v>
      </c>
      <c r="AG4522">
        <v>2</v>
      </c>
      <c r="AH4522">
        <v>4</v>
      </c>
      <c r="AI4522">
        <v>63.14</v>
      </c>
      <c r="AL4522" t="s">
        <v>5011</v>
      </c>
      <c r="AM4522">
        <v>21840</v>
      </c>
      <c r="AS4522">
        <v>4</v>
      </c>
      <c r="AT4522" t="s">
        <v>516</v>
      </c>
      <c r="AU4522" t="s">
        <v>25239</v>
      </c>
      <c r="AV4522" t="s">
        <v>25334</v>
      </c>
      <c r="AW4522" t="s">
        <v>11447</v>
      </c>
    </row>
    <row r="4523" spans="1:49">
      <c r="A4523" s="1">
        <f>HYPERLINK("https://lsnyc.legalserver.org/matter/dynamic-profile/view/1914210","19-1914210")</f>
        <v>0</v>
      </c>
      <c r="B4523" t="s">
        <v>303</v>
      </c>
      <c r="C4523" t="s">
        <v>539</v>
      </c>
      <c r="E4523" t="s">
        <v>3208</v>
      </c>
      <c r="F4523" t="s">
        <v>3685</v>
      </c>
      <c r="G4523" t="s">
        <v>9490</v>
      </c>
      <c r="H4523" t="s">
        <v>10452</v>
      </c>
      <c r="I4523" t="s">
        <v>11383</v>
      </c>
      <c r="J4523">
        <v>10457</v>
      </c>
      <c r="K4523" t="s">
        <v>11446</v>
      </c>
      <c r="L4523" t="s">
        <v>14037</v>
      </c>
      <c r="M4523" t="s">
        <v>14744</v>
      </c>
      <c r="N4523" t="s">
        <v>14781</v>
      </c>
      <c r="P4523" t="s">
        <v>14805</v>
      </c>
      <c r="Q4523" t="s">
        <v>11448</v>
      </c>
      <c r="S4523" t="s">
        <v>14827</v>
      </c>
      <c r="V4523">
        <v>845</v>
      </c>
      <c r="W4523" t="s">
        <v>14858</v>
      </c>
      <c r="Z4523" t="s">
        <v>16709</v>
      </c>
      <c r="AA4523">
        <v>3963045</v>
      </c>
      <c r="AB4523" t="s">
        <v>23775</v>
      </c>
      <c r="AC4523">
        <v>120</v>
      </c>
      <c r="AE4523" t="s">
        <v>24610</v>
      </c>
      <c r="AF4523">
        <v>40</v>
      </c>
      <c r="AG4523">
        <v>3</v>
      </c>
      <c r="AH4523">
        <v>5</v>
      </c>
      <c r="AI4523">
        <v>63.31</v>
      </c>
      <c r="AL4523" t="s">
        <v>5011</v>
      </c>
      <c r="AM4523">
        <v>27496</v>
      </c>
      <c r="AS4523">
        <v>1.8</v>
      </c>
      <c r="AT4523" t="s">
        <v>506</v>
      </c>
      <c r="AU4523" t="s">
        <v>25232</v>
      </c>
      <c r="AV4523" t="s">
        <v>25335</v>
      </c>
      <c r="AW4523" t="s">
        <v>11447</v>
      </c>
    </row>
    <row r="4524" spans="1:49">
      <c r="A4524" s="1">
        <f>HYPERLINK("https://lsnyc.legalserver.org/matter/dynamic-profile/view/1914364","19-1914364")</f>
        <v>0</v>
      </c>
      <c r="B4524" t="s">
        <v>69</v>
      </c>
      <c r="C4524" t="s">
        <v>506</v>
      </c>
      <c r="E4524" t="s">
        <v>1500</v>
      </c>
      <c r="F4524" t="s">
        <v>3547</v>
      </c>
      <c r="G4524" t="s">
        <v>9432</v>
      </c>
      <c r="H4524">
        <v>17</v>
      </c>
      <c r="I4524" t="s">
        <v>11383</v>
      </c>
      <c r="J4524">
        <v>10467</v>
      </c>
      <c r="K4524" t="s">
        <v>11446</v>
      </c>
      <c r="L4524" t="s">
        <v>14038</v>
      </c>
      <c r="M4524" t="s">
        <v>14744</v>
      </c>
      <c r="N4524" t="s">
        <v>14781</v>
      </c>
      <c r="P4524" t="s">
        <v>14805</v>
      </c>
      <c r="Q4524" t="s">
        <v>11448</v>
      </c>
      <c r="S4524" t="s">
        <v>14827</v>
      </c>
      <c r="T4524" t="s">
        <v>14832</v>
      </c>
      <c r="V4524">
        <v>1152</v>
      </c>
      <c r="W4524" t="s">
        <v>14858</v>
      </c>
      <c r="X4524" t="s">
        <v>14865</v>
      </c>
      <c r="Z4524" t="s">
        <v>18637</v>
      </c>
      <c r="AA4524" t="s">
        <v>19987</v>
      </c>
      <c r="AB4524" t="s">
        <v>23776</v>
      </c>
      <c r="AC4524">
        <v>21</v>
      </c>
      <c r="AD4524" t="s">
        <v>24595</v>
      </c>
      <c r="AE4524" t="s">
        <v>11459</v>
      </c>
      <c r="AF4524">
        <v>6</v>
      </c>
      <c r="AG4524">
        <v>1</v>
      </c>
      <c r="AH4524">
        <v>3</v>
      </c>
      <c r="AI4524">
        <v>63.61</v>
      </c>
      <c r="AL4524" t="s">
        <v>24632</v>
      </c>
      <c r="AM4524">
        <v>16380</v>
      </c>
      <c r="AS4524">
        <v>1.75</v>
      </c>
      <c r="AT4524" t="s">
        <v>478</v>
      </c>
      <c r="AU4524" t="s">
        <v>25239</v>
      </c>
      <c r="AV4524" t="s">
        <v>25335</v>
      </c>
      <c r="AW4524" t="s">
        <v>11447</v>
      </c>
    </row>
    <row r="4525" spans="1:49">
      <c r="A4525" s="1">
        <f>HYPERLINK("https://lsnyc.legalserver.org/matter/dynamic-profile/view/1910276","19-1910276")</f>
        <v>0</v>
      </c>
      <c r="B4525" t="s">
        <v>80</v>
      </c>
      <c r="C4525" t="s">
        <v>540</v>
      </c>
      <c r="E4525" t="s">
        <v>1027</v>
      </c>
      <c r="F4525" t="s">
        <v>5857</v>
      </c>
      <c r="G4525" t="s">
        <v>9517</v>
      </c>
      <c r="H4525" t="s">
        <v>10575</v>
      </c>
      <c r="I4525" t="s">
        <v>11383</v>
      </c>
      <c r="J4525">
        <v>10457</v>
      </c>
      <c r="K4525" t="s">
        <v>11446</v>
      </c>
      <c r="L4525" t="s">
        <v>14039</v>
      </c>
      <c r="M4525" t="s">
        <v>14744</v>
      </c>
      <c r="P4525" t="s">
        <v>14805</v>
      </c>
      <c r="S4525" t="s">
        <v>14827</v>
      </c>
      <c r="V4525">
        <v>1008.73</v>
      </c>
      <c r="W4525" t="s">
        <v>14858</v>
      </c>
      <c r="Z4525" t="s">
        <v>16636</v>
      </c>
      <c r="AB4525" t="s">
        <v>23777</v>
      </c>
      <c r="AC4525">
        <v>0</v>
      </c>
      <c r="AD4525" t="s">
        <v>11479</v>
      </c>
      <c r="AF4525">
        <v>30</v>
      </c>
      <c r="AG4525">
        <v>2</v>
      </c>
      <c r="AH4525">
        <v>0</v>
      </c>
      <c r="AI4525">
        <v>63.87</v>
      </c>
      <c r="AL4525" t="s">
        <v>5011</v>
      </c>
      <c r="AM4525">
        <v>10800</v>
      </c>
      <c r="AS4525">
        <v>9.1</v>
      </c>
      <c r="AT4525" t="s">
        <v>521</v>
      </c>
      <c r="AU4525" t="s">
        <v>25232</v>
      </c>
      <c r="AV4525" t="s">
        <v>25335</v>
      </c>
      <c r="AW4525" t="s">
        <v>11447</v>
      </c>
    </row>
    <row r="4526" spans="1:49">
      <c r="A4526" s="1">
        <f>HYPERLINK("https://lsnyc.legalserver.org/matter/dynamic-profile/view/1915223","19-1915223")</f>
        <v>0</v>
      </c>
      <c r="B4526" t="s">
        <v>297</v>
      </c>
      <c r="C4526" t="s">
        <v>509</v>
      </c>
      <c r="E4526" t="s">
        <v>2702</v>
      </c>
      <c r="F4526" t="s">
        <v>5858</v>
      </c>
      <c r="G4526" t="s">
        <v>9720</v>
      </c>
      <c r="H4526" t="s">
        <v>10465</v>
      </c>
      <c r="I4526" t="s">
        <v>11383</v>
      </c>
      <c r="J4526">
        <v>10467</v>
      </c>
      <c r="K4526" t="s">
        <v>11446</v>
      </c>
      <c r="L4526" t="s">
        <v>14040</v>
      </c>
      <c r="M4526" t="s">
        <v>14744</v>
      </c>
      <c r="P4526" t="s">
        <v>14805</v>
      </c>
      <c r="Q4526" t="s">
        <v>11448</v>
      </c>
      <c r="S4526" t="s">
        <v>14827</v>
      </c>
      <c r="V4526">
        <v>980.9</v>
      </c>
      <c r="W4526" t="s">
        <v>14858</v>
      </c>
      <c r="X4526" t="s">
        <v>14863</v>
      </c>
      <c r="Z4526" t="s">
        <v>18638</v>
      </c>
      <c r="AC4526">
        <v>54</v>
      </c>
      <c r="AD4526" t="s">
        <v>11479</v>
      </c>
      <c r="AE4526" t="s">
        <v>11459</v>
      </c>
      <c r="AF4526">
        <v>9</v>
      </c>
      <c r="AG4526">
        <v>1</v>
      </c>
      <c r="AH4526">
        <v>1</v>
      </c>
      <c r="AI4526">
        <v>63.96</v>
      </c>
      <c r="AL4526" t="s">
        <v>24632</v>
      </c>
      <c r="AM4526">
        <v>10816</v>
      </c>
      <c r="AS4526">
        <v>1</v>
      </c>
      <c r="AT4526" t="s">
        <v>654</v>
      </c>
      <c r="AU4526" t="s">
        <v>25242</v>
      </c>
      <c r="AV4526" t="s">
        <v>25335</v>
      </c>
      <c r="AW4526" t="s">
        <v>11447</v>
      </c>
    </row>
    <row r="4527" spans="1:49">
      <c r="A4527" s="1">
        <f>HYPERLINK("https://lsnyc.legalserver.org/matter/dynamic-profile/view/1912670","19-1912670")</f>
        <v>0</v>
      </c>
      <c r="B4527" t="s">
        <v>304</v>
      </c>
      <c r="C4527" t="s">
        <v>578</v>
      </c>
      <c r="E4527" t="s">
        <v>3209</v>
      </c>
      <c r="F4527" t="s">
        <v>5859</v>
      </c>
      <c r="G4527" t="s">
        <v>9609</v>
      </c>
      <c r="H4527" t="s">
        <v>10510</v>
      </c>
      <c r="I4527" t="s">
        <v>11383</v>
      </c>
      <c r="J4527">
        <v>10467</v>
      </c>
      <c r="K4527" t="s">
        <v>11447</v>
      </c>
      <c r="L4527" t="s">
        <v>14041</v>
      </c>
      <c r="M4527" t="s">
        <v>14744</v>
      </c>
      <c r="N4527" t="s">
        <v>14781</v>
      </c>
      <c r="P4527" t="s">
        <v>14805</v>
      </c>
      <c r="Q4527" t="s">
        <v>11448</v>
      </c>
      <c r="S4527" t="s">
        <v>14827</v>
      </c>
      <c r="V4527">
        <v>1164.82</v>
      </c>
      <c r="W4527" t="s">
        <v>14858</v>
      </c>
      <c r="Z4527" t="s">
        <v>17775</v>
      </c>
      <c r="AB4527" t="s">
        <v>23778</v>
      </c>
      <c r="AC4527">
        <v>54</v>
      </c>
      <c r="AD4527" t="s">
        <v>24595</v>
      </c>
      <c r="AF4527">
        <v>13</v>
      </c>
      <c r="AG4527">
        <v>2</v>
      </c>
      <c r="AH4527">
        <v>5</v>
      </c>
      <c r="AI4527">
        <v>66.14</v>
      </c>
      <c r="AL4527" t="s">
        <v>5011</v>
      </c>
      <c r="AM4527">
        <v>25800</v>
      </c>
      <c r="AS4527">
        <v>15.55</v>
      </c>
      <c r="AT4527" t="s">
        <v>516</v>
      </c>
      <c r="AU4527" t="s">
        <v>25232</v>
      </c>
      <c r="AW4527" t="s">
        <v>11447</v>
      </c>
    </row>
    <row r="4528" spans="1:49">
      <c r="A4528" s="1">
        <f>HYPERLINK("https://lsnyc.legalserver.org/matter/dynamic-profile/view/1909392","19-1909392")</f>
        <v>0</v>
      </c>
      <c r="B4528" t="s">
        <v>256</v>
      </c>
      <c r="C4528" t="s">
        <v>466</v>
      </c>
      <c r="E4528" t="s">
        <v>3210</v>
      </c>
      <c r="F4528" t="s">
        <v>5860</v>
      </c>
      <c r="G4528" t="s">
        <v>9721</v>
      </c>
      <c r="H4528">
        <v>2</v>
      </c>
      <c r="I4528" t="s">
        <v>11383</v>
      </c>
      <c r="J4528">
        <v>10467</v>
      </c>
      <c r="K4528" t="s">
        <v>11446</v>
      </c>
      <c r="L4528" t="s">
        <v>14042</v>
      </c>
      <c r="M4528" t="s">
        <v>14744</v>
      </c>
      <c r="N4528" t="s">
        <v>14781</v>
      </c>
      <c r="P4528" t="s">
        <v>14805</v>
      </c>
      <c r="Q4528" t="s">
        <v>11448</v>
      </c>
      <c r="S4528" t="s">
        <v>14827</v>
      </c>
      <c r="T4528" t="s">
        <v>14832</v>
      </c>
      <c r="V4528">
        <v>1350</v>
      </c>
      <c r="W4528" t="s">
        <v>14858</v>
      </c>
      <c r="X4528" t="s">
        <v>14865</v>
      </c>
      <c r="Z4528" t="s">
        <v>15378</v>
      </c>
      <c r="AB4528" t="s">
        <v>23779</v>
      </c>
      <c r="AC4528">
        <v>3</v>
      </c>
      <c r="AD4528" t="s">
        <v>24607</v>
      </c>
      <c r="AE4528" t="s">
        <v>11459</v>
      </c>
      <c r="AF4528">
        <v>8</v>
      </c>
      <c r="AG4528">
        <v>1</v>
      </c>
      <c r="AH4528">
        <v>0</v>
      </c>
      <c r="AI4528">
        <v>67.25</v>
      </c>
      <c r="AL4528" t="s">
        <v>5011</v>
      </c>
      <c r="AM4528">
        <v>8400</v>
      </c>
      <c r="AS4528">
        <v>5.7</v>
      </c>
      <c r="AT4528" t="s">
        <v>467</v>
      </c>
      <c r="AU4528" t="s">
        <v>237</v>
      </c>
      <c r="AV4528" t="s">
        <v>25335</v>
      </c>
      <c r="AW4528" t="s">
        <v>11447</v>
      </c>
    </row>
    <row r="4529" spans="1:49">
      <c r="A4529" s="1">
        <f>HYPERLINK("https://lsnyc.legalserver.org/matter/dynamic-profile/view/1914527","19-1914527")</f>
        <v>0</v>
      </c>
      <c r="B4529" t="s">
        <v>89</v>
      </c>
      <c r="C4529" t="s">
        <v>478</v>
      </c>
      <c r="E4529" t="s">
        <v>1741</v>
      </c>
      <c r="F4529" t="s">
        <v>1395</v>
      </c>
      <c r="G4529" t="s">
        <v>9722</v>
      </c>
      <c r="I4529" t="s">
        <v>11386</v>
      </c>
      <c r="J4529">
        <v>10038</v>
      </c>
      <c r="K4529" t="s">
        <v>11446</v>
      </c>
      <c r="L4529" t="s">
        <v>14043</v>
      </c>
      <c r="M4529" t="s">
        <v>14743</v>
      </c>
      <c r="N4529" t="s">
        <v>14782</v>
      </c>
      <c r="P4529" t="s">
        <v>14805</v>
      </c>
      <c r="Q4529" t="s">
        <v>11448</v>
      </c>
      <c r="S4529" t="s">
        <v>14827</v>
      </c>
      <c r="T4529" t="s">
        <v>14836</v>
      </c>
      <c r="V4529">
        <v>650</v>
      </c>
      <c r="W4529" t="s">
        <v>14858</v>
      </c>
      <c r="X4529" t="s">
        <v>14863</v>
      </c>
      <c r="Z4529" t="s">
        <v>18639</v>
      </c>
      <c r="AB4529" t="s">
        <v>23780</v>
      </c>
      <c r="AC4529">
        <v>43</v>
      </c>
      <c r="AD4529" t="s">
        <v>24607</v>
      </c>
      <c r="AF4529">
        <v>4</v>
      </c>
      <c r="AG4529">
        <v>2</v>
      </c>
      <c r="AH4529">
        <v>0</v>
      </c>
      <c r="AI4529">
        <v>68.2</v>
      </c>
      <c r="AL4529" t="s">
        <v>5011</v>
      </c>
      <c r="AM4529">
        <v>11532</v>
      </c>
      <c r="AS4529">
        <v>0</v>
      </c>
      <c r="AU4529" t="s">
        <v>145</v>
      </c>
      <c r="AV4529" t="s">
        <v>25335</v>
      </c>
      <c r="AW4529" t="s">
        <v>11447</v>
      </c>
    </row>
    <row r="4530" spans="1:49">
      <c r="A4530" s="1">
        <f>HYPERLINK("https://lsnyc.legalserver.org/matter/dynamic-profile/view/1897024","19-1897024")</f>
        <v>0</v>
      </c>
      <c r="B4530" t="s">
        <v>80</v>
      </c>
      <c r="C4530" t="s">
        <v>617</v>
      </c>
      <c r="E4530" t="s">
        <v>3211</v>
      </c>
      <c r="F4530" t="s">
        <v>5861</v>
      </c>
      <c r="G4530" t="s">
        <v>9723</v>
      </c>
      <c r="H4530" t="s">
        <v>11270</v>
      </c>
      <c r="I4530" t="s">
        <v>11383</v>
      </c>
      <c r="J4530">
        <v>10462</v>
      </c>
      <c r="K4530" t="s">
        <v>11446</v>
      </c>
      <c r="L4530" t="s">
        <v>14044</v>
      </c>
      <c r="M4530" t="s">
        <v>14744</v>
      </c>
      <c r="N4530" t="s">
        <v>14781</v>
      </c>
      <c r="P4530" t="s">
        <v>14805</v>
      </c>
      <c r="Q4530" t="s">
        <v>11448</v>
      </c>
      <c r="S4530" t="s">
        <v>14827</v>
      </c>
      <c r="T4530" t="s">
        <v>14832</v>
      </c>
      <c r="V4530">
        <v>982</v>
      </c>
      <c r="W4530" t="s">
        <v>14858</v>
      </c>
      <c r="X4530" t="s">
        <v>14868</v>
      </c>
      <c r="Z4530" t="s">
        <v>18640</v>
      </c>
      <c r="AB4530" t="s">
        <v>23781</v>
      </c>
      <c r="AC4530">
        <v>12</v>
      </c>
      <c r="AD4530" t="s">
        <v>24595</v>
      </c>
      <c r="AF4530">
        <v>7</v>
      </c>
      <c r="AG4530">
        <v>4</v>
      </c>
      <c r="AH4530">
        <v>0</v>
      </c>
      <c r="AI4530">
        <v>69.90000000000001</v>
      </c>
      <c r="AL4530" t="s">
        <v>24646</v>
      </c>
      <c r="AM4530">
        <v>18000</v>
      </c>
      <c r="AN4530" t="s">
        <v>24906</v>
      </c>
      <c r="AQ4530" t="s">
        <v>24986</v>
      </c>
      <c r="AR4530" t="s">
        <v>25104</v>
      </c>
      <c r="AS4530">
        <v>4.25</v>
      </c>
      <c r="AT4530" t="s">
        <v>25176</v>
      </c>
      <c r="AU4530" t="s">
        <v>25251</v>
      </c>
      <c r="AV4530" t="s">
        <v>25335</v>
      </c>
      <c r="AW4530" t="s">
        <v>11447</v>
      </c>
    </row>
    <row r="4531" spans="1:49">
      <c r="A4531" s="1">
        <f>HYPERLINK("https://lsnyc.legalserver.org/matter/dynamic-profile/view/1911765","19-1911765")</f>
        <v>0</v>
      </c>
      <c r="B4531" t="s">
        <v>306</v>
      </c>
      <c r="C4531" t="s">
        <v>505</v>
      </c>
      <c r="E4531" t="s">
        <v>1218</v>
      </c>
      <c r="F4531" t="s">
        <v>3901</v>
      </c>
      <c r="G4531" t="s">
        <v>7044</v>
      </c>
      <c r="H4531" t="s">
        <v>10512</v>
      </c>
      <c r="I4531" t="s">
        <v>11383</v>
      </c>
      <c r="J4531">
        <v>10457</v>
      </c>
      <c r="K4531" t="s">
        <v>11446</v>
      </c>
      <c r="L4531" t="s">
        <v>14045</v>
      </c>
      <c r="M4531" t="s">
        <v>14744</v>
      </c>
      <c r="N4531" t="s">
        <v>14781</v>
      </c>
      <c r="P4531" t="s">
        <v>14805</v>
      </c>
      <c r="Q4531" t="s">
        <v>11448</v>
      </c>
      <c r="S4531" t="s">
        <v>14827</v>
      </c>
      <c r="V4531">
        <v>457</v>
      </c>
      <c r="W4531" t="s">
        <v>14858</v>
      </c>
      <c r="X4531" t="s">
        <v>14863</v>
      </c>
      <c r="Z4531" t="s">
        <v>18641</v>
      </c>
      <c r="AA4531" t="s">
        <v>19988</v>
      </c>
      <c r="AC4531">
        <v>281</v>
      </c>
      <c r="AD4531" t="s">
        <v>24595</v>
      </c>
      <c r="AE4531" t="s">
        <v>24610</v>
      </c>
      <c r="AF4531">
        <v>5</v>
      </c>
      <c r="AG4531">
        <v>2</v>
      </c>
      <c r="AH4531">
        <v>1</v>
      </c>
      <c r="AI4531">
        <v>70.31999999999999</v>
      </c>
      <c r="AL4531" t="s">
        <v>5011</v>
      </c>
      <c r="AM4531">
        <v>15000</v>
      </c>
      <c r="AS4531">
        <v>20.1</v>
      </c>
      <c r="AT4531" t="s">
        <v>495</v>
      </c>
      <c r="AU4531" t="s">
        <v>25252</v>
      </c>
      <c r="AV4531" t="s">
        <v>25335</v>
      </c>
      <c r="AW4531" t="s">
        <v>11447</v>
      </c>
    </row>
    <row r="4532" spans="1:49">
      <c r="A4532" s="1">
        <f>HYPERLINK("https://lsnyc.legalserver.org/matter/dynamic-profile/view/1913955","19-1913955")</f>
        <v>0</v>
      </c>
      <c r="B4532" t="s">
        <v>130</v>
      </c>
      <c r="C4532" t="s">
        <v>490</v>
      </c>
      <c r="E4532" t="s">
        <v>3212</v>
      </c>
      <c r="F4532" t="s">
        <v>3901</v>
      </c>
      <c r="G4532" t="s">
        <v>9724</v>
      </c>
      <c r="H4532">
        <v>17</v>
      </c>
      <c r="I4532" t="s">
        <v>11383</v>
      </c>
      <c r="J4532">
        <v>10457</v>
      </c>
      <c r="K4532" t="s">
        <v>11446</v>
      </c>
      <c r="L4532" t="s">
        <v>14046</v>
      </c>
      <c r="M4532" t="s">
        <v>14744</v>
      </c>
      <c r="N4532" t="s">
        <v>14782</v>
      </c>
      <c r="P4532" t="s">
        <v>14805</v>
      </c>
      <c r="Q4532" t="s">
        <v>11448</v>
      </c>
      <c r="S4532" t="s">
        <v>14827</v>
      </c>
      <c r="V4532">
        <v>2197</v>
      </c>
      <c r="W4532" t="s">
        <v>14858</v>
      </c>
      <c r="X4532" t="s">
        <v>14863</v>
      </c>
      <c r="Z4532" t="s">
        <v>15098</v>
      </c>
      <c r="AB4532" t="s">
        <v>23782</v>
      </c>
      <c r="AC4532">
        <v>20</v>
      </c>
      <c r="AD4532" t="s">
        <v>11479</v>
      </c>
      <c r="AE4532" t="s">
        <v>24616</v>
      </c>
      <c r="AF4532">
        <v>3</v>
      </c>
      <c r="AG4532">
        <v>1</v>
      </c>
      <c r="AH4532">
        <v>3</v>
      </c>
      <c r="AI4532">
        <v>70.68000000000001</v>
      </c>
      <c r="AL4532" t="s">
        <v>5011</v>
      </c>
      <c r="AM4532">
        <v>18200</v>
      </c>
      <c r="AS4532">
        <v>2</v>
      </c>
      <c r="AT4532" t="s">
        <v>592</v>
      </c>
      <c r="AU4532" t="s">
        <v>245</v>
      </c>
      <c r="AV4532" t="s">
        <v>25335</v>
      </c>
      <c r="AW4532" t="s">
        <v>11447</v>
      </c>
    </row>
    <row r="4533" spans="1:49">
      <c r="A4533" s="1">
        <f>HYPERLINK("https://lsnyc.legalserver.org/matter/dynamic-profile/view/1912972","19-1912972")</f>
        <v>0</v>
      </c>
      <c r="B4533" t="s">
        <v>272</v>
      </c>
      <c r="C4533" t="s">
        <v>574</v>
      </c>
      <c r="E4533" t="s">
        <v>1043</v>
      </c>
      <c r="F4533" t="s">
        <v>3708</v>
      </c>
      <c r="G4533" t="s">
        <v>9725</v>
      </c>
      <c r="H4533" t="s">
        <v>10568</v>
      </c>
      <c r="I4533" t="s">
        <v>11383</v>
      </c>
      <c r="J4533">
        <v>10457</v>
      </c>
      <c r="K4533" t="s">
        <v>11446</v>
      </c>
      <c r="L4533" t="s">
        <v>14047</v>
      </c>
      <c r="M4533" t="s">
        <v>14743</v>
      </c>
      <c r="N4533" t="s">
        <v>14781</v>
      </c>
      <c r="P4533" t="s">
        <v>14805</v>
      </c>
      <c r="Q4533" t="s">
        <v>11448</v>
      </c>
      <c r="S4533" t="s">
        <v>14827</v>
      </c>
      <c r="V4533">
        <v>769.25</v>
      </c>
      <c r="W4533" t="s">
        <v>14858</v>
      </c>
      <c r="X4533" t="s">
        <v>14755</v>
      </c>
      <c r="Z4533" t="s">
        <v>18642</v>
      </c>
      <c r="AB4533" t="s">
        <v>23783</v>
      </c>
      <c r="AC4533">
        <v>64</v>
      </c>
      <c r="AD4533" t="s">
        <v>24595</v>
      </c>
      <c r="AE4533" t="s">
        <v>24613</v>
      </c>
      <c r="AF4533">
        <v>23</v>
      </c>
      <c r="AG4533">
        <v>1</v>
      </c>
      <c r="AH4533">
        <v>0</v>
      </c>
      <c r="AI4533">
        <v>72.06</v>
      </c>
      <c r="AL4533" t="s">
        <v>5011</v>
      </c>
      <c r="AM4533">
        <v>9000</v>
      </c>
      <c r="AS4533">
        <v>2.2</v>
      </c>
      <c r="AT4533" t="s">
        <v>506</v>
      </c>
      <c r="AU4533" t="s">
        <v>25242</v>
      </c>
      <c r="AV4533" t="s">
        <v>25335</v>
      </c>
      <c r="AW4533" t="s">
        <v>11447</v>
      </c>
    </row>
    <row r="4534" spans="1:49">
      <c r="A4534" s="1">
        <f>HYPERLINK("https://lsnyc.legalserver.org/matter/dynamic-profile/view/1911326","19-1911326")</f>
        <v>0</v>
      </c>
      <c r="B4534" t="s">
        <v>80</v>
      </c>
      <c r="C4534" t="s">
        <v>467</v>
      </c>
      <c r="E4534" t="s">
        <v>3213</v>
      </c>
      <c r="F4534" t="s">
        <v>5862</v>
      </c>
      <c r="G4534" t="s">
        <v>9691</v>
      </c>
      <c r="H4534" t="s">
        <v>10473</v>
      </c>
      <c r="I4534" t="s">
        <v>11383</v>
      </c>
      <c r="J4534">
        <v>10467</v>
      </c>
      <c r="K4534" t="s">
        <v>11446</v>
      </c>
      <c r="L4534" t="s">
        <v>14048</v>
      </c>
      <c r="M4534" t="s">
        <v>14744</v>
      </c>
      <c r="P4534" t="s">
        <v>14805</v>
      </c>
      <c r="Q4534" t="s">
        <v>11448</v>
      </c>
      <c r="S4534" t="s">
        <v>14827</v>
      </c>
      <c r="V4534">
        <v>1552</v>
      </c>
      <c r="W4534" t="s">
        <v>14858</v>
      </c>
      <c r="Z4534" t="s">
        <v>18643</v>
      </c>
      <c r="AB4534" t="s">
        <v>23784</v>
      </c>
      <c r="AC4534">
        <v>0</v>
      </c>
      <c r="AD4534" t="s">
        <v>24595</v>
      </c>
      <c r="AF4534">
        <v>2</v>
      </c>
      <c r="AG4534">
        <v>1</v>
      </c>
      <c r="AH4534">
        <v>3</v>
      </c>
      <c r="AI4534">
        <v>72.7</v>
      </c>
      <c r="AL4534" t="s">
        <v>5011</v>
      </c>
      <c r="AM4534">
        <v>18720</v>
      </c>
      <c r="AS4534">
        <v>5</v>
      </c>
      <c r="AT4534" t="s">
        <v>539</v>
      </c>
      <c r="AU4534" t="s">
        <v>25232</v>
      </c>
      <c r="AW4534" t="s">
        <v>11447</v>
      </c>
    </row>
    <row r="4535" spans="1:49">
      <c r="A4535" s="1">
        <f>HYPERLINK("https://lsnyc.legalserver.org/matter/dynamic-profile/view/1914402","19-1914402")</f>
        <v>0</v>
      </c>
      <c r="B4535" t="s">
        <v>112</v>
      </c>
      <c r="C4535" t="s">
        <v>506</v>
      </c>
      <c r="E4535" t="s">
        <v>1125</v>
      </c>
      <c r="F4535" t="s">
        <v>3678</v>
      </c>
      <c r="G4535" t="s">
        <v>9726</v>
      </c>
      <c r="H4535" t="s">
        <v>10533</v>
      </c>
      <c r="I4535" t="s">
        <v>11383</v>
      </c>
      <c r="J4535">
        <v>10467</v>
      </c>
      <c r="K4535" t="s">
        <v>11446</v>
      </c>
      <c r="L4535" t="s">
        <v>14049</v>
      </c>
      <c r="M4535" t="s">
        <v>14744</v>
      </c>
      <c r="P4535" t="s">
        <v>14805</v>
      </c>
      <c r="Q4535" t="s">
        <v>11448</v>
      </c>
      <c r="S4535" t="s">
        <v>14827</v>
      </c>
      <c r="V4535">
        <v>139</v>
      </c>
      <c r="W4535" t="s">
        <v>14858</v>
      </c>
      <c r="X4535" t="s">
        <v>14865</v>
      </c>
      <c r="Z4535" t="s">
        <v>18644</v>
      </c>
      <c r="AB4535" t="s">
        <v>23785</v>
      </c>
      <c r="AC4535">
        <v>26</v>
      </c>
      <c r="AD4535" t="s">
        <v>24596</v>
      </c>
      <c r="AE4535" t="s">
        <v>24610</v>
      </c>
      <c r="AF4535">
        <v>17</v>
      </c>
      <c r="AG4535">
        <v>1</v>
      </c>
      <c r="AH4535">
        <v>0</v>
      </c>
      <c r="AI4535">
        <v>72.83</v>
      </c>
      <c r="AL4535" t="s">
        <v>5011</v>
      </c>
      <c r="AM4535">
        <v>9096</v>
      </c>
      <c r="AS4535">
        <v>0.85</v>
      </c>
      <c r="AT4535" t="s">
        <v>537</v>
      </c>
      <c r="AU4535" t="s">
        <v>25239</v>
      </c>
      <c r="AV4535" t="s">
        <v>25335</v>
      </c>
      <c r="AW4535" t="s">
        <v>11447</v>
      </c>
    </row>
    <row r="4536" spans="1:49">
      <c r="A4536" s="1">
        <f>HYPERLINK("https://lsnyc.legalserver.org/matter/dynamic-profile/view/1915444","19-1915444")</f>
        <v>0</v>
      </c>
      <c r="B4536" t="s">
        <v>298</v>
      </c>
      <c r="C4536" t="s">
        <v>654</v>
      </c>
      <c r="E4536" t="s">
        <v>3214</v>
      </c>
      <c r="F4536" t="s">
        <v>5863</v>
      </c>
      <c r="G4536" t="s">
        <v>9727</v>
      </c>
      <c r="H4536" t="s">
        <v>10486</v>
      </c>
      <c r="I4536" t="s">
        <v>11383</v>
      </c>
      <c r="J4536">
        <v>10462</v>
      </c>
      <c r="K4536" t="s">
        <v>11446</v>
      </c>
      <c r="L4536" t="s">
        <v>14050</v>
      </c>
      <c r="M4536" t="s">
        <v>14744</v>
      </c>
      <c r="P4536" t="s">
        <v>14805</v>
      </c>
      <c r="Q4536" t="s">
        <v>11448</v>
      </c>
      <c r="S4536" t="s">
        <v>14827</v>
      </c>
      <c r="V4536">
        <v>1515</v>
      </c>
      <c r="W4536" t="s">
        <v>14858</v>
      </c>
      <c r="X4536" t="s">
        <v>14873</v>
      </c>
      <c r="Z4536" t="s">
        <v>18645</v>
      </c>
      <c r="AB4536" t="s">
        <v>23786</v>
      </c>
      <c r="AC4536">
        <v>2</v>
      </c>
      <c r="AD4536" t="s">
        <v>24600</v>
      </c>
      <c r="AE4536" t="s">
        <v>24616</v>
      </c>
      <c r="AF4536">
        <v>2</v>
      </c>
      <c r="AG4536">
        <v>2</v>
      </c>
      <c r="AH4536">
        <v>1</v>
      </c>
      <c r="AI4536">
        <v>73.14</v>
      </c>
      <c r="AL4536" t="s">
        <v>24632</v>
      </c>
      <c r="AM4536">
        <v>15600</v>
      </c>
      <c r="AS4536">
        <v>1.5</v>
      </c>
      <c r="AT4536" t="s">
        <v>654</v>
      </c>
      <c r="AU4536" t="s">
        <v>25252</v>
      </c>
      <c r="AV4536" t="s">
        <v>25335</v>
      </c>
      <c r="AW4536" t="s">
        <v>11447</v>
      </c>
    </row>
    <row r="4537" spans="1:49">
      <c r="A4537" s="1">
        <f>HYPERLINK("https://lsnyc.legalserver.org/matter/dynamic-profile/view/1900502","19-1900502")</f>
        <v>0</v>
      </c>
      <c r="B4537" t="s">
        <v>142</v>
      </c>
      <c r="C4537" t="s">
        <v>421</v>
      </c>
      <c r="E4537" t="s">
        <v>1125</v>
      </c>
      <c r="F4537" t="s">
        <v>3870</v>
      </c>
      <c r="G4537" t="s">
        <v>6965</v>
      </c>
      <c r="H4537" t="s">
        <v>11128</v>
      </c>
      <c r="I4537" t="s">
        <v>11383</v>
      </c>
      <c r="J4537">
        <v>10457</v>
      </c>
      <c r="K4537" t="s">
        <v>11446</v>
      </c>
      <c r="L4537" t="s">
        <v>14051</v>
      </c>
      <c r="M4537" t="s">
        <v>14743</v>
      </c>
      <c r="N4537" t="s">
        <v>14781</v>
      </c>
      <c r="P4537" t="s">
        <v>14805</v>
      </c>
      <c r="Q4537" t="s">
        <v>11448</v>
      </c>
      <c r="S4537" t="s">
        <v>14827</v>
      </c>
      <c r="V4537">
        <v>1213.21</v>
      </c>
      <c r="W4537" t="s">
        <v>14858</v>
      </c>
      <c r="X4537" t="s">
        <v>14865</v>
      </c>
      <c r="Z4537" t="s">
        <v>18646</v>
      </c>
      <c r="AB4537" t="s">
        <v>23787</v>
      </c>
      <c r="AC4537">
        <v>89</v>
      </c>
      <c r="AD4537" t="s">
        <v>11479</v>
      </c>
      <c r="AE4537" t="s">
        <v>11459</v>
      </c>
      <c r="AF4537">
        <v>0</v>
      </c>
      <c r="AG4537">
        <v>2</v>
      </c>
      <c r="AH4537">
        <v>1</v>
      </c>
      <c r="AI4537">
        <v>73.14</v>
      </c>
      <c r="AL4537" t="s">
        <v>5011</v>
      </c>
      <c r="AM4537">
        <v>15600</v>
      </c>
      <c r="AS4537">
        <v>15.5</v>
      </c>
      <c r="AT4537" t="s">
        <v>465</v>
      </c>
      <c r="AU4537" t="s">
        <v>237</v>
      </c>
      <c r="AV4537" t="s">
        <v>25335</v>
      </c>
      <c r="AW4537" t="s">
        <v>11447</v>
      </c>
    </row>
    <row r="4538" spans="1:49">
      <c r="A4538" s="1">
        <f>HYPERLINK("https://lsnyc.legalserver.org/matter/dynamic-profile/view/1909741","19-1909741")</f>
        <v>0</v>
      </c>
      <c r="B4538" t="s">
        <v>299</v>
      </c>
      <c r="C4538" t="s">
        <v>524</v>
      </c>
      <c r="E4538" t="s">
        <v>1233</v>
      </c>
      <c r="F4538" t="s">
        <v>5864</v>
      </c>
      <c r="G4538" t="s">
        <v>9728</v>
      </c>
      <c r="H4538" t="s">
        <v>10626</v>
      </c>
      <c r="I4538" t="s">
        <v>11383</v>
      </c>
      <c r="J4538">
        <v>10468</v>
      </c>
      <c r="K4538" t="s">
        <v>11446</v>
      </c>
      <c r="L4538" t="s">
        <v>14052</v>
      </c>
      <c r="M4538" t="s">
        <v>14743</v>
      </c>
      <c r="P4538" t="s">
        <v>14805</v>
      </c>
      <c r="Q4538" t="s">
        <v>11448</v>
      </c>
      <c r="S4538" t="s">
        <v>14827</v>
      </c>
      <c r="V4538">
        <v>237</v>
      </c>
      <c r="W4538" t="s">
        <v>14858</v>
      </c>
      <c r="X4538" t="s">
        <v>14865</v>
      </c>
      <c r="Z4538" t="s">
        <v>16951</v>
      </c>
      <c r="AB4538" t="s">
        <v>23788</v>
      </c>
      <c r="AC4538">
        <v>111</v>
      </c>
      <c r="AD4538" t="s">
        <v>24605</v>
      </c>
      <c r="AE4538" t="s">
        <v>24610</v>
      </c>
      <c r="AF4538">
        <v>3</v>
      </c>
      <c r="AG4538">
        <v>1</v>
      </c>
      <c r="AH4538">
        <v>0</v>
      </c>
      <c r="AI4538">
        <v>74.08</v>
      </c>
      <c r="AL4538" t="s">
        <v>5011</v>
      </c>
      <c r="AM4538">
        <v>9252</v>
      </c>
      <c r="AS4538">
        <v>23.5</v>
      </c>
      <c r="AT4538" t="s">
        <v>476</v>
      </c>
      <c r="AU4538" t="s">
        <v>237</v>
      </c>
      <c r="AV4538" t="s">
        <v>25335</v>
      </c>
      <c r="AW4538" t="s">
        <v>11447</v>
      </c>
    </row>
    <row r="4539" spans="1:49">
      <c r="A4539" s="1">
        <f>HYPERLINK("https://lsnyc.legalserver.org/matter/dynamic-profile/view/1913794","19-1913794")</f>
        <v>0</v>
      </c>
      <c r="B4539" t="s">
        <v>305</v>
      </c>
      <c r="C4539" t="s">
        <v>533</v>
      </c>
      <c r="E4539" t="s">
        <v>1548</v>
      </c>
      <c r="F4539" t="s">
        <v>5236</v>
      </c>
      <c r="G4539" t="s">
        <v>9729</v>
      </c>
      <c r="H4539" t="s">
        <v>10498</v>
      </c>
      <c r="I4539" t="s">
        <v>11383</v>
      </c>
      <c r="J4539">
        <v>10468</v>
      </c>
      <c r="K4539" t="s">
        <v>11446</v>
      </c>
      <c r="L4539" t="s">
        <v>14053</v>
      </c>
      <c r="M4539" t="s">
        <v>14744</v>
      </c>
      <c r="P4539" t="s">
        <v>14805</v>
      </c>
      <c r="Q4539" t="s">
        <v>11446</v>
      </c>
      <c r="S4539" t="s">
        <v>14827</v>
      </c>
      <c r="V4539">
        <v>1056.08</v>
      </c>
      <c r="W4539" t="s">
        <v>14858</v>
      </c>
      <c r="X4539" t="s">
        <v>14873</v>
      </c>
      <c r="Z4539" t="s">
        <v>18647</v>
      </c>
      <c r="AA4539" t="s">
        <v>19989</v>
      </c>
      <c r="AB4539" t="s">
        <v>23789</v>
      </c>
      <c r="AC4539">
        <v>30</v>
      </c>
      <c r="AF4539">
        <v>11</v>
      </c>
      <c r="AG4539">
        <v>1</v>
      </c>
      <c r="AH4539">
        <v>2</v>
      </c>
      <c r="AI4539">
        <v>74.84</v>
      </c>
      <c r="AL4539" t="s">
        <v>5011</v>
      </c>
      <c r="AM4539">
        <v>15964</v>
      </c>
      <c r="AS4539">
        <v>1.9</v>
      </c>
      <c r="AT4539" t="s">
        <v>509</v>
      </c>
      <c r="AU4539" t="s">
        <v>25311</v>
      </c>
      <c r="AV4539" t="s">
        <v>25335</v>
      </c>
      <c r="AW4539" t="s">
        <v>11447</v>
      </c>
    </row>
    <row r="4540" spans="1:49">
      <c r="A4540" s="1">
        <f>HYPERLINK("https://lsnyc.legalserver.org/matter/dynamic-profile/view/1869408","18-1869408")</f>
        <v>0</v>
      </c>
      <c r="B4540" t="s">
        <v>80</v>
      </c>
      <c r="C4540" t="s">
        <v>670</v>
      </c>
      <c r="E4540" t="s">
        <v>1453</v>
      </c>
      <c r="F4540" t="s">
        <v>5865</v>
      </c>
      <c r="G4540" t="s">
        <v>9730</v>
      </c>
      <c r="H4540" t="s">
        <v>10450</v>
      </c>
      <c r="I4540" t="s">
        <v>11383</v>
      </c>
      <c r="J4540">
        <v>10467</v>
      </c>
      <c r="K4540" t="s">
        <v>11448</v>
      </c>
      <c r="L4540" t="s">
        <v>14054</v>
      </c>
      <c r="M4540" t="s">
        <v>14744</v>
      </c>
      <c r="N4540" t="s">
        <v>14781</v>
      </c>
      <c r="P4540" t="s">
        <v>14805</v>
      </c>
      <c r="Q4540" t="s">
        <v>11448</v>
      </c>
      <c r="S4540" t="s">
        <v>14827</v>
      </c>
      <c r="T4540" t="s">
        <v>14832</v>
      </c>
      <c r="V4540">
        <v>1075</v>
      </c>
      <c r="W4540" t="s">
        <v>14858</v>
      </c>
      <c r="X4540" t="s">
        <v>14755</v>
      </c>
      <c r="Z4540" t="s">
        <v>18648</v>
      </c>
      <c r="AC4540">
        <v>0</v>
      </c>
      <c r="AD4540" t="s">
        <v>24595</v>
      </c>
      <c r="AF4540">
        <v>8</v>
      </c>
      <c r="AG4540">
        <v>1</v>
      </c>
      <c r="AH4540">
        <v>0</v>
      </c>
      <c r="AI4540">
        <v>76.8</v>
      </c>
      <c r="AL4540" t="s">
        <v>5011</v>
      </c>
      <c r="AM4540">
        <v>9324</v>
      </c>
      <c r="AN4540" t="s">
        <v>24853</v>
      </c>
      <c r="AS4540">
        <v>10.45</v>
      </c>
      <c r="AT4540" t="s">
        <v>351</v>
      </c>
      <c r="AU4540" t="s">
        <v>25256</v>
      </c>
      <c r="AW4540" t="s">
        <v>11448</v>
      </c>
    </row>
    <row r="4541" spans="1:49">
      <c r="A4541" s="1">
        <f>HYPERLINK("https://lsnyc.legalserver.org/matter/dynamic-profile/view/1913197","19-1913197")</f>
        <v>0</v>
      </c>
      <c r="B4541" t="s">
        <v>303</v>
      </c>
      <c r="C4541" t="s">
        <v>515</v>
      </c>
      <c r="E4541" t="s">
        <v>1215</v>
      </c>
      <c r="F4541" t="s">
        <v>5418</v>
      </c>
      <c r="G4541" t="s">
        <v>9523</v>
      </c>
      <c r="H4541" t="s">
        <v>11271</v>
      </c>
      <c r="I4541" t="s">
        <v>11383</v>
      </c>
      <c r="J4541">
        <v>10467</v>
      </c>
      <c r="K4541" t="s">
        <v>11448</v>
      </c>
      <c r="L4541" t="s">
        <v>14055</v>
      </c>
      <c r="M4541" t="s">
        <v>14744</v>
      </c>
      <c r="N4541" t="s">
        <v>14781</v>
      </c>
      <c r="P4541" t="s">
        <v>14805</v>
      </c>
      <c r="Q4541" t="s">
        <v>11448</v>
      </c>
      <c r="S4541" t="s">
        <v>14827</v>
      </c>
      <c r="V4541">
        <v>1003.2</v>
      </c>
      <c r="W4541" t="s">
        <v>14858</v>
      </c>
      <c r="X4541" t="s">
        <v>14873</v>
      </c>
      <c r="Z4541" t="s">
        <v>16398</v>
      </c>
      <c r="AC4541">
        <v>49</v>
      </c>
      <c r="AD4541" t="s">
        <v>24595</v>
      </c>
      <c r="AE4541" t="s">
        <v>11459</v>
      </c>
      <c r="AF4541">
        <v>22</v>
      </c>
      <c r="AG4541">
        <v>1</v>
      </c>
      <c r="AH4541">
        <v>0</v>
      </c>
      <c r="AI4541">
        <v>77.02</v>
      </c>
      <c r="AL4541" t="s">
        <v>5011</v>
      </c>
      <c r="AM4541">
        <v>9620</v>
      </c>
      <c r="AS4541">
        <v>12.9</v>
      </c>
      <c r="AT4541" t="s">
        <v>495</v>
      </c>
      <c r="AU4541" t="s">
        <v>25252</v>
      </c>
      <c r="AV4541" t="s">
        <v>25335</v>
      </c>
      <c r="AW4541" t="s">
        <v>11447</v>
      </c>
    </row>
    <row r="4542" spans="1:49">
      <c r="A4542" s="1">
        <f>HYPERLINK("https://lsnyc.legalserver.org/matter/dynamic-profile/view/1915210","19-1915210")</f>
        <v>0</v>
      </c>
      <c r="B4542" t="s">
        <v>82</v>
      </c>
      <c r="C4542" t="s">
        <v>509</v>
      </c>
      <c r="E4542" t="s">
        <v>2057</v>
      </c>
      <c r="F4542" t="s">
        <v>5866</v>
      </c>
      <c r="G4542" t="s">
        <v>9731</v>
      </c>
      <c r="H4542" t="s">
        <v>10557</v>
      </c>
      <c r="I4542" t="s">
        <v>11383</v>
      </c>
      <c r="J4542">
        <v>10468</v>
      </c>
      <c r="K4542" t="s">
        <v>11446</v>
      </c>
      <c r="M4542" t="s">
        <v>14744</v>
      </c>
      <c r="N4542" t="s">
        <v>14782</v>
      </c>
      <c r="P4542" t="s">
        <v>14805</v>
      </c>
      <c r="Q4542" t="s">
        <v>11448</v>
      </c>
      <c r="S4542" t="s">
        <v>14827</v>
      </c>
      <c r="V4542">
        <v>1956</v>
      </c>
      <c r="W4542" t="s">
        <v>14858</v>
      </c>
      <c r="X4542" t="s">
        <v>14868</v>
      </c>
      <c r="Z4542" t="s">
        <v>17282</v>
      </c>
      <c r="AA4542" t="s">
        <v>19990</v>
      </c>
      <c r="AB4542" t="s">
        <v>23790</v>
      </c>
      <c r="AC4542">
        <v>10</v>
      </c>
      <c r="AD4542" t="s">
        <v>24595</v>
      </c>
      <c r="AE4542" t="s">
        <v>24616</v>
      </c>
      <c r="AF4542">
        <v>3</v>
      </c>
      <c r="AG4542">
        <v>5</v>
      </c>
      <c r="AH4542">
        <v>1</v>
      </c>
      <c r="AI4542">
        <v>79.03</v>
      </c>
      <c r="AL4542" t="s">
        <v>24632</v>
      </c>
      <c r="AM4542">
        <v>27336</v>
      </c>
      <c r="AS4542">
        <v>0</v>
      </c>
      <c r="AU4542" t="s">
        <v>245</v>
      </c>
      <c r="AW4542" t="s">
        <v>11447</v>
      </c>
    </row>
    <row r="4543" spans="1:49">
      <c r="A4543" s="1">
        <f>HYPERLINK("https://lsnyc.legalserver.org/matter/dynamic-profile/view/1913155","19-1913155")</f>
        <v>0</v>
      </c>
      <c r="B4543" t="s">
        <v>273</v>
      </c>
      <c r="C4543" t="s">
        <v>571</v>
      </c>
      <c r="E4543" t="s">
        <v>3215</v>
      </c>
      <c r="F4543" t="s">
        <v>3951</v>
      </c>
      <c r="G4543" t="s">
        <v>9732</v>
      </c>
      <c r="H4543">
        <v>20</v>
      </c>
      <c r="I4543" t="s">
        <v>11383</v>
      </c>
      <c r="J4543">
        <v>10467</v>
      </c>
      <c r="K4543" t="s">
        <v>11446</v>
      </c>
      <c r="L4543" t="s">
        <v>14056</v>
      </c>
      <c r="M4543" t="s">
        <v>14744</v>
      </c>
      <c r="N4543" t="s">
        <v>14781</v>
      </c>
      <c r="P4543" t="s">
        <v>14805</v>
      </c>
      <c r="Q4543" t="s">
        <v>11448</v>
      </c>
      <c r="S4543" t="s">
        <v>14827</v>
      </c>
      <c r="V4543">
        <v>1265.33</v>
      </c>
      <c r="W4543" t="s">
        <v>14858</v>
      </c>
      <c r="X4543" t="s">
        <v>14873</v>
      </c>
      <c r="Z4543" t="s">
        <v>18649</v>
      </c>
      <c r="AB4543" t="s">
        <v>23791</v>
      </c>
      <c r="AC4543">
        <v>85</v>
      </c>
      <c r="AF4543">
        <v>2</v>
      </c>
      <c r="AG4543">
        <v>3</v>
      </c>
      <c r="AH4543">
        <v>0</v>
      </c>
      <c r="AI4543">
        <v>80.51000000000001</v>
      </c>
      <c r="AL4543" t="s">
        <v>5011</v>
      </c>
      <c r="AM4543">
        <v>17172</v>
      </c>
      <c r="AN4543" t="s">
        <v>24907</v>
      </c>
      <c r="AS4543">
        <v>1.5</v>
      </c>
      <c r="AT4543" t="s">
        <v>483</v>
      </c>
      <c r="AU4543" t="s">
        <v>25311</v>
      </c>
      <c r="AV4543" t="s">
        <v>25335</v>
      </c>
      <c r="AW4543" t="s">
        <v>11447</v>
      </c>
    </row>
    <row r="4544" spans="1:49">
      <c r="A4544" s="1">
        <f>HYPERLINK("https://lsnyc.legalserver.org/matter/dynamic-profile/view/1908554","19-1908554")</f>
        <v>0</v>
      </c>
      <c r="B4544" t="s">
        <v>130</v>
      </c>
      <c r="C4544" t="s">
        <v>466</v>
      </c>
      <c r="E4544" t="s">
        <v>1146</v>
      </c>
      <c r="F4544" t="s">
        <v>5867</v>
      </c>
      <c r="G4544" t="s">
        <v>9733</v>
      </c>
      <c r="H4544" t="s">
        <v>10476</v>
      </c>
      <c r="I4544" t="s">
        <v>11383</v>
      </c>
      <c r="J4544">
        <v>10468</v>
      </c>
      <c r="K4544" t="s">
        <v>11446</v>
      </c>
      <c r="L4544" t="s">
        <v>14057</v>
      </c>
      <c r="M4544" t="s">
        <v>14744</v>
      </c>
      <c r="P4544" t="s">
        <v>14805</v>
      </c>
      <c r="Q4544" t="s">
        <v>11448</v>
      </c>
      <c r="S4544" t="s">
        <v>14827</v>
      </c>
      <c r="V4544">
        <v>1350</v>
      </c>
      <c r="W4544" t="s">
        <v>14858</v>
      </c>
      <c r="X4544" t="s">
        <v>14863</v>
      </c>
      <c r="Z4544" t="s">
        <v>18650</v>
      </c>
      <c r="AB4544" t="s">
        <v>23792</v>
      </c>
      <c r="AC4544">
        <v>27</v>
      </c>
      <c r="AD4544" t="s">
        <v>24595</v>
      </c>
      <c r="AE4544" t="s">
        <v>11459</v>
      </c>
      <c r="AF4544">
        <v>5</v>
      </c>
      <c r="AG4544">
        <v>2</v>
      </c>
      <c r="AH4544">
        <v>2</v>
      </c>
      <c r="AI4544">
        <v>80.78</v>
      </c>
      <c r="AL4544" t="s">
        <v>24632</v>
      </c>
      <c r="AM4544">
        <v>20800</v>
      </c>
      <c r="AS4544">
        <v>14.6</v>
      </c>
      <c r="AT4544" t="s">
        <v>533</v>
      </c>
      <c r="AU4544" t="s">
        <v>245</v>
      </c>
      <c r="AW4544" t="s">
        <v>11447</v>
      </c>
    </row>
    <row r="4545" spans="1:49">
      <c r="A4545" s="1">
        <f>HYPERLINK("https://lsnyc.legalserver.org/matter/dynamic-profile/view/1914581","19-1914581")</f>
        <v>0</v>
      </c>
      <c r="B4545" t="s">
        <v>300</v>
      </c>
      <c r="C4545" t="s">
        <v>491</v>
      </c>
      <c r="E4545" t="s">
        <v>3216</v>
      </c>
      <c r="F4545" t="s">
        <v>5868</v>
      </c>
      <c r="G4545" t="s">
        <v>9734</v>
      </c>
      <c r="H4545" t="s">
        <v>11272</v>
      </c>
      <c r="I4545" t="s">
        <v>11383</v>
      </c>
      <c r="J4545">
        <v>10462</v>
      </c>
      <c r="K4545" t="s">
        <v>11446</v>
      </c>
      <c r="L4545" t="s">
        <v>14058</v>
      </c>
      <c r="M4545" t="s">
        <v>14744</v>
      </c>
      <c r="P4545" t="s">
        <v>14805</v>
      </c>
      <c r="Q4545" t="s">
        <v>11448</v>
      </c>
      <c r="S4545" t="s">
        <v>14827</v>
      </c>
      <c r="T4545" t="s">
        <v>14832</v>
      </c>
      <c r="V4545">
        <v>2150</v>
      </c>
      <c r="W4545" t="s">
        <v>14858</v>
      </c>
      <c r="Z4545" t="s">
        <v>18651</v>
      </c>
      <c r="AB4545" t="s">
        <v>23793</v>
      </c>
      <c r="AC4545">
        <v>106</v>
      </c>
      <c r="AD4545" t="s">
        <v>24595</v>
      </c>
      <c r="AF4545">
        <v>1</v>
      </c>
      <c r="AG4545">
        <v>4</v>
      </c>
      <c r="AH4545">
        <v>0</v>
      </c>
      <c r="AI4545">
        <v>80.78</v>
      </c>
      <c r="AL4545" t="s">
        <v>5011</v>
      </c>
      <c r="AM4545">
        <v>20800</v>
      </c>
      <c r="AS4545">
        <v>1.7</v>
      </c>
      <c r="AT4545" t="s">
        <v>509</v>
      </c>
      <c r="AU4545" t="s">
        <v>145</v>
      </c>
      <c r="AV4545" t="s">
        <v>25335</v>
      </c>
      <c r="AW4545" t="s">
        <v>11447</v>
      </c>
    </row>
    <row r="4546" spans="1:49">
      <c r="A4546" s="1">
        <f>HYPERLINK("https://lsnyc.legalserver.org/matter/dynamic-profile/view/1909017","19-1909017")</f>
        <v>0</v>
      </c>
      <c r="B4546" t="s">
        <v>298</v>
      </c>
      <c r="C4546" t="s">
        <v>641</v>
      </c>
      <c r="E4546" t="s">
        <v>3217</v>
      </c>
      <c r="F4546" t="s">
        <v>5419</v>
      </c>
      <c r="G4546" t="s">
        <v>9514</v>
      </c>
      <c r="H4546" t="s">
        <v>11273</v>
      </c>
      <c r="I4546" t="s">
        <v>11383</v>
      </c>
      <c r="J4546">
        <v>10468</v>
      </c>
      <c r="K4546" t="s">
        <v>11446</v>
      </c>
      <c r="L4546" t="s">
        <v>14059</v>
      </c>
      <c r="M4546" t="s">
        <v>14744</v>
      </c>
      <c r="P4546" t="s">
        <v>14805</v>
      </c>
      <c r="Q4546" t="s">
        <v>11448</v>
      </c>
      <c r="S4546" t="s">
        <v>14827</v>
      </c>
      <c r="T4546" t="s">
        <v>14832</v>
      </c>
      <c r="V4546">
        <v>1587</v>
      </c>
      <c r="W4546" t="s">
        <v>14858</v>
      </c>
      <c r="Z4546" t="s">
        <v>18652</v>
      </c>
      <c r="AB4546" t="s">
        <v>23794</v>
      </c>
      <c r="AC4546">
        <v>45</v>
      </c>
      <c r="AD4546" t="s">
        <v>24595</v>
      </c>
      <c r="AF4546">
        <v>21</v>
      </c>
      <c r="AG4546">
        <v>4</v>
      </c>
      <c r="AH4546">
        <v>1</v>
      </c>
      <c r="AI4546">
        <v>81.34</v>
      </c>
      <c r="AL4546" t="s">
        <v>24632</v>
      </c>
      <c r="AM4546">
        <v>24540</v>
      </c>
      <c r="AS4546">
        <v>13.05</v>
      </c>
      <c r="AT4546" t="s">
        <v>592</v>
      </c>
      <c r="AU4546" t="s">
        <v>145</v>
      </c>
      <c r="AV4546" t="s">
        <v>25335</v>
      </c>
      <c r="AW4546" t="s">
        <v>11447</v>
      </c>
    </row>
    <row r="4547" spans="1:49">
      <c r="A4547" s="1">
        <f>HYPERLINK("https://lsnyc.legalserver.org/matter/dynamic-profile/view/1894927","19-1894927")</f>
        <v>0</v>
      </c>
      <c r="B4547" t="s">
        <v>130</v>
      </c>
      <c r="C4547" t="s">
        <v>643</v>
      </c>
      <c r="E4547" t="s">
        <v>1339</v>
      </c>
      <c r="F4547" t="s">
        <v>3627</v>
      </c>
      <c r="G4547" t="s">
        <v>9735</v>
      </c>
      <c r="H4547" t="s">
        <v>11210</v>
      </c>
      <c r="I4547" t="s">
        <v>11383</v>
      </c>
      <c r="J4547">
        <v>10457</v>
      </c>
      <c r="K4547" t="s">
        <v>11446</v>
      </c>
      <c r="L4547" t="s">
        <v>14060</v>
      </c>
      <c r="M4547" t="s">
        <v>14743</v>
      </c>
      <c r="N4547" t="s">
        <v>14778</v>
      </c>
      <c r="P4547" t="s">
        <v>14805</v>
      </c>
      <c r="Q4547" t="s">
        <v>11448</v>
      </c>
      <c r="S4547" t="s">
        <v>14827</v>
      </c>
      <c r="T4547" t="s">
        <v>14832</v>
      </c>
      <c r="V4547">
        <v>198</v>
      </c>
      <c r="W4547" t="s">
        <v>14858</v>
      </c>
      <c r="X4547" t="s">
        <v>14863</v>
      </c>
      <c r="Z4547" t="s">
        <v>18653</v>
      </c>
      <c r="AB4547" t="s">
        <v>23795</v>
      </c>
      <c r="AC4547">
        <v>0</v>
      </c>
      <c r="AD4547" t="s">
        <v>24595</v>
      </c>
      <c r="AF4547">
        <v>1</v>
      </c>
      <c r="AG4547">
        <v>1</v>
      </c>
      <c r="AH4547">
        <v>0</v>
      </c>
      <c r="AI4547">
        <v>82.43000000000001</v>
      </c>
      <c r="AL4547" t="s">
        <v>24632</v>
      </c>
      <c r="AM4547">
        <v>10296</v>
      </c>
      <c r="AN4547" t="s">
        <v>24908</v>
      </c>
      <c r="AS4547">
        <v>3.25</v>
      </c>
      <c r="AT4547" t="s">
        <v>502</v>
      </c>
      <c r="AU4547" t="s">
        <v>245</v>
      </c>
      <c r="AV4547" t="s">
        <v>25335</v>
      </c>
      <c r="AW4547" t="s">
        <v>11446</v>
      </c>
    </row>
    <row r="4548" spans="1:49">
      <c r="A4548" s="1">
        <f>HYPERLINK("https://lsnyc.legalserver.org/matter/dynamic-profile/view/1901293","19-1901293")</f>
        <v>0</v>
      </c>
      <c r="B4548" t="s">
        <v>132</v>
      </c>
      <c r="C4548" t="s">
        <v>665</v>
      </c>
      <c r="E4548" t="s">
        <v>1524</v>
      </c>
      <c r="F4548" t="s">
        <v>5869</v>
      </c>
      <c r="G4548" t="s">
        <v>9490</v>
      </c>
      <c r="H4548" t="s">
        <v>10840</v>
      </c>
      <c r="I4548" t="s">
        <v>11383</v>
      </c>
      <c r="J4548">
        <v>10457</v>
      </c>
      <c r="K4548" t="s">
        <v>11446</v>
      </c>
      <c r="L4548" t="s">
        <v>14061</v>
      </c>
      <c r="N4548" t="s">
        <v>14781</v>
      </c>
      <c r="P4548" t="s">
        <v>14805</v>
      </c>
      <c r="S4548" t="s">
        <v>14827</v>
      </c>
      <c r="V4548">
        <v>2175</v>
      </c>
      <c r="W4548" t="s">
        <v>14858</v>
      </c>
      <c r="Z4548" t="s">
        <v>18654</v>
      </c>
      <c r="AB4548" t="s">
        <v>23796</v>
      </c>
      <c r="AC4548">
        <v>120</v>
      </c>
      <c r="AF4548">
        <v>7</v>
      </c>
      <c r="AG4548">
        <v>3</v>
      </c>
      <c r="AH4548">
        <v>3</v>
      </c>
      <c r="AI4548">
        <v>85.76000000000001</v>
      </c>
      <c r="AL4548" t="s">
        <v>5011</v>
      </c>
      <c r="AM4548">
        <v>29666</v>
      </c>
      <c r="AS4548">
        <v>12.3</v>
      </c>
      <c r="AT4548" t="s">
        <v>495</v>
      </c>
      <c r="AU4548" t="s">
        <v>145</v>
      </c>
      <c r="AV4548" t="s">
        <v>25335</v>
      </c>
      <c r="AW4548" t="s">
        <v>11447</v>
      </c>
    </row>
    <row r="4549" spans="1:49">
      <c r="A4549" s="1">
        <f>HYPERLINK("https://lsnyc.legalserver.org/matter/dynamic-profile/view/1912527","19-1912527")</f>
        <v>0</v>
      </c>
      <c r="B4549" t="s">
        <v>115</v>
      </c>
      <c r="C4549" t="s">
        <v>472</v>
      </c>
      <c r="E4549" t="s">
        <v>3218</v>
      </c>
      <c r="F4549" t="s">
        <v>3730</v>
      </c>
      <c r="G4549" t="s">
        <v>9736</v>
      </c>
      <c r="H4549" t="s">
        <v>10665</v>
      </c>
      <c r="I4549" t="s">
        <v>11383</v>
      </c>
      <c r="J4549">
        <v>10452</v>
      </c>
      <c r="K4549" t="s">
        <v>11446</v>
      </c>
      <c r="L4549" t="s">
        <v>14062</v>
      </c>
      <c r="M4549" t="s">
        <v>14744</v>
      </c>
      <c r="N4549" t="s">
        <v>14781</v>
      </c>
      <c r="P4549" t="s">
        <v>14805</v>
      </c>
      <c r="Q4549" t="s">
        <v>11448</v>
      </c>
      <c r="S4549" t="s">
        <v>14827</v>
      </c>
      <c r="V4549">
        <v>1200</v>
      </c>
      <c r="W4549" t="s">
        <v>14858</v>
      </c>
      <c r="X4549" t="s">
        <v>14865</v>
      </c>
      <c r="Z4549" t="s">
        <v>18655</v>
      </c>
      <c r="AC4549">
        <v>59</v>
      </c>
      <c r="AD4549" t="s">
        <v>11479</v>
      </c>
      <c r="AF4549">
        <v>4</v>
      </c>
      <c r="AG4549">
        <v>2</v>
      </c>
      <c r="AH4549">
        <v>3</v>
      </c>
      <c r="AI4549">
        <v>86.18000000000001</v>
      </c>
      <c r="AL4549" t="s">
        <v>24632</v>
      </c>
      <c r="AM4549">
        <v>26000</v>
      </c>
      <c r="AS4549">
        <v>0.25</v>
      </c>
      <c r="AT4549" t="s">
        <v>472</v>
      </c>
      <c r="AU4549" t="s">
        <v>25316</v>
      </c>
      <c r="AV4549" t="s">
        <v>25335</v>
      </c>
      <c r="AW4549" t="s">
        <v>11447</v>
      </c>
    </row>
    <row r="4550" spans="1:49">
      <c r="A4550" s="1">
        <f>HYPERLINK("https://lsnyc.legalserver.org/matter/dynamic-profile/view/1898153","19-1898153")</f>
        <v>0</v>
      </c>
      <c r="B4550" t="s">
        <v>81</v>
      </c>
      <c r="C4550" t="s">
        <v>510</v>
      </c>
      <c r="E4550" t="s">
        <v>3219</v>
      </c>
      <c r="F4550" t="s">
        <v>5870</v>
      </c>
      <c r="G4550" t="s">
        <v>9602</v>
      </c>
      <c r="H4550" t="s">
        <v>10581</v>
      </c>
      <c r="I4550" t="s">
        <v>11383</v>
      </c>
      <c r="J4550">
        <v>10457</v>
      </c>
      <c r="K4550" t="s">
        <v>11446</v>
      </c>
      <c r="N4550" t="s">
        <v>14780</v>
      </c>
      <c r="P4550" t="s">
        <v>14805</v>
      </c>
      <c r="S4550" t="s">
        <v>14827</v>
      </c>
      <c r="V4550">
        <v>1351.7</v>
      </c>
      <c r="W4550" t="s">
        <v>14858</v>
      </c>
      <c r="X4550" t="s">
        <v>14865</v>
      </c>
      <c r="Z4550" t="s">
        <v>18656</v>
      </c>
      <c r="AA4550" t="s">
        <v>19991</v>
      </c>
      <c r="AB4550" t="s">
        <v>23797</v>
      </c>
      <c r="AC4550">
        <v>0</v>
      </c>
      <c r="AE4550" t="s">
        <v>24610</v>
      </c>
      <c r="AF4550">
        <v>45</v>
      </c>
      <c r="AG4550">
        <v>1</v>
      </c>
      <c r="AH4550">
        <v>0</v>
      </c>
      <c r="AI4550">
        <v>86.47</v>
      </c>
      <c r="AL4550" t="s">
        <v>24632</v>
      </c>
      <c r="AM4550">
        <v>10800</v>
      </c>
      <c r="AS4550">
        <v>3.45</v>
      </c>
      <c r="AT4550" t="s">
        <v>476</v>
      </c>
      <c r="AU4550" t="s">
        <v>25239</v>
      </c>
      <c r="AV4550" t="s">
        <v>25335</v>
      </c>
      <c r="AW4550" t="s">
        <v>11448</v>
      </c>
    </row>
    <row r="4551" spans="1:49">
      <c r="A4551" s="1">
        <f>HYPERLINK("https://lsnyc.legalserver.org/matter/dynamic-profile/view/1915331","19-1915331")</f>
        <v>0</v>
      </c>
      <c r="B4551" t="s">
        <v>69</v>
      </c>
      <c r="C4551" t="s">
        <v>509</v>
      </c>
      <c r="E4551" t="s">
        <v>1249</v>
      </c>
      <c r="F4551" t="s">
        <v>5156</v>
      </c>
      <c r="G4551" t="s">
        <v>8969</v>
      </c>
      <c r="H4551" t="s">
        <v>10740</v>
      </c>
      <c r="I4551" t="s">
        <v>11383</v>
      </c>
      <c r="J4551">
        <v>10451</v>
      </c>
      <c r="K4551" t="s">
        <v>11446</v>
      </c>
      <c r="L4551" t="s">
        <v>14063</v>
      </c>
      <c r="M4551" t="s">
        <v>14744</v>
      </c>
      <c r="N4551" t="s">
        <v>14782</v>
      </c>
      <c r="P4551" t="s">
        <v>14805</v>
      </c>
      <c r="Q4551" t="s">
        <v>11448</v>
      </c>
      <c r="R4551" t="s">
        <v>14802</v>
      </c>
      <c r="S4551" t="s">
        <v>14827</v>
      </c>
      <c r="T4551" t="s">
        <v>14834</v>
      </c>
      <c r="V4551">
        <v>1265</v>
      </c>
      <c r="W4551" t="s">
        <v>14858</v>
      </c>
      <c r="X4551" t="s">
        <v>14863</v>
      </c>
      <c r="Z4551" t="s">
        <v>18657</v>
      </c>
      <c r="AB4551" t="s">
        <v>23798</v>
      </c>
      <c r="AC4551">
        <v>100</v>
      </c>
      <c r="AD4551" t="s">
        <v>24595</v>
      </c>
      <c r="AF4551">
        <v>43</v>
      </c>
      <c r="AG4551">
        <v>3</v>
      </c>
      <c r="AH4551">
        <v>0</v>
      </c>
      <c r="AI4551">
        <v>86.64</v>
      </c>
      <c r="AL4551" t="s">
        <v>5011</v>
      </c>
      <c r="AM4551">
        <v>18480</v>
      </c>
      <c r="AS4551">
        <v>2.5</v>
      </c>
      <c r="AT4551" t="s">
        <v>495</v>
      </c>
      <c r="AU4551" t="s">
        <v>25239</v>
      </c>
      <c r="AV4551" t="s">
        <v>25335</v>
      </c>
      <c r="AW4551" t="s">
        <v>11447</v>
      </c>
    </row>
    <row r="4552" spans="1:49">
      <c r="A4552" s="1">
        <f>HYPERLINK("https://lsnyc.legalserver.org/matter/dynamic-profile/view/1915023","19-1915023")</f>
        <v>0</v>
      </c>
      <c r="B4552" t="s">
        <v>299</v>
      </c>
      <c r="C4552" t="s">
        <v>537</v>
      </c>
      <c r="E4552" t="s">
        <v>2285</v>
      </c>
      <c r="F4552" t="s">
        <v>3769</v>
      </c>
      <c r="G4552" t="s">
        <v>6787</v>
      </c>
      <c r="H4552">
        <v>105</v>
      </c>
      <c r="I4552" t="s">
        <v>11383</v>
      </c>
      <c r="J4552">
        <v>10457</v>
      </c>
      <c r="K4552" t="s">
        <v>11446</v>
      </c>
      <c r="L4552" t="s">
        <v>14064</v>
      </c>
      <c r="M4552" t="s">
        <v>14744</v>
      </c>
      <c r="N4552" t="s">
        <v>14781</v>
      </c>
      <c r="P4552" t="s">
        <v>14805</v>
      </c>
      <c r="Q4552" t="s">
        <v>11448</v>
      </c>
      <c r="S4552" t="s">
        <v>14827</v>
      </c>
      <c r="V4552">
        <v>1548</v>
      </c>
      <c r="W4552" t="s">
        <v>14858</v>
      </c>
      <c r="X4552" t="s">
        <v>14865</v>
      </c>
      <c r="Z4552" t="s">
        <v>18658</v>
      </c>
      <c r="AB4552" t="s">
        <v>23799</v>
      </c>
      <c r="AC4552">
        <v>0</v>
      </c>
      <c r="AD4552" t="s">
        <v>24595</v>
      </c>
      <c r="AE4552" t="s">
        <v>14755</v>
      </c>
      <c r="AF4552">
        <v>8</v>
      </c>
      <c r="AG4552">
        <v>1</v>
      </c>
      <c r="AH4552">
        <v>1</v>
      </c>
      <c r="AI4552">
        <v>88.7</v>
      </c>
      <c r="AL4552" t="s">
        <v>5011</v>
      </c>
      <c r="AM4552">
        <v>15000</v>
      </c>
      <c r="AS4552">
        <v>0</v>
      </c>
      <c r="AU4552" t="s">
        <v>237</v>
      </c>
      <c r="AV4552" t="s">
        <v>25335</v>
      </c>
      <c r="AW4552" t="s">
        <v>11447</v>
      </c>
    </row>
    <row r="4553" spans="1:49">
      <c r="A4553" s="1">
        <f>HYPERLINK("https://lsnyc.legalserver.org/matter/dynamic-profile/view/1910058","19-1910058")</f>
        <v>0</v>
      </c>
      <c r="B4553" t="s">
        <v>82</v>
      </c>
      <c r="C4553" t="s">
        <v>471</v>
      </c>
      <c r="E4553" t="s">
        <v>1258</v>
      </c>
      <c r="F4553" t="s">
        <v>5871</v>
      </c>
      <c r="G4553" t="s">
        <v>9737</v>
      </c>
      <c r="H4553">
        <v>31</v>
      </c>
      <c r="I4553" t="s">
        <v>11383</v>
      </c>
      <c r="J4553">
        <v>10468</v>
      </c>
      <c r="K4553" t="s">
        <v>11446</v>
      </c>
      <c r="L4553" t="s">
        <v>14065</v>
      </c>
      <c r="M4553" t="s">
        <v>14744</v>
      </c>
      <c r="N4553" t="s">
        <v>14782</v>
      </c>
      <c r="P4553" t="s">
        <v>14805</v>
      </c>
      <c r="Q4553" t="s">
        <v>11448</v>
      </c>
      <c r="S4553" t="s">
        <v>14827</v>
      </c>
      <c r="V4553">
        <v>0</v>
      </c>
      <c r="W4553" t="s">
        <v>14858</v>
      </c>
      <c r="X4553" t="s">
        <v>14863</v>
      </c>
      <c r="Z4553" t="s">
        <v>18659</v>
      </c>
      <c r="AA4553" t="s">
        <v>19992</v>
      </c>
      <c r="AB4553" t="s">
        <v>23800</v>
      </c>
      <c r="AC4553">
        <v>27</v>
      </c>
      <c r="AD4553" t="s">
        <v>11479</v>
      </c>
      <c r="AE4553" t="s">
        <v>11459</v>
      </c>
      <c r="AF4553">
        <v>1</v>
      </c>
      <c r="AG4553">
        <v>1</v>
      </c>
      <c r="AH4553">
        <v>1</v>
      </c>
      <c r="AI4553">
        <v>89.65000000000001</v>
      </c>
      <c r="AL4553" t="s">
        <v>24632</v>
      </c>
      <c r="AM4553">
        <v>15160</v>
      </c>
      <c r="AS4553">
        <v>4.5</v>
      </c>
      <c r="AT4553" t="s">
        <v>571</v>
      </c>
      <c r="AU4553" t="s">
        <v>245</v>
      </c>
      <c r="AV4553" t="s">
        <v>25334</v>
      </c>
      <c r="AW4553" t="s">
        <v>11447</v>
      </c>
    </row>
    <row r="4554" spans="1:49">
      <c r="A4554" s="1">
        <f>HYPERLINK("https://lsnyc.legalserver.org/matter/dynamic-profile/view/1890083","19-1890083")</f>
        <v>0</v>
      </c>
      <c r="B4554" t="s">
        <v>143</v>
      </c>
      <c r="C4554" t="s">
        <v>353</v>
      </c>
      <c r="E4554" t="s">
        <v>1274</v>
      </c>
      <c r="F4554" t="s">
        <v>3968</v>
      </c>
      <c r="G4554" t="s">
        <v>9576</v>
      </c>
      <c r="H4554" t="s">
        <v>11274</v>
      </c>
      <c r="I4554" t="s">
        <v>11383</v>
      </c>
      <c r="J4554">
        <v>10468</v>
      </c>
      <c r="K4554" t="s">
        <v>11446</v>
      </c>
      <c r="L4554" t="s">
        <v>14066</v>
      </c>
      <c r="M4554" t="s">
        <v>14744</v>
      </c>
      <c r="N4554" t="s">
        <v>14781</v>
      </c>
      <c r="P4554" t="s">
        <v>14805</v>
      </c>
      <c r="Q4554" t="s">
        <v>11448</v>
      </c>
      <c r="S4554" t="s">
        <v>14827</v>
      </c>
      <c r="V4554">
        <v>1990</v>
      </c>
      <c r="W4554" t="s">
        <v>14858</v>
      </c>
      <c r="X4554" t="s">
        <v>14865</v>
      </c>
      <c r="Z4554" t="s">
        <v>18660</v>
      </c>
      <c r="AC4554">
        <v>55</v>
      </c>
      <c r="AD4554" t="s">
        <v>24595</v>
      </c>
      <c r="AE4554" t="s">
        <v>11459</v>
      </c>
      <c r="AF4554">
        <v>5</v>
      </c>
      <c r="AG4554">
        <v>3</v>
      </c>
      <c r="AH4554">
        <v>3</v>
      </c>
      <c r="AI4554">
        <v>90.5</v>
      </c>
      <c r="AL4554" t="s">
        <v>24632</v>
      </c>
      <c r="AM4554">
        <v>31304</v>
      </c>
      <c r="AN4554" t="s">
        <v>24902</v>
      </c>
      <c r="AS4554">
        <v>17.45</v>
      </c>
      <c r="AT4554" t="s">
        <v>521</v>
      </c>
      <c r="AU4554" t="s">
        <v>25239</v>
      </c>
      <c r="AW4554" t="s">
        <v>11448</v>
      </c>
    </row>
    <row r="4555" spans="1:49">
      <c r="A4555" s="1">
        <f>HYPERLINK("https://lsnyc.legalserver.org/matter/dynamic-profile/view/1900694","19-1900694")</f>
        <v>0</v>
      </c>
      <c r="B4555" t="s">
        <v>297</v>
      </c>
      <c r="C4555" t="s">
        <v>370</v>
      </c>
      <c r="E4555" t="s">
        <v>1209</v>
      </c>
      <c r="F4555" t="s">
        <v>3579</v>
      </c>
      <c r="G4555" t="s">
        <v>9738</v>
      </c>
      <c r="H4555">
        <v>1</v>
      </c>
      <c r="I4555" t="s">
        <v>11383</v>
      </c>
      <c r="J4555">
        <v>10467</v>
      </c>
      <c r="K4555" t="s">
        <v>11446</v>
      </c>
      <c r="L4555" t="s">
        <v>14067</v>
      </c>
      <c r="M4555" t="s">
        <v>14744</v>
      </c>
      <c r="N4555" t="s">
        <v>14781</v>
      </c>
      <c r="P4555" t="s">
        <v>14805</v>
      </c>
      <c r="Q4555" t="s">
        <v>11448</v>
      </c>
      <c r="S4555" t="s">
        <v>14827</v>
      </c>
      <c r="V4555">
        <v>2500</v>
      </c>
      <c r="W4555" t="s">
        <v>14858</v>
      </c>
      <c r="X4555" t="s">
        <v>14865</v>
      </c>
      <c r="Z4555" t="s">
        <v>18661</v>
      </c>
      <c r="AB4555" t="s">
        <v>23801</v>
      </c>
      <c r="AC4555">
        <v>2</v>
      </c>
      <c r="AD4555" t="s">
        <v>24607</v>
      </c>
      <c r="AE4555" t="s">
        <v>11459</v>
      </c>
      <c r="AF4555">
        <v>1</v>
      </c>
      <c r="AG4555">
        <v>2</v>
      </c>
      <c r="AH4555">
        <v>0</v>
      </c>
      <c r="AI4555">
        <v>92.25</v>
      </c>
      <c r="AL4555" t="s">
        <v>24632</v>
      </c>
      <c r="AM4555">
        <v>15600</v>
      </c>
      <c r="AS4555">
        <v>8.75</v>
      </c>
      <c r="AT4555" t="s">
        <v>592</v>
      </c>
      <c r="AU4555" t="s">
        <v>237</v>
      </c>
      <c r="AV4555" t="s">
        <v>25335</v>
      </c>
      <c r="AW4555" t="s">
        <v>11447</v>
      </c>
    </row>
    <row r="4556" spans="1:49">
      <c r="A4556" s="1">
        <f>HYPERLINK("https://lsnyc.legalserver.org/matter/dynamic-profile/view/1913435","19-1913435")</f>
        <v>0</v>
      </c>
      <c r="B4556" t="s">
        <v>100</v>
      </c>
      <c r="C4556" t="s">
        <v>484</v>
      </c>
      <c r="E4556" t="s">
        <v>1789</v>
      </c>
      <c r="F4556" t="s">
        <v>5872</v>
      </c>
      <c r="G4556" t="s">
        <v>9739</v>
      </c>
      <c r="H4556">
        <v>576</v>
      </c>
      <c r="I4556" t="s">
        <v>11383</v>
      </c>
      <c r="J4556">
        <v>10462</v>
      </c>
      <c r="K4556" t="s">
        <v>11447</v>
      </c>
      <c r="M4556" t="s">
        <v>14758</v>
      </c>
      <c r="N4556" t="s">
        <v>14780</v>
      </c>
      <c r="P4556" t="s">
        <v>14805</v>
      </c>
      <c r="Q4556" t="s">
        <v>11448</v>
      </c>
      <c r="S4556" t="s">
        <v>14827</v>
      </c>
      <c r="V4556">
        <v>1510.12</v>
      </c>
      <c r="W4556" t="s">
        <v>14858</v>
      </c>
      <c r="Z4556" t="s">
        <v>18662</v>
      </c>
      <c r="AA4556" t="s">
        <v>19993</v>
      </c>
      <c r="AB4556" t="s">
        <v>23802</v>
      </c>
      <c r="AC4556">
        <v>172</v>
      </c>
      <c r="AD4556" t="s">
        <v>24596</v>
      </c>
      <c r="AE4556" t="s">
        <v>24610</v>
      </c>
      <c r="AF4556">
        <v>0</v>
      </c>
      <c r="AG4556">
        <v>3</v>
      </c>
      <c r="AH4556">
        <v>0</v>
      </c>
      <c r="AI4556">
        <v>92.55</v>
      </c>
      <c r="AL4556" t="s">
        <v>5011</v>
      </c>
      <c r="AM4556">
        <v>19740</v>
      </c>
      <c r="AS4556">
        <v>14.4</v>
      </c>
      <c r="AT4556" t="s">
        <v>516</v>
      </c>
      <c r="AU4556" t="s">
        <v>25242</v>
      </c>
      <c r="AW4556" t="s">
        <v>11447</v>
      </c>
    </row>
    <row r="4557" spans="1:49">
      <c r="A4557" s="1">
        <f>HYPERLINK("https://lsnyc.legalserver.org/matter/dynamic-profile/view/1911787","19-1911787")</f>
        <v>0</v>
      </c>
      <c r="B4557" t="s">
        <v>256</v>
      </c>
      <c r="C4557" t="s">
        <v>645</v>
      </c>
      <c r="E4557" t="s">
        <v>1918</v>
      </c>
      <c r="F4557" t="s">
        <v>3939</v>
      </c>
      <c r="G4557" t="s">
        <v>9740</v>
      </c>
      <c r="H4557" t="s">
        <v>10559</v>
      </c>
      <c r="I4557" t="s">
        <v>11383</v>
      </c>
      <c r="J4557">
        <v>10460</v>
      </c>
      <c r="K4557" t="s">
        <v>11446</v>
      </c>
      <c r="L4557" t="s">
        <v>11707</v>
      </c>
      <c r="M4557" t="s">
        <v>14743</v>
      </c>
      <c r="N4557" t="s">
        <v>14782</v>
      </c>
      <c r="P4557" t="s">
        <v>14805</v>
      </c>
      <c r="Q4557" t="s">
        <v>11448</v>
      </c>
      <c r="S4557" t="s">
        <v>14828</v>
      </c>
      <c r="T4557" t="s">
        <v>14832</v>
      </c>
      <c r="V4557">
        <v>0</v>
      </c>
      <c r="W4557" t="s">
        <v>14858</v>
      </c>
      <c r="Z4557" t="s">
        <v>15316</v>
      </c>
      <c r="AB4557" t="s">
        <v>23803</v>
      </c>
      <c r="AC4557">
        <v>21</v>
      </c>
      <c r="AD4557" t="s">
        <v>24595</v>
      </c>
      <c r="AE4557" t="s">
        <v>24610</v>
      </c>
      <c r="AF4557">
        <v>0</v>
      </c>
      <c r="AG4557">
        <v>1</v>
      </c>
      <c r="AH4557">
        <v>0</v>
      </c>
      <c r="AI4557">
        <v>93</v>
      </c>
      <c r="AL4557" t="s">
        <v>5011</v>
      </c>
      <c r="AM4557">
        <v>11616</v>
      </c>
      <c r="AN4557" t="s">
        <v>24909</v>
      </c>
      <c r="AS4557">
        <v>1.2</v>
      </c>
      <c r="AT4557" t="s">
        <v>571</v>
      </c>
      <c r="AU4557" t="s">
        <v>145</v>
      </c>
      <c r="AV4557" t="s">
        <v>25335</v>
      </c>
      <c r="AW4557" t="s">
        <v>11447</v>
      </c>
    </row>
    <row r="4558" spans="1:49">
      <c r="A4558" s="1">
        <f>HYPERLINK("https://lsnyc.legalserver.org/matter/dynamic-profile/view/1910389","19-1910389")</f>
        <v>0</v>
      </c>
      <c r="B4558" t="s">
        <v>143</v>
      </c>
      <c r="C4558" t="s">
        <v>540</v>
      </c>
      <c r="E4558" t="s">
        <v>1705</v>
      </c>
      <c r="F4558" t="s">
        <v>5419</v>
      </c>
      <c r="G4558" t="s">
        <v>9525</v>
      </c>
      <c r="H4558" t="s">
        <v>11247</v>
      </c>
      <c r="I4558" t="s">
        <v>11383</v>
      </c>
      <c r="J4558">
        <v>10462</v>
      </c>
      <c r="K4558" t="s">
        <v>11447</v>
      </c>
      <c r="L4558" t="s">
        <v>14068</v>
      </c>
      <c r="M4558" t="s">
        <v>14744</v>
      </c>
      <c r="N4558" t="s">
        <v>14781</v>
      </c>
      <c r="P4558" t="s">
        <v>14805</v>
      </c>
      <c r="Q4558" t="s">
        <v>11448</v>
      </c>
      <c r="S4558" t="s">
        <v>14827</v>
      </c>
      <c r="T4558" t="s">
        <v>14834</v>
      </c>
      <c r="V4558">
        <v>1482</v>
      </c>
      <c r="W4558" t="s">
        <v>14858</v>
      </c>
      <c r="X4558" t="s">
        <v>14865</v>
      </c>
      <c r="Z4558" t="s">
        <v>18433</v>
      </c>
      <c r="AB4558" t="s">
        <v>23553</v>
      </c>
      <c r="AC4558">
        <v>2141</v>
      </c>
      <c r="AD4558" t="s">
        <v>24598</v>
      </c>
      <c r="AF4558">
        <v>0</v>
      </c>
      <c r="AG4558">
        <v>1</v>
      </c>
      <c r="AH4558">
        <v>0</v>
      </c>
      <c r="AI4558">
        <v>93.26000000000001</v>
      </c>
      <c r="AL4558" t="s">
        <v>5011</v>
      </c>
      <c r="AM4558">
        <v>11648</v>
      </c>
      <c r="AN4558" t="s">
        <v>24910</v>
      </c>
      <c r="AS4558">
        <v>12.2</v>
      </c>
      <c r="AT4558" t="s">
        <v>475</v>
      </c>
      <c r="AU4558" t="s">
        <v>143</v>
      </c>
      <c r="AW4558" t="s">
        <v>11447</v>
      </c>
    </row>
    <row r="4559" spans="1:49">
      <c r="A4559" s="1">
        <f>HYPERLINK("https://lsnyc.legalserver.org/matter/dynamic-profile/view/1914329","19-1914329")</f>
        <v>0</v>
      </c>
      <c r="B4559" t="s">
        <v>273</v>
      </c>
      <c r="C4559" t="s">
        <v>506</v>
      </c>
      <c r="E4559" t="s">
        <v>1256</v>
      </c>
      <c r="F4559" t="s">
        <v>3706</v>
      </c>
      <c r="G4559" t="s">
        <v>9741</v>
      </c>
      <c r="H4559" t="s">
        <v>10481</v>
      </c>
      <c r="I4559" t="s">
        <v>11383</v>
      </c>
      <c r="J4559">
        <v>10457</v>
      </c>
      <c r="K4559" t="s">
        <v>11446</v>
      </c>
      <c r="L4559" t="s">
        <v>14069</v>
      </c>
      <c r="M4559" t="s">
        <v>14743</v>
      </c>
      <c r="P4559" t="s">
        <v>14805</v>
      </c>
      <c r="Q4559" t="s">
        <v>11448</v>
      </c>
      <c r="S4559" t="s">
        <v>14827</v>
      </c>
      <c r="V4559">
        <v>1268</v>
      </c>
      <c r="W4559" t="s">
        <v>14858</v>
      </c>
      <c r="X4559" t="s">
        <v>14865</v>
      </c>
      <c r="Z4559" t="s">
        <v>18663</v>
      </c>
      <c r="AA4559" t="s">
        <v>19994</v>
      </c>
      <c r="AB4559" t="s">
        <v>23804</v>
      </c>
      <c r="AC4559">
        <v>88</v>
      </c>
      <c r="AD4559" t="s">
        <v>24595</v>
      </c>
      <c r="AE4559" t="s">
        <v>24610</v>
      </c>
      <c r="AF4559">
        <v>4</v>
      </c>
      <c r="AG4559">
        <v>1</v>
      </c>
      <c r="AH4559">
        <v>0</v>
      </c>
      <c r="AI4559">
        <v>97.33</v>
      </c>
      <c r="AL4559" t="s">
        <v>5011</v>
      </c>
      <c r="AM4559">
        <v>12156</v>
      </c>
      <c r="AS4559">
        <v>4.9</v>
      </c>
      <c r="AT4559" t="s">
        <v>537</v>
      </c>
      <c r="AU4559" t="s">
        <v>25239</v>
      </c>
      <c r="AV4559" t="s">
        <v>25335</v>
      </c>
      <c r="AW4559" t="s">
        <v>11447</v>
      </c>
    </row>
    <row r="4560" spans="1:49">
      <c r="A4560" s="1">
        <f>HYPERLINK("https://lsnyc.legalserver.org/matter/dynamic-profile/view/1910418","19-1910418")</f>
        <v>0</v>
      </c>
      <c r="B4560" t="s">
        <v>297</v>
      </c>
      <c r="C4560" t="s">
        <v>412</v>
      </c>
      <c r="E4560" t="s">
        <v>3220</v>
      </c>
      <c r="F4560" t="s">
        <v>3547</v>
      </c>
      <c r="G4560" t="s">
        <v>9624</v>
      </c>
      <c r="H4560" t="s">
        <v>10522</v>
      </c>
      <c r="I4560" t="s">
        <v>11383</v>
      </c>
      <c r="J4560">
        <v>10467</v>
      </c>
      <c r="K4560" t="s">
        <v>11446</v>
      </c>
      <c r="L4560" t="s">
        <v>14070</v>
      </c>
      <c r="M4560" t="s">
        <v>14744</v>
      </c>
      <c r="N4560" t="s">
        <v>14781</v>
      </c>
      <c r="P4560" t="s">
        <v>14805</v>
      </c>
      <c r="Q4560" t="s">
        <v>11448</v>
      </c>
      <c r="S4560" t="s">
        <v>14827</v>
      </c>
      <c r="T4560" t="s">
        <v>14832</v>
      </c>
      <c r="V4560">
        <v>1200</v>
      </c>
      <c r="W4560" t="s">
        <v>14858</v>
      </c>
      <c r="X4560" t="s">
        <v>14865</v>
      </c>
      <c r="Z4560" t="s">
        <v>18664</v>
      </c>
      <c r="AB4560" t="s">
        <v>23805</v>
      </c>
      <c r="AC4560">
        <v>0</v>
      </c>
      <c r="AD4560" t="s">
        <v>24595</v>
      </c>
      <c r="AE4560" t="s">
        <v>11459</v>
      </c>
      <c r="AF4560">
        <v>2</v>
      </c>
      <c r="AG4560">
        <v>2</v>
      </c>
      <c r="AH4560">
        <v>1</v>
      </c>
      <c r="AI4560">
        <v>99.28</v>
      </c>
      <c r="AL4560" t="s">
        <v>24632</v>
      </c>
      <c r="AM4560">
        <v>21177</v>
      </c>
      <c r="AS4560">
        <v>6.95</v>
      </c>
      <c r="AT4560" t="s">
        <v>495</v>
      </c>
      <c r="AU4560" t="s">
        <v>237</v>
      </c>
      <c r="AV4560" t="s">
        <v>25335</v>
      </c>
      <c r="AW4560" t="s">
        <v>11447</v>
      </c>
    </row>
    <row r="4561" spans="1:49">
      <c r="A4561" s="1">
        <f>HYPERLINK("https://lsnyc.legalserver.org/matter/dynamic-profile/view/1907388","19-1907388")</f>
        <v>0</v>
      </c>
      <c r="B4561" t="s">
        <v>60</v>
      </c>
      <c r="C4561" t="s">
        <v>368</v>
      </c>
      <c r="E4561" t="s">
        <v>1667</v>
      </c>
      <c r="F4561" t="s">
        <v>4100</v>
      </c>
      <c r="G4561" t="s">
        <v>8706</v>
      </c>
      <c r="H4561" t="s">
        <v>10448</v>
      </c>
      <c r="I4561" t="s">
        <v>11383</v>
      </c>
      <c r="J4561">
        <v>10468</v>
      </c>
      <c r="K4561" t="s">
        <v>11446</v>
      </c>
      <c r="L4561" t="s">
        <v>14071</v>
      </c>
      <c r="M4561" t="s">
        <v>14744</v>
      </c>
      <c r="N4561" t="s">
        <v>14781</v>
      </c>
      <c r="P4561" t="s">
        <v>14805</v>
      </c>
      <c r="Q4561" t="s">
        <v>11448</v>
      </c>
      <c r="S4561" t="s">
        <v>14827</v>
      </c>
      <c r="T4561" t="s">
        <v>14832</v>
      </c>
      <c r="V4561">
        <v>1117.22</v>
      </c>
      <c r="W4561" t="s">
        <v>14858</v>
      </c>
      <c r="X4561" t="s">
        <v>14868</v>
      </c>
      <c r="Z4561" t="s">
        <v>18665</v>
      </c>
      <c r="AB4561" t="s">
        <v>23806</v>
      </c>
      <c r="AC4561">
        <v>49</v>
      </c>
      <c r="AD4561" t="s">
        <v>24595</v>
      </c>
      <c r="AE4561" t="s">
        <v>11459</v>
      </c>
      <c r="AF4561">
        <v>8</v>
      </c>
      <c r="AG4561">
        <v>1</v>
      </c>
      <c r="AH4561">
        <v>1</v>
      </c>
      <c r="AI4561">
        <v>100.53</v>
      </c>
      <c r="AL4561" t="s">
        <v>5011</v>
      </c>
      <c r="AM4561">
        <v>17000</v>
      </c>
      <c r="AS4561">
        <v>3.4</v>
      </c>
      <c r="AT4561" t="s">
        <v>521</v>
      </c>
      <c r="AU4561" t="s">
        <v>25232</v>
      </c>
      <c r="AV4561" t="s">
        <v>25335</v>
      </c>
      <c r="AW4561" t="s">
        <v>11447</v>
      </c>
    </row>
    <row r="4562" spans="1:49">
      <c r="A4562" s="1">
        <f>HYPERLINK("https://lsnyc.legalserver.org/matter/dynamic-profile/view/1890196","19-1890196")</f>
        <v>0</v>
      </c>
      <c r="B4562" t="s">
        <v>82</v>
      </c>
      <c r="C4562" t="s">
        <v>353</v>
      </c>
      <c r="E4562" t="s">
        <v>3024</v>
      </c>
      <c r="F4562" t="s">
        <v>3839</v>
      </c>
      <c r="G4562" t="s">
        <v>9742</v>
      </c>
      <c r="H4562" t="s">
        <v>10569</v>
      </c>
      <c r="I4562" t="s">
        <v>11383</v>
      </c>
      <c r="J4562">
        <v>10457</v>
      </c>
      <c r="K4562" t="s">
        <v>11447</v>
      </c>
      <c r="L4562" t="s">
        <v>14072</v>
      </c>
      <c r="M4562" t="s">
        <v>14744</v>
      </c>
      <c r="N4562" t="s">
        <v>14781</v>
      </c>
      <c r="P4562" t="s">
        <v>14805</v>
      </c>
      <c r="Q4562" t="s">
        <v>11448</v>
      </c>
      <c r="S4562" t="s">
        <v>14827</v>
      </c>
      <c r="T4562" t="s">
        <v>14833</v>
      </c>
      <c r="V4562">
        <v>2100</v>
      </c>
      <c r="W4562" t="s">
        <v>14858</v>
      </c>
      <c r="X4562" t="s">
        <v>14868</v>
      </c>
      <c r="Z4562" t="s">
        <v>18666</v>
      </c>
      <c r="AB4562" t="s">
        <v>23807</v>
      </c>
      <c r="AC4562">
        <v>23</v>
      </c>
      <c r="AD4562" t="s">
        <v>24595</v>
      </c>
      <c r="AE4562" t="s">
        <v>24610</v>
      </c>
      <c r="AF4562">
        <v>7</v>
      </c>
      <c r="AG4562">
        <v>2</v>
      </c>
      <c r="AH4562">
        <v>2</v>
      </c>
      <c r="AI4562">
        <v>100.97</v>
      </c>
      <c r="AL4562" t="s">
        <v>5011</v>
      </c>
      <c r="AM4562">
        <v>26000</v>
      </c>
      <c r="AN4562" t="s">
        <v>24911</v>
      </c>
      <c r="AS4562">
        <v>7</v>
      </c>
      <c r="AT4562" t="s">
        <v>529</v>
      </c>
      <c r="AU4562" t="s">
        <v>237</v>
      </c>
      <c r="AW4562" t="s">
        <v>11447</v>
      </c>
    </row>
    <row r="4563" spans="1:49">
      <c r="A4563" s="1">
        <f>HYPERLINK("https://lsnyc.legalserver.org/matter/dynamic-profile/view/1913204","19-1913204")</f>
        <v>0</v>
      </c>
      <c r="B4563" t="s">
        <v>111</v>
      </c>
      <c r="C4563" t="s">
        <v>515</v>
      </c>
      <c r="E4563" t="s">
        <v>1064</v>
      </c>
      <c r="F4563" t="s">
        <v>4616</v>
      </c>
      <c r="G4563" t="s">
        <v>9743</v>
      </c>
      <c r="H4563">
        <v>10</v>
      </c>
      <c r="I4563" t="s">
        <v>11383</v>
      </c>
      <c r="J4563">
        <v>10467</v>
      </c>
      <c r="K4563" t="s">
        <v>11447</v>
      </c>
      <c r="L4563" t="s">
        <v>14073</v>
      </c>
      <c r="M4563" t="s">
        <v>14744</v>
      </c>
      <c r="N4563" t="s">
        <v>14781</v>
      </c>
      <c r="P4563" t="s">
        <v>14805</v>
      </c>
      <c r="S4563" t="s">
        <v>14827</v>
      </c>
      <c r="T4563" t="s">
        <v>14832</v>
      </c>
      <c r="V4563">
        <v>1286</v>
      </c>
      <c r="W4563" t="s">
        <v>14858</v>
      </c>
      <c r="X4563" t="s">
        <v>14868</v>
      </c>
      <c r="Z4563" t="s">
        <v>18667</v>
      </c>
      <c r="AB4563" t="s">
        <v>23808</v>
      </c>
      <c r="AC4563">
        <v>12</v>
      </c>
      <c r="AD4563" t="s">
        <v>11479</v>
      </c>
      <c r="AE4563" t="s">
        <v>24610</v>
      </c>
      <c r="AF4563">
        <v>11</v>
      </c>
      <c r="AG4563">
        <v>1</v>
      </c>
      <c r="AH4563">
        <v>0</v>
      </c>
      <c r="AI4563">
        <v>101.07</v>
      </c>
      <c r="AL4563" t="s">
        <v>5011</v>
      </c>
      <c r="AM4563">
        <v>12624</v>
      </c>
      <c r="AS4563">
        <v>6.8</v>
      </c>
      <c r="AT4563" t="s">
        <v>516</v>
      </c>
      <c r="AU4563" t="s">
        <v>25244</v>
      </c>
      <c r="AW4563" t="s">
        <v>11447</v>
      </c>
    </row>
    <row r="4564" spans="1:49">
      <c r="A4564" s="1">
        <f>HYPERLINK("https://lsnyc.legalserver.org/matter/dynamic-profile/view/1911170","19-1911170")</f>
        <v>0</v>
      </c>
      <c r="B4564" t="s">
        <v>80</v>
      </c>
      <c r="C4564" t="s">
        <v>475</v>
      </c>
      <c r="E4564" t="s">
        <v>1413</v>
      </c>
      <c r="F4564" t="s">
        <v>5873</v>
      </c>
      <c r="G4564" t="s">
        <v>6787</v>
      </c>
      <c r="H4564">
        <v>311</v>
      </c>
      <c r="I4564" t="s">
        <v>11383</v>
      </c>
      <c r="J4564">
        <v>10457</v>
      </c>
      <c r="K4564" t="s">
        <v>11446</v>
      </c>
      <c r="L4564" t="s">
        <v>14074</v>
      </c>
      <c r="M4564" t="s">
        <v>14744</v>
      </c>
      <c r="P4564" t="s">
        <v>14805</v>
      </c>
      <c r="Q4564" t="s">
        <v>11448</v>
      </c>
      <c r="S4564" t="s">
        <v>14827</v>
      </c>
      <c r="V4564">
        <v>1367</v>
      </c>
      <c r="W4564" t="s">
        <v>14858</v>
      </c>
      <c r="X4564" t="s">
        <v>14873</v>
      </c>
      <c r="Z4564" t="s">
        <v>17825</v>
      </c>
      <c r="AA4564" t="s">
        <v>19995</v>
      </c>
      <c r="AB4564" t="s">
        <v>23809</v>
      </c>
      <c r="AC4564">
        <v>99</v>
      </c>
      <c r="AE4564" t="s">
        <v>24610</v>
      </c>
      <c r="AF4564">
        <v>0</v>
      </c>
      <c r="AG4564">
        <v>2</v>
      </c>
      <c r="AH4564">
        <v>0</v>
      </c>
      <c r="AI4564">
        <v>104.03</v>
      </c>
      <c r="AK4564" t="s">
        <v>24629</v>
      </c>
      <c r="AL4564" t="s">
        <v>5011</v>
      </c>
      <c r="AM4564">
        <v>17592</v>
      </c>
      <c r="AS4564">
        <v>0</v>
      </c>
      <c r="AU4564" t="s">
        <v>25311</v>
      </c>
      <c r="AV4564" t="s">
        <v>25334</v>
      </c>
      <c r="AW4564" t="s">
        <v>11447</v>
      </c>
    </row>
    <row r="4565" spans="1:49">
      <c r="A4565" s="1">
        <f>HYPERLINK("https://lsnyc.legalserver.org/matter/dynamic-profile/view/1914508","19-1914508")</f>
        <v>0</v>
      </c>
      <c r="B4565" t="s">
        <v>111</v>
      </c>
      <c r="C4565" t="s">
        <v>478</v>
      </c>
      <c r="E4565" t="s">
        <v>1241</v>
      </c>
      <c r="F4565" t="s">
        <v>5874</v>
      </c>
      <c r="G4565" t="s">
        <v>9744</v>
      </c>
      <c r="I4565" t="s">
        <v>11383</v>
      </c>
      <c r="J4565">
        <v>10468</v>
      </c>
      <c r="K4565" t="s">
        <v>11446</v>
      </c>
      <c r="L4565" t="s">
        <v>14075</v>
      </c>
      <c r="M4565" t="s">
        <v>14744</v>
      </c>
      <c r="P4565" t="s">
        <v>14805</v>
      </c>
      <c r="Q4565" t="s">
        <v>11448</v>
      </c>
      <c r="S4565" t="s">
        <v>14827</v>
      </c>
      <c r="V4565">
        <v>1438</v>
      </c>
      <c r="W4565" t="s">
        <v>14858</v>
      </c>
      <c r="X4565" t="s">
        <v>14863</v>
      </c>
      <c r="Z4565" t="s">
        <v>15729</v>
      </c>
      <c r="AB4565" t="s">
        <v>23810</v>
      </c>
      <c r="AC4565">
        <v>456</v>
      </c>
      <c r="AD4565" t="s">
        <v>24601</v>
      </c>
      <c r="AE4565" t="s">
        <v>24614</v>
      </c>
      <c r="AF4565">
        <v>19</v>
      </c>
      <c r="AG4565">
        <v>2</v>
      </c>
      <c r="AH4565">
        <v>1</v>
      </c>
      <c r="AI4565">
        <v>104.83</v>
      </c>
      <c r="AL4565" t="s">
        <v>5011</v>
      </c>
      <c r="AM4565">
        <v>22360</v>
      </c>
      <c r="AS4565">
        <v>0</v>
      </c>
      <c r="AU4565" t="s">
        <v>25242</v>
      </c>
      <c r="AV4565" t="s">
        <v>25335</v>
      </c>
      <c r="AW4565" t="s">
        <v>11447</v>
      </c>
    </row>
    <row r="4566" spans="1:49">
      <c r="A4566" s="1">
        <f>HYPERLINK("https://lsnyc.legalserver.org/matter/dynamic-profile/view/1915392","19-1915392")</f>
        <v>0</v>
      </c>
      <c r="B4566" t="s">
        <v>80</v>
      </c>
      <c r="C4566" t="s">
        <v>495</v>
      </c>
      <c r="E4566" t="s">
        <v>1439</v>
      </c>
      <c r="F4566" t="s">
        <v>3716</v>
      </c>
      <c r="G4566" t="s">
        <v>9745</v>
      </c>
      <c r="H4566" t="s">
        <v>10589</v>
      </c>
      <c r="I4566" t="s">
        <v>11383</v>
      </c>
      <c r="J4566">
        <v>10467</v>
      </c>
      <c r="K4566" t="s">
        <v>11447</v>
      </c>
      <c r="L4566" t="s">
        <v>14076</v>
      </c>
      <c r="M4566" t="s">
        <v>14744</v>
      </c>
      <c r="N4566" t="s">
        <v>14781</v>
      </c>
      <c r="P4566" t="s">
        <v>14805</v>
      </c>
      <c r="S4566" t="s">
        <v>14827</v>
      </c>
      <c r="V4566">
        <v>857</v>
      </c>
      <c r="W4566" t="s">
        <v>14858</v>
      </c>
      <c r="X4566" t="s">
        <v>14863</v>
      </c>
      <c r="Z4566" t="s">
        <v>18575</v>
      </c>
      <c r="AB4566" t="s">
        <v>23811</v>
      </c>
      <c r="AC4566">
        <v>0</v>
      </c>
      <c r="AD4566" t="s">
        <v>24595</v>
      </c>
      <c r="AF4566">
        <v>11</v>
      </c>
      <c r="AG4566">
        <v>1</v>
      </c>
      <c r="AH4566">
        <v>3</v>
      </c>
      <c r="AI4566">
        <v>105.21</v>
      </c>
      <c r="AL4566" t="s">
        <v>5011</v>
      </c>
      <c r="AM4566">
        <v>27092</v>
      </c>
      <c r="AS4566">
        <v>0</v>
      </c>
      <c r="AU4566" t="s">
        <v>25251</v>
      </c>
      <c r="AW4566" t="s">
        <v>11447</v>
      </c>
    </row>
    <row r="4567" spans="1:49">
      <c r="A4567" s="1">
        <f>HYPERLINK("https://lsnyc.legalserver.org/matter/dynamic-profile/view/1910540","19-1910540")</f>
        <v>0</v>
      </c>
      <c r="B4567" t="s">
        <v>142</v>
      </c>
      <c r="C4567" t="s">
        <v>468</v>
      </c>
      <c r="E4567" t="s">
        <v>1528</v>
      </c>
      <c r="F4567" t="s">
        <v>5875</v>
      </c>
      <c r="G4567" t="s">
        <v>9746</v>
      </c>
      <c r="H4567" t="s">
        <v>10467</v>
      </c>
      <c r="I4567" t="s">
        <v>11383</v>
      </c>
      <c r="J4567">
        <v>10467</v>
      </c>
      <c r="K4567" t="s">
        <v>11446</v>
      </c>
      <c r="L4567" t="s">
        <v>14077</v>
      </c>
      <c r="M4567" t="s">
        <v>14744</v>
      </c>
      <c r="N4567" t="s">
        <v>14781</v>
      </c>
      <c r="P4567" t="s">
        <v>14805</v>
      </c>
      <c r="Q4567" t="s">
        <v>11448</v>
      </c>
      <c r="S4567" t="s">
        <v>14827</v>
      </c>
      <c r="V4567">
        <v>1588</v>
      </c>
      <c r="W4567" t="s">
        <v>14858</v>
      </c>
      <c r="X4567" t="s">
        <v>14865</v>
      </c>
      <c r="Z4567" t="s">
        <v>18668</v>
      </c>
      <c r="AB4567" t="s">
        <v>23812</v>
      </c>
      <c r="AC4567">
        <v>32</v>
      </c>
      <c r="AD4567" t="s">
        <v>11479</v>
      </c>
      <c r="AE4567" t="s">
        <v>11459</v>
      </c>
      <c r="AF4567">
        <v>3</v>
      </c>
      <c r="AG4567">
        <v>2</v>
      </c>
      <c r="AH4567">
        <v>3</v>
      </c>
      <c r="AI4567">
        <v>106.07</v>
      </c>
      <c r="AL4567" t="s">
        <v>5011</v>
      </c>
      <c r="AM4567">
        <v>32000</v>
      </c>
      <c r="AS4567">
        <v>4.5</v>
      </c>
      <c r="AT4567" t="s">
        <v>571</v>
      </c>
      <c r="AU4567" t="s">
        <v>237</v>
      </c>
      <c r="AV4567" t="s">
        <v>25335</v>
      </c>
      <c r="AW4567" t="s">
        <v>11447</v>
      </c>
    </row>
    <row r="4568" spans="1:49">
      <c r="A4568" s="1">
        <f>HYPERLINK("https://lsnyc.legalserver.org/matter/dynamic-profile/view/1912235","19-1912235")</f>
        <v>0</v>
      </c>
      <c r="B4568" t="s">
        <v>302</v>
      </c>
      <c r="C4568" t="s">
        <v>559</v>
      </c>
      <c r="E4568" t="s">
        <v>1319</v>
      </c>
      <c r="F4568" t="s">
        <v>3561</v>
      </c>
      <c r="G4568" t="s">
        <v>9747</v>
      </c>
      <c r="H4568" t="s">
        <v>11275</v>
      </c>
      <c r="I4568" t="s">
        <v>11383</v>
      </c>
      <c r="J4568">
        <v>10467</v>
      </c>
      <c r="K4568" t="s">
        <v>11446</v>
      </c>
      <c r="L4568" t="s">
        <v>14078</v>
      </c>
      <c r="M4568" t="s">
        <v>14744</v>
      </c>
      <c r="N4568" t="s">
        <v>14781</v>
      </c>
      <c r="P4568" t="s">
        <v>14805</v>
      </c>
      <c r="Q4568" t="s">
        <v>11448</v>
      </c>
      <c r="S4568" t="s">
        <v>14827</v>
      </c>
      <c r="T4568" t="s">
        <v>14834</v>
      </c>
      <c r="V4568">
        <v>1411</v>
      </c>
      <c r="W4568" t="s">
        <v>14858</v>
      </c>
      <c r="X4568" t="s">
        <v>14863</v>
      </c>
      <c r="Z4568" t="s">
        <v>17919</v>
      </c>
      <c r="AB4568" t="s">
        <v>23813</v>
      </c>
      <c r="AC4568">
        <v>56</v>
      </c>
      <c r="AD4568" t="s">
        <v>24597</v>
      </c>
      <c r="AF4568">
        <v>20</v>
      </c>
      <c r="AG4568">
        <v>2</v>
      </c>
      <c r="AH4568">
        <v>0</v>
      </c>
      <c r="AI4568">
        <v>106.45</v>
      </c>
      <c r="AL4568" t="s">
        <v>24632</v>
      </c>
      <c r="AM4568">
        <v>18000</v>
      </c>
      <c r="AS4568">
        <v>34.5</v>
      </c>
      <c r="AT4568" t="s">
        <v>509</v>
      </c>
      <c r="AU4568" t="s">
        <v>145</v>
      </c>
      <c r="AV4568" t="s">
        <v>25335</v>
      </c>
      <c r="AW4568" t="s">
        <v>11447</v>
      </c>
    </row>
    <row r="4569" spans="1:49">
      <c r="A4569" s="1">
        <f>HYPERLINK("https://lsnyc.legalserver.org/matter/dynamic-profile/view/1915037","19-1915037")</f>
        <v>0</v>
      </c>
      <c r="B4569" t="s">
        <v>297</v>
      </c>
      <c r="C4569" t="s">
        <v>537</v>
      </c>
      <c r="E4569" t="s">
        <v>3221</v>
      </c>
      <c r="F4569" t="s">
        <v>3799</v>
      </c>
      <c r="G4569" t="s">
        <v>9748</v>
      </c>
      <c r="H4569" t="s">
        <v>10481</v>
      </c>
      <c r="I4569" t="s">
        <v>11383</v>
      </c>
      <c r="J4569">
        <v>10468</v>
      </c>
      <c r="K4569" t="s">
        <v>11446</v>
      </c>
      <c r="L4569" t="s">
        <v>14079</v>
      </c>
      <c r="M4569" t="s">
        <v>14744</v>
      </c>
      <c r="N4569" t="s">
        <v>14781</v>
      </c>
      <c r="P4569" t="s">
        <v>14805</v>
      </c>
      <c r="S4569" t="s">
        <v>14827</v>
      </c>
      <c r="V4569">
        <v>1500</v>
      </c>
      <c r="W4569" t="s">
        <v>14858</v>
      </c>
      <c r="X4569" t="s">
        <v>14865</v>
      </c>
      <c r="Z4569" t="s">
        <v>18669</v>
      </c>
      <c r="AB4569" t="s">
        <v>23814</v>
      </c>
      <c r="AC4569">
        <v>0</v>
      </c>
      <c r="AD4569" t="s">
        <v>24607</v>
      </c>
      <c r="AF4569">
        <v>2</v>
      </c>
      <c r="AG4569">
        <v>1</v>
      </c>
      <c r="AH4569">
        <v>2</v>
      </c>
      <c r="AI4569">
        <v>108.97</v>
      </c>
      <c r="AL4569" t="s">
        <v>24632</v>
      </c>
      <c r="AM4569">
        <v>23244</v>
      </c>
      <c r="AS4569">
        <v>1</v>
      </c>
      <c r="AT4569" t="s">
        <v>654</v>
      </c>
      <c r="AU4569" t="s">
        <v>237</v>
      </c>
      <c r="AV4569" t="s">
        <v>25335</v>
      </c>
      <c r="AW4569" t="s">
        <v>11447</v>
      </c>
    </row>
    <row r="4570" spans="1:49">
      <c r="A4570" s="1">
        <f>HYPERLINK("https://lsnyc.legalserver.org/matter/dynamic-profile/view/1914263","19-1914263")</f>
        <v>0</v>
      </c>
      <c r="B4570" t="s">
        <v>157</v>
      </c>
      <c r="C4570" t="s">
        <v>539</v>
      </c>
      <c r="E4570" t="s">
        <v>3222</v>
      </c>
      <c r="F4570" t="s">
        <v>3547</v>
      </c>
      <c r="G4570" t="s">
        <v>9749</v>
      </c>
      <c r="H4570">
        <v>3</v>
      </c>
      <c r="I4570" t="s">
        <v>11383</v>
      </c>
      <c r="J4570">
        <v>10462</v>
      </c>
      <c r="K4570" t="s">
        <v>11446</v>
      </c>
      <c r="L4570" t="s">
        <v>14080</v>
      </c>
      <c r="M4570" t="s">
        <v>14743</v>
      </c>
      <c r="P4570" t="s">
        <v>14805</v>
      </c>
      <c r="Q4570" t="s">
        <v>11448</v>
      </c>
      <c r="S4570" t="s">
        <v>14827</v>
      </c>
      <c r="V4570">
        <v>1800</v>
      </c>
      <c r="W4570" t="s">
        <v>14858</v>
      </c>
      <c r="X4570" t="s">
        <v>14865</v>
      </c>
      <c r="Z4570" t="s">
        <v>18670</v>
      </c>
      <c r="AB4570" t="s">
        <v>23815</v>
      </c>
      <c r="AC4570">
        <v>3</v>
      </c>
      <c r="AD4570" t="s">
        <v>11479</v>
      </c>
      <c r="AE4570" t="s">
        <v>24610</v>
      </c>
      <c r="AF4570">
        <v>14</v>
      </c>
      <c r="AG4570">
        <v>3</v>
      </c>
      <c r="AH4570">
        <v>0</v>
      </c>
      <c r="AI4570">
        <v>109.7</v>
      </c>
      <c r="AL4570" t="s">
        <v>5011</v>
      </c>
      <c r="AM4570">
        <v>23400</v>
      </c>
      <c r="AS4570">
        <v>0.5</v>
      </c>
      <c r="AT4570" t="s">
        <v>539</v>
      </c>
      <c r="AU4570" t="s">
        <v>25239</v>
      </c>
      <c r="AV4570" t="s">
        <v>25335</v>
      </c>
      <c r="AW4570" t="s">
        <v>11447</v>
      </c>
    </row>
    <row r="4571" spans="1:49">
      <c r="A4571" s="1">
        <f>HYPERLINK("https://lsnyc.legalserver.org/matter/dynamic-profile/view/1913179","19-1913179")</f>
        <v>0</v>
      </c>
      <c r="B4571" t="s">
        <v>298</v>
      </c>
      <c r="C4571" t="s">
        <v>571</v>
      </c>
      <c r="E4571" t="s">
        <v>2382</v>
      </c>
      <c r="F4571" t="s">
        <v>3745</v>
      </c>
      <c r="G4571" t="s">
        <v>9750</v>
      </c>
      <c r="H4571" t="s">
        <v>10497</v>
      </c>
      <c r="I4571" t="s">
        <v>11383</v>
      </c>
      <c r="J4571">
        <v>10468</v>
      </c>
      <c r="K4571" t="s">
        <v>11446</v>
      </c>
      <c r="L4571" t="s">
        <v>14081</v>
      </c>
      <c r="M4571" t="s">
        <v>14744</v>
      </c>
      <c r="P4571" t="s">
        <v>14805</v>
      </c>
      <c r="Q4571" t="s">
        <v>11448</v>
      </c>
      <c r="S4571" t="s">
        <v>14827</v>
      </c>
      <c r="V4571">
        <v>1106.4</v>
      </c>
      <c r="W4571" t="s">
        <v>14858</v>
      </c>
      <c r="X4571" t="s">
        <v>14873</v>
      </c>
      <c r="Z4571" t="s">
        <v>18671</v>
      </c>
      <c r="AB4571" t="s">
        <v>23816</v>
      </c>
      <c r="AC4571">
        <v>49</v>
      </c>
      <c r="AD4571" t="s">
        <v>11479</v>
      </c>
      <c r="AE4571" t="s">
        <v>11459</v>
      </c>
      <c r="AF4571">
        <v>19</v>
      </c>
      <c r="AG4571">
        <v>1</v>
      </c>
      <c r="AH4571">
        <v>0</v>
      </c>
      <c r="AI4571">
        <v>111.64</v>
      </c>
      <c r="AL4571" t="s">
        <v>5011</v>
      </c>
      <c r="AM4571">
        <v>13944</v>
      </c>
      <c r="AS4571">
        <v>2.5</v>
      </c>
      <c r="AT4571" t="s">
        <v>592</v>
      </c>
      <c r="AU4571" t="s">
        <v>25252</v>
      </c>
      <c r="AV4571" t="s">
        <v>25335</v>
      </c>
      <c r="AW4571" t="s">
        <v>11447</v>
      </c>
    </row>
    <row r="4572" spans="1:49">
      <c r="A4572" s="1">
        <f>HYPERLINK("https://lsnyc.legalserver.org/matter/dynamic-profile/view/1914021","19-1914021")</f>
        <v>0</v>
      </c>
      <c r="B4572" t="s">
        <v>96</v>
      </c>
      <c r="C4572" t="s">
        <v>515</v>
      </c>
      <c r="E4572" t="s">
        <v>1452</v>
      </c>
      <c r="F4572" t="s">
        <v>2719</v>
      </c>
      <c r="G4572" t="s">
        <v>9751</v>
      </c>
      <c r="H4572">
        <v>7</v>
      </c>
      <c r="I4572" t="s">
        <v>11383</v>
      </c>
      <c r="J4572">
        <v>10457</v>
      </c>
      <c r="K4572" t="s">
        <v>11446</v>
      </c>
      <c r="L4572" t="s">
        <v>14082</v>
      </c>
      <c r="M4572" t="s">
        <v>14744</v>
      </c>
      <c r="N4572" t="s">
        <v>14782</v>
      </c>
      <c r="P4572" t="s">
        <v>14805</v>
      </c>
      <c r="Q4572" t="s">
        <v>11448</v>
      </c>
      <c r="S4572" t="s">
        <v>14827</v>
      </c>
      <c r="T4572" t="s">
        <v>14832</v>
      </c>
      <c r="V4572">
        <v>446.1</v>
      </c>
      <c r="W4572" t="s">
        <v>14858</v>
      </c>
      <c r="X4572" t="s">
        <v>14863</v>
      </c>
      <c r="Z4572" t="s">
        <v>17945</v>
      </c>
      <c r="AB4572" t="s">
        <v>23817</v>
      </c>
      <c r="AC4572">
        <v>0</v>
      </c>
      <c r="AD4572" t="s">
        <v>24595</v>
      </c>
      <c r="AE4572" t="s">
        <v>11459</v>
      </c>
      <c r="AF4572">
        <v>3</v>
      </c>
      <c r="AG4572">
        <v>1</v>
      </c>
      <c r="AH4572">
        <v>0</v>
      </c>
      <c r="AI4572">
        <v>112.09</v>
      </c>
      <c r="AL4572" t="s">
        <v>5011</v>
      </c>
      <c r="AM4572">
        <v>14000</v>
      </c>
      <c r="AS4572">
        <v>1.7</v>
      </c>
      <c r="AT4572" t="s">
        <v>539</v>
      </c>
      <c r="AU4572" t="s">
        <v>25268</v>
      </c>
      <c r="AV4572" t="s">
        <v>25335</v>
      </c>
      <c r="AW4572" t="s">
        <v>11447</v>
      </c>
    </row>
    <row r="4573" spans="1:49">
      <c r="A4573" s="1">
        <f>HYPERLINK("https://lsnyc.legalserver.org/matter/dynamic-profile/view/1914042","19-1914042")</f>
        <v>0</v>
      </c>
      <c r="B4573" t="s">
        <v>268</v>
      </c>
      <c r="C4573" t="s">
        <v>580</v>
      </c>
      <c r="E4573" t="s">
        <v>3223</v>
      </c>
      <c r="F4573" t="s">
        <v>4156</v>
      </c>
      <c r="G4573" t="s">
        <v>9752</v>
      </c>
      <c r="H4573" t="s">
        <v>10465</v>
      </c>
      <c r="I4573" t="s">
        <v>11383</v>
      </c>
      <c r="J4573">
        <v>10462</v>
      </c>
      <c r="K4573" t="s">
        <v>11446</v>
      </c>
      <c r="L4573" t="s">
        <v>14083</v>
      </c>
      <c r="M4573" t="s">
        <v>14743</v>
      </c>
      <c r="N4573" t="s">
        <v>14781</v>
      </c>
      <c r="P4573" t="s">
        <v>14805</v>
      </c>
      <c r="Q4573" t="s">
        <v>11448</v>
      </c>
      <c r="S4573" t="s">
        <v>14827</v>
      </c>
      <c r="V4573">
        <v>1450</v>
      </c>
      <c r="W4573" t="s">
        <v>14858</v>
      </c>
      <c r="X4573" t="s">
        <v>14865</v>
      </c>
      <c r="Z4573" t="s">
        <v>18672</v>
      </c>
      <c r="AA4573" t="s">
        <v>19996</v>
      </c>
      <c r="AB4573" t="s">
        <v>23818</v>
      </c>
      <c r="AC4573">
        <v>2659</v>
      </c>
      <c r="AD4573" t="s">
        <v>11479</v>
      </c>
      <c r="AE4573" t="s">
        <v>11459</v>
      </c>
      <c r="AF4573">
        <v>14</v>
      </c>
      <c r="AG4573">
        <v>2</v>
      </c>
      <c r="AH4573">
        <v>1</v>
      </c>
      <c r="AI4573">
        <v>114.21</v>
      </c>
      <c r="AL4573" t="s">
        <v>5011</v>
      </c>
      <c r="AM4573">
        <v>24360</v>
      </c>
      <c r="AS4573">
        <v>10.6</v>
      </c>
      <c r="AT4573" t="s">
        <v>654</v>
      </c>
      <c r="AU4573" t="s">
        <v>25239</v>
      </c>
      <c r="AV4573" t="s">
        <v>25335</v>
      </c>
      <c r="AW4573" t="s">
        <v>11447</v>
      </c>
    </row>
    <row r="4574" spans="1:49">
      <c r="A4574" s="1">
        <f>HYPERLINK("https://lsnyc.legalserver.org/matter/dynamic-profile/view/1909673","19-1909673")</f>
        <v>0</v>
      </c>
      <c r="B4574" t="s">
        <v>299</v>
      </c>
      <c r="C4574" t="s">
        <v>410</v>
      </c>
      <c r="E4574" t="s">
        <v>1215</v>
      </c>
      <c r="F4574" t="s">
        <v>1254</v>
      </c>
      <c r="G4574" t="s">
        <v>9753</v>
      </c>
      <c r="I4574" t="s">
        <v>11383</v>
      </c>
      <c r="J4574">
        <v>10468</v>
      </c>
      <c r="K4574" t="s">
        <v>11446</v>
      </c>
      <c r="L4574" t="s">
        <v>14084</v>
      </c>
      <c r="M4574" t="s">
        <v>14744</v>
      </c>
      <c r="N4574" t="s">
        <v>14781</v>
      </c>
      <c r="P4574" t="s">
        <v>14805</v>
      </c>
      <c r="Q4574" t="s">
        <v>11448</v>
      </c>
      <c r="S4574" t="s">
        <v>14827</v>
      </c>
      <c r="V4574">
        <v>1500</v>
      </c>
      <c r="W4574" t="s">
        <v>14858</v>
      </c>
      <c r="X4574" t="s">
        <v>14865</v>
      </c>
      <c r="Z4574" t="s">
        <v>17130</v>
      </c>
      <c r="AB4574" t="s">
        <v>23819</v>
      </c>
      <c r="AC4574">
        <v>100</v>
      </c>
      <c r="AD4574" t="s">
        <v>24595</v>
      </c>
      <c r="AE4574" t="s">
        <v>11459</v>
      </c>
      <c r="AF4574">
        <v>40</v>
      </c>
      <c r="AG4574">
        <v>1</v>
      </c>
      <c r="AH4574">
        <v>0</v>
      </c>
      <c r="AI4574">
        <v>115</v>
      </c>
      <c r="AL4574" t="s">
        <v>5011</v>
      </c>
      <c r="AM4574">
        <v>14364</v>
      </c>
      <c r="AS4574">
        <v>14.5</v>
      </c>
      <c r="AT4574" t="s">
        <v>483</v>
      </c>
      <c r="AU4574" t="s">
        <v>237</v>
      </c>
      <c r="AV4574" t="s">
        <v>25335</v>
      </c>
      <c r="AW4574" t="s">
        <v>11447</v>
      </c>
    </row>
    <row r="4575" spans="1:49">
      <c r="A4575" s="1">
        <f>HYPERLINK("https://lsnyc.legalserver.org/matter/dynamic-profile/view/1914239","19-1914239")</f>
        <v>0</v>
      </c>
      <c r="B4575" t="s">
        <v>303</v>
      </c>
      <c r="C4575" t="s">
        <v>539</v>
      </c>
      <c r="E4575" t="s">
        <v>3224</v>
      </c>
      <c r="F4575" t="s">
        <v>3682</v>
      </c>
      <c r="G4575" t="s">
        <v>9754</v>
      </c>
      <c r="H4575" t="s">
        <v>10569</v>
      </c>
      <c r="I4575" t="s">
        <v>11383</v>
      </c>
      <c r="J4575">
        <v>10457</v>
      </c>
      <c r="K4575" t="s">
        <v>11446</v>
      </c>
      <c r="L4575" t="s">
        <v>14085</v>
      </c>
      <c r="M4575" t="s">
        <v>14744</v>
      </c>
      <c r="N4575" t="s">
        <v>14781</v>
      </c>
      <c r="P4575" t="s">
        <v>14805</v>
      </c>
      <c r="Q4575" t="s">
        <v>11448</v>
      </c>
      <c r="S4575" t="s">
        <v>14827</v>
      </c>
      <c r="V4575">
        <v>1268</v>
      </c>
      <c r="W4575" t="s">
        <v>14858</v>
      </c>
      <c r="X4575" t="s">
        <v>14873</v>
      </c>
      <c r="Z4575" t="s">
        <v>18673</v>
      </c>
      <c r="AB4575" t="s">
        <v>23820</v>
      </c>
      <c r="AC4575">
        <v>4</v>
      </c>
      <c r="AD4575" t="s">
        <v>11479</v>
      </c>
      <c r="AE4575" t="s">
        <v>24616</v>
      </c>
      <c r="AF4575">
        <v>4</v>
      </c>
      <c r="AG4575">
        <v>2</v>
      </c>
      <c r="AH4575">
        <v>0</v>
      </c>
      <c r="AI4575">
        <v>115.6</v>
      </c>
      <c r="AL4575" t="s">
        <v>5011</v>
      </c>
      <c r="AM4575">
        <v>19548</v>
      </c>
      <c r="AS4575">
        <v>2.6</v>
      </c>
      <c r="AT4575" t="s">
        <v>506</v>
      </c>
      <c r="AU4575" t="s">
        <v>25252</v>
      </c>
      <c r="AV4575" t="s">
        <v>25335</v>
      </c>
      <c r="AW4575" t="s">
        <v>11447</v>
      </c>
    </row>
    <row r="4576" spans="1:49">
      <c r="A4576" s="1">
        <f>HYPERLINK("https://lsnyc.legalserver.org/matter/dynamic-profile/view/1914585","19-1914585")</f>
        <v>0</v>
      </c>
      <c r="B4576" t="s">
        <v>305</v>
      </c>
      <c r="C4576" t="s">
        <v>491</v>
      </c>
      <c r="E4576" t="s">
        <v>3225</v>
      </c>
      <c r="F4576" t="s">
        <v>5876</v>
      </c>
      <c r="G4576" t="s">
        <v>9755</v>
      </c>
      <c r="H4576">
        <v>22</v>
      </c>
      <c r="I4576" t="s">
        <v>11383</v>
      </c>
      <c r="J4576">
        <v>10457</v>
      </c>
      <c r="K4576" t="s">
        <v>11447</v>
      </c>
      <c r="L4576" t="s">
        <v>14086</v>
      </c>
      <c r="M4576" t="s">
        <v>14744</v>
      </c>
      <c r="N4576" t="s">
        <v>14781</v>
      </c>
      <c r="P4576" t="s">
        <v>14805</v>
      </c>
      <c r="Q4576" t="s">
        <v>11446</v>
      </c>
      <c r="S4576" t="s">
        <v>14827</v>
      </c>
      <c r="V4576">
        <v>939.11</v>
      </c>
      <c r="W4576" t="s">
        <v>14858</v>
      </c>
      <c r="X4576" t="s">
        <v>14873</v>
      </c>
      <c r="Z4576" t="s">
        <v>18674</v>
      </c>
      <c r="AB4576" t="s">
        <v>23821</v>
      </c>
      <c r="AC4576">
        <v>0</v>
      </c>
      <c r="AD4576" t="s">
        <v>24595</v>
      </c>
      <c r="AF4576">
        <v>20</v>
      </c>
      <c r="AG4576">
        <v>1</v>
      </c>
      <c r="AH4576">
        <v>2</v>
      </c>
      <c r="AI4576">
        <v>118.36</v>
      </c>
      <c r="AL4576" t="s">
        <v>5011</v>
      </c>
      <c r="AM4576">
        <v>25246</v>
      </c>
      <c r="AS4576">
        <v>1</v>
      </c>
      <c r="AT4576" t="s">
        <v>592</v>
      </c>
      <c r="AU4576" t="s">
        <v>25311</v>
      </c>
      <c r="AV4576" t="s">
        <v>25335</v>
      </c>
      <c r="AW4576" t="s">
        <v>11447</v>
      </c>
    </row>
    <row r="4577" spans="1:49">
      <c r="A4577" s="1">
        <f>HYPERLINK("https://lsnyc.legalserver.org/matter/dynamic-profile/view/1914341","19-1914341")</f>
        <v>0</v>
      </c>
      <c r="B4577" t="s">
        <v>130</v>
      </c>
      <c r="C4577" t="s">
        <v>506</v>
      </c>
      <c r="E4577" t="s">
        <v>3226</v>
      </c>
      <c r="F4577" t="s">
        <v>3954</v>
      </c>
      <c r="G4577" t="s">
        <v>6787</v>
      </c>
      <c r="H4577">
        <v>1205</v>
      </c>
      <c r="I4577" t="s">
        <v>11383</v>
      </c>
      <c r="J4577">
        <v>10457</v>
      </c>
      <c r="K4577" t="s">
        <v>11446</v>
      </c>
      <c r="L4577" t="s">
        <v>14087</v>
      </c>
      <c r="M4577" t="s">
        <v>14743</v>
      </c>
      <c r="N4577" t="s">
        <v>14782</v>
      </c>
      <c r="P4577" t="s">
        <v>14805</v>
      </c>
      <c r="Q4577" t="s">
        <v>11448</v>
      </c>
      <c r="S4577" t="s">
        <v>14827</v>
      </c>
      <c r="V4577">
        <v>0</v>
      </c>
      <c r="W4577" t="s">
        <v>14858</v>
      </c>
      <c r="X4577" t="s">
        <v>14868</v>
      </c>
      <c r="Z4577" t="s">
        <v>18675</v>
      </c>
      <c r="AB4577" t="s">
        <v>23822</v>
      </c>
      <c r="AC4577">
        <v>99</v>
      </c>
      <c r="AD4577" t="s">
        <v>24597</v>
      </c>
      <c r="AE4577" t="s">
        <v>24610</v>
      </c>
      <c r="AF4577">
        <v>3</v>
      </c>
      <c r="AG4577">
        <v>2</v>
      </c>
      <c r="AH4577">
        <v>3</v>
      </c>
      <c r="AI4577">
        <v>120.28</v>
      </c>
      <c r="AL4577" t="s">
        <v>5011</v>
      </c>
      <c r="AM4577">
        <v>36288</v>
      </c>
      <c r="AS4577">
        <v>1.3</v>
      </c>
      <c r="AT4577" t="s">
        <v>516</v>
      </c>
      <c r="AU4577" t="s">
        <v>245</v>
      </c>
      <c r="AW4577" t="s">
        <v>11447</v>
      </c>
    </row>
    <row r="4578" spans="1:49">
      <c r="A4578" s="1">
        <f>HYPERLINK("https://lsnyc.legalserver.org/matter/dynamic-profile/view/1915337","19-1915337")</f>
        <v>0</v>
      </c>
      <c r="B4578" t="s">
        <v>69</v>
      </c>
      <c r="C4578" t="s">
        <v>509</v>
      </c>
      <c r="E4578" t="s">
        <v>1025</v>
      </c>
      <c r="F4578" t="s">
        <v>4026</v>
      </c>
      <c r="G4578" t="s">
        <v>9756</v>
      </c>
      <c r="H4578">
        <v>22</v>
      </c>
      <c r="I4578" t="s">
        <v>11383</v>
      </c>
      <c r="J4578">
        <v>10467</v>
      </c>
      <c r="K4578" t="s">
        <v>11446</v>
      </c>
      <c r="L4578" t="s">
        <v>14088</v>
      </c>
      <c r="M4578" t="s">
        <v>14744</v>
      </c>
      <c r="N4578" t="s">
        <v>14781</v>
      </c>
      <c r="P4578" t="s">
        <v>14805</v>
      </c>
      <c r="Q4578" t="s">
        <v>11448</v>
      </c>
      <c r="S4578" t="s">
        <v>14827</v>
      </c>
      <c r="T4578" t="s">
        <v>14832</v>
      </c>
      <c r="V4578">
        <v>1365</v>
      </c>
      <c r="W4578" t="s">
        <v>14858</v>
      </c>
      <c r="X4578" t="s">
        <v>14865</v>
      </c>
      <c r="Z4578" t="s">
        <v>18676</v>
      </c>
      <c r="AA4578" t="s">
        <v>19997</v>
      </c>
      <c r="AB4578" t="s">
        <v>23823</v>
      </c>
      <c r="AC4578">
        <v>50</v>
      </c>
      <c r="AD4578" t="s">
        <v>24595</v>
      </c>
      <c r="AE4578" t="s">
        <v>11459</v>
      </c>
      <c r="AF4578">
        <v>3</v>
      </c>
      <c r="AG4578">
        <v>1</v>
      </c>
      <c r="AH4578">
        <v>1</v>
      </c>
      <c r="AI4578">
        <v>123</v>
      </c>
      <c r="AM4578">
        <v>20800</v>
      </c>
      <c r="AS4578">
        <v>2</v>
      </c>
      <c r="AT4578" t="s">
        <v>495</v>
      </c>
      <c r="AU4578" t="s">
        <v>25239</v>
      </c>
      <c r="AV4578" t="s">
        <v>25335</v>
      </c>
      <c r="AW4578" t="s">
        <v>11447</v>
      </c>
    </row>
    <row r="4579" spans="1:49">
      <c r="A4579" s="1">
        <f>HYPERLINK("https://lsnyc.legalserver.org/matter/dynamic-profile/view/1909665","19-1909665")</f>
        <v>0</v>
      </c>
      <c r="B4579" t="s">
        <v>142</v>
      </c>
      <c r="C4579" t="s">
        <v>410</v>
      </c>
      <c r="E4579" t="s">
        <v>3227</v>
      </c>
      <c r="F4579" t="s">
        <v>3682</v>
      </c>
      <c r="G4579" t="s">
        <v>9665</v>
      </c>
      <c r="H4579" t="s">
        <v>10594</v>
      </c>
      <c r="I4579" t="s">
        <v>11383</v>
      </c>
      <c r="J4579">
        <v>10467</v>
      </c>
      <c r="K4579" t="s">
        <v>11446</v>
      </c>
      <c r="L4579" t="s">
        <v>14089</v>
      </c>
      <c r="M4579" t="s">
        <v>14744</v>
      </c>
      <c r="P4579" t="s">
        <v>14805</v>
      </c>
      <c r="Q4579" t="s">
        <v>11448</v>
      </c>
      <c r="S4579" t="s">
        <v>14827</v>
      </c>
      <c r="V4579">
        <v>1421</v>
      </c>
      <c r="W4579" t="s">
        <v>14858</v>
      </c>
      <c r="X4579" t="s">
        <v>14865</v>
      </c>
      <c r="Z4579" t="s">
        <v>18677</v>
      </c>
      <c r="AB4579" t="s">
        <v>23824</v>
      </c>
      <c r="AC4579">
        <v>52</v>
      </c>
      <c r="AD4579" t="s">
        <v>24595</v>
      </c>
      <c r="AE4579" t="s">
        <v>11459</v>
      </c>
      <c r="AF4579">
        <v>1</v>
      </c>
      <c r="AG4579">
        <v>1</v>
      </c>
      <c r="AH4579">
        <v>2</v>
      </c>
      <c r="AI4579">
        <v>124.86</v>
      </c>
      <c r="AL4579" t="s">
        <v>5011</v>
      </c>
      <c r="AM4579">
        <v>26632</v>
      </c>
      <c r="AS4579">
        <v>2</v>
      </c>
      <c r="AT4579" t="s">
        <v>475</v>
      </c>
      <c r="AU4579" t="s">
        <v>237</v>
      </c>
      <c r="AV4579" t="s">
        <v>25335</v>
      </c>
      <c r="AW4579" t="s">
        <v>11447</v>
      </c>
    </row>
    <row r="4580" spans="1:49">
      <c r="A4580" s="1">
        <f>HYPERLINK("https://lsnyc.legalserver.org/matter/dynamic-profile/view/1901247","19-1901247")</f>
        <v>0</v>
      </c>
      <c r="B4580" t="s">
        <v>273</v>
      </c>
      <c r="C4580" t="s">
        <v>612</v>
      </c>
      <c r="E4580" t="s">
        <v>3228</v>
      </c>
      <c r="F4580" t="s">
        <v>3584</v>
      </c>
      <c r="G4580" t="s">
        <v>9757</v>
      </c>
      <c r="H4580" t="s">
        <v>10689</v>
      </c>
      <c r="I4580" t="s">
        <v>11383</v>
      </c>
      <c r="J4580">
        <v>10462</v>
      </c>
      <c r="K4580" t="s">
        <v>11446</v>
      </c>
      <c r="L4580" t="s">
        <v>14090</v>
      </c>
      <c r="M4580" t="s">
        <v>14744</v>
      </c>
      <c r="P4580" t="s">
        <v>14805</v>
      </c>
      <c r="Q4580" t="s">
        <v>11448</v>
      </c>
      <c r="S4580" t="s">
        <v>14827</v>
      </c>
      <c r="V4580">
        <v>1444</v>
      </c>
      <c r="W4580" t="s">
        <v>14858</v>
      </c>
      <c r="X4580" t="s">
        <v>14863</v>
      </c>
      <c r="Z4580" t="s">
        <v>18678</v>
      </c>
      <c r="AA4580" t="s">
        <v>19998</v>
      </c>
      <c r="AB4580" t="s">
        <v>23825</v>
      </c>
      <c r="AC4580">
        <v>90</v>
      </c>
      <c r="AD4580" t="s">
        <v>24596</v>
      </c>
      <c r="AE4580" t="s">
        <v>24610</v>
      </c>
      <c r="AF4580">
        <v>17</v>
      </c>
      <c r="AG4580">
        <v>1</v>
      </c>
      <c r="AH4580">
        <v>0</v>
      </c>
      <c r="AI4580">
        <v>124.89</v>
      </c>
      <c r="AL4580" t="s">
        <v>5011</v>
      </c>
      <c r="AM4580">
        <v>15598.7</v>
      </c>
      <c r="AS4580">
        <v>39.1</v>
      </c>
      <c r="AT4580" t="s">
        <v>495</v>
      </c>
      <c r="AU4580" t="s">
        <v>25268</v>
      </c>
      <c r="AV4580" t="s">
        <v>25334</v>
      </c>
      <c r="AW4580" t="s">
        <v>11447</v>
      </c>
    </row>
    <row r="4581" spans="1:49">
      <c r="A4581" s="1">
        <f>HYPERLINK("https://lsnyc.legalserver.org/matter/dynamic-profile/view/1912834","19-1912834")</f>
        <v>0</v>
      </c>
      <c r="B4581" t="s">
        <v>299</v>
      </c>
      <c r="C4581" t="s">
        <v>551</v>
      </c>
      <c r="E4581" t="s">
        <v>3229</v>
      </c>
      <c r="F4581" t="s">
        <v>5877</v>
      </c>
      <c r="G4581" t="s">
        <v>9758</v>
      </c>
      <c r="H4581" t="s">
        <v>10476</v>
      </c>
      <c r="I4581" t="s">
        <v>11383</v>
      </c>
      <c r="J4581">
        <v>10467</v>
      </c>
      <c r="K4581" t="s">
        <v>11446</v>
      </c>
      <c r="L4581" t="s">
        <v>14091</v>
      </c>
      <c r="M4581" t="s">
        <v>14744</v>
      </c>
      <c r="P4581" t="s">
        <v>14805</v>
      </c>
      <c r="Q4581" t="s">
        <v>11448</v>
      </c>
      <c r="S4581" t="s">
        <v>14827</v>
      </c>
      <c r="V4581">
        <v>1300</v>
      </c>
      <c r="W4581" t="s">
        <v>14858</v>
      </c>
      <c r="X4581" t="s">
        <v>14865</v>
      </c>
      <c r="Z4581" t="s">
        <v>16060</v>
      </c>
      <c r="AB4581" t="s">
        <v>23826</v>
      </c>
      <c r="AC4581">
        <v>36</v>
      </c>
      <c r="AD4581" t="s">
        <v>24595</v>
      </c>
      <c r="AE4581" t="s">
        <v>11459</v>
      </c>
      <c r="AF4581">
        <v>4</v>
      </c>
      <c r="AG4581">
        <v>1</v>
      </c>
      <c r="AH4581">
        <v>0</v>
      </c>
      <c r="AI4581">
        <v>124.9</v>
      </c>
      <c r="AL4581" t="s">
        <v>5011</v>
      </c>
      <c r="AM4581">
        <v>15600</v>
      </c>
      <c r="AS4581">
        <v>5</v>
      </c>
      <c r="AT4581" t="s">
        <v>495</v>
      </c>
      <c r="AU4581" t="s">
        <v>237</v>
      </c>
      <c r="AV4581" t="s">
        <v>11459</v>
      </c>
      <c r="AW4581" t="s">
        <v>11447</v>
      </c>
    </row>
    <row r="4582" spans="1:49">
      <c r="A4582" s="1">
        <f>HYPERLINK("https://lsnyc.legalserver.org/matter/dynamic-profile/view/1914644","19-1914644")</f>
        <v>0</v>
      </c>
      <c r="B4582" t="s">
        <v>304</v>
      </c>
      <c r="C4582" t="s">
        <v>491</v>
      </c>
      <c r="E4582" t="s">
        <v>3230</v>
      </c>
      <c r="F4582" t="s">
        <v>5878</v>
      </c>
      <c r="G4582" t="s">
        <v>9490</v>
      </c>
      <c r="H4582" t="s">
        <v>10846</v>
      </c>
      <c r="I4582" t="s">
        <v>11383</v>
      </c>
      <c r="J4582">
        <v>10457</v>
      </c>
      <c r="K4582" t="s">
        <v>11446</v>
      </c>
      <c r="L4582" t="s">
        <v>14092</v>
      </c>
      <c r="M4582" t="s">
        <v>14744</v>
      </c>
      <c r="P4582" t="s">
        <v>14805</v>
      </c>
      <c r="Q4582" t="s">
        <v>11448</v>
      </c>
      <c r="S4582" t="s">
        <v>14827</v>
      </c>
      <c r="V4582">
        <v>221</v>
      </c>
      <c r="W4582" t="s">
        <v>14858</v>
      </c>
      <c r="Z4582" t="s">
        <v>18679</v>
      </c>
      <c r="AA4582" t="s">
        <v>19999</v>
      </c>
      <c r="AB4582" t="s">
        <v>23827</v>
      </c>
      <c r="AC4582">
        <v>61</v>
      </c>
      <c r="AE4582" t="s">
        <v>24610</v>
      </c>
      <c r="AF4582">
        <v>4</v>
      </c>
      <c r="AG4582">
        <v>1</v>
      </c>
      <c r="AH4582">
        <v>0</v>
      </c>
      <c r="AI4582">
        <v>124.9</v>
      </c>
      <c r="AL4582" t="s">
        <v>5011</v>
      </c>
      <c r="AM4582">
        <v>15600</v>
      </c>
      <c r="AS4582">
        <v>2</v>
      </c>
      <c r="AT4582" t="s">
        <v>521</v>
      </c>
      <c r="AU4582" t="s">
        <v>145</v>
      </c>
      <c r="AV4582" t="s">
        <v>25335</v>
      </c>
      <c r="AW4582" t="s">
        <v>11447</v>
      </c>
    </row>
    <row r="4583" spans="1:49">
      <c r="A4583" s="1">
        <f>HYPERLINK("https://lsnyc.legalserver.org/matter/dynamic-profile/view/1914485","19-1914485")</f>
        <v>0</v>
      </c>
      <c r="B4583" t="s">
        <v>257</v>
      </c>
      <c r="C4583" t="s">
        <v>506</v>
      </c>
      <c r="E4583" t="s">
        <v>3231</v>
      </c>
      <c r="F4583" t="s">
        <v>5879</v>
      </c>
      <c r="G4583" t="s">
        <v>9510</v>
      </c>
      <c r="H4583" t="s">
        <v>11276</v>
      </c>
      <c r="I4583" t="s">
        <v>11383</v>
      </c>
      <c r="J4583">
        <v>10457</v>
      </c>
      <c r="K4583" t="s">
        <v>11446</v>
      </c>
      <c r="L4583" t="s">
        <v>14093</v>
      </c>
      <c r="M4583" t="s">
        <v>14744</v>
      </c>
      <c r="N4583" t="s">
        <v>14781</v>
      </c>
      <c r="P4583" t="s">
        <v>14805</v>
      </c>
      <c r="Q4583" t="s">
        <v>11448</v>
      </c>
      <c r="S4583" t="s">
        <v>14827</v>
      </c>
      <c r="T4583" t="s">
        <v>14833</v>
      </c>
      <c r="V4583">
        <v>1482.12</v>
      </c>
      <c r="W4583" t="s">
        <v>14858</v>
      </c>
      <c r="X4583" t="s">
        <v>14865</v>
      </c>
      <c r="Z4583" t="s">
        <v>15946</v>
      </c>
      <c r="AB4583" t="s">
        <v>23828</v>
      </c>
      <c r="AC4583">
        <v>9</v>
      </c>
      <c r="AD4583" t="s">
        <v>24595</v>
      </c>
      <c r="AE4583" t="s">
        <v>11459</v>
      </c>
      <c r="AF4583">
        <v>9</v>
      </c>
      <c r="AG4583">
        <v>2</v>
      </c>
      <c r="AH4583">
        <v>0</v>
      </c>
      <c r="AI4583">
        <v>124.97</v>
      </c>
      <c r="AL4583" t="s">
        <v>24632</v>
      </c>
      <c r="AM4583">
        <v>21132</v>
      </c>
      <c r="AS4583">
        <v>1.8</v>
      </c>
      <c r="AT4583" t="s">
        <v>491</v>
      </c>
      <c r="AU4583" t="s">
        <v>25252</v>
      </c>
      <c r="AV4583" t="s">
        <v>25335</v>
      </c>
      <c r="AW4583" t="s">
        <v>11447</v>
      </c>
    </row>
    <row r="4584" spans="1:49">
      <c r="A4584" s="1">
        <f>HYPERLINK("https://lsnyc.legalserver.org/matter/dynamic-profile/view/1912001","19-1912001")</f>
        <v>0</v>
      </c>
      <c r="B4584" t="s">
        <v>297</v>
      </c>
      <c r="C4584" t="s">
        <v>526</v>
      </c>
      <c r="E4584" t="s">
        <v>1404</v>
      </c>
      <c r="F4584" t="s">
        <v>5880</v>
      </c>
      <c r="G4584" t="s">
        <v>9759</v>
      </c>
      <c r="H4584" t="s">
        <v>10574</v>
      </c>
      <c r="I4584" t="s">
        <v>11383</v>
      </c>
      <c r="J4584">
        <v>10457</v>
      </c>
      <c r="K4584" t="s">
        <v>11446</v>
      </c>
      <c r="L4584" t="s">
        <v>14094</v>
      </c>
      <c r="M4584" t="s">
        <v>14744</v>
      </c>
      <c r="N4584" t="s">
        <v>14782</v>
      </c>
      <c r="P4584" t="s">
        <v>14805</v>
      </c>
      <c r="Q4584" t="s">
        <v>11448</v>
      </c>
      <c r="S4584" t="s">
        <v>14827</v>
      </c>
      <c r="T4584" t="s">
        <v>14837</v>
      </c>
      <c r="V4584">
        <v>1550</v>
      </c>
      <c r="W4584" t="s">
        <v>14858</v>
      </c>
      <c r="X4584" t="s">
        <v>14865</v>
      </c>
      <c r="Z4584" t="s">
        <v>18680</v>
      </c>
      <c r="AB4584" t="s">
        <v>23829</v>
      </c>
      <c r="AC4584">
        <v>42</v>
      </c>
      <c r="AD4584" t="s">
        <v>24595</v>
      </c>
      <c r="AE4584" t="s">
        <v>11459</v>
      </c>
      <c r="AF4584">
        <v>1</v>
      </c>
      <c r="AG4584">
        <v>2</v>
      </c>
      <c r="AH4584">
        <v>1</v>
      </c>
      <c r="AI4584">
        <v>128.84</v>
      </c>
      <c r="AL4584" t="s">
        <v>24632</v>
      </c>
      <c r="AM4584">
        <v>27482</v>
      </c>
      <c r="AS4584">
        <v>2.95</v>
      </c>
      <c r="AT4584" t="s">
        <v>476</v>
      </c>
      <c r="AU4584" t="s">
        <v>237</v>
      </c>
      <c r="AV4584" t="s">
        <v>25335</v>
      </c>
      <c r="AW4584" t="s">
        <v>11447</v>
      </c>
    </row>
    <row r="4585" spans="1:49">
      <c r="A4585" s="1">
        <f>HYPERLINK("https://lsnyc.legalserver.org/matter/dynamic-profile/view/1911875","19-1911875")</f>
        <v>0</v>
      </c>
      <c r="B4585" t="s">
        <v>142</v>
      </c>
      <c r="C4585" t="s">
        <v>645</v>
      </c>
      <c r="E4585" t="s">
        <v>3232</v>
      </c>
      <c r="F4585" t="s">
        <v>4518</v>
      </c>
      <c r="G4585" t="s">
        <v>9760</v>
      </c>
      <c r="H4585" t="s">
        <v>10486</v>
      </c>
      <c r="I4585" t="s">
        <v>11383</v>
      </c>
      <c r="J4585">
        <v>10467</v>
      </c>
      <c r="K4585" t="s">
        <v>11446</v>
      </c>
      <c r="L4585" t="s">
        <v>14095</v>
      </c>
      <c r="M4585" t="s">
        <v>14743</v>
      </c>
      <c r="N4585" t="s">
        <v>14782</v>
      </c>
      <c r="P4585" t="s">
        <v>14805</v>
      </c>
      <c r="Q4585" t="s">
        <v>11448</v>
      </c>
      <c r="S4585" t="s">
        <v>14827</v>
      </c>
      <c r="V4585">
        <v>1800</v>
      </c>
      <c r="W4585" t="s">
        <v>14858</v>
      </c>
      <c r="X4585" t="s">
        <v>14863</v>
      </c>
      <c r="Z4585" t="s">
        <v>16246</v>
      </c>
      <c r="AC4585">
        <v>3</v>
      </c>
      <c r="AD4585" t="s">
        <v>24600</v>
      </c>
      <c r="AE4585" t="s">
        <v>24615</v>
      </c>
      <c r="AF4585">
        <v>8</v>
      </c>
      <c r="AG4585">
        <v>3</v>
      </c>
      <c r="AH4585">
        <v>2</v>
      </c>
      <c r="AI4585">
        <v>129.27</v>
      </c>
      <c r="AL4585" t="s">
        <v>24632</v>
      </c>
      <c r="AM4585">
        <v>39000</v>
      </c>
      <c r="AS4585">
        <v>1.75</v>
      </c>
      <c r="AT4585" t="s">
        <v>490</v>
      </c>
      <c r="AU4585" t="s">
        <v>245</v>
      </c>
      <c r="AW4585" t="s">
        <v>11447</v>
      </c>
    </row>
    <row r="4586" spans="1:49">
      <c r="A4586" s="1">
        <f>HYPERLINK("https://lsnyc.legalserver.org/matter/dynamic-profile/view/1914398","19-1914398")</f>
        <v>0</v>
      </c>
      <c r="B4586" t="s">
        <v>112</v>
      </c>
      <c r="C4586" t="s">
        <v>506</v>
      </c>
      <c r="E4586" t="s">
        <v>3233</v>
      </c>
      <c r="F4586" t="s">
        <v>4073</v>
      </c>
      <c r="G4586" t="s">
        <v>9761</v>
      </c>
      <c r="H4586" t="s">
        <v>10460</v>
      </c>
      <c r="I4586" t="s">
        <v>11383</v>
      </c>
      <c r="J4586">
        <v>10467</v>
      </c>
      <c r="K4586" t="s">
        <v>11446</v>
      </c>
      <c r="L4586" t="s">
        <v>14096</v>
      </c>
      <c r="M4586" t="s">
        <v>14744</v>
      </c>
      <c r="N4586" t="s">
        <v>14781</v>
      </c>
      <c r="P4586" t="s">
        <v>14805</v>
      </c>
      <c r="Q4586" t="s">
        <v>11448</v>
      </c>
      <c r="S4586" t="s">
        <v>14827</v>
      </c>
      <c r="V4586">
        <v>1120.59</v>
      </c>
      <c r="W4586" t="s">
        <v>14858</v>
      </c>
      <c r="X4586" t="s">
        <v>14863</v>
      </c>
      <c r="Z4586" t="s">
        <v>18681</v>
      </c>
      <c r="AB4586" t="s">
        <v>23830</v>
      </c>
      <c r="AC4586">
        <v>99</v>
      </c>
      <c r="AD4586" t="s">
        <v>24595</v>
      </c>
      <c r="AF4586">
        <v>7</v>
      </c>
      <c r="AG4586">
        <v>2</v>
      </c>
      <c r="AH4586">
        <v>2</v>
      </c>
      <c r="AI4586">
        <v>134.49</v>
      </c>
      <c r="AL4586" t="s">
        <v>5011</v>
      </c>
      <c r="AM4586">
        <v>34632</v>
      </c>
      <c r="AS4586">
        <v>1</v>
      </c>
      <c r="AT4586" t="s">
        <v>506</v>
      </c>
      <c r="AU4586" t="s">
        <v>145</v>
      </c>
      <c r="AV4586" t="s">
        <v>25335</v>
      </c>
      <c r="AW4586" t="s">
        <v>11447</v>
      </c>
    </row>
    <row r="4587" spans="1:49">
      <c r="A4587" s="1">
        <f>HYPERLINK("https://lsnyc.legalserver.org/matter/dynamic-profile/view/1893009","19-1893009")</f>
        <v>0</v>
      </c>
      <c r="B4587" t="s">
        <v>60</v>
      </c>
      <c r="C4587" t="s">
        <v>751</v>
      </c>
      <c r="E4587" t="s">
        <v>1274</v>
      </c>
      <c r="F4587" t="s">
        <v>5881</v>
      </c>
      <c r="G4587" t="s">
        <v>9762</v>
      </c>
      <c r="H4587" t="s">
        <v>10575</v>
      </c>
      <c r="I4587" t="s">
        <v>11383</v>
      </c>
      <c r="J4587">
        <v>10468</v>
      </c>
      <c r="K4587" t="s">
        <v>11446</v>
      </c>
      <c r="L4587" t="s">
        <v>14097</v>
      </c>
      <c r="M4587" t="s">
        <v>14743</v>
      </c>
      <c r="N4587" t="s">
        <v>14781</v>
      </c>
      <c r="P4587" t="s">
        <v>14805</v>
      </c>
      <c r="Q4587" t="s">
        <v>11448</v>
      </c>
      <c r="S4587" t="s">
        <v>14827</v>
      </c>
      <c r="T4587" t="s">
        <v>14832</v>
      </c>
      <c r="V4587">
        <v>2300</v>
      </c>
      <c r="W4587" t="s">
        <v>14858</v>
      </c>
      <c r="X4587" t="s">
        <v>14868</v>
      </c>
      <c r="Z4587" t="s">
        <v>18682</v>
      </c>
      <c r="AB4587" t="s">
        <v>23831</v>
      </c>
      <c r="AC4587">
        <v>65</v>
      </c>
      <c r="AD4587" t="s">
        <v>24595</v>
      </c>
      <c r="AE4587" t="s">
        <v>11459</v>
      </c>
      <c r="AF4587">
        <v>7</v>
      </c>
      <c r="AG4587">
        <v>5</v>
      </c>
      <c r="AH4587">
        <v>1</v>
      </c>
      <c r="AI4587">
        <v>135.88</v>
      </c>
      <c r="AL4587" t="s">
        <v>24632</v>
      </c>
      <c r="AM4587">
        <v>47000</v>
      </c>
      <c r="AN4587" t="s">
        <v>24902</v>
      </c>
      <c r="AS4587">
        <v>13.7</v>
      </c>
      <c r="AT4587" t="s">
        <v>509</v>
      </c>
      <c r="AU4587" t="s">
        <v>25251</v>
      </c>
      <c r="AV4587" t="s">
        <v>25335</v>
      </c>
      <c r="AW4587" t="s">
        <v>11447</v>
      </c>
    </row>
    <row r="4588" spans="1:49">
      <c r="A4588" s="1">
        <f>HYPERLINK("https://lsnyc.legalserver.org/matter/dynamic-profile/view/1912258","19-1912258")</f>
        <v>0</v>
      </c>
      <c r="B4588" t="s">
        <v>82</v>
      </c>
      <c r="C4588" t="s">
        <v>559</v>
      </c>
      <c r="E4588" t="s">
        <v>3234</v>
      </c>
      <c r="F4588" t="s">
        <v>5788</v>
      </c>
      <c r="G4588" t="s">
        <v>9763</v>
      </c>
      <c r="H4588" t="s">
        <v>11277</v>
      </c>
      <c r="I4588" t="s">
        <v>11383</v>
      </c>
      <c r="J4588">
        <v>10467</v>
      </c>
      <c r="K4588" t="s">
        <v>11446</v>
      </c>
      <c r="L4588" t="s">
        <v>14098</v>
      </c>
      <c r="M4588" t="s">
        <v>14744</v>
      </c>
      <c r="N4588" t="s">
        <v>14781</v>
      </c>
      <c r="P4588" t="s">
        <v>14805</v>
      </c>
      <c r="Q4588" t="s">
        <v>11448</v>
      </c>
      <c r="S4588" t="s">
        <v>14827</v>
      </c>
      <c r="V4588">
        <v>1500</v>
      </c>
      <c r="W4588" t="s">
        <v>14858</v>
      </c>
      <c r="X4588" t="s">
        <v>14863</v>
      </c>
      <c r="Z4588" t="s">
        <v>16116</v>
      </c>
      <c r="AB4588" t="s">
        <v>23832</v>
      </c>
      <c r="AC4588">
        <v>107</v>
      </c>
      <c r="AD4588" t="s">
        <v>11479</v>
      </c>
      <c r="AE4588" t="s">
        <v>11459</v>
      </c>
      <c r="AF4588">
        <v>2</v>
      </c>
      <c r="AG4588">
        <v>2</v>
      </c>
      <c r="AH4588">
        <v>1</v>
      </c>
      <c r="AI4588">
        <v>135.96</v>
      </c>
      <c r="AL4588" t="s">
        <v>5011</v>
      </c>
      <c r="AM4588">
        <v>29000</v>
      </c>
      <c r="AS4588">
        <v>2.8</v>
      </c>
      <c r="AT4588" t="s">
        <v>521</v>
      </c>
      <c r="AU4588" t="s">
        <v>245</v>
      </c>
      <c r="AV4588" t="s">
        <v>25335</v>
      </c>
      <c r="AW4588" t="s">
        <v>11447</v>
      </c>
    </row>
    <row r="4589" spans="1:49">
      <c r="A4589" s="1">
        <f>HYPERLINK("https://lsnyc.legalserver.org/matter/dynamic-profile/view/1901962","19-1901962")</f>
        <v>0</v>
      </c>
      <c r="B4589" t="s">
        <v>89</v>
      </c>
      <c r="C4589" t="s">
        <v>865</v>
      </c>
      <c r="E4589" t="s">
        <v>1999</v>
      </c>
      <c r="F4589" t="s">
        <v>5738</v>
      </c>
      <c r="G4589" t="s">
        <v>9474</v>
      </c>
      <c r="I4589" t="s">
        <v>11383</v>
      </c>
      <c r="J4589">
        <v>10462</v>
      </c>
      <c r="K4589" t="s">
        <v>11446</v>
      </c>
      <c r="L4589" t="s">
        <v>14099</v>
      </c>
      <c r="M4589" t="s">
        <v>14763</v>
      </c>
      <c r="N4589" t="s">
        <v>14781</v>
      </c>
      <c r="P4589" t="s">
        <v>14805</v>
      </c>
      <c r="Q4589" t="s">
        <v>11448</v>
      </c>
      <c r="S4589" t="s">
        <v>14829</v>
      </c>
      <c r="T4589" t="s">
        <v>14832</v>
      </c>
      <c r="V4589">
        <v>1467</v>
      </c>
      <c r="W4589" t="s">
        <v>14858</v>
      </c>
      <c r="X4589" t="s">
        <v>14867</v>
      </c>
      <c r="Z4589" t="s">
        <v>18379</v>
      </c>
      <c r="AB4589" t="s">
        <v>23833</v>
      </c>
      <c r="AC4589">
        <v>2659</v>
      </c>
      <c r="AD4589" t="s">
        <v>24599</v>
      </c>
      <c r="AF4589">
        <v>54</v>
      </c>
      <c r="AG4589">
        <v>1</v>
      </c>
      <c r="AH4589">
        <v>0</v>
      </c>
      <c r="AI4589">
        <v>136.43</v>
      </c>
      <c r="AL4589" t="s">
        <v>5011</v>
      </c>
      <c r="AM4589">
        <v>17040</v>
      </c>
      <c r="AS4589">
        <v>9.25</v>
      </c>
      <c r="AT4589" t="s">
        <v>483</v>
      </c>
      <c r="AU4589" t="s">
        <v>89</v>
      </c>
      <c r="AV4589" t="s">
        <v>25335</v>
      </c>
      <c r="AW4589" t="s">
        <v>11447</v>
      </c>
    </row>
    <row r="4590" spans="1:49">
      <c r="A4590" s="1">
        <f>HYPERLINK("https://lsnyc.legalserver.org/matter/dynamic-profile/view/1914418","19-1914418")</f>
        <v>0</v>
      </c>
      <c r="B4590" t="s">
        <v>69</v>
      </c>
      <c r="C4590" t="s">
        <v>506</v>
      </c>
      <c r="E4590" t="s">
        <v>3235</v>
      </c>
      <c r="F4590" t="s">
        <v>2002</v>
      </c>
      <c r="G4590" t="s">
        <v>9764</v>
      </c>
      <c r="H4590" t="s">
        <v>10471</v>
      </c>
      <c r="I4590" t="s">
        <v>11383</v>
      </c>
      <c r="J4590">
        <v>10457</v>
      </c>
      <c r="K4590" t="s">
        <v>11446</v>
      </c>
      <c r="L4590" t="s">
        <v>14100</v>
      </c>
      <c r="M4590" t="s">
        <v>14743</v>
      </c>
      <c r="N4590" t="s">
        <v>14781</v>
      </c>
      <c r="P4590" t="s">
        <v>14805</v>
      </c>
      <c r="Q4590" t="s">
        <v>11448</v>
      </c>
      <c r="S4590" t="s">
        <v>14827</v>
      </c>
      <c r="T4590" t="s">
        <v>14832</v>
      </c>
      <c r="V4590">
        <v>924.22</v>
      </c>
      <c r="W4590" t="s">
        <v>14858</v>
      </c>
      <c r="X4590" t="s">
        <v>14865</v>
      </c>
      <c r="Z4590" t="s">
        <v>18009</v>
      </c>
      <c r="AB4590" t="s">
        <v>23834</v>
      </c>
      <c r="AC4590">
        <v>43</v>
      </c>
      <c r="AD4590" t="s">
        <v>24599</v>
      </c>
      <c r="AE4590" t="s">
        <v>11459</v>
      </c>
      <c r="AF4590">
        <v>25</v>
      </c>
      <c r="AG4590">
        <v>1</v>
      </c>
      <c r="AH4590">
        <v>0</v>
      </c>
      <c r="AI4590">
        <v>138.76</v>
      </c>
      <c r="AL4590" t="s">
        <v>24632</v>
      </c>
      <c r="AM4590">
        <v>17331.6</v>
      </c>
      <c r="AS4590">
        <v>5</v>
      </c>
      <c r="AT4590" t="s">
        <v>478</v>
      </c>
      <c r="AU4590" t="s">
        <v>25239</v>
      </c>
      <c r="AV4590" t="s">
        <v>25335</v>
      </c>
      <c r="AW4590" t="s">
        <v>11447</v>
      </c>
    </row>
    <row r="4591" spans="1:49">
      <c r="A4591" s="1">
        <f>HYPERLINK("https://lsnyc.legalserver.org/matter/dynamic-profile/view/1908520","19-1908520")</f>
        <v>0</v>
      </c>
      <c r="B4591" t="s">
        <v>142</v>
      </c>
      <c r="C4591" t="s">
        <v>524</v>
      </c>
      <c r="E4591" t="s">
        <v>1339</v>
      </c>
      <c r="F4591" t="s">
        <v>3662</v>
      </c>
      <c r="G4591" t="s">
        <v>9765</v>
      </c>
      <c r="H4591">
        <v>1</v>
      </c>
      <c r="I4591" t="s">
        <v>11383</v>
      </c>
      <c r="J4591">
        <v>10462</v>
      </c>
      <c r="K4591" t="s">
        <v>11446</v>
      </c>
      <c r="L4591" t="s">
        <v>14101</v>
      </c>
      <c r="M4591" t="s">
        <v>14744</v>
      </c>
      <c r="N4591" t="s">
        <v>14781</v>
      </c>
      <c r="P4591" t="s">
        <v>14805</v>
      </c>
      <c r="Q4591" t="s">
        <v>11448</v>
      </c>
      <c r="S4591" t="s">
        <v>14827</v>
      </c>
      <c r="V4591">
        <v>1700</v>
      </c>
      <c r="W4591" t="s">
        <v>14858</v>
      </c>
      <c r="X4591" t="s">
        <v>14865</v>
      </c>
      <c r="Z4591" t="s">
        <v>18683</v>
      </c>
      <c r="AB4591" t="s">
        <v>23835</v>
      </c>
      <c r="AC4591">
        <v>3</v>
      </c>
      <c r="AE4591" t="s">
        <v>11459</v>
      </c>
      <c r="AF4591">
        <v>1</v>
      </c>
      <c r="AG4591">
        <v>2</v>
      </c>
      <c r="AH4591">
        <v>1</v>
      </c>
      <c r="AI4591">
        <v>140.65</v>
      </c>
      <c r="AL4591" t="s">
        <v>5011</v>
      </c>
      <c r="AM4591">
        <v>30000</v>
      </c>
      <c r="AS4591">
        <v>6</v>
      </c>
      <c r="AT4591" t="s">
        <v>475</v>
      </c>
      <c r="AU4591" t="s">
        <v>237</v>
      </c>
      <c r="AV4591" t="s">
        <v>25335</v>
      </c>
      <c r="AW4591" t="s">
        <v>11447</v>
      </c>
    </row>
    <row r="4592" spans="1:49">
      <c r="A4592" s="1">
        <f>HYPERLINK("https://lsnyc.legalserver.org/matter/dynamic-profile/view/1914111","19-1914111")</f>
        <v>0</v>
      </c>
      <c r="B4592" t="s">
        <v>299</v>
      </c>
      <c r="C4592" t="s">
        <v>476</v>
      </c>
      <c r="E4592" t="s">
        <v>1582</v>
      </c>
      <c r="F4592" t="s">
        <v>3907</v>
      </c>
      <c r="G4592" t="s">
        <v>6575</v>
      </c>
      <c r="H4592" t="s">
        <v>10562</v>
      </c>
      <c r="I4592" t="s">
        <v>11383</v>
      </c>
      <c r="J4592">
        <v>10462</v>
      </c>
      <c r="K4592" t="s">
        <v>11446</v>
      </c>
      <c r="L4592" t="s">
        <v>14102</v>
      </c>
      <c r="M4592" t="s">
        <v>14744</v>
      </c>
      <c r="N4592" t="s">
        <v>14781</v>
      </c>
      <c r="P4592" t="s">
        <v>14805</v>
      </c>
      <c r="Q4592" t="s">
        <v>11448</v>
      </c>
      <c r="S4592" t="s">
        <v>14827</v>
      </c>
      <c r="V4592">
        <v>1050</v>
      </c>
      <c r="W4592" t="s">
        <v>14858</v>
      </c>
      <c r="X4592" t="s">
        <v>14865</v>
      </c>
      <c r="Z4592" t="s">
        <v>18684</v>
      </c>
      <c r="AB4592" t="s">
        <v>23836</v>
      </c>
      <c r="AC4592">
        <v>133</v>
      </c>
      <c r="AD4592" t="s">
        <v>24595</v>
      </c>
      <c r="AE4592" t="s">
        <v>11459</v>
      </c>
      <c r="AF4592">
        <v>3</v>
      </c>
      <c r="AG4592">
        <v>2</v>
      </c>
      <c r="AH4592">
        <v>0</v>
      </c>
      <c r="AI4592">
        <v>141.93</v>
      </c>
      <c r="AL4592" t="s">
        <v>5011</v>
      </c>
      <c r="AM4592">
        <v>24000</v>
      </c>
      <c r="AS4592">
        <v>2.1</v>
      </c>
      <c r="AT4592" t="s">
        <v>495</v>
      </c>
      <c r="AU4592" t="s">
        <v>237</v>
      </c>
      <c r="AV4592" t="s">
        <v>25335</v>
      </c>
      <c r="AW4592" t="s">
        <v>11447</v>
      </c>
    </row>
    <row r="4593" spans="1:49">
      <c r="A4593" s="1">
        <f>HYPERLINK("https://lsnyc.legalserver.org/matter/dynamic-profile/view/1915332","19-1915332")</f>
        <v>0</v>
      </c>
      <c r="B4593" t="s">
        <v>268</v>
      </c>
      <c r="C4593" t="s">
        <v>509</v>
      </c>
      <c r="E4593" t="s">
        <v>1750</v>
      </c>
      <c r="F4593" t="s">
        <v>3577</v>
      </c>
      <c r="G4593" t="s">
        <v>9766</v>
      </c>
      <c r="H4593" t="s">
        <v>11266</v>
      </c>
      <c r="I4593" t="s">
        <v>11383</v>
      </c>
      <c r="J4593">
        <v>10468</v>
      </c>
      <c r="K4593" t="s">
        <v>11446</v>
      </c>
      <c r="L4593" t="s">
        <v>14103</v>
      </c>
      <c r="M4593" t="s">
        <v>14744</v>
      </c>
      <c r="P4593" t="s">
        <v>14805</v>
      </c>
      <c r="Q4593" t="s">
        <v>11448</v>
      </c>
      <c r="S4593" t="s">
        <v>14827</v>
      </c>
      <c r="V4593">
        <v>1322.3</v>
      </c>
      <c r="W4593" t="s">
        <v>14858</v>
      </c>
      <c r="X4593" t="s">
        <v>14865</v>
      </c>
      <c r="Z4593" t="s">
        <v>16144</v>
      </c>
      <c r="AB4593" t="s">
        <v>23837</v>
      </c>
      <c r="AC4593">
        <v>80</v>
      </c>
      <c r="AD4593" t="s">
        <v>24595</v>
      </c>
      <c r="AE4593" t="s">
        <v>11459</v>
      </c>
      <c r="AF4593">
        <v>25</v>
      </c>
      <c r="AG4593">
        <v>3</v>
      </c>
      <c r="AH4593">
        <v>1</v>
      </c>
      <c r="AI4593">
        <v>151.19</v>
      </c>
      <c r="AL4593" t="s">
        <v>5011</v>
      </c>
      <c r="AM4593">
        <v>38932</v>
      </c>
      <c r="AS4593">
        <v>0.8</v>
      </c>
      <c r="AT4593" t="s">
        <v>495</v>
      </c>
      <c r="AU4593" t="s">
        <v>25239</v>
      </c>
      <c r="AV4593" t="s">
        <v>25335</v>
      </c>
      <c r="AW4593" t="s">
        <v>11447</v>
      </c>
    </row>
    <row r="4594" spans="1:49">
      <c r="A4594" s="1">
        <f>HYPERLINK("https://lsnyc.legalserver.org/matter/dynamic-profile/view/1900494","19-1900494")</f>
        <v>0</v>
      </c>
      <c r="B4594" t="s">
        <v>82</v>
      </c>
      <c r="C4594" t="s">
        <v>370</v>
      </c>
      <c r="E4594" t="s">
        <v>1056</v>
      </c>
      <c r="F4594" t="s">
        <v>5882</v>
      </c>
      <c r="G4594" t="s">
        <v>9767</v>
      </c>
      <c r="H4594" t="s">
        <v>10486</v>
      </c>
      <c r="I4594" t="s">
        <v>11383</v>
      </c>
      <c r="J4594">
        <v>10467</v>
      </c>
      <c r="K4594" t="s">
        <v>11446</v>
      </c>
      <c r="L4594" t="s">
        <v>14104</v>
      </c>
      <c r="M4594" t="s">
        <v>14743</v>
      </c>
      <c r="N4594" t="s">
        <v>14781</v>
      </c>
      <c r="P4594" t="s">
        <v>14805</v>
      </c>
      <c r="Q4594" t="s">
        <v>11448</v>
      </c>
      <c r="S4594" t="s">
        <v>14827</v>
      </c>
      <c r="T4594" t="s">
        <v>14832</v>
      </c>
      <c r="V4594">
        <v>1700</v>
      </c>
      <c r="W4594" t="s">
        <v>14858</v>
      </c>
      <c r="X4594" t="s">
        <v>14865</v>
      </c>
      <c r="Z4594" t="s">
        <v>18685</v>
      </c>
      <c r="AB4594" t="s">
        <v>23838</v>
      </c>
      <c r="AC4594">
        <v>3</v>
      </c>
      <c r="AD4594" t="s">
        <v>24600</v>
      </c>
      <c r="AE4594" t="s">
        <v>11459</v>
      </c>
      <c r="AF4594">
        <v>14</v>
      </c>
      <c r="AG4594">
        <v>4</v>
      </c>
      <c r="AH4594">
        <v>0</v>
      </c>
      <c r="AI4594">
        <v>153.48</v>
      </c>
      <c r="AL4594" t="s">
        <v>5011</v>
      </c>
      <c r="AM4594">
        <v>39520</v>
      </c>
      <c r="AS4594">
        <v>0.75</v>
      </c>
      <c r="AT4594" t="s">
        <v>649</v>
      </c>
      <c r="AU4594" t="s">
        <v>237</v>
      </c>
      <c r="AW4594" t="s">
        <v>11447</v>
      </c>
    </row>
    <row r="4595" spans="1:49">
      <c r="A4595" s="1">
        <f>HYPERLINK("https://lsnyc.legalserver.org/matter/dynamic-profile/view/1898018","19-1898018")</f>
        <v>0</v>
      </c>
      <c r="B4595" t="s">
        <v>142</v>
      </c>
      <c r="C4595" t="s">
        <v>831</v>
      </c>
      <c r="E4595" t="s">
        <v>3111</v>
      </c>
      <c r="F4595" t="s">
        <v>3262</v>
      </c>
      <c r="G4595" t="s">
        <v>9768</v>
      </c>
      <c r="H4595" t="s">
        <v>10552</v>
      </c>
      <c r="I4595" t="s">
        <v>11383</v>
      </c>
      <c r="J4595">
        <v>10467</v>
      </c>
      <c r="K4595" t="s">
        <v>11446</v>
      </c>
      <c r="L4595" t="s">
        <v>14105</v>
      </c>
      <c r="M4595" t="s">
        <v>14744</v>
      </c>
      <c r="N4595" t="s">
        <v>14781</v>
      </c>
      <c r="P4595" t="s">
        <v>14805</v>
      </c>
      <c r="Q4595" t="s">
        <v>11448</v>
      </c>
      <c r="S4595" t="s">
        <v>14827</v>
      </c>
      <c r="V4595">
        <v>1681</v>
      </c>
      <c r="W4595" t="s">
        <v>14858</v>
      </c>
      <c r="X4595" t="s">
        <v>14865</v>
      </c>
      <c r="Z4595" t="s">
        <v>18686</v>
      </c>
      <c r="AA4595" t="s">
        <v>20000</v>
      </c>
      <c r="AB4595" t="s">
        <v>23839</v>
      </c>
      <c r="AC4595">
        <v>50</v>
      </c>
      <c r="AE4595" t="s">
        <v>11459</v>
      </c>
      <c r="AF4595">
        <v>3</v>
      </c>
      <c r="AG4595">
        <v>1</v>
      </c>
      <c r="AH4595">
        <v>1</v>
      </c>
      <c r="AI4595">
        <v>153.76</v>
      </c>
      <c r="AL4595" t="s">
        <v>5011</v>
      </c>
      <c r="AM4595">
        <v>26000</v>
      </c>
      <c r="AS4595">
        <v>14</v>
      </c>
      <c r="AT4595" t="s">
        <v>663</v>
      </c>
      <c r="AU4595" t="s">
        <v>237</v>
      </c>
      <c r="AV4595" t="s">
        <v>25335</v>
      </c>
      <c r="AW4595" t="s">
        <v>11446</v>
      </c>
    </row>
    <row r="4596" spans="1:49">
      <c r="A4596" s="1">
        <f>HYPERLINK("https://lsnyc.legalserver.org/matter/dynamic-profile/view/1910515","19-1910515")</f>
        <v>0</v>
      </c>
      <c r="B4596" t="s">
        <v>115</v>
      </c>
      <c r="C4596" t="s">
        <v>508</v>
      </c>
      <c r="E4596" t="s">
        <v>3236</v>
      </c>
      <c r="F4596" t="s">
        <v>3848</v>
      </c>
      <c r="G4596" t="s">
        <v>6965</v>
      </c>
      <c r="H4596" t="s">
        <v>10618</v>
      </c>
      <c r="I4596" t="s">
        <v>11383</v>
      </c>
      <c r="J4596">
        <v>10457</v>
      </c>
      <c r="K4596" t="s">
        <v>11446</v>
      </c>
      <c r="L4596" t="s">
        <v>14106</v>
      </c>
      <c r="M4596" t="s">
        <v>14743</v>
      </c>
      <c r="N4596" t="s">
        <v>14781</v>
      </c>
      <c r="P4596" t="s">
        <v>14805</v>
      </c>
      <c r="Q4596" t="s">
        <v>11448</v>
      </c>
      <c r="S4596" t="s">
        <v>14827</v>
      </c>
      <c r="T4596" t="s">
        <v>14832</v>
      </c>
      <c r="V4596">
        <v>1225</v>
      </c>
      <c r="W4596" t="s">
        <v>14858</v>
      </c>
      <c r="X4596" t="s">
        <v>14868</v>
      </c>
      <c r="Z4596" t="s">
        <v>18687</v>
      </c>
      <c r="AB4596" t="s">
        <v>23840</v>
      </c>
      <c r="AC4596">
        <v>95</v>
      </c>
      <c r="AD4596" t="s">
        <v>24595</v>
      </c>
      <c r="AE4596" t="s">
        <v>11459</v>
      </c>
      <c r="AF4596">
        <v>4</v>
      </c>
      <c r="AG4596">
        <v>1</v>
      </c>
      <c r="AH4596">
        <v>0</v>
      </c>
      <c r="AI4596">
        <v>157.8</v>
      </c>
      <c r="AL4596" t="s">
        <v>24632</v>
      </c>
      <c r="AM4596">
        <v>19709.52</v>
      </c>
      <c r="AS4596">
        <v>5</v>
      </c>
      <c r="AT4596" t="s">
        <v>574</v>
      </c>
      <c r="AU4596" t="s">
        <v>115</v>
      </c>
      <c r="AV4596" t="s">
        <v>25335</v>
      </c>
      <c r="AW4596" t="s">
        <v>11447</v>
      </c>
    </row>
    <row r="4597" spans="1:49">
      <c r="A4597" s="1">
        <f>HYPERLINK("https://lsnyc.legalserver.org/matter/dynamic-profile/view/1914100","19-1914100")</f>
        <v>0</v>
      </c>
      <c r="B4597" t="s">
        <v>299</v>
      </c>
      <c r="C4597" t="s">
        <v>476</v>
      </c>
      <c r="E4597" t="s">
        <v>1030</v>
      </c>
      <c r="F4597" t="s">
        <v>3999</v>
      </c>
      <c r="G4597" t="s">
        <v>9769</v>
      </c>
      <c r="H4597" t="s">
        <v>10465</v>
      </c>
      <c r="I4597" t="s">
        <v>11383</v>
      </c>
      <c r="J4597">
        <v>10467</v>
      </c>
      <c r="K4597" t="s">
        <v>11446</v>
      </c>
      <c r="M4597" t="s">
        <v>14744</v>
      </c>
      <c r="P4597" t="s">
        <v>14805</v>
      </c>
      <c r="Q4597" t="s">
        <v>11448</v>
      </c>
      <c r="S4597" t="s">
        <v>14827</v>
      </c>
      <c r="V4597">
        <v>1439.78</v>
      </c>
      <c r="W4597" t="s">
        <v>14858</v>
      </c>
      <c r="X4597" t="s">
        <v>14865</v>
      </c>
      <c r="Z4597" t="s">
        <v>16761</v>
      </c>
      <c r="AB4597" t="s">
        <v>23841</v>
      </c>
      <c r="AC4597">
        <v>49</v>
      </c>
      <c r="AD4597" t="s">
        <v>11479</v>
      </c>
      <c r="AE4597" t="s">
        <v>11459</v>
      </c>
      <c r="AF4597">
        <v>5</v>
      </c>
      <c r="AG4597">
        <v>1</v>
      </c>
      <c r="AH4597">
        <v>0</v>
      </c>
      <c r="AI4597">
        <v>160.13</v>
      </c>
      <c r="AL4597" t="s">
        <v>5011</v>
      </c>
      <c r="AM4597">
        <v>20000</v>
      </c>
      <c r="AS4597">
        <v>4.5</v>
      </c>
      <c r="AT4597" t="s">
        <v>478</v>
      </c>
      <c r="AU4597" t="s">
        <v>237</v>
      </c>
      <c r="AV4597" t="s">
        <v>25335</v>
      </c>
      <c r="AW4597" t="s">
        <v>11447</v>
      </c>
    </row>
    <row r="4598" spans="1:49">
      <c r="A4598" s="1">
        <f>HYPERLINK("https://lsnyc.legalserver.org/matter/dynamic-profile/view/1912809","19-1912809")</f>
        <v>0</v>
      </c>
      <c r="B4598" t="s">
        <v>297</v>
      </c>
      <c r="C4598" t="s">
        <v>578</v>
      </c>
      <c r="E4598" t="s">
        <v>3237</v>
      </c>
      <c r="F4598" t="s">
        <v>5883</v>
      </c>
      <c r="G4598" t="s">
        <v>9770</v>
      </c>
      <c r="H4598" t="s">
        <v>10524</v>
      </c>
      <c r="I4598" t="s">
        <v>11383</v>
      </c>
      <c r="J4598">
        <v>10467</v>
      </c>
      <c r="K4598" t="s">
        <v>11446</v>
      </c>
      <c r="L4598" t="s">
        <v>14107</v>
      </c>
      <c r="M4598" t="s">
        <v>14744</v>
      </c>
      <c r="N4598" t="s">
        <v>14781</v>
      </c>
      <c r="P4598" t="s">
        <v>14805</v>
      </c>
      <c r="Q4598" t="s">
        <v>11448</v>
      </c>
      <c r="S4598" t="s">
        <v>14827</v>
      </c>
      <c r="T4598" t="s">
        <v>14832</v>
      </c>
      <c r="V4598">
        <v>1096.38</v>
      </c>
      <c r="W4598" t="s">
        <v>14858</v>
      </c>
      <c r="X4598" t="s">
        <v>14865</v>
      </c>
      <c r="Z4598" t="s">
        <v>18688</v>
      </c>
      <c r="AB4598" t="s">
        <v>23842</v>
      </c>
      <c r="AC4598">
        <v>43</v>
      </c>
      <c r="AD4598" t="s">
        <v>24595</v>
      </c>
      <c r="AE4598" t="s">
        <v>11459</v>
      </c>
      <c r="AF4598">
        <v>29</v>
      </c>
      <c r="AG4598">
        <v>1</v>
      </c>
      <c r="AH4598">
        <v>0</v>
      </c>
      <c r="AI4598">
        <v>163.62</v>
      </c>
      <c r="AL4598" t="s">
        <v>5011</v>
      </c>
      <c r="AM4598">
        <v>20436</v>
      </c>
      <c r="AS4598">
        <v>8.949999999999999</v>
      </c>
      <c r="AT4598" t="s">
        <v>495</v>
      </c>
      <c r="AU4598" t="s">
        <v>237</v>
      </c>
      <c r="AV4598" t="s">
        <v>25335</v>
      </c>
      <c r="AW4598" t="s">
        <v>11447</v>
      </c>
    </row>
    <row r="4599" spans="1:49">
      <c r="A4599" s="1">
        <f>HYPERLINK("https://lsnyc.legalserver.org/matter/dynamic-profile/view/1914198","19-1914198")</f>
        <v>0</v>
      </c>
      <c r="B4599" t="s">
        <v>298</v>
      </c>
      <c r="C4599" t="s">
        <v>539</v>
      </c>
      <c r="E4599" t="s">
        <v>1025</v>
      </c>
      <c r="F4599" t="s">
        <v>3683</v>
      </c>
      <c r="G4599" t="s">
        <v>9771</v>
      </c>
      <c r="H4599" t="s">
        <v>10552</v>
      </c>
      <c r="I4599" t="s">
        <v>11383</v>
      </c>
      <c r="J4599">
        <v>10468</v>
      </c>
      <c r="K4599" t="s">
        <v>11446</v>
      </c>
      <c r="L4599" t="s">
        <v>14108</v>
      </c>
      <c r="M4599" t="s">
        <v>14744</v>
      </c>
      <c r="P4599" t="s">
        <v>14805</v>
      </c>
      <c r="Q4599" t="s">
        <v>11448</v>
      </c>
      <c r="S4599" t="s">
        <v>14827</v>
      </c>
      <c r="V4599">
        <v>2135</v>
      </c>
      <c r="W4599" t="s">
        <v>14858</v>
      </c>
      <c r="X4599" t="s">
        <v>14867</v>
      </c>
      <c r="Z4599" t="s">
        <v>18689</v>
      </c>
      <c r="AB4599" t="s">
        <v>23843</v>
      </c>
      <c r="AC4599">
        <v>0</v>
      </c>
      <c r="AD4599" t="s">
        <v>11479</v>
      </c>
      <c r="AE4599" t="s">
        <v>24610</v>
      </c>
      <c r="AF4599">
        <v>3</v>
      </c>
      <c r="AG4599">
        <v>2</v>
      </c>
      <c r="AH4599">
        <v>0</v>
      </c>
      <c r="AI4599">
        <v>166.08</v>
      </c>
      <c r="AL4599" t="s">
        <v>5011</v>
      </c>
      <c r="AM4599">
        <v>28084</v>
      </c>
      <c r="AS4599">
        <v>1.75</v>
      </c>
      <c r="AT4599" t="s">
        <v>539</v>
      </c>
      <c r="AU4599" t="s">
        <v>25252</v>
      </c>
      <c r="AV4599" t="s">
        <v>25335</v>
      </c>
      <c r="AW4599" t="s">
        <v>11447</v>
      </c>
    </row>
    <row r="4600" spans="1:49">
      <c r="A4600" s="1">
        <f>HYPERLINK("https://lsnyc.legalserver.org/matter/dynamic-profile/view/1911103","19-1911103")</f>
        <v>0</v>
      </c>
      <c r="B4600" t="s">
        <v>134</v>
      </c>
      <c r="C4600" t="s">
        <v>460</v>
      </c>
      <c r="E4600" t="s">
        <v>3238</v>
      </c>
      <c r="F4600" t="s">
        <v>3614</v>
      </c>
      <c r="G4600" t="s">
        <v>9772</v>
      </c>
      <c r="H4600" t="s">
        <v>10489</v>
      </c>
      <c r="I4600" t="s">
        <v>11383</v>
      </c>
      <c r="J4600">
        <v>10457</v>
      </c>
      <c r="K4600" t="s">
        <v>11446</v>
      </c>
      <c r="L4600" t="s">
        <v>14109</v>
      </c>
      <c r="M4600" t="s">
        <v>14744</v>
      </c>
      <c r="N4600" t="s">
        <v>14781</v>
      </c>
      <c r="P4600" t="s">
        <v>14805</v>
      </c>
      <c r="Q4600" t="s">
        <v>11448</v>
      </c>
      <c r="S4600" t="s">
        <v>14827</v>
      </c>
      <c r="V4600">
        <v>1163</v>
      </c>
      <c r="W4600" t="s">
        <v>14858</v>
      </c>
      <c r="X4600" t="s">
        <v>14865</v>
      </c>
      <c r="Z4600" t="s">
        <v>16733</v>
      </c>
      <c r="AA4600" t="s">
        <v>20001</v>
      </c>
      <c r="AB4600" t="s">
        <v>23844</v>
      </c>
      <c r="AC4600">
        <v>59</v>
      </c>
      <c r="AD4600" t="s">
        <v>24595</v>
      </c>
      <c r="AE4600" t="s">
        <v>11459</v>
      </c>
      <c r="AF4600">
        <v>3</v>
      </c>
      <c r="AG4600">
        <v>1</v>
      </c>
      <c r="AH4600">
        <v>0</v>
      </c>
      <c r="AI4600">
        <v>166.53</v>
      </c>
      <c r="AL4600" t="s">
        <v>24632</v>
      </c>
      <c r="AM4600">
        <v>20800</v>
      </c>
      <c r="AS4600">
        <v>3.5</v>
      </c>
      <c r="AT4600" t="s">
        <v>603</v>
      </c>
      <c r="AU4600" t="s">
        <v>25239</v>
      </c>
      <c r="AV4600" t="s">
        <v>25334</v>
      </c>
      <c r="AW4600" t="s">
        <v>11447</v>
      </c>
    </row>
    <row r="4601" spans="1:49">
      <c r="A4601" s="1">
        <f>HYPERLINK("https://lsnyc.legalserver.org/matter/dynamic-profile/view/1914449","19-1914449")</f>
        <v>0</v>
      </c>
      <c r="B4601" t="s">
        <v>112</v>
      </c>
      <c r="C4601" t="s">
        <v>506</v>
      </c>
      <c r="E4601" t="s">
        <v>1456</v>
      </c>
      <c r="F4601" t="s">
        <v>4196</v>
      </c>
      <c r="G4601" t="s">
        <v>9773</v>
      </c>
      <c r="H4601" t="s">
        <v>10467</v>
      </c>
      <c r="I4601" t="s">
        <v>11383</v>
      </c>
      <c r="J4601">
        <v>10457</v>
      </c>
      <c r="K4601" t="s">
        <v>11446</v>
      </c>
      <c r="L4601" t="s">
        <v>14110</v>
      </c>
      <c r="M4601" t="s">
        <v>14744</v>
      </c>
      <c r="N4601" t="s">
        <v>14781</v>
      </c>
      <c r="P4601" t="s">
        <v>14805</v>
      </c>
      <c r="Q4601" t="s">
        <v>11448</v>
      </c>
      <c r="S4601" t="s">
        <v>14827</v>
      </c>
      <c r="V4601">
        <v>1450</v>
      </c>
      <c r="W4601" t="s">
        <v>14858</v>
      </c>
      <c r="X4601" t="s">
        <v>14865</v>
      </c>
      <c r="Z4601" t="s">
        <v>18690</v>
      </c>
      <c r="AB4601" t="s">
        <v>23845</v>
      </c>
      <c r="AC4601">
        <v>38</v>
      </c>
      <c r="AD4601" t="s">
        <v>11479</v>
      </c>
      <c r="AF4601">
        <v>2</v>
      </c>
      <c r="AG4601">
        <v>1</v>
      </c>
      <c r="AH4601">
        <v>0</v>
      </c>
      <c r="AI4601">
        <v>166.53</v>
      </c>
      <c r="AL4601" t="s">
        <v>24632</v>
      </c>
      <c r="AM4601">
        <v>20800</v>
      </c>
      <c r="AS4601">
        <v>1.85</v>
      </c>
      <c r="AT4601" t="s">
        <v>521</v>
      </c>
      <c r="AU4601" t="s">
        <v>25239</v>
      </c>
      <c r="AV4601" t="s">
        <v>25335</v>
      </c>
      <c r="AW4601" t="s">
        <v>11447</v>
      </c>
    </row>
    <row r="4602" spans="1:49">
      <c r="A4602" s="1">
        <f>HYPERLINK("https://lsnyc.legalserver.org/matter/dynamic-profile/view/1908270","19-1908270")</f>
        <v>0</v>
      </c>
      <c r="B4602" t="s">
        <v>142</v>
      </c>
      <c r="C4602" t="s">
        <v>375</v>
      </c>
      <c r="E4602" t="s">
        <v>3154</v>
      </c>
      <c r="F4602" t="s">
        <v>5884</v>
      </c>
      <c r="G4602" t="s">
        <v>9774</v>
      </c>
      <c r="H4602" t="s">
        <v>10594</v>
      </c>
      <c r="I4602" t="s">
        <v>11383</v>
      </c>
      <c r="J4602">
        <v>10467</v>
      </c>
      <c r="K4602" t="s">
        <v>11446</v>
      </c>
      <c r="L4602" t="s">
        <v>14111</v>
      </c>
      <c r="M4602" t="s">
        <v>14744</v>
      </c>
      <c r="N4602" t="s">
        <v>14781</v>
      </c>
      <c r="P4602" t="s">
        <v>14805</v>
      </c>
      <c r="Q4602" t="s">
        <v>11448</v>
      </c>
      <c r="S4602" t="s">
        <v>14827</v>
      </c>
      <c r="V4602">
        <v>1325</v>
      </c>
      <c r="W4602" t="s">
        <v>14858</v>
      </c>
      <c r="X4602" t="s">
        <v>14865</v>
      </c>
      <c r="Z4602" t="s">
        <v>18691</v>
      </c>
      <c r="AB4602" t="s">
        <v>23846</v>
      </c>
      <c r="AC4602">
        <v>49</v>
      </c>
      <c r="AD4602" t="s">
        <v>11479</v>
      </c>
      <c r="AE4602" t="s">
        <v>11459</v>
      </c>
      <c r="AF4602">
        <v>5</v>
      </c>
      <c r="AG4602">
        <v>3</v>
      </c>
      <c r="AH4602">
        <v>0</v>
      </c>
      <c r="AI4602">
        <v>170.65</v>
      </c>
      <c r="AL4602" t="s">
        <v>24632</v>
      </c>
      <c r="AM4602">
        <v>36400</v>
      </c>
      <c r="AS4602">
        <v>19.5</v>
      </c>
      <c r="AT4602" t="s">
        <v>506</v>
      </c>
      <c r="AU4602" t="s">
        <v>237</v>
      </c>
      <c r="AV4602" t="s">
        <v>25335</v>
      </c>
      <c r="AW4602" t="s">
        <v>11447</v>
      </c>
    </row>
    <row r="4603" spans="1:49">
      <c r="A4603" s="1">
        <f>HYPERLINK("https://lsnyc.legalserver.org/matter/dynamic-profile/view/1890413","19-1890413")</f>
        <v>0</v>
      </c>
      <c r="B4603" t="s">
        <v>305</v>
      </c>
      <c r="C4603" t="s">
        <v>676</v>
      </c>
      <c r="E4603" t="s">
        <v>3239</v>
      </c>
      <c r="F4603" t="s">
        <v>5885</v>
      </c>
      <c r="G4603" t="s">
        <v>9775</v>
      </c>
      <c r="H4603" t="s">
        <v>10736</v>
      </c>
      <c r="I4603" t="s">
        <v>11383</v>
      </c>
      <c r="J4603">
        <v>10457</v>
      </c>
      <c r="K4603" t="s">
        <v>11446</v>
      </c>
      <c r="L4603" t="s">
        <v>14112</v>
      </c>
      <c r="M4603" t="s">
        <v>14743</v>
      </c>
      <c r="N4603" t="s">
        <v>14781</v>
      </c>
      <c r="P4603" t="s">
        <v>14805</v>
      </c>
      <c r="Q4603" t="s">
        <v>11448</v>
      </c>
      <c r="S4603" t="s">
        <v>14827</v>
      </c>
      <c r="T4603" t="s">
        <v>14832</v>
      </c>
      <c r="V4603">
        <v>1059.78</v>
      </c>
      <c r="W4603" t="s">
        <v>14858</v>
      </c>
      <c r="X4603" t="s">
        <v>14865</v>
      </c>
      <c r="Z4603" t="s">
        <v>18692</v>
      </c>
      <c r="AB4603" t="s">
        <v>23847</v>
      </c>
      <c r="AC4603">
        <v>7</v>
      </c>
      <c r="AD4603" t="s">
        <v>24604</v>
      </c>
      <c r="AE4603" t="s">
        <v>14755</v>
      </c>
      <c r="AF4603">
        <v>15</v>
      </c>
      <c r="AG4603">
        <v>2</v>
      </c>
      <c r="AH4603">
        <v>0</v>
      </c>
      <c r="AI4603">
        <v>176.2</v>
      </c>
      <c r="AL4603" t="s">
        <v>5011</v>
      </c>
      <c r="AM4603">
        <v>29796</v>
      </c>
      <c r="AN4603" t="s">
        <v>24912</v>
      </c>
      <c r="AS4603">
        <v>52.2</v>
      </c>
      <c r="AT4603" t="s">
        <v>580</v>
      </c>
      <c r="AU4603" t="s">
        <v>25252</v>
      </c>
      <c r="AW4603" t="s">
        <v>11446</v>
      </c>
    </row>
    <row r="4604" spans="1:49">
      <c r="A4604" s="1">
        <f>HYPERLINK("https://lsnyc.legalserver.org/matter/dynamic-profile/view/1913018","19-1913018")</f>
        <v>0</v>
      </c>
      <c r="B4604" t="s">
        <v>60</v>
      </c>
      <c r="C4604" t="s">
        <v>603</v>
      </c>
      <c r="E4604" t="s">
        <v>2455</v>
      </c>
      <c r="F4604" t="s">
        <v>3685</v>
      </c>
      <c r="G4604" t="s">
        <v>9776</v>
      </c>
      <c r="H4604" t="s">
        <v>10465</v>
      </c>
      <c r="I4604" t="s">
        <v>11383</v>
      </c>
      <c r="J4604">
        <v>10467</v>
      </c>
      <c r="K4604" t="s">
        <v>11446</v>
      </c>
      <c r="L4604" t="s">
        <v>14113</v>
      </c>
      <c r="M4604" t="s">
        <v>14744</v>
      </c>
      <c r="N4604" t="s">
        <v>14781</v>
      </c>
      <c r="P4604" t="s">
        <v>14805</v>
      </c>
      <c r="Q4604" t="s">
        <v>11448</v>
      </c>
      <c r="S4604" t="s">
        <v>14827</v>
      </c>
      <c r="T4604" t="s">
        <v>14832</v>
      </c>
      <c r="V4604">
        <v>1250</v>
      </c>
      <c r="W4604" t="s">
        <v>14858</v>
      </c>
      <c r="X4604" t="s">
        <v>14873</v>
      </c>
      <c r="Z4604" t="s">
        <v>18693</v>
      </c>
      <c r="AA4604" t="s">
        <v>20002</v>
      </c>
      <c r="AB4604" t="s">
        <v>23848</v>
      </c>
      <c r="AC4604">
        <v>49</v>
      </c>
      <c r="AD4604" t="s">
        <v>24595</v>
      </c>
      <c r="AE4604" t="s">
        <v>11459</v>
      </c>
      <c r="AF4604">
        <v>-1</v>
      </c>
      <c r="AG4604">
        <v>1</v>
      </c>
      <c r="AH4604">
        <v>1</v>
      </c>
      <c r="AI4604">
        <v>177.41</v>
      </c>
      <c r="AL4604" t="s">
        <v>24632</v>
      </c>
      <c r="AM4604">
        <v>30000</v>
      </c>
      <c r="AS4604">
        <v>0.7</v>
      </c>
      <c r="AT4604" t="s">
        <v>592</v>
      </c>
      <c r="AU4604" t="s">
        <v>25311</v>
      </c>
      <c r="AV4604" t="s">
        <v>25334</v>
      </c>
      <c r="AW4604" t="s">
        <v>11447</v>
      </c>
    </row>
    <row r="4605" spans="1:49">
      <c r="A4605" s="1">
        <f>HYPERLINK("https://lsnyc.legalserver.org/matter/dynamic-profile/view/1914606","19-1914606")</f>
        <v>0</v>
      </c>
      <c r="B4605" t="s">
        <v>82</v>
      </c>
      <c r="C4605" t="s">
        <v>533</v>
      </c>
      <c r="E4605" t="s">
        <v>1176</v>
      </c>
      <c r="F4605" t="s">
        <v>3047</v>
      </c>
      <c r="G4605" t="s">
        <v>7044</v>
      </c>
      <c r="H4605" t="s">
        <v>10906</v>
      </c>
      <c r="I4605" t="s">
        <v>11383</v>
      </c>
      <c r="J4605">
        <v>10457</v>
      </c>
      <c r="K4605" t="s">
        <v>11446</v>
      </c>
      <c r="L4605" t="s">
        <v>14114</v>
      </c>
      <c r="M4605" t="s">
        <v>14744</v>
      </c>
      <c r="N4605" t="s">
        <v>14781</v>
      </c>
      <c r="P4605" t="s">
        <v>14805</v>
      </c>
      <c r="Q4605" t="s">
        <v>11448</v>
      </c>
      <c r="S4605" t="s">
        <v>14827</v>
      </c>
      <c r="V4605">
        <v>1679</v>
      </c>
      <c r="W4605" t="s">
        <v>14858</v>
      </c>
      <c r="X4605" t="s">
        <v>14865</v>
      </c>
      <c r="Z4605" t="s">
        <v>16324</v>
      </c>
      <c r="AB4605" t="s">
        <v>23849</v>
      </c>
      <c r="AC4605">
        <v>281</v>
      </c>
      <c r="AD4605" t="s">
        <v>11479</v>
      </c>
      <c r="AF4605">
        <v>12</v>
      </c>
      <c r="AG4605">
        <v>1</v>
      </c>
      <c r="AH4605">
        <v>1</v>
      </c>
      <c r="AI4605">
        <v>177.41</v>
      </c>
      <c r="AL4605" t="s">
        <v>5011</v>
      </c>
      <c r="AM4605">
        <v>30000</v>
      </c>
      <c r="AS4605">
        <v>1</v>
      </c>
      <c r="AT4605" t="s">
        <v>516</v>
      </c>
      <c r="AU4605" t="s">
        <v>237</v>
      </c>
      <c r="AV4605" t="s">
        <v>25335</v>
      </c>
      <c r="AW4605" t="s">
        <v>11447</v>
      </c>
    </row>
    <row r="4606" spans="1:49">
      <c r="A4606" s="1">
        <f>HYPERLINK("https://lsnyc.legalserver.org/matter/dynamic-profile/view/1910443","19-1910443")</f>
        <v>0</v>
      </c>
      <c r="B4606" t="s">
        <v>201</v>
      </c>
      <c r="C4606" t="s">
        <v>412</v>
      </c>
      <c r="E4606" t="s">
        <v>2049</v>
      </c>
      <c r="F4606" t="s">
        <v>5819</v>
      </c>
      <c r="G4606" t="s">
        <v>9777</v>
      </c>
      <c r="H4606" t="s">
        <v>11107</v>
      </c>
      <c r="I4606" t="s">
        <v>11383</v>
      </c>
      <c r="J4606">
        <v>10457</v>
      </c>
      <c r="K4606" t="s">
        <v>11446</v>
      </c>
      <c r="L4606" t="s">
        <v>14115</v>
      </c>
      <c r="M4606" t="s">
        <v>14744</v>
      </c>
      <c r="N4606" t="s">
        <v>14781</v>
      </c>
      <c r="P4606" t="s">
        <v>14805</v>
      </c>
      <c r="Q4606" t="s">
        <v>11448</v>
      </c>
      <c r="S4606" t="s">
        <v>14827</v>
      </c>
      <c r="V4606">
        <v>1665</v>
      </c>
      <c r="W4606" t="s">
        <v>14858</v>
      </c>
      <c r="X4606" t="s">
        <v>14865</v>
      </c>
      <c r="Z4606" t="s">
        <v>18694</v>
      </c>
      <c r="AB4606" t="s">
        <v>23850</v>
      </c>
      <c r="AC4606">
        <v>166</v>
      </c>
      <c r="AD4606" t="s">
        <v>11479</v>
      </c>
      <c r="AE4606" t="s">
        <v>11459</v>
      </c>
      <c r="AF4606">
        <v>1</v>
      </c>
      <c r="AG4606">
        <v>2</v>
      </c>
      <c r="AH4606">
        <v>2</v>
      </c>
      <c r="AI4606">
        <v>179.57</v>
      </c>
      <c r="AL4606" t="s">
        <v>5011</v>
      </c>
      <c r="AM4606">
        <v>46240</v>
      </c>
      <c r="AS4606">
        <v>10.4</v>
      </c>
      <c r="AT4606" t="s">
        <v>537</v>
      </c>
      <c r="AU4606" t="s">
        <v>237</v>
      </c>
      <c r="AV4606" t="s">
        <v>25335</v>
      </c>
      <c r="AW4606" t="s">
        <v>11447</v>
      </c>
    </row>
    <row r="4607" spans="1:49">
      <c r="A4607" s="1">
        <f>HYPERLINK("https://lsnyc.legalserver.org/matter/dynamic-profile/view/1913200","19-1913200")</f>
        <v>0</v>
      </c>
      <c r="B4607" t="s">
        <v>143</v>
      </c>
      <c r="C4607" t="s">
        <v>515</v>
      </c>
      <c r="E4607" t="s">
        <v>3240</v>
      </c>
      <c r="F4607" t="s">
        <v>3623</v>
      </c>
      <c r="G4607" t="s">
        <v>9778</v>
      </c>
      <c r="H4607" t="s">
        <v>10460</v>
      </c>
      <c r="I4607" t="s">
        <v>11383</v>
      </c>
      <c r="J4607">
        <v>10468</v>
      </c>
      <c r="K4607" t="s">
        <v>11446</v>
      </c>
      <c r="L4607" t="s">
        <v>14116</v>
      </c>
      <c r="M4607" t="s">
        <v>14744</v>
      </c>
      <c r="N4607" t="s">
        <v>14781</v>
      </c>
      <c r="P4607" t="s">
        <v>14805</v>
      </c>
      <c r="Q4607" t="s">
        <v>11448</v>
      </c>
      <c r="S4607" t="s">
        <v>14827</v>
      </c>
      <c r="V4607">
        <v>978</v>
      </c>
      <c r="W4607" t="s">
        <v>14858</v>
      </c>
      <c r="X4607" t="s">
        <v>14873</v>
      </c>
      <c r="Z4607" t="s">
        <v>18695</v>
      </c>
      <c r="AB4607" t="s">
        <v>23851</v>
      </c>
      <c r="AC4607">
        <v>44</v>
      </c>
      <c r="AD4607" t="s">
        <v>11479</v>
      </c>
      <c r="AE4607" t="s">
        <v>11459</v>
      </c>
      <c r="AF4607">
        <v>6</v>
      </c>
      <c r="AG4607">
        <v>2</v>
      </c>
      <c r="AH4607">
        <v>1</v>
      </c>
      <c r="AI4607">
        <v>180.03</v>
      </c>
      <c r="AL4607" t="s">
        <v>5011</v>
      </c>
      <c r="AM4607">
        <v>38400</v>
      </c>
      <c r="AS4607">
        <v>3.5</v>
      </c>
      <c r="AT4607" t="s">
        <v>516</v>
      </c>
      <c r="AU4607" t="s">
        <v>25252</v>
      </c>
      <c r="AV4607" t="s">
        <v>25335</v>
      </c>
      <c r="AW4607" t="s">
        <v>11447</v>
      </c>
    </row>
    <row r="4608" spans="1:49">
      <c r="A4608" s="1">
        <f>HYPERLINK("https://lsnyc.legalserver.org/matter/dynamic-profile/view/1913187","19-1913187")</f>
        <v>0</v>
      </c>
      <c r="B4608" t="s">
        <v>298</v>
      </c>
      <c r="C4608" t="s">
        <v>571</v>
      </c>
      <c r="E4608" t="s">
        <v>3241</v>
      </c>
      <c r="F4608" t="s">
        <v>5886</v>
      </c>
      <c r="G4608" t="s">
        <v>9779</v>
      </c>
      <c r="H4608" t="s">
        <v>10464</v>
      </c>
      <c r="I4608" t="s">
        <v>11383</v>
      </c>
      <c r="J4608">
        <v>10468</v>
      </c>
      <c r="K4608" t="s">
        <v>11446</v>
      </c>
      <c r="L4608" t="s">
        <v>14117</v>
      </c>
      <c r="M4608" t="s">
        <v>14744</v>
      </c>
      <c r="P4608" t="s">
        <v>14805</v>
      </c>
      <c r="Q4608" t="s">
        <v>11448</v>
      </c>
      <c r="S4608" t="s">
        <v>14827</v>
      </c>
      <c r="V4608">
        <v>1352</v>
      </c>
      <c r="W4608" t="s">
        <v>14858</v>
      </c>
      <c r="X4608" t="s">
        <v>14873</v>
      </c>
      <c r="Z4608" t="s">
        <v>18696</v>
      </c>
      <c r="AB4608" t="s">
        <v>23852</v>
      </c>
      <c r="AC4608">
        <v>30</v>
      </c>
      <c r="AD4608" t="s">
        <v>11479</v>
      </c>
      <c r="AF4608">
        <v>9</v>
      </c>
      <c r="AG4608">
        <v>2</v>
      </c>
      <c r="AH4608">
        <v>3</v>
      </c>
      <c r="AI4608">
        <v>182.3</v>
      </c>
      <c r="AL4608" t="s">
        <v>24632</v>
      </c>
      <c r="AM4608">
        <v>55000</v>
      </c>
      <c r="AS4608">
        <v>4.75</v>
      </c>
      <c r="AT4608" t="s">
        <v>509</v>
      </c>
      <c r="AU4608" t="s">
        <v>25252</v>
      </c>
      <c r="AV4608" t="s">
        <v>25335</v>
      </c>
      <c r="AW4608" t="s">
        <v>11447</v>
      </c>
    </row>
    <row r="4609" spans="1:49">
      <c r="A4609" s="1">
        <f>HYPERLINK("https://lsnyc.legalserver.org/matter/dynamic-profile/view/1913961","19-1913961")</f>
        <v>0</v>
      </c>
      <c r="B4609" t="s">
        <v>134</v>
      </c>
      <c r="C4609" t="s">
        <v>490</v>
      </c>
      <c r="E4609" t="s">
        <v>1423</v>
      </c>
      <c r="F4609" t="s">
        <v>5887</v>
      </c>
      <c r="G4609" t="s">
        <v>9780</v>
      </c>
      <c r="H4609" t="s">
        <v>11278</v>
      </c>
      <c r="I4609" t="s">
        <v>11383</v>
      </c>
      <c r="J4609">
        <v>10462</v>
      </c>
      <c r="K4609" t="s">
        <v>11446</v>
      </c>
      <c r="L4609" t="s">
        <v>14118</v>
      </c>
      <c r="M4609" t="s">
        <v>14744</v>
      </c>
      <c r="P4609" t="s">
        <v>14805</v>
      </c>
      <c r="Q4609" t="s">
        <v>11448</v>
      </c>
      <c r="S4609" t="s">
        <v>14827</v>
      </c>
      <c r="V4609">
        <v>1400</v>
      </c>
      <c r="W4609" t="s">
        <v>14858</v>
      </c>
      <c r="X4609" t="s">
        <v>14865</v>
      </c>
      <c r="Z4609" t="s">
        <v>18697</v>
      </c>
      <c r="AB4609" t="s">
        <v>23853</v>
      </c>
      <c r="AC4609">
        <v>15</v>
      </c>
      <c r="AD4609" t="s">
        <v>11479</v>
      </c>
      <c r="AF4609">
        <v>1</v>
      </c>
      <c r="AG4609">
        <v>1</v>
      </c>
      <c r="AH4609">
        <v>1</v>
      </c>
      <c r="AI4609">
        <v>184.51</v>
      </c>
      <c r="AL4609" t="s">
        <v>5011</v>
      </c>
      <c r="AM4609">
        <v>31200</v>
      </c>
      <c r="AS4609">
        <v>6</v>
      </c>
      <c r="AT4609" t="s">
        <v>521</v>
      </c>
      <c r="AU4609" t="s">
        <v>25239</v>
      </c>
      <c r="AV4609" t="s">
        <v>25335</v>
      </c>
      <c r="AW4609" t="s">
        <v>11447</v>
      </c>
    </row>
    <row r="4610" spans="1:49">
      <c r="A4610" s="1">
        <f>HYPERLINK("https://lsnyc.legalserver.org/matter/dynamic-profile/view/1910714","19-1910714")</f>
        <v>0</v>
      </c>
      <c r="B4610" t="s">
        <v>257</v>
      </c>
      <c r="C4610" t="s">
        <v>663</v>
      </c>
      <c r="E4610" t="s">
        <v>3242</v>
      </c>
      <c r="F4610" t="s">
        <v>3797</v>
      </c>
      <c r="G4610" t="s">
        <v>7044</v>
      </c>
      <c r="H4610" t="s">
        <v>10855</v>
      </c>
      <c r="I4610" t="s">
        <v>11383</v>
      </c>
      <c r="J4610">
        <v>10457</v>
      </c>
      <c r="K4610" t="s">
        <v>11446</v>
      </c>
      <c r="L4610" t="s">
        <v>14119</v>
      </c>
      <c r="M4610" t="s">
        <v>14744</v>
      </c>
      <c r="N4610" t="s">
        <v>14781</v>
      </c>
      <c r="P4610" t="s">
        <v>14805</v>
      </c>
      <c r="Q4610" t="s">
        <v>14816</v>
      </c>
      <c r="S4610" t="s">
        <v>14827</v>
      </c>
      <c r="T4610" t="s">
        <v>14832</v>
      </c>
      <c r="V4610">
        <v>1108</v>
      </c>
      <c r="W4610" t="s">
        <v>14858</v>
      </c>
      <c r="X4610" t="s">
        <v>14865</v>
      </c>
      <c r="Z4610" t="s">
        <v>15105</v>
      </c>
      <c r="AB4610" t="s">
        <v>23854</v>
      </c>
      <c r="AC4610">
        <v>281</v>
      </c>
      <c r="AD4610" t="s">
        <v>24605</v>
      </c>
      <c r="AE4610" t="s">
        <v>14755</v>
      </c>
      <c r="AF4610">
        <v>9</v>
      </c>
      <c r="AG4610">
        <v>3</v>
      </c>
      <c r="AH4610">
        <v>0</v>
      </c>
      <c r="AI4610">
        <v>187.4</v>
      </c>
      <c r="AM4610">
        <v>39972.52</v>
      </c>
      <c r="AS4610">
        <v>5.5</v>
      </c>
      <c r="AT4610" t="s">
        <v>654</v>
      </c>
      <c r="AU4610" t="s">
        <v>257</v>
      </c>
      <c r="AV4610" t="s">
        <v>25335</v>
      </c>
      <c r="AW4610" t="s">
        <v>11447</v>
      </c>
    </row>
    <row r="4611" spans="1:49">
      <c r="A4611" s="1">
        <f>HYPERLINK("https://lsnyc.legalserver.org/matter/dynamic-profile/view/1915442","19-1915442")</f>
        <v>0</v>
      </c>
      <c r="B4611" t="s">
        <v>143</v>
      </c>
      <c r="C4611" t="s">
        <v>654</v>
      </c>
      <c r="E4611" t="s">
        <v>3243</v>
      </c>
      <c r="F4611" t="s">
        <v>3769</v>
      </c>
      <c r="G4611" t="s">
        <v>7070</v>
      </c>
      <c r="H4611" t="s">
        <v>10787</v>
      </c>
      <c r="I4611" t="s">
        <v>11383</v>
      </c>
      <c r="J4611">
        <v>10457</v>
      </c>
      <c r="K4611" t="s">
        <v>11447</v>
      </c>
      <c r="P4611" t="s">
        <v>14805</v>
      </c>
      <c r="S4611" t="s">
        <v>14827</v>
      </c>
      <c r="V4611">
        <v>0</v>
      </c>
      <c r="W4611" t="s">
        <v>14858</v>
      </c>
      <c r="Z4611" t="s">
        <v>17067</v>
      </c>
      <c r="AB4611" t="s">
        <v>23855</v>
      </c>
      <c r="AC4611">
        <v>0</v>
      </c>
      <c r="AF4611">
        <v>0</v>
      </c>
      <c r="AG4611">
        <v>3</v>
      </c>
      <c r="AH4611">
        <v>0</v>
      </c>
      <c r="AI4611">
        <v>191.75</v>
      </c>
      <c r="AL4611" t="s">
        <v>24632</v>
      </c>
      <c r="AM4611">
        <v>40900</v>
      </c>
      <c r="AS4611">
        <v>4.5</v>
      </c>
      <c r="AT4611" t="s">
        <v>592</v>
      </c>
      <c r="AU4611" t="s">
        <v>143</v>
      </c>
      <c r="AW4611" t="s">
        <v>11447</v>
      </c>
    </row>
    <row r="4612" spans="1:49">
      <c r="A4612" s="1">
        <f>HYPERLINK("https://lsnyc.legalserver.org/matter/dynamic-profile/view/1900929","19-1900929")</f>
        <v>0</v>
      </c>
      <c r="B4612" t="s">
        <v>143</v>
      </c>
      <c r="C4612" t="s">
        <v>530</v>
      </c>
      <c r="E4612" t="s">
        <v>1703</v>
      </c>
      <c r="F4612" t="s">
        <v>4360</v>
      </c>
      <c r="G4612" t="s">
        <v>7678</v>
      </c>
      <c r="H4612">
        <v>20</v>
      </c>
      <c r="I4612" t="s">
        <v>11383</v>
      </c>
      <c r="J4612">
        <v>10460</v>
      </c>
      <c r="K4612" t="s">
        <v>11447</v>
      </c>
      <c r="L4612" t="s">
        <v>14120</v>
      </c>
      <c r="M4612" t="s">
        <v>14744</v>
      </c>
      <c r="N4612" t="s">
        <v>14781</v>
      </c>
      <c r="P4612" t="s">
        <v>14805</v>
      </c>
      <c r="Q4612" t="s">
        <v>11448</v>
      </c>
      <c r="S4612" t="s">
        <v>14830</v>
      </c>
      <c r="T4612" t="s">
        <v>14832</v>
      </c>
      <c r="V4612">
        <v>1334</v>
      </c>
      <c r="W4612" t="s">
        <v>14858</v>
      </c>
      <c r="X4612" t="s">
        <v>14868</v>
      </c>
      <c r="Z4612" t="s">
        <v>18698</v>
      </c>
      <c r="AB4612" t="s">
        <v>23856</v>
      </c>
      <c r="AC4612">
        <v>298</v>
      </c>
      <c r="AD4612" t="s">
        <v>24596</v>
      </c>
      <c r="AF4612">
        <v>0</v>
      </c>
      <c r="AG4612">
        <v>2</v>
      </c>
      <c r="AH4612">
        <v>0</v>
      </c>
      <c r="AI4612">
        <v>195.15</v>
      </c>
      <c r="AL4612" t="s">
        <v>5011</v>
      </c>
      <c r="AM4612">
        <v>33000</v>
      </c>
      <c r="AN4612" t="s">
        <v>24913</v>
      </c>
      <c r="AS4612">
        <v>14.4</v>
      </c>
      <c r="AT4612" t="s">
        <v>521</v>
      </c>
      <c r="AU4612" t="s">
        <v>143</v>
      </c>
      <c r="AW4612" t="s">
        <v>11447</v>
      </c>
    </row>
    <row r="4613" spans="1:49">
      <c r="A4613" s="1">
        <f>HYPERLINK("https://lsnyc.legalserver.org/matter/dynamic-profile/view/1913934","19-1913934")</f>
        <v>0</v>
      </c>
      <c r="B4613" t="s">
        <v>134</v>
      </c>
      <c r="C4613" t="s">
        <v>490</v>
      </c>
      <c r="E4613" t="s">
        <v>3244</v>
      </c>
      <c r="F4613" t="s">
        <v>4922</v>
      </c>
      <c r="G4613" t="s">
        <v>9655</v>
      </c>
      <c r="H4613">
        <v>402</v>
      </c>
      <c r="I4613" t="s">
        <v>11383</v>
      </c>
      <c r="J4613">
        <v>10457</v>
      </c>
      <c r="K4613" t="s">
        <v>11446</v>
      </c>
      <c r="L4613" t="s">
        <v>14121</v>
      </c>
      <c r="M4613" t="s">
        <v>14744</v>
      </c>
      <c r="P4613" t="s">
        <v>14805</v>
      </c>
      <c r="Q4613" t="s">
        <v>11448</v>
      </c>
      <c r="S4613" t="s">
        <v>14827</v>
      </c>
      <c r="V4613">
        <v>1017</v>
      </c>
      <c r="W4613" t="s">
        <v>14858</v>
      </c>
      <c r="X4613" t="s">
        <v>14873</v>
      </c>
      <c r="Z4613" t="s">
        <v>18699</v>
      </c>
      <c r="AB4613" t="s">
        <v>23857</v>
      </c>
      <c r="AC4613">
        <v>281</v>
      </c>
      <c r="AD4613" t="s">
        <v>11479</v>
      </c>
      <c r="AE4613" t="s">
        <v>11459</v>
      </c>
      <c r="AF4613">
        <v>5</v>
      </c>
      <c r="AG4613">
        <v>1</v>
      </c>
      <c r="AH4613">
        <v>2</v>
      </c>
      <c r="AI4613">
        <v>195.97</v>
      </c>
      <c r="AL4613" t="s">
        <v>5011</v>
      </c>
      <c r="AM4613">
        <v>41800</v>
      </c>
      <c r="AS4613">
        <v>1.5</v>
      </c>
      <c r="AT4613" t="s">
        <v>490</v>
      </c>
      <c r="AU4613" t="s">
        <v>25252</v>
      </c>
      <c r="AV4613" t="s">
        <v>25335</v>
      </c>
      <c r="AW4613" t="s">
        <v>11447</v>
      </c>
    </row>
    <row r="4614" spans="1:49">
      <c r="A4614" s="1">
        <f>HYPERLINK("https://lsnyc.legalserver.org/matter/dynamic-profile/view/1913921","19-1913921")</f>
        <v>0</v>
      </c>
      <c r="B4614" t="s">
        <v>297</v>
      </c>
      <c r="C4614" t="s">
        <v>490</v>
      </c>
      <c r="E4614" t="s">
        <v>3245</v>
      </c>
      <c r="F4614" t="s">
        <v>5888</v>
      </c>
      <c r="G4614" t="s">
        <v>9781</v>
      </c>
      <c r="I4614" t="s">
        <v>11383</v>
      </c>
      <c r="J4614">
        <v>10457</v>
      </c>
      <c r="K4614" t="s">
        <v>11446</v>
      </c>
      <c r="L4614" t="s">
        <v>14122</v>
      </c>
      <c r="M4614" t="s">
        <v>14744</v>
      </c>
      <c r="N4614" t="s">
        <v>14781</v>
      </c>
      <c r="P4614" t="s">
        <v>14805</v>
      </c>
      <c r="Q4614" t="s">
        <v>11448</v>
      </c>
      <c r="S4614" t="s">
        <v>14827</v>
      </c>
      <c r="V4614">
        <v>1232</v>
      </c>
      <c r="W4614" t="s">
        <v>14858</v>
      </c>
      <c r="X4614" t="s">
        <v>14863</v>
      </c>
      <c r="Z4614" t="s">
        <v>18700</v>
      </c>
      <c r="AB4614" t="s">
        <v>23858</v>
      </c>
      <c r="AC4614">
        <v>66</v>
      </c>
      <c r="AE4614" t="s">
        <v>11459</v>
      </c>
      <c r="AF4614">
        <v>8</v>
      </c>
      <c r="AG4614">
        <v>2</v>
      </c>
      <c r="AH4614">
        <v>1</v>
      </c>
      <c r="AI4614">
        <v>196.91</v>
      </c>
      <c r="AM4614">
        <v>42000</v>
      </c>
      <c r="AS4614">
        <v>0.75</v>
      </c>
      <c r="AT4614" t="s">
        <v>495</v>
      </c>
      <c r="AU4614" t="s">
        <v>25242</v>
      </c>
      <c r="AV4614" t="s">
        <v>25335</v>
      </c>
      <c r="AW4614" t="s">
        <v>11447</v>
      </c>
    </row>
    <row r="4615" spans="1:49">
      <c r="A4615" s="1">
        <f>HYPERLINK("https://lsnyc.legalserver.org/matter/dynamic-profile/view/1908502","19-1908502")</f>
        <v>0</v>
      </c>
      <c r="B4615" t="s">
        <v>142</v>
      </c>
      <c r="C4615" t="s">
        <v>524</v>
      </c>
      <c r="E4615" t="s">
        <v>3246</v>
      </c>
      <c r="F4615" t="s">
        <v>3686</v>
      </c>
      <c r="G4615" t="s">
        <v>9782</v>
      </c>
      <c r="H4615" t="s">
        <v>10481</v>
      </c>
      <c r="I4615" t="s">
        <v>11383</v>
      </c>
      <c r="J4615">
        <v>10468</v>
      </c>
      <c r="K4615" t="s">
        <v>11446</v>
      </c>
      <c r="L4615" t="s">
        <v>14123</v>
      </c>
      <c r="M4615" t="s">
        <v>14744</v>
      </c>
      <c r="N4615" t="s">
        <v>14781</v>
      </c>
      <c r="P4615" t="s">
        <v>14805</v>
      </c>
      <c r="Q4615" t="s">
        <v>11448</v>
      </c>
      <c r="S4615" t="s">
        <v>14827</v>
      </c>
      <c r="V4615">
        <v>1408</v>
      </c>
      <c r="W4615" t="s">
        <v>14858</v>
      </c>
      <c r="X4615" t="s">
        <v>14865</v>
      </c>
      <c r="Z4615" t="s">
        <v>18701</v>
      </c>
      <c r="AB4615" t="s">
        <v>23859</v>
      </c>
      <c r="AC4615">
        <v>66</v>
      </c>
      <c r="AD4615" t="s">
        <v>24595</v>
      </c>
      <c r="AE4615" t="s">
        <v>11459</v>
      </c>
      <c r="AF4615">
        <v>5</v>
      </c>
      <c r="AG4615">
        <v>2</v>
      </c>
      <c r="AH4615">
        <v>3</v>
      </c>
      <c r="AI4615">
        <v>208.82</v>
      </c>
      <c r="AL4615" t="s">
        <v>5011</v>
      </c>
      <c r="AM4615">
        <v>63000</v>
      </c>
      <c r="AS4615">
        <v>6</v>
      </c>
      <c r="AT4615" t="s">
        <v>537</v>
      </c>
      <c r="AU4615" t="s">
        <v>237</v>
      </c>
      <c r="AV4615" t="s">
        <v>25334</v>
      </c>
      <c r="AW4615" t="s">
        <v>11447</v>
      </c>
    </row>
    <row r="4616" spans="1:49">
      <c r="A4616" s="1">
        <f>HYPERLINK("https://lsnyc.legalserver.org/matter/dynamic-profile/view/1912511","19-1912511")</f>
        <v>0</v>
      </c>
      <c r="B4616" t="s">
        <v>257</v>
      </c>
      <c r="C4616" t="s">
        <v>489</v>
      </c>
      <c r="E4616" t="s">
        <v>2455</v>
      </c>
      <c r="F4616" t="s">
        <v>5889</v>
      </c>
      <c r="G4616" t="s">
        <v>9678</v>
      </c>
      <c r="H4616" t="s">
        <v>10638</v>
      </c>
      <c r="I4616" t="s">
        <v>11383</v>
      </c>
      <c r="J4616">
        <v>10457</v>
      </c>
      <c r="K4616" t="s">
        <v>11446</v>
      </c>
      <c r="L4616" t="s">
        <v>14124</v>
      </c>
      <c r="M4616" t="s">
        <v>14744</v>
      </c>
      <c r="N4616" t="s">
        <v>14781</v>
      </c>
      <c r="P4616" t="s">
        <v>14805</v>
      </c>
      <c r="Q4616" t="s">
        <v>11448</v>
      </c>
      <c r="S4616" t="s">
        <v>14827</v>
      </c>
      <c r="T4616" t="s">
        <v>14832</v>
      </c>
      <c r="V4616">
        <v>811</v>
      </c>
      <c r="W4616" t="s">
        <v>14858</v>
      </c>
      <c r="X4616" t="s">
        <v>14865</v>
      </c>
      <c r="Z4616" t="s">
        <v>17114</v>
      </c>
      <c r="AB4616" t="s">
        <v>23860</v>
      </c>
      <c r="AC4616">
        <v>97</v>
      </c>
      <c r="AD4616" t="s">
        <v>24595</v>
      </c>
      <c r="AE4616" t="s">
        <v>24610</v>
      </c>
      <c r="AF4616">
        <v>11</v>
      </c>
      <c r="AG4616">
        <v>1</v>
      </c>
      <c r="AH4616">
        <v>1</v>
      </c>
      <c r="AI4616">
        <v>209.93</v>
      </c>
      <c r="AL4616" t="s">
        <v>5011</v>
      </c>
      <c r="AM4616">
        <v>35500</v>
      </c>
      <c r="AN4616" t="s">
        <v>24880</v>
      </c>
      <c r="AS4616">
        <v>4.4</v>
      </c>
      <c r="AT4616" t="s">
        <v>654</v>
      </c>
      <c r="AU4616" t="s">
        <v>25252</v>
      </c>
      <c r="AV4616" t="s">
        <v>25335</v>
      </c>
      <c r="AW4616" t="s">
        <v>11447</v>
      </c>
    </row>
    <row r="4617" spans="1:49">
      <c r="A4617" s="1">
        <f>HYPERLINK("https://lsnyc.legalserver.org/matter/dynamic-profile/view/1914201","19-1914201")</f>
        <v>0</v>
      </c>
      <c r="B4617" t="s">
        <v>298</v>
      </c>
      <c r="C4617" t="s">
        <v>539</v>
      </c>
      <c r="E4617" t="s">
        <v>2786</v>
      </c>
      <c r="F4617" t="s">
        <v>5890</v>
      </c>
      <c r="G4617" t="s">
        <v>9783</v>
      </c>
      <c r="H4617" t="s">
        <v>10523</v>
      </c>
      <c r="I4617" t="s">
        <v>11383</v>
      </c>
      <c r="J4617">
        <v>10462</v>
      </c>
      <c r="K4617" t="s">
        <v>11446</v>
      </c>
      <c r="L4617" t="s">
        <v>14125</v>
      </c>
      <c r="M4617" t="s">
        <v>14744</v>
      </c>
      <c r="P4617" t="s">
        <v>14805</v>
      </c>
      <c r="Q4617" t="s">
        <v>11448</v>
      </c>
      <c r="S4617" t="s">
        <v>14827</v>
      </c>
      <c r="V4617">
        <v>1000</v>
      </c>
      <c r="W4617" t="s">
        <v>14858</v>
      </c>
      <c r="X4617" t="s">
        <v>14863</v>
      </c>
      <c r="Z4617" t="s">
        <v>18702</v>
      </c>
      <c r="AB4617" t="s">
        <v>23861</v>
      </c>
      <c r="AC4617">
        <v>3857</v>
      </c>
      <c r="AD4617" t="s">
        <v>11479</v>
      </c>
      <c r="AE4617" t="s">
        <v>11459</v>
      </c>
      <c r="AF4617">
        <v>2</v>
      </c>
      <c r="AG4617">
        <v>1</v>
      </c>
      <c r="AH4617">
        <v>2</v>
      </c>
      <c r="AI4617">
        <v>210.97</v>
      </c>
      <c r="AL4617" t="s">
        <v>5011</v>
      </c>
      <c r="AM4617">
        <v>45000</v>
      </c>
      <c r="AN4617" t="s">
        <v>24914</v>
      </c>
      <c r="AS4617">
        <v>1.95</v>
      </c>
      <c r="AT4617" t="s">
        <v>516</v>
      </c>
      <c r="AU4617" t="s">
        <v>25252</v>
      </c>
      <c r="AV4617" t="s">
        <v>25335</v>
      </c>
      <c r="AW4617" t="s">
        <v>11447</v>
      </c>
    </row>
    <row r="4618" spans="1:49">
      <c r="A4618" s="1">
        <f>HYPERLINK("https://lsnyc.legalserver.org/matter/dynamic-profile/view/1913473","19-1913473")</f>
        <v>0</v>
      </c>
      <c r="B4618" t="s">
        <v>96</v>
      </c>
      <c r="C4618" t="s">
        <v>484</v>
      </c>
      <c r="E4618" t="s">
        <v>3247</v>
      </c>
      <c r="F4618" t="s">
        <v>5891</v>
      </c>
      <c r="G4618" t="s">
        <v>6865</v>
      </c>
      <c r="H4618" t="s">
        <v>10474</v>
      </c>
      <c r="I4618" t="s">
        <v>11383</v>
      </c>
      <c r="J4618">
        <v>10467</v>
      </c>
      <c r="K4618" t="s">
        <v>11446</v>
      </c>
      <c r="L4618" t="s">
        <v>14126</v>
      </c>
      <c r="M4618" t="s">
        <v>14744</v>
      </c>
      <c r="N4618" t="s">
        <v>14781</v>
      </c>
      <c r="P4618" t="s">
        <v>14805</v>
      </c>
      <c r="Q4618" t="s">
        <v>11448</v>
      </c>
      <c r="S4618" t="s">
        <v>14827</v>
      </c>
      <c r="T4618" t="s">
        <v>14832</v>
      </c>
      <c r="V4618">
        <v>1072.71</v>
      </c>
      <c r="W4618" t="s">
        <v>14858</v>
      </c>
      <c r="X4618" t="s">
        <v>14863</v>
      </c>
      <c r="Z4618" t="s">
        <v>18703</v>
      </c>
      <c r="AB4618" t="s">
        <v>23862</v>
      </c>
      <c r="AC4618">
        <v>91</v>
      </c>
      <c r="AD4618" t="s">
        <v>24595</v>
      </c>
      <c r="AE4618" t="s">
        <v>11459</v>
      </c>
      <c r="AF4618">
        <v>20</v>
      </c>
      <c r="AG4618">
        <v>2</v>
      </c>
      <c r="AH4618">
        <v>0</v>
      </c>
      <c r="AI4618">
        <v>212.89</v>
      </c>
      <c r="AL4618" t="s">
        <v>5011</v>
      </c>
      <c r="AM4618">
        <v>36000</v>
      </c>
      <c r="AN4618" t="s">
        <v>24915</v>
      </c>
      <c r="AS4618">
        <v>1.7</v>
      </c>
      <c r="AT4618" t="s">
        <v>491</v>
      </c>
      <c r="AU4618" t="s">
        <v>245</v>
      </c>
      <c r="AV4618" t="s">
        <v>25335</v>
      </c>
      <c r="AW4618" t="s">
        <v>11447</v>
      </c>
    </row>
    <row r="4619" spans="1:49">
      <c r="A4619" s="1">
        <f>HYPERLINK("https://lsnyc.legalserver.org/matter/dynamic-profile/view/1914274","19-1914274")</f>
        <v>0</v>
      </c>
      <c r="B4619" t="s">
        <v>130</v>
      </c>
      <c r="C4619" t="s">
        <v>539</v>
      </c>
      <c r="E4619" t="s">
        <v>1171</v>
      </c>
      <c r="F4619" t="s">
        <v>5892</v>
      </c>
      <c r="G4619" t="s">
        <v>9784</v>
      </c>
      <c r="H4619">
        <v>3</v>
      </c>
      <c r="I4619" t="s">
        <v>11383</v>
      </c>
      <c r="J4619">
        <v>10468</v>
      </c>
      <c r="K4619" t="s">
        <v>11446</v>
      </c>
      <c r="L4619" t="s">
        <v>14127</v>
      </c>
      <c r="M4619" t="s">
        <v>14743</v>
      </c>
      <c r="P4619" t="s">
        <v>14805</v>
      </c>
      <c r="Q4619" t="s">
        <v>11448</v>
      </c>
      <c r="S4619" t="s">
        <v>14827</v>
      </c>
      <c r="V4619">
        <v>2074</v>
      </c>
      <c r="W4619" t="s">
        <v>14858</v>
      </c>
      <c r="X4619" t="s">
        <v>14863</v>
      </c>
      <c r="Z4619" t="s">
        <v>18704</v>
      </c>
      <c r="AB4619" t="s">
        <v>23863</v>
      </c>
      <c r="AC4619">
        <v>43</v>
      </c>
      <c r="AD4619" t="s">
        <v>24595</v>
      </c>
      <c r="AE4619" t="s">
        <v>11459</v>
      </c>
      <c r="AF4619">
        <v>7</v>
      </c>
      <c r="AG4619">
        <v>3</v>
      </c>
      <c r="AH4619">
        <v>0</v>
      </c>
      <c r="AI4619">
        <v>218.96</v>
      </c>
      <c r="AL4619" t="s">
        <v>5011</v>
      </c>
      <c r="AM4619">
        <v>46704</v>
      </c>
      <c r="AS4619">
        <v>1.5</v>
      </c>
      <c r="AT4619" t="s">
        <v>592</v>
      </c>
      <c r="AU4619" t="s">
        <v>245</v>
      </c>
      <c r="AW4619" t="s">
        <v>11447</v>
      </c>
    </row>
    <row r="4620" spans="1:49">
      <c r="A4620" s="1">
        <f>HYPERLINK("https://lsnyc.legalserver.org/matter/dynamic-profile/view/1914535","19-1914535")</f>
        <v>0</v>
      </c>
      <c r="B4620" t="s">
        <v>130</v>
      </c>
      <c r="C4620" t="s">
        <v>478</v>
      </c>
      <c r="E4620" t="s">
        <v>3248</v>
      </c>
      <c r="F4620" t="s">
        <v>5893</v>
      </c>
      <c r="G4620" t="s">
        <v>9785</v>
      </c>
      <c r="H4620">
        <v>420</v>
      </c>
      <c r="I4620" t="s">
        <v>11383</v>
      </c>
      <c r="J4620">
        <v>10452</v>
      </c>
      <c r="K4620" t="s">
        <v>11446</v>
      </c>
      <c r="L4620" t="s">
        <v>14128</v>
      </c>
      <c r="M4620" t="s">
        <v>14743</v>
      </c>
      <c r="P4620" t="s">
        <v>14805</v>
      </c>
      <c r="Q4620" t="s">
        <v>11448</v>
      </c>
      <c r="S4620" t="s">
        <v>14827</v>
      </c>
      <c r="V4620">
        <v>770.89</v>
      </c>
      <c r="W4620" t="s">
        <v>14858</v>
      </c>
      <c r="X4620" t="s">
        <v>14863</v>
      </c>
      <c r="Z4620" t="s">
        <v>18705</v>
      </c>
      <c r="AB4620" t="s">
        <v>23864</v>
      </c>
      <c r="AC4620">
        <v>109</v>
      </c>
      <c r="AD4620" t="s">
        <v>11479</v>
      </c>
      <c r="AE4620" t="s">
        <v>11459</v>
      </c>
      <c r="AF4620">
        <v>17</v>
      </c>
      <c r="AG4620">
        <v>1</v>
      </c>
      <c r="AH4620">
        <v>1</v>
      </c>
      <c r="AI4620">
        <v>222.02</v>
      </c>
      <c r="AL4620" t="s">
        <v>24632</v>
      </c>
      <c r="AM4620">
        <v>37544</v>
      </c>
      <c r="AS4620">
        <v>3.5</v>
      </c>
      <c r="AT4620" t="s">
        <v>495</v>
      </c>
      <c r="AU4620" t="s">
        <v>245</v>
      </c>
      <c r="AW4620" t="s">
        <v>11447</v>
      </c>
    </row>
    <row r="4621" spans="1:49">
      <c r="A4621" s="1">
        <f>HYPERLINK("https://lsnyc.legalserver.org/matter/dynamic-profile/view/1910007","19-1910007")</f>
        <v>0</v>
      </c>
      <c r="B4621" t="s">
        <v>157</v>
      </c>
      <c r="C4621" t="s">
        <v>468</v>
      </c>
      <c r="E4621" t="s">
        <v>3249</v>
      </c>
      <c r="F4621" t="s">
        <v>5894</v>
      </c>
      <c r="G4621" t="s">
        <v>7012</v>
      </c>
      <c r="I4621" t="s">
        <v>11383</v>
      </c>
      <c r="J4621">
        <v>10457</v>
      </c>
      <c r="K4621" t="s">
        <v>11446</v>
      </c>
      <c r="L4621" t="s">
        <v>14129</v>
      </c>
      <c r="N4621" t="s">
        <v>14782</v>
      </c>
      <c r="P4621" t="s">
        <v>14805</v>
      </c>
      <c r="Q4621" t="s">
        <v>11448</v>
      </c>
      <c r="S4621" t="s">
        <v>14827</v>
      </c>
      <c r="V4621">
        <v>1036</v>
      </c>
      <c r="W4621" t="s">
        <v>14858</v>
      </c>
      <c r="X4621" t="s">
        <v>14865</v>
      </c>
      <c r="Z4621" t="s">
        <v>18706</v>
      </c>
      <c r="AC4621">
        <v>36</v>
      </c>
      <c r="AD4621" t="s">
        <v>11479</v>
      </c>
      <c r="AE4621" t="s">
        <v>11459</v>
      </c>
      <c r="AF4621">
        <v>20</v>
      </c>
      <c r="AG4621">
        <v>1</v>
      </c>
      <c r="AH4621">
        <v>0</v>
      </c>
      <c r="AI4621">
        <v>230.02</v>
      </c>
      <c r="AL4621" t="s">
        <v>5011</v>
      </c>
      <c r="AM4621">
        <v>28730</v>
      </c>
      <c r="AN4621" t="s">
        <v>24832</v>
      </c>
      <c r="AS4621">
        <v>0.5</v>
      </c>
      <c r="AT4621" t="s">
        <v>468</v>
      </c>
      <c r="AU4621" t="s">
        <v>25239</v>
      </c>
      <c r="AV4621" t="s">
        <v>25335</v>
      </c>
      <c r="AW4621" t="s">
        <v>11447</v>
      </c>
    </row>
    <row r="4622" spans="1:49">
      <c r="A4622" s="1">
        <f>HYPERLINK("https://lsnyc.legalserver.org/matter/dynamic-profile/view/1901255","19-1901255")</f>
        <v>0</v>
      </c>
      <c r="B4622" t="s">
        <v>142</v>
      </c>
      <c r="C4622" t="s">
        <v>665</v>
      </c>
      <c r="E4622" t="s">
        <v>3250</v>
      </c>
      <c r="F4622" t="s">
        <v>5895</v>
      </c>
      <c r="G4622" t="s">
        <v>9786</v>
      </c>
      <c r="H4622" t="s">
        <v>10557</v>
      </c>
      <c r="I4622" t="s">
        <v>11383</v>
      </c>
      <c r="J4622">
        <v>10462</v>
      </c>
      <c r="K4622" t="s">
        <v>11446</v>
      </c>
      <c r="L4622" t="s">
        <v>14130</v>
      </c>
      <c r="M4622" t="s">
        <v>14744</v>
      </c>
      <c r="P4622" t="s">
        <v>14805</v>
      </c>
      <c r="Q4622" t="s">
        <v>11448</v>
      </c>
      <c r="S4622" t="s">
        <v>14827</v>
      </c>
      <c r="V4622">
        <v>1336.1</v>
      </c>
      <c r="W4622" t="s">
        <v>14858</v>
      </c>
      <c r="Z4622" t="s">
        <v>17233</v>
      </c>
      <c r="AB4622" t="s">
        <v>23865</v>
      </c>
      <c r="AC4622">
        <v>0</v>
      </c>
      <c r="AD4622" t="s">
        <v>24595</v>
      </c>
      <c r="AF4622">
        <v>0</v>
      </c>
      <c r="AG4622">
        <v>1</v>
      </c>
      <c r="AH4622">
        <v>0</v>
      </c>
      <c r="AI4622">
        <v>232.11</v>
      </c>
      <c r="AL4622" t="s">
        <v>5011</v>
      </c>
      <c r="AM4622">
        <v>28990</v>
      </c>
      <c r="AN4622" t="s">
        <v>24916</v>
      </c>
      <c r="AS4622">
        <v>2</v>
      </c>
      <c r="AT4622" t="s">
        <v>456</v>
      </c>
      <c r="AU4622" t="s">
        <v>145</v>
      </c>
      <c r="AV4622" t="s">
        <v>25335</v>
      </c>
      <c r="AW4622" t="s">
        <v>11447</v>
      </c>
    </row>
    <row r="4623" spans="1:49">
      <c r="A4623" s="1">
        <f>HYPERLINK("https://lsnyc.legalserver.org/matter/dynamic-profile/view/1912377","19-1912377")</f>
        <v>0</v>
      </c>
      <c r="B4623" t="s">
        <v>256</v>
      </c>
      <c r="C4623" t="s">
        <v>559</v>
      </c>
      <c r="E4623" t="s">
        <v>3251</v>
      </c>
      <c r="F4623" t="s">
        <v>5896</v>
      </c>
      <c r="G4623" t="s">
        <v>9787</v>
      </c>
      <c r="H4623" t="s">
        <v>10854</v>
      </c>
      <c r="I4623" t="s">
        <v>11383</v>
      </c>
      <c r="J4623">
        <v>10468</v>
      </c>
      <c r="K4623" t="s">
        <v>11446</v>
      </c>
      <c r="L4623" t="s">
        <v>14131</v>
      </c>
      <c r="M4623" t="s">
        <v>14744</v>
      </c>
      <c r="N4623" t="s">
        <v>14781</v>
      </c>
      <c r="P4623" t="s">
        <v>14805</v>
      </c>
      <c r="Q4623" t="s">
        <v>11448</v>
      </c>
      <c r="S4623" t="s">
        <v>14827</v>
      </c>
      <c r="T4623" t="s">
        <v>14836</v>
      </c>
      <c r="V4623">
        <v>1278</v>
      </c>
      <c r="W4623" t="s">
        <v>14858</v>
      </c>
      <c r="X4623" t="s">
        <v>14865</v>
      </c>
      <c r="Z4623" t="s">
        <v>18707</v>
      </c>
      <c r="AA4623">
        <v>374967431</v>
      </c>
      <c r="AC4623">
        <v>52</v>
      </c>
      <c r="AD4623" t="s">
        <v>24595</v>
      </c>
      <c r="AE4623" t="s">
        <v>11459</v>
      </c>
      <c r="AF4623">
        <v>10</v>
      </c>
      <c r="AG4623">
        <v>1</v>
      </c>
      <c r="AH4623">
        <v>0</v>
      </c>
      <c r="AI4623">
        <v>240.19</v>
      </c>
      <c r="AL4623" t="s">
        <v>5011</v>
      </c>
      <c r="AM4623">
        <v>30000.12</v>
      </c>
      <c r="AO4623" t="s">
        <v>24931</v>
      </c>
      <c r="AP4623" t="s">
        <v>24979</v>
      </c>
      <c r="AQ4623" t="s">
        <v>24986</v>
      </c>
      <c r="AR4623" t="s">
        <v>25105</v>
      </c>
      <c r="AS4623">
        <v>15.4</v>
      </c>
      <c r="AT4623" t="s">
        <v>574</v>
      </c>
      <c r="AU4623" t="s">
        <v>25268</v>
      </c>
      <c r="AV4623" t="s">
        <v>25335</v>
      </c>
      <c r="AW4623" t="s">
        <v>11447</v>
      </c>
    </row>
    <row r="4624" spans="1:49">
      <c r="A4624" s="1">
        <f>HYPERLINK("https://lsnyc.legalserver.org/matter/dynamic-profile/view/1913866","19-1913866")</f>
        <v>0</v>
      </c>
      <c r="B4624" t="s">
        <v>201</v>
      </c>
      <c r="C4624" t="s">
        <v>533</v>
      </c>
      <c r="E4624" t="s">
        <v>2014</v>
      </c>
      <c r="F4624" t="s">
        <v>3714</v>
      </c>
      <c r="G4624" t="s">
        <v>9788</v>
      </c>
      <c r="H4624" t="s">
        <v>10476</v>
      </c>
      <c r="I4624" t="s">
        <v>11383</v>
      </c>
      <c r="J4624">
        <v>10467</v>
      </c>
      <c r="K4624" t="s">
        <v>11446</v>
      </c>
      <c r="L4624" t="s">
        <v>14132</v>
      </c>
      <c r="M4624" t="s">
        <v>14744</v>
      </c>
      <c r="N4624" t="s">
        <v>14781</v>
      </c>
      <c r="P4624" t="s">
        <v>14805</v>
      </c>
      <c r="Q4624" t="s">
        <v>11448</v>
      </c>
      <c r="S4624" t="s">
        <v>14827</v>
      </c>
      <c r="V4624">
        <v>1180</v>
      </c>
      <c r="W4624" t="s">
        <v>14858</v>
      </c>
      <c r="X4624" t="s">
        <v>14865</v>
      </c>
      <c r="Z4624" t="s">
        <v>18708</v>
      </c>
      <c r="AA4624" t="s">
        <v>20003</v>
      </c>
      <c r="AB4624" t="s">
        <v>23866</v>
      </c>
      <c r="AC4624">
        <v>49</v>
      </c>
      <c r="AD4624" t="s">
        <v>24595</v>
      </c>
      <c r="AE4624" t="s">
        <v>11459</v>
      </c>
      <c r="AF4624">
        <v>29</v>
      </c>
      <c r="AG4624">
        <v>1</v>
      </c>
      <c r="AH4624">
        <v>0</v>
      </c>
      <c r="AI4624">
        <v>249.8</v>
      </c>
      <c r="AL4624" t="s">
        <v>5011</v>
      </c>
      <c r="AM4624">
        <v>31200</v>
      </c>
      <c r="AN4624" t="s">
        <v>24917</v>
      </c>
      <c r="AS4624">
        <v>25.95</v>
      </c>
      <c r="AT4624" t="s">
        <v>495</v>
      </c>
      <c r="AU4624" t="s">
        <v>25239</v>
      </c>
      <c r="AV4624" t="s">
        <v>25335</v>
      </c>
      <c r="AW4624" t="s">
        <v>11447</v>
      </c>
    </row>
    <row r="4625" spans="1:49">
      <c r="A4625" s="1">
        <f>HYPERLINK("https://lsnyc.legalserver.org/matter/dynamic-profile/view/1902314","19-1902314")</f>
        <v>0</v>
      </c>
      <c r="B4625" t="s">
        <v>143</v>
      </c>
      <c r="C4625" t="s">
        <v>362</v>
      </c>
      <c r="E4625" t="s">
        <v>3252</v>
      </c>
      <c r="F4625" t="s">
        <v>5897</v>
      </c>
      <c r="G4625" t="s">
        <v>9789</v>
      </c>
      <c r="H4625" t="s">
        <v>10552</v>
      </c>
      <c r="I4625" t="s">
        <v>11383</v>
      </c>
      <c r="J4625">
        <v>10457</v>
      </c>
      <c r="K4625" t="s">
        <v>11446</v>
      </c>
      <c r="L4625" t="s">
        <v>14133</v>
      </c>
      <c r="M4625" t="s">
        <v>14744</v>
      </c>
      <c r="N4625" t="s">
        <v>14781</v>
      </c>
      <c r="P4625" t="s">
        <v>14805</v>
      </c>
      <c r="Q4625" t="s">
        <v>11448</v>
      </c>
      <c r="S4625" t="s">
        <v>14827</v>
      </c>
      <c r="V4625">
        <v>1683</v>
      </c>
      <c r="W4625" t="s">
        <v>14858</v>
      </c>
      <c r="X4625" t="s">
        <v>14865</v>
      </c>
      <c r="Z4625" t="s">
        <v>18709</v>
      </c>
      <c r="AC4625">
        <v>26</v>
      </c>
      <c r="AD4625" t="s">
        <v>24595</v>
      </c>
      <c r="AF4625">
        <v>0</v>
      </c>
      <c r="AG4625">
        <v>3</v>
      </c>
      <c r="AH4625">
        <v>0</v>
      </c>
      <c r="AI4625">
        <v>250.07</v>
      </c>
      <c r="AL4625" t="s">
        <v>5011</v>
      </c>
      <c r="AM4625">
        <v>53339</v>
      </c>
      <c r="AN4625" t="s">
        <v>24747</v>
      </c>
      <c r="AS4625">
        <v>10.8</v>
      </c>
      <c r="AT4625" t="s">
        <v>366</v>
      </c>
      <c r="AU4625" t="s">
        <v>145</v>
      </c>
      <c r="AW4625" t="s">
        <v>11447</v>
      </c>
    </row>
    <row r="4626" spans="1:49">
      <c r="A4626" s="1">
        <f>HYPERLINK("https://lsnyc.legalserver.org/matter/dynamic-profile/view/1914334","19-1914334")</f>
        <v>0</v>
      </c>
      <c r="B4626" t="s">
        <v>111</v>
      </c>
      <c r="C4626" t="s">
        <v>506</v>
      </c>
      <c r="E4626" t="s">
        <v>1146</v>
      </c>
      <c r="F4626" t="s">
        <v>3809</v>
      </c>
      <c r="G4626" t="s">
        <v>9790</v>
      </c>
      <c r="H4626" t="s">
        <v>11279</v>
      </c>
      <c r="I4626" t="s">
        <v>11383</v>
      </c>
      <c r="J4626">
        <v>10468</v>
      </c>
      <c r="K4626" t="s">
        <v>11446</v>
      </c>
      <c r="L4626" t="s">
        <v>14134</v>
      </c>
      <c r="M4626" t="s">
        <v>14743</v>
      </c>
      <c r="N4626" t="s">
        <v>14782</v>
      </c>
      <c r="P4626" t="s">
        <v>14805</v>
      </c>
      <c r="Q4626" t="s">
        <v>11448</v>
      </c>
      <c r="S4626" t="s">
        <v>14827</v>
      </c>
      <c r="T4626" t="s">
        <v>14832</v>
      </c>
      <c r="V4626">
        <v>905.48</v>
      </c>
      <c r="W4626" t="s">
        <v>14858</v>
      </c>
      <c r="X4626" t="s">
        <v>14863</v>
      </c>
      <c r="Z4626" t="s">
        <v>18710</v>
      </c>
      <c r="AB4626" t="s">
        <v>23867</v>
      </c>
      <c r="AC4626">
        <v>84</v>
      </c>
      <c r="AD4626" t="s">
        <v>24595</v>
      </c>
      <c r="AE4626" t="s">
        <v>11459</v>
      </c>
      <c r="AF4626">
        <v>14</v>
      </c>
      <c r="AG4626">
        <v>1</v>
      </c>
      <c r="AH4626">
        <v>0</v>
      </c>
      <c r="AI4626">
        <v>280.03</v>
      </c>
      <c r="AL4626" t="s">
        <v>5011</v>
      </c>
      <c r="AM4626">
        <v>34976</v>
      </c>
      <c r="AS4626">
        <v>2</v>
      </c>
      <c r="AT4626" t="s">
        <v>592</v>
      </c>
      <c r="AU4626" t="s">
        <v>25242</v>
      </c>
      <c r="AV4626" t="s">
        <v>25335</v>
      </c>
      <c r="AW4626" t="s">
        <v>11447</v>
      </c>
    </row>
    <row r="4627" spans="1:49">
      <c r="A4627" s="1">
        <f>HYPERLINK("https://lsnyc.legalserver.org/matter/dynamic-profile/view/1912186","19-1912186")</f>
        <v>0</v>
      </c>
      <c r="B4627" t="s">
        <v>272</v>
      </c>
      <c r="C4627" t="s">
        <v>551</v>
      </c>
      <c r="E4627" t="s">
        <v>1808</v>
      </c>
      <c r="F4627" t="s">
        <v>3638</v>
      </c>
      <c r="G4627" t="s">
        <v>9791</v>
      </c>
      <c r="H4627" t="s">
        <v>11229</v>
      </c>
      <c r="I4627" t="s">
        <v>11383</v>
      </c>
      <c r="J4627">
        <v>10468</v>
      </c>
      <c r="K4627" t="s">
        <v>11446</v>
      </c>
      <c r="L4627" t="s">
        <v>14135</v>
      </c>
      <c r="M4627" t="s">
        <v>14744</v>
      </c>
      <c r="N4627" t="s">
        <v>14781</v>
      </c>
      <c r="P4627" t="s">
        <v>14805</v>
      </c>
      <c r="Q4627" t="s">
        <v>11448</v>
      </c>
      <c r="S4627" t="s">
        <v>14827</v>
      </c>
      <c r="V4627">
        <v>1251.62</v>
      </c>
      <c r="W4627" t="s">
        <v>14858</v>
      </c>
      <c r="X4627" t="s">
        <v>14865</v>
      </c>
      <c r="Z4627" t="s">
        <v>18711</v>
      </c>
      <c r="AB4627" t="s">
        <v>23868</v>
      </c>
      <c r="AC4627">
        <v>102</v>
      </c>
      <c r="AD4627" t="s">
        <v>24595</v>
      </c>
      <c r="AE4627" t="s">
        <v>11459</v>
      </c>
      <c r="AF4627">
        <v>29</v>
      </c>
      <c r="AG4627">
        <v>1</v>
      </c>
      <c r="AH4627">
        <v>0</v>
      </c>
      <c r="AI4627">
        <v>283.11</v>
      </c>
      <c r="AL4627" t="s">
        <v>5011</v>
      </c>
      <c r="AM4627">
        <v>35360</v>
      </c>
      <c r="AN4627" t="s">
        <v>24918</v>
      </c>
      <c r="AS4627">
        <v>1.1</v>
      </c>
      <c r="AT4627" t="s">
        <v>516</v>
      </c>
      <c r="AU4627" t="s">
        <v>25242</v>
      </c>
      <c r="AV4627" t="s">
        <v>25335</v>
      </c>
      <c r="AW4627" t="s">
        <v>11447</v>
      </c>
    </row>
    <row r="4628" spans="1:49">
      <c r="A4628" s="1">
        <f>HYPERLINK("https://lsnyc.legalserver.org/matter/dynamic-profile/view/1913525","19-1913525")</f>
        <v>0</v>
      </c>
      <c r="B4628" t="s">
        <v>300</v>
      </c>
      <c r="C4628" t="s">
        <v>477</v>
      </c>
      <c r="E4628" t="s">
        <v>1245</v>
      </c>
      <c r="F4628" t="s">
        <v>3769</v>
      </c>
      <c r="G4628" t="s">
        <v>9792</v>
      </c>
      <c r="H4628" t="s">
        <v>10552</v>
      </c>
      <c r="I4628" t="s">
        <v>11383</v>
      </c>
      <c r="J4628">
        <v>10457</v>
      </c>
      <c r="K4628" t="s">
        <v>11446</v>
      </c>
      <c r="L4628" t="s">
        <v>14136</v>
      </c>
      <c r="M4628" t="s">
        <v>14744</v>
      </c>
      <c r="P4628" t="s">
        <v>14805</v>
      </c>
      <c r="Q4628" t="s">
        <v>11448</v>
      </c>
      <c r="S4628" t="s">
        <v>14827</v>
      </c>
      <c r="V4628">
        <v>1500</v>
      </c>
      <c r="W4628" t="s">
        <v>14858</v>
      </c>
      <c r="X4628" t="s">
        <v>14865</v>
      </c>
      <c r="Z4628" t="s">
        <v>18712</v>
      </c>
      <c r="AB4628" t="s">
        <v>23869</v>
      </c>
      <c r="AC4628">
        <v>69</v>
      </c>
      <c r="AD4628" t="s">
        <v>11479</v>
      </c>
      <c r="AE4628" t="s">
        <v>11459</v>
      </c>
      <c r="AF4628">
        <v>1</v>
      </c>
      <c r="AG4628">
        <v>1</v>
      </c>
      <c r="AH4628">
        <v>1</v>
      </c>
      <c r="AI4628">
        <v>295.68</v>
      </c>
      <c r="AL4628" t="s">
        <v>5011</v>
      </c>
      <c r="AM4628">
        <v>50000</v>
      </c>
      <c r="AN4628" t="s">
        <v>24919</v>
      </c>
      <c r="AS4628">
        <v>1.7</v>
      </c>
      <c r="AT4628" t="s">
        <v>509</v>
      </c>
      <c r="AU4628" t="s">
        <v>25239</v>
      </c>
      <c r="AV4628" t="s">
        <v>25335</v>
      </c>
      <c r="AW4628" t="s">
        <v>11447</v>
      </c>
    </row>
    <row r="4629" spans="1:49">
      <c r="A4629" s="1">
        <f>HYPERLINK("https://lsnyc.legalserver.org/matter/dynamic-profile/view/1912490","19-1912490")</f>
        <v>0</v>
      </c>
      <c r="B4629" t="s">
        <v>256</v>
      </c>
      <c r="C4629" t="s">
        <v>526</v>
      </c>
      <c r="E4629" t="s">
        <v>3253</v>
      </c>
      <c r="F4629" t="s">
        <v>1035</v>
      </c>
      <c r="G4629" t="s">
        <v>7594</v>
      </c>
      <c r="H4629">
        <v>315</v>
      </c>
      <c r="I4629" t="s">
        <v>11383</v>
      </c>
      <c r="J4629">
        <v>10457</v>
      </c>
      <c r="K4629" t="s">
        <v>11446</v>
      </c>
      <c r="L4629" t="s">
        <v>14137</v>
      </c>
      <c r="M4629" t="s">
        <v>14743</v>
      </c>
      <c r="N4629" t="s">
        <v>14781</v>
      </c>
      <c r="P4629" t="s">
        <v>14805</v>
      </c>
      <c r="Q4629" t="s">
        <v>11448</v>
      </c>
      <c r="S4629" t="s">
        <v>14827</v>
      </c>
      <c r="T4629" t="s">
        <v>14832</v>
      </c>
      <c r="V4629">
        <v>560</v>
      </c>
      <c r="W4629" t="s">
        <v>14858</v>
      </c>
      <c r="X4629" t="s">
        <v>14863</v>
      </c>
      <c r="Z4629" t="s">
        <v>18713</v>
      </c>
      <c r="AB4629" t="s">
        <v>23870</v>
      </c>
      <c r="AC4629">
        <v>84</v>
      </c>
      <c r="AD4629" t="s">
        <v>24604</v>
      </c>
      <c r="AE4629" t="s">
        <v>24610</v>
      </c>
      <c r="AF4629">
        <v>22</v>
      </c>
      <c r="AG4629">
        <v>1</v>
      </c>
      <c r="AH4629">
        <v>0</v>
      </c>
      <c r="AI4629">
        <v>312.25</v>
      </c>
      <c r="AL4629" t="s">
        <v>5011</v>
      </c>
      <c r="AM4629">
        <v>39000</v>
      </c>
      <c r="AN4629" t="s">
        <v>24880</v>
      </c>
      <c r="AS4629">
        <v>3.8</v>
      </c>
      <c r="AT4629" t="s">
        <v>495</v>
      </c>
      <c r="AU4629" t="s">
        <v>25268</v>
      </c>
      <c r="AV4629" t="s">
        <v>25335</v>
      </c>
      <c r="AW4629" t="s">
        <v>11447</v>
      </c>
    </row>
    <row r="4630" spans="1:49">
      <c r="A4630" s="1">
        <f>HYPERLINK("https://lsnyc.legalserver.org/matter/dynamic-profile/view/1913869","19-1913869")</f>
        <v>0</v>
      </c>
      <c r="B4630" t="s">
        <v>306</v>
      </c>
      <c r="C4630" t="s">
        <v>533</v>
      </c>
      <c r="E4630" t="s">
        <v>3254</v>
      </c>
      <c r="F4630" t="s">
        <v>3709</v>
      </c>
      <c r="G4630" t="s">
        <v>6928</v>
      </c>
      <c r="H4630" t="s">
        <v>10557</v>
      </c>
      <c r="I4630" t="s">
        <v>11383</v>
      </c>
      <c r="J4630">
        <v>10457</v>
      </c>
      <c r="K4630" t="s">
        <v>11446</v>
      </c>
      <c r="L4630" t="s">
        <v>14138</v>
      </c>
      <c r="M4630" t="s">
        <v>14744</v>
      </c>
      <c r="P4630" t="s">
        <v>14805</v>
      </c>
      <c r="Q4630" t="s">
        <v>11448</v>
      </c>
      <c r="S4630" t="s">
        <v>14827</v>
      </c>
      <c r="V4630">
        <v>600</v>
      </c>
      <c r="W4630" t="s">
        <v>14858</v>
      </c>
      <c r="X4630" t="s">
        <v>14873</v>
      </c>
      <c r="Z4630" t="s">
        <v>18714</v>
      </c>
      <c r="AB4630" t="s">
        <v>23871</v>
      </c>
      <c r="AC4630">
        <v>60</v>
      </c>
      <c r="AD4630" t="s">
        <v>11479</v>
      </c>
      <c r="AE4630" t="s">
        <v>11459</v>
      </c>
      <c r="AF4630">
        <v>25</v>
      </c>
      <c r="AG4630">
        <v>3</v>
      </c>
      <c r="AH4630">
        <v>0</v>
      </c>
      <c r="AI4630">
        <v>362.78</v>
      </c>
      <c r="AL4630" t="s">
        <v>5011</v>
      </c>
      <c r="AM4630">
        <v>77380</v>
      </c>
      <c r="AN4630" t="s">
        <v>24818</v>
      </c>
      <c r="AS4630">
        <v>2</v>
      </c>
      <c r="AT4630" t="s">
        <v>491</v>
      </c>
      <c r="AU4630" t="s">
        <v>25252</v>
      </c>
      <c r="AV4630" t="s">
        <v>25335</v>
      </c>
      <c r="AW4630" t="s">
        <v>11447</v>
      </c>
    </row>
    <row r="4631" spans="1:49">
      <c r="A4631" s="1">
        <f>HYPERLINK("https://lsnyc.legalserver.org/matter/dynamic-profile/view/1910733","19-1910733")</f>
        <v>0</v>
      </c>
      <c r="B4631" t="s">
        <v>80</v>
      </c>
      <c r="C4631" t="s">
        <v>663</v>
      </c>
      <c r="E4631" t="s">
        <v>3255</v>
      </c>
      <c r="F4631" t="s">
        <v>5898</v>
      </c>
      <c r="G4631" t="s">
        <v>9793</v>
      </c>
      <c r="H4631" t="s">
        <v>10574</v>
      </c>
      <c r="I4631" t="s">
        <v>11383</v>
      </c>
      <c r="J4631">
        <v>10467</v>
      </c>
      <c r="K4631" t="s">
        <v>11446</v>
      </c>
      <c r="L4631" t="s">
        <v>14139</v>
      </c>
      <c r="M4631" t="s">
        <v>14744</v>
      </c>
      <c r="P4631" t="s">
        <v>14805</v>
      </c>
      <c r="Q4631" t="s">
        <v>11448</v>
      </c>
      <c r="S4631" t="s">
        <v>14827</v>
      </c>
      <c r="V4631">
        <v>852.46</v>
      </c>
      <c r="W4631" t="s">
        <v>14858</v>
      </c>
      <c r="X4631" t="s">
        <v>14873</v>
      </c>
      <c r="Z4631" t="s">
        <v>18715</v>
      </c>
      <c r="AB4631" t="s">
        <v>23872</v>
      </c>
      <c r="AC4631">
        <v>0</v>
      </c>
      <c r="AD4631" t="s">
        <v>24595</v>
      </c>
      <c r="AF4631">
        <v>8</v>
      </c>
      <c r="AG4631">
        <v>1</v>
      </c>
      <c r="AH4631">
        <v>2</v>
      </c>
      <c r="AI4631">
        <v>365.68</v>
      </c>
      <c r="AL4631" t="s">
        <v>5011</v>
      </c>
      <c r="AM4631">
        <v>78000</v>
      </c>
      <c r="AN4631" t="s">
        <v>24882</v>
      </c>
      <c r="AS4631">
        <v>0</v>
      </c>
      <c r="AU4631" t="s">
        <v>145</v>
      </c>
      <c r="AV4631" t="s">
        <v>25335</v>
      </c>
      <c r="AW4631" t="s">
        <v>11447</v>
      </c>
    </row>
    <row r="4632" spans="1:49">
      <c r="A4632" s="1">
        <f>HYPERLINK("https://lsnyc.legalserver.org/matter/dynamic-profile/view/1907596","19-1907596")</f>
        <v>0</v>
      </c>
      <c r="B4632" t="s">
        <v>80</v>
      </c>
      <c r="C4632" t="s">
        <v>630</v>
      </c>
      <c r="E4632" t="s">
        <v>3256</v>
      </c>
      <c r="F4632" t="s">
        <v>3627</v>
      </c>
      <c r="G4632" t="s">
        <v>9794</v>
      </c>
      <c r="I4632" t="s">
        <v>11383</v>
      </c>
      <c r="J4632">
        <v>10462</v>
      </c>
      <c r="K4632" t="s">
        <v>11446</v>
      </c>
      <c r="L4632" t="s">
        <v>14140</v>
      </c>
      <c r="M4632" t="s">
        <v>14744</v>
      </c>
      <c r="P4632" t="s">
        <v>14805</v>
      </c>
      <c r="Q4632" t="s">
        <v>11448</v>
      </c>
      <c r="S4632" t="s">
        <v>14827</v>
      </c>
      <c r="T4632" t="s">
        <v>14833</v>
      </c>
      <c r="V4632">
        <v>1421</v>
      </c>
      <c r="W4632" t="s">
        <v>14858</v>
      </c>
      <c r="Z4632" t="s">
        <v>18716</v>
      </c>
      <c r="AB4632" t="s">
        <v>23873</v>
      </c>
      <c r="AC4632">
        <v>171</v>
      </c>
      <c r="AD4632" t="s">
        <v>24595</v>
      </c>
      <c r="AF4632">
        <v>3</v>
      </c>
      <c r="AG4632">
        <v>2</v>
      </c>
      <c r="AH4632">
        <v>0</v>
      </c>
      <c r="AI4632">
        <v>369.01</v>
      </c>
      <c r="AM4632">
        <v>62400</v>
      </c>
      <c r="AN4632" t="s">
        <v>24818</v>
      </c>
      <c r="AS4632">
        <v>0.1</v>
      </c>
      <c r="AT4632" t="s">
        <v>412</v>
      </c>
      <c r="AU4632" t="s">
        <v>145</v>
      </c>
      <c r="AV4632" t="s">
        <v>25335</v>
      </c>
      <c r="AW4632" t="s">
        <v>11447</v>
      </c>
    </row>
    <row r="4633" spans="1:49">
      <c r="A4633" s="1">
        <f>HYPERLINK("https://lsnyc.legalserver.org/matter/dynamic-profile/view/1915294","19-1915294")</f>
        <v>0</v>
      </c>
      <c r="B4633" t="s">
        <v>297</v>
      </c>
      <c r="C4633" t="s">
        <v>509</v>
      </c>
      <c r="E4633" t="s">
        <v>3257</v>
      </c>
      <c r="F4633" t="s">
        <v>4037</v>
      </c>
      <c r="G4633" t="s">
        <v>6295</v>
      </c>
      <c r="H4633" t="s">
        <v>10508</v>
      </c>
      <c r="I4633" t="s">
        <v>11383</v>
      </c>
      <c r="J4633">
        <v>10463</v>
      </c>
      <c r="K4633" t="s">
        <v>11446</v>
      </c>
      <c r="M4633" t="s">
        <v>14744</v>
      </c>
      <c r="P4633" t="s">
        <v>14805</v>
      </c>
      <c r="Q4633" t="s">
        <v>11448</v>
      </c>
      <c r="S4633" t="s">
        <v>14827</v>
      </c>
      <c r="V4633">
        <v>2750</v>
      </c>
      <c r="W4633" t="s">
        <v>14858</v>
      </c>
      <c r="X4633" t="s">
        <v>14873</v>
      </c>
      <c r="Z4633" t="s">
        <v>18717</v>
      </c>
      <c r="AB4633" t="s">
        <v>23874</v>
      </c>
      <c r="AC4633">
        <v>86</v>
      </c>
      <c r="AD4633" t="s">
        <v>24595</v>
      </c>
      <c r="AF4633">
        <v>4</v>
      </c>
      <c r="AG4633">
        <v>2</v>
      </c>
      <c r="AH4633">
        <v>0</v>
      </c>
      <c r="AI4633">
        <v>389.52</v>
      </c>
      <c r="AL4633" t="s">
        <v>5011</v>
      </c>
      <c r="AM4633">
        <v>65868</v>
      </c>
      <c r="AS4633">
        <v>5.15</v>
      </c>
      <c r="AT4633" t="s">
        <v>654</v>
      </c>
      <c r="AU4633" t="s">
        <v>25311</v>
      </c>
      <c r="AV4633" t="s">
        <v>25335</v>
      </c>
      <c r="AW4633" t="s">
        <v>11447</v>
      </c>
    </row>
    <row r="4634" spans="1:49">
      <c r="A4634" s="1">
        <f>HYPERLINK("https://lsnyc.legalserver.org/matter/dynamic-profile/view/1913011","19-1913011")</f>
        <v>0</v>
      </c>
      <c r="B4634" t="s">
        <v>306</v>
      </c>
      <c r="C4634" t="s">
        <v>603</v>
      </c>
      <c r="E4634" t="s">
        <v>3258</v>
      </c>
      <c r="F4634" t="s">
        <v>1067</v>
      </c>
      <c r="G4634" t="s">
        <v>9795</v>
      </c>
      <c r="H4634" t="s">
        <v>10451</v>
      </c>
      <c r="I4634" t="s">
        <v>11383</v>
      </c>
      <c r="J4634">
        <v>10462</v>
      </c>
      <c r="K4634" t="s">
        <v>11446</v>
      </c>
      <c r="L4634" t="s">
        <v>14141</v>
      </c>
      <c r="M4634" t="s">
        <v>14744</v>
      </c>
      <c r="N4634" t="s">
        <v>14782</v>
      </c>
      <c r="P4634" t="s">
        <v>14805</v>
      </c>
      <c r="Q4634" t="s">
        <v>11448</v>
      </c>
      <c r="S4634" t="s">
        <v>14827</v>
      </c>
      <c r="V4634">
        <v>1268</v>
      </c>
      <c r="W4634" t="s">
        <v>14858</v>
      </c>
      <c r="X4634" t="s">
        <v>14873</v>
      </c>
      <c r="Z4634" t="s">
        <v>18718</v>
      </c>
      <c r="AB4634" t="s">
        <v>23875</v>
      </c>
      <c r="AC4634">
        <v>2719</v>
      </c>
      <c r="AD4634" t="s">
        <v>11479</v>
      </c>
      <c r="AE4634" t="s">
        <v>11459</v>
      </c>
      <c r="AF4634">
        <v>5</v>
      </c>
      <c r="AG4634">
        <v>1</v>
      </c>
      <c r="AH4634">
        <v>0</v>
      </c>
      <c r="AI4634">
        <v>400.32</v>
      </c>
      <c r="AL4634" t="s">
        <v>5011</v>
      </c>
      <c r="AM4634">
        <v>50000</v>
      </c>
      <c r="AS4634">
        <v>0.5</v>
      </c>
      <c r="AT4634" t="s">
        <v>537</v>
      </c>
      <c r="AU4634" t="s">
        <v>25252</v>
      </c>
      <c r="AV4634" t="s">
        <v>25335</v>
      </c>
      <c r="AW4634" t="s">
        <v>11447</v>
      </c>
    </row>
    <row r="4635" spans="1:49">
      <c r="A4635" s="1">
        <f>HYPERLINK("https://lsnyc.legalserver.org/matter/dynamic-profile/view/1904402","19-1904402")</f>
        <v>0</v>
      </c>
      <c r="B4635" t="s">
        <v>207</v>
      </c>
      <c r="C4635" t="s">
        <v>607</v>
      </c>
      <c r="D4635" t="s">
        <v>365</v>
      </c>
      <c r="E4635" t="s">
        <v>1683</v>
      </c>
      <c r="F4635" t="s">
        <v>4951</v>
      </c>
      <c r="G4635" t="s">
        <v>9796</v>
      </c>
      <c r="H4635" t="s">
        <v>10594</v>
      </c>
      <c r="I4635" t="s">
        <v>11386</v>
      </c>
      <c r="J4635">
        <v>10031</v>
      </c>
      <c r="K4635" t="s">
        <v>11446</v>
      </c>
      <c r="L4635" t="s">
        <v>14142</v>
      </c>
      <c r="M4635" t="s">
        <v>14744</v>
      </c>
      <c r="N4635" t="s">
        <v>14778</v>
      </c>
      <c r="O4635" t="s">
        <v>14786</v>
      </c>
      <c r="P4635" t="s">
        <v>14806</v>
      </c>
      <c r="Q4635" t="s">
        <v>11448</v>
      </c>
      <c r="S4635" t="s">
        <v>14830</v>
      </c>
      <c r="T4635" t="s">
        <v>14832</v>
      </c>
      <c r="U4635" t="s">
        <v>607</v>
      </c>
      <c r="V4635">
        <v>538</v>
      </c>
      <c r="W4635" t="s">
        <v>14860</v>
      </c>
      <c r="X4635" t="s">
        <v>14863</v>
      </c>
      <c r="Y4635" t="s">
        <v>14883</v>
      </c>
      <c r="Z4635" t="s">
        <v>18719</v>
      </c>
      <c r="AB4635" t="s">
        <v>23876</v>
      </c>
      <c r="AC4635">
        <v>36</v>
      </c>
      <c r="AD4635" t="s">
        <v>24596</v>
      </c>
      <c r="AE4635" t="s">
        <v>24610</v>
      </c>
      <c r="AF4635">
        <v>15</v>
      </c>
      <c r="AG4635">
        <v>1</v>
      </c>
      <c r="AH4635">
        <v>0</v>
      </c>
      <c r="AI4635">
        <v>307.45</v>
      </c>
      <c r="AL4635" t="s">
        <v>5011</v>
      </c>
      <c r="AM4635">
        <v>38400</v>
      </c>
      <c r="AS4635">
        <v>0.8</v>
      </c>
      <c r="AT4635" t="s">
        <v>607</v>
      </c>
      <c r="AU4635" t="s">
        <v>153</v>
      </c>
      <c r="AV4635" t="s">
        <v>25335</v>
      </c>
      <c r="AW4635" t="s">
        <v>11447</v>
      </c>
    </row>
    <row r="4636" spans="1:49">
      <c r="A4636" s="1">
        <f>HYPERLINK("https://lsnyc.legalserver.org/matter/dynamic-profile/view/1905071","19-1905071")</f>
        <v>0</v>
      </c>
      <c r="B4636" t="s">
        <v>252</v>
      </c>
      <c r="C4636" t="s">
        <v>456</v>
      </c>
      <c r="D4636" t="s">
        <v>480</v>
      </c>
      <c r="E4636" t="s">
        <v>3154</v>
      </c>
      <c r="F4636" t="s">
        <v>3561</v>
      </c>
      <c r="G4636" t="s">
        <v>9797</v>
      </c>
      <c r="H4636">
        <v>46</v>
      </c>
      <c r="I4636" t="s">
        <v>11386</v>
      </c>
      <c r="J4636">
        <v>10031</v>
      </c>
      <c r="K4636" t="s">
        <v>11446</v>
      </c>
      <c r="L4636" t="s">
        <v>14143</v>
      </c>
      <c r="M4636" t="s">
        <v>14743</v>
      </c>
      <c r="N4636" t="s">
        <v>14778</v>
      </c>
      <c r="O4636" t="s">
        <v>14786</v>
      </c>
      <c r="P4636" t="s">
        <v>14806</v>
      </c>
      <c r="Q4636" t="s">
        <v>11448</v>
      </c>
      <c r="S4636" t="s">
        <v>14827</v>
      </c>
      <c r="T4636" t="s">
        <v>14832</v>
      </c>
      <c r="U4636" t="s">
        <v>456</v>
      </c>
      <c r="V4636">
        <v>1000</v>
      </c>
      <c r="W4636" t="s">
        <v>14860</v>
      </c>
      <c r="X4636" t="s">
        <v>14863</v>
      </c>
      <c r="Y4636" t="s">
        <v>14883</v>
      </c>
      <c r="Z4636" t="s">
        <v>18720</v>
      </c>
      <c r="AC4636">
        <v>47</v>
      </c>
      <c r="AD4636" t="s">
        <v>11479</v>
      </c>
      <c r="AE4636" t="s">
        <v>11459</v>
      </c>
      <c r="AF4636">
        <v>1</v>
      </c>
      <c r="AG4636">
        <v>2</v>
      </c>
      <c r="AH4636">
        <v>0</v>
      </c>
      <c r="AI4636">
        <v>107.63</v>
      </c>
      <c r="AL4636" t="s">
        <v>24632</v>
      </c>
      <c r="AM4636">
        <v>18200</v>
      </c>
      <c r="AS4636">
        <v>1</v>
      </c>
      <c r="AT4636" t="s">
        <v>456</v>
      </c>
      <c r="AU4636" t="s">
        <v>153</v>
      </c>
      <c r="AV4636" t="s">
        <v>25335</v>
      </c>
      <c r="AW4636" t="s">
        <v>11447</v>
      </c>
    </row>
    <row r="4637" spans="1:49">
      <c r="A4637" s="1">
        <f>HYPERLINK("https://lsnyc.legalserver.org/matter/dynamic-profile/view/1879526","18-1879526")</f>
        <v>0</v>
      </c>
      <c r="B4637" t="s">
        <v>249</v>
      </c>
      <c r="C4637" t="s">
        <v>815</v>
      </c>
      <c r="D4637" t="s">
        <v>354</v>
      </c>
      <c r="E4637" t="s">
        <v>3259</v>
      </c>
      <c r="F4637" t="s">
        <v>5796</v>
      </c>
      <c r="G4637" t="s">
        <v>9798</v>
      </c>
      <c r="H4637" t="s">
        <v>10559</v>
      </c>
      <c r="I4637" t="s">
        <v>11386</v>
      </c>
      <c r="J4637">
        <v>10027</v>
      </c>
      <c r="K4637" t="s">
        <v>11446</v>
      </c>
      <c r="L4637" t="s">
        <v>14144</v>
      </c>
      <c r="M4637" t="s">
        <v>14744</v>
      </c>
      <c r="N4637" t="s">
        <v>14781</v>
      </c>
      <c r="O4637" t="s">
        <v>14789</v>
      </c>
      <c r="P4637" t="s">
        <v>14806</v>
      </c>
      <c r="Q4637" t="s">
        <v>11448</v>
      </c>
      <c r="S4637" t="s">
        <v>14828</v>
      </c>
      <c r="T4637" t="s">
        <v>14833</v>
      </c>
      <c r="U4637" t="s">
        <v>545</v>
      </c>
      <c r="V4637">
        <v>1700</v>
      </c>
      <c r="W4637" t="s">
        <v>14860</v>
      </c>
      <c r="X4637" t="s">
        <v>14865</v>
      </c>
      <c r="Y4637" t="s">
        <v>14894</v>
      </c>
      <c r="Z4637" t="s">
        <v>18721</v>
      </c>
      <c r="AA4637" t="s">
        <v>20004</v>
      </c>
      <c r="AB4637" t="s">
        <v>23877</v>
      </c>
      <c r="AC4637">
        <v>1272</v>
      </c>
      <c r="AD4637" t="s">
        <v>24602</v>
      </c>
      <c r="AE4637" t="s">
        <v>24610</v>
      </c>
      <c r="AF4637">
        <v>4</v>
      </c>
      <c r="AG4637">
        <v>2</v>
      </c>
      <c r="AH4637">
        <v>0</v>
      </c>
      <c r="AI4637">
        <v>0</v>
      </c>
      <c r="AL4637" t="s">
        <v>5011</v>
      </c>
      <c r="AM4637">
        <v>0</v>
      </c>
      <c r="AS4637">
        <v>12.8</v>
      </c>
      <c r="AT4637" t="s">
        <v>520</v>
      </c>
      <c r="AU4637" t="s">
        <v>153</v>
      </c>
      <c r="AV4637" t="s">
        <v>25334</v>
      </c>
      <c r="AW4637" t="s">
        <v>11446</v>
      </c>
    </row>
    <row r="4638" spans="1:49">
      <c r="A4638" s="1">
        <f>HYPERLINK("https://lsnyc.legalserver.org/matter/dynamic-profile/view/1851530","17-1851530")</f>
        <v>0</v>
      </c>
      <c r="B4638" t="s">
        <v>249</v>
      </c>
      <c r="C4638" t="s">
        <v>735</v>
      </c>
      <c r="D4638" t="s">
        <v>354</v>
      </c>
      <c r="E4638" t="s">
        <v>1144</v>
      </c>
      <c r="F4638" t="s">
        <v>3864</v>
      </c>
      <c r="G4638" t="s">
        <v>9012</v>
      </c>
      <c r="H4638">
        <v>2</v>
      </c>
      <c r="I4638" t="s">
        <v>11386</v>
      </c>
      <c r="J4638">
        <v>10027</v>
      </c>
      <c r="K4638" t="s">
        <v>11446</v>
      </c>
      <c r="L4638" t="s">
        <v>14145</v>
      </c>
      <c r="M4638" t="s">
        <v>14743</v>
      </c>
      <c r="N4638" t="s">
        <v>14781</v>
      </c>
      <c r="O4638" t="s">
        <v>14789</v>
      </c>
      <c r="P4638" t="s">
        <v>14806</v>
      </c>
      <c r="Q4638" t="s">
        <v>11448</v>
      </c>
      <c r="S4638" t="s">
        <v>14827</v>
      </c>
      <c r="U4638" t="s">
        <v>545</v>
      </c>
      <c r="V4638">
        <v>1425</v>
      </c>
      <c r="W4638" t="s">
        <v>14860</v>
      </c>
      <c r="X4638" t="s">
        <v>14868</v>
      </c>
      <c r="Y4638" t="s">
        <v>14888</v>
      </c>
      <c r="Z4638" t="s">
        <v>17906</v>
      </c>
      <c r="AB4638" t="s">
        <v>22988</v>
      </c>
      <c r="AC4638">
        <v>4</v>
      </c>
      <c r="AD4638" t="s">
        <v>11479</v>
      </c>
      <c r="AE4638" t="s">
        <v>11459</v>
      </c>
      <c r="AF4638">
        <v>5</v>
      </c>
      <c r="AG4638">
        <v>1</v>
      </c>
      <c r="AH4638">
        <v>0</v>
      </c>
      <c r="AI4638">
        <v>150.91</v>
      </c>
      <c r="AL4638" t="s">
        <v>5011</v>
      </c>
      <c r="AM4638">
        <v>18200</v>
      </c>
      <c r="AS4638">
        <v>100.92</v>
      </c>
      <c r="AT4638" t="s">
        <v>474</v>
      </c>
      <c r="AU4638" t="s">
        <v>153</v>
      </c>
      <c r="AV4638" t="s">
        <v>25335</v>
      </c>
      <c r="AW4638" t="s">
        <v>11447</v>
      </c>
    </row>
    <row r="4639" spans="1:49">
      <c r="A4639" s="1">
        <f>HYPERLINK("https://lsnyc.legalserver.org/matter/dynamic-profile/view/1899840","19-1899840")</f>
        <v>0</v>
      </c>
      <c r="B4639" t="s">
        <v>194</v>
      </c>
      <c r="C4639" t="s">
        <v>370</v>
      </c>
      <c r="D4639" t="s">
        <v>354</v>
      </c>
      <c r="E4639" t="s">
        <v>3260</v>
      </c>
      <c r="F4639" t="s">
        <v>1430</v>
      </c>
      <c r="G4639" t="s">
        <v>9799</v>
      </c>
      <c r="H4639" t="s">
        <v>10589</v>
      </c>
      <c r="I4639" t="s">
        <v>11386</v>
      </c>
      <c r="J4639">
        <v>10027</v>
      </c>
      <c r="K4639" t="s">
        <v>11446</v>
      </c>
      <c r="L4639" t="s">
        <v>14146</v>
      </c>
      <c r="M4639" t="s">
        <v>14744</v>
      </c>
      <c r="N4639" t="s">
        <v>14781</v>
      </c>
      <c r="O4639" t="s">
        <v>14788</v>
      </c>
      <c r="P4639" t="s">
        <v>14806</v>
      </c>
      <c r="Q4639" t="s">
        <v>11448</v>
      </c>
      <c r="S4639" t="s">
        <v>14827</v>
      </c>
      <c r="T4639" t="s">
        <v>14834</v>
      </c>
      <c r="U4639" t="s">
        <v>545</v>
      </c>
      <c r="V4639">
        <v>1016.25</v>
      </c>
      <c r="W4639" t="s">
        <v>14860</v>
      </c>
      <c r="Y4639" t="s">
        <v>14887</v>
      </c>
      <c r="Z4639" t="s">
        <v>18722</v>
      </c>
      <c r="AB4639" t="s">
        <v>23878</v>
      </c>
      <c r="AC4639">
        <v>0</v>
      </c>
      <c r="AD4639" t="s">
        <v>11479</v>
      </c>
      <c r="AE4639" t="s">
        <v>11459</v>
      </c>
      <c r="AF4639">
        <v>40</v>
      </c>
      <c r="AG4639">
        <v>1</v>
      </c>
      <c r="AH4639">
        <v>0</v>
      </c>
      <c r="AI4639">
        <v>317.05</v>
      </c>
      <c r="AJ4639" t="s">
        <v>331</v>
      </c>
      <c r="AK4639" t="s">
        <v>24629</v>
      </c>
      <c r="AL4639" t="s">
        <v>24638</v>
      </c>
      <c r="AM4639">
        <v>39600</v>
      </c>
      <c r="AP4639" t="s">
        <v>24960</v>
      </c>
      <c r="AQ4639" t="s">
        <v>24986</v>
      </c>
      <c r="AR4639" t="s">
        <v>25048</v>
      </c>
      <c r="AS4639">
        <v>10.45</v>
      </c>
      <c r="AT4639" t="s">
        <v>520</v>
      </c>
      <c r="AU4639" t="s">
        <v>25278</v>
      </c>
      <c r="AV4639" t="s">
        <v>25335</v>
      </c>
      <c r="AW4639" t="s">
        <v>11447</v>
      </c>
    </row>
    <row r="4640" spans="1:49">
      <c r="A4640" s="1">
        <f>HYPERLINK("https://lsnyc.legalserver.org/matter/dynamic-profile/view/1875715","18-1875715")</f>
        <v>0</v>
      </c>
      <c r="B4640" t="s">
        <v>64</v>
      </c>
      <c r="C4640" t="s">
        <v>866</v>
      </c>
      <c r="D4640" t="s">
        <v>366</v>
      </c>
      <c r="E4640" t="s">
        <v>1242</v>
      </c>
      <c r="F4640" t="s">
        <v>5899</v>
      </c>
      <c r="G4640" t="s">
        <v>9800</v>
      </c>
      <c r="H4640" t="s">
        <v>10497</v>
      </c>
      <c r="I4640" t="s">
        <v>11386</v>
      </c>
      <c r="J4640">
        <v>10025</v>
      </c>
      <c r="K4640" t="s">
        <v>11446</v>
      </c>
      <c r="L4640" t="s">
        <v>14147</v>
      </c>
      <c r="M4640" t="s">
        <v>14744</v>
      </c>
      <c r="N4640" t="s">
        <v>14781</v>
      </c>
      <c r="O4640" t="s">
        <v>14786</v>
      </c>
      <c r="P4640" t="s">
        <v>14806</v>
      </c>
      <c r="Q4640" t="s">
        <v>11448</v>
      </c>
      <c r="S4640" t="s">
        <v>14827</v>
      </c>
      <c r="V4640">
        <v>3800</v>
      </c>
      <c r="W4640" t="s">
        <v>14860</v>
      </c>
      <c r="Y4640" t="s">
        <v>14883</v>
      </c>
      <c r="Z4640" t="s">
        <v>18723</v>
      </c>
      <c r="AB4640" t="s">
        <v>23879</v>
      </c>
      <c r="AC4640">
        <v>0</v>
      </c>
      <c r="AD4640" t="s">
        <v>24598</v>
      </c>
      <c r="AE4640" t="s">
        <v>11459</v>
      </c>
      <c r="AF4640">
        <v>19</v>
      </c>
      <c r="AG4640">
        <v>2</v>
      </c>
      <c r="AH4640">
        <v>0</v>
      </c>
      <c r="AI4640">
        <v>116.65</v>
      </c>
      <c r="AL4640" t="s">
        <v>5011</v>
      </c>
      <c r="AM4640">
        <v>19200</v>
      </c>
      <c r="AS4640">
        <v>9.050000000000001</v>
      </c>
      <c r="AT4640" t="s">
        <v>831</v>
      </c>
      <c r="AU4640" t="s">
        <v>153</v>
      </c>
      <c r="AW4640" t="s">
        <v>11447</v>
      </c>
    </row>
    <row r="4641" spans="1:49">
      <c r="A4641" s="1">
        <f>HYPERLINK("https://lsnyc.legalserver.org/matter/dynamic-profile/view/1906279","19-1906279")</f>
        <v>0</v>
      </c>
      <c r="B4641" t="s">
        <v>182</v>
      </c>
      <c r="C4641" t="s">
        <v>355</v>
      </c>
      <c r="D4641" t="s">
        <v>465</v>
      </c>
      <c r="E4641" t="s">
        <v>1330</v>
      </c>
      <c r="F4641" t="s">
        <v>4776</v>
      </c>
      <c r="G4641" t="s">
        <v>9801</v>
      </c>
      <c r="H4641" t="s">
        <v>10569</v>
      </c>
      <c r="I4641" t="s">
        <v>11386</v>
      </c>
      <c r="J4641">
        <v>10026</v>
      </c>
      <c r="K4641" t="s">
        <v>11446</v>
      </c>
      <c r="L4641" t="s">
        <v>14148</v>
      </c>
      <c r="M4641" t="s">
        <v>14743</v>
      </c>
      <c r="N4641" t="s">
        <v>14778</v>
      </c>
      <c r="O4641" t="s">
        <v>14786</v>
      </c>
      <c r="P4641" t="s">
        <v>14806</v>
      </c>
      <c r="Q4641" t="s">
        <v>11448</v>
      </c>
      <c r="S4641" t="s">
        <v>14827</v>
      </c>
      <c r="T4641" t="s">
        <v>14832</v>
      </c>
      <c r="U4641" t="s">
        <v>355</v>
      </c>
      <c r="V4641">
        <v>0</v>
      </c>
      <c r="W4641" t="s">
        <v>14860</v>
      </c>
      <c r="X4641" t="s">
        <v>14863</v>
      </c>
      <c r="Y4641" t="s">
        <v>14883</v>
      </c>
      <c r="Z4641" t="s">
        <v>18724</v>
      </c>
      <c r="AB4641" t="s">
        <v>23880</v>
      </c>
      <c r="AC4641">
        <v>47</v>
      </c>
      <c r="AD4641" t="s">
        <v>11479</v>
      </c>
      <c r="AE4641" t="s">
        <v>11459</v>
      </c>
      <c r="AF4641">
        <v>4</v>
      </c>
      <c r="AG4641">
        <v>2</v>
      </c>
      <c r="AH4641">
        <v>1</v>
      </c>
      <c r="AI4641">
        <v>39.01</v>
      </c>
      <c r="AL4641" t="s">
        <v>5011</v>
      </c>
      <c r="AM4641">
        <v>8320</v>
      </c>
      <c r="AS4641">
        <v>3.75</v>
      </c>
      <c r="AT4641" t="s">
        <v>366</v>
      </c>
      <c r="AU4641" t="s">
        <v>153</v>
      </c>
      <c r="AV4641" t="s">
        <v>25335</v>
      </c>
      <c r="AW4641" t="s">
        <v>11447</v>
      </c>
    </row>
    <row r="4642" spans="1:49">
      <c r="A4642" s="1">
        <f>HYPERLINK("https://lsnyc.legalserver.org/matter/dynamic-profile/view/1904166","19-1904166")</f>
        <v>0</v>
      </c>
      <c r="B4642" t="s">
        <v>194</v>
      </c>
      <c r="C4642" t="s">
        <v>338</v>
      </c>
      <c r="D4642" t="s">
        <v>633</v>
      </c>
      <c r="E4642" t="s">
        <v>3261</v>
      </c>
      <c r="F4642" t="s">
        <v>5900</v>
      </c>
      <c r="G4642" t="s">
        <v>9802</v>
      </c>
      <c r="H4642" t="s">
        <v>10569</v>
      </c>
      <c r="I4642" t="s">
        <v>11386</v>
      </c>
      <c r="J4642">
        <v>10026</v>
      </c>
      <c r="K4642" t="s">
        <v>11446</v>
      </c>
      <c r="L4642" t="s">
        <v>14149</v>
      </c>
      <c r="M4642" t="s">
        <v>14744</v>
      </c>
      <c r="N4642" t="s">
        <v>14778</v>
      </c>
      <c r="O4642" t="s">
        <v>14786</v>
      </c>
      <c r="P4642" t="s">
        <v>14806</v>
      </c>
      <c r="Q4642" t="s">
        <v>11448</v>
      </c>
      <c r="S4642" t="s">
        <v>14827</v>
      </c>
      <c r="U4642" t="s">
        <v>338</v>
      </c>
      <c r="V4642">
        <v>800</v>
      </c>
      <c r="W4642" t="s">
        <v>14860</v>
      </c>
      <c r="Y4642" t="s">
        <v>14883</v>
      </c>
      <c r="Z4642" t="s">
        <v>16984</v>
      </c>
      <c r="AB4642" t="s">
        <v>23881</v>
      </c>
      <c r="AC4642">
        <v>21</v>
      </c>
      <c r="AD4642" t="s">
        <v>24606</v>
      </c>
      <c r="AF4642">
        <v>5</v>
      </c>
      <c r="AG4642">
        <v>1</v>
      </c>
      <c r="AH4642">
        <v>0</v>
      </c>
      <c r="AI4642">
        <v>0</v>
      </c>
      <c r="AL4642" t="s">
        <v>5011</v>
      </c>
      <c r="AM4642">
        <v>0</v>
      </c>
      <c r="AS4642">
        <v>1</v>
      </c>
      <c r="AT4642" t="s">
        <v>338</v>
      </c>
      <c r="AU4642" t="s">
        <v>25278</v>
      </c>
      <c r="AV4642" t="s">
        <v>25335</v>
      </c>
      <c r="AW4642" t="s">
        <v>11447</v>
      </c>
    </row>
    <row r="4643" spans="1:49">
      <c r="A4643" s="1">
        <f>HYPERLINK("https://lsnyc.legalserver.org/matter/dynamic-profile/view/1844931","17-1844931")</f>
        <v>0</v>
      </c>
      <c r="B4643" t="s">
        <v>207</v>
      </c>
      <c r="C4643" t="s">
        <v>867</v>
      </c>
      <c r="D4643" t="s">
        <v>377</v>
      </c>
      <c r="E4643" t="s">
        <v>3262</v>
      </c>
      <c r="F4643" t="s">
        <v>3907</v>
      </c>
      <c r="G4643" t="s">
        <v>9803</v>
      </c>
      <c r="H4643" t="s">
        <v>10790</v>
      </c>
      <c r="I4643" t="s">
        <v>11386</v>
      </c>
      <c r="J4643">
        <v>10027</v>
      </c>
      <c r="K4643" t="s">
        <v>11446</v>
      </c>
      <c r="L4643" t="s">
        <v>14150</v>
      </c>
      <c r="M4643" t="s">
        <v>14743</v>
      </c>
      <c r="N4643" t="s">
        <v>14781</v>
      </c>
      <c r="O4643" t="s">
        <v>14788</v>
      </c>
      <c r="P4643" t="s">
        <v>14806</v>
      </c>
      <c r="Q4643" t="s">
        <v>11448</v>
      </c>
      <c r="S4643" t="s">
        <v>14828</v>
      </c>
      <c r="U4643" t="s">
        <v>545</v>
      </c>
      <c r="V4643">
        <v>377</v>
      </c>
      <c r="W4643" t="s">
        <v>14860</v>
      </c>
      <c r="X4643" t="s">
        <v>14882</v>
      </c>
      <c r="Y4643" t="s">
        <v>14894</v>
      </c>
      <c r="Z4643" t="s">
        <v>18725</v>
      </c>
      <c r="AA4643" t="s">
        <v>20005</v>
      </c>
      <c r="AB4643" t="s">
        <v>23882</v>
      </c>
      <c r="AC4643">
        <v>1128</v>
      </c>
      <c r="AD4643" t="s">
        <v>24602</v>
      </c>
      <c r="AF4643">
        <v>15</v>
      </c>
      <c r="AG4643">
        <v>1</v>
      </c>
      <c r="AH4643">
        <v>0</v>
      </c>
      <c r="AI4643">
        <v>73.13</v>
      </c>
      <c r="AL4643" t="s">
        <v>5011</v>
      </c>
      <c r="AM4643">
        <v>8820</v>
      </c>
      <c r="AS4643">
        <v>119.38</v>
      </c>
      <c r="AT4643" t="s">
        <v>578</v>
      </c>
      <c r="AU4643" t="s">
        <v>153</v>
      </c>
      <c r="AV4643" t="s">
        <v>25334</v>
      </c>
      <c r="AW4643" t="s">
        <v>11447</v>
      </c>
    </row>
    <row r="4644" spans="1:49">
      <c r="A4644" s="1">
        <f>HYPERLINK("https://lsnyc.legalserver.org/matter/dynamic-profile/view/1896153","19-1896153")</f>
        <v>0</v>
      </c>
      <c r="B4644" t="s">
        <v>307</v>
      </c>
      <c r="C4644" t="s">
        <v>660</v>
      </c>
      <c r="D4644" t="s">
        <v>466</v>
      </c>
      <c r="E4644" t="s">
        <v>3263</v>
      </c>
      <c r="F4644" t="s">
        <v>4433</v>
      </c>
      <c r="G4644" t="s">
        <v>9804</v>
      </c>
      <c r="I4644" t="s">
        <v>11386</v>
      </c>
      <c r="J4644">
        <v>10026</v>
      </c>
      <c r="K4644" t="s">
        <v>11446</v>
      </c>
      <c r="L4644" t="s">
        <v>14151</v>
      </c>
      <c r="M4644" t="s">
        <v>14744</v>
      </c>
      <c r="N4644" t="s">
        <v>14781</v>
      </c>
      <c r="O4644" t="s">
        <v>14788</v>
      </c>
      <c r="P4644" t="s">
        <v>14806</v>
      </c>
      <c r="Q4644" t="s">
        <v>11448</v>
      </c>
      <c r="S4644" t="s">
        <v>14827</v>
      </c>
      <c r="U4644" t="s">
        <v>545</v>
      </c>
      <c r="V4644">
        <v>0</v>
      </c>
      <c r="W4644" t="s">
        <v>14860</v>
      </c>
      <c r="X4644" t="s">
        <v>14863</v>
      </c>
      <c r="Y4644" t="s">
        <v>14887</v>
      </c>
      <c r="Z4644" t="s">
        <v>18726</v>
      </c>
      <c r="AB4644" t="s">
        <v>23883</v>
      </c>
      <c r="AC4644">
        <v>161</v>
      </c>
      <c r="AD4644" t="s">
        <v>24595</v>
      </c>
      <c r="AE4644" t="s">
        <v>24610</v>
      </c>
      <c r="AF4644">
        <v>12</v>
      </c>
      <c r="AG4644">
        <v>3</v>
      </c>
      <c r="AH4644">
        <v>0</v>
      </c>
      <c r="AI4644">
        <v>0</v>
      </c>
      <c r="AL4644" t="s">
        <v>5011</v>
      </c>
      <c r="AM4644">
        <v>0</v>
      </c>
      <c r="AQ4644" t="s">
        <v>24986</v>
      </c>
      <c r="AR4644" t="s">
        <v>25010</v>
      </c>
      <c r="AS4644">
        <v>5.1</v>
      </c>
      <c r="AT4644" t="s">
        <v>466</v>
      </c>
      <c r="AU4644" t="s">
        <v>25282</v>
      </c>
      <c r="AV4644" t="s">
        <v>25335</v>
      </c>
      <c r="AW4644" t="s">
        <v>11447</v>
      </c>
    </row>
    <row r="4645" spans="1:49">
      <c r="A4645" s="1">
        <f>HYPERLINK("https://lsnyc.legalserver.org/matter/dynamic-profile/view/1908858","19-1908858")</f>
        <v>0</v>
      </c>
      <c r="B4645" t="s">
        <v>247</v>
      </c>
      <c r="C4645" t="s">
        <v>585</v>
      </c>
      <c r="D4645" t="s">
        <v>463</v>
      </c>
      <c r="E4645" t="s">
        <v>3264</v>
      </c>
      <c r="F4645" t="s">
        <v>3685</v>
      </c>
      <c r="G4645" t="s">
        <v>9805</v>
      </c>
      <c r="H4645" t="s">
        <v>10497</v>
      </c>
      <c r="I4645" t="s">
        <v>11386</v>
      </c>
      <c r="J4645">
        <v>10031</v>
      </c>
      <c r="K4645" t="s">
        <v>11446</v>
      </c>
      <c r="L4645" t="s">
        <v>14152</v>
      </c>
      <c r="M4645" t="s">
        <v>14744</v>
      </c>
      <c r="N4645" t="s">
        <v>14778</v>
      </c>
      <c r="O4645" t="s">
        <v>14786</v>
      </c>
      <c r="P4645" t="s">
        <v>14806</v>
      </c>
      <c r="Q4645" t="s">
        <v>11448</v>
      </c>
      <c r="S4645" t="s">
        <v>14827</v>
      </c>
      <c r="T4645" t="s">
        <v>14832</v>
      </c>
      <c r="U4645" t="s">
        <v>585</v>
      </c>
      <c r="V4645">
        <v>624</v>
      </c>
      <c r="W4645" t="s">
        <v>14860</v>
      </c>
      <c r="X4645" t="s">
        <v>14863</v>
      </c>
      <c r="Y4645" t="s">
        <v>14883</v>
      </c>
      <c r="Z4645" t="s">
        <v>18727</v>
      </c>
      <c r="AB4645" t="s">
        <v>23884</v>
      </c>
      <c r="AC4645">
        <v>92</v>
      </c>
      <c r="AD4645" t="s">
        <v>11479</v>
      </c>
      <c r="AE4645" t="s">
        <v>11459</v>
      </c>
      <c r="AF4645">
        <v>38</v>
      </c>
      <c r="AG4645">
        <v>2</v>
      </c>
      <c r="AH4645">
        <v>0</v>
      </c>
      <c r="AI4645">
        <v>260.2</v>
      </c>
      <c r="AL4645" t="s">
        <v>24632</v>
      </c>
      <c r="AM4645">
        <v>44000</v>
      </c>
      <c r="AS4645">
        <v>0.5</v>
      </c>
      <c r="AT4645" t="s">
        <v>585</v>
      </c>
      <c r="AU4645" t="s">
        <v>25276</v>
      </c>
      <c r="AV4645" t="s">
        <v>25335</v>
      </c>
      <c r="AW4645" t="s">
        <v>11447</v>
      </c>
    </row>
    <row r="4646" spans="1:49">
      <c r="A4646" s="1">
        <f>HYPERLINK("https://lsnyc.legalserver.org/matter/dynamic-profile/view/1865270","18-1865270")</f>
        <v>0</v>
      </c>
      <c r="B4646" t="s">
        <v>182</v>
      </c>
      <c r="C4646" t="s">
        <v>367</v>
      </c>
      <c r="D4646" t="s">
        <v>519</v>
      </c>
      <c r="E4646" t="s">
        <v>1080</v>
      </c>
      <c r="F4646" t="s">
        <v>4644</v>
      </c>
      <c r="G4646" t="s">
        <v>9806</v>
      </c>
      <c r="H4646" t="s">
        <v>10589</v>
      </c>
      <c r="I4646" t="s">
        <v>11386</v>
      </c>
      <c r="J4646">
        <v>10026</v>
      </c>
      <c r="K4646" t="s">
        <v>11446</v>
      </c>
      <c r="L4646" t="s">
        <v>14153</v>
      </c>
      <c r="M4646" t="s">
        <v>14744</v>
      </c>
      <c r="N4646" t="s">
        <v>14781</v>
      </c>
      <c r="O4646" t="s">
        <v>14788</v>
      </c>
      <c r="P4646" t="s">
        <v>14806</v>
      </c>
      <c r="Q4646" t="s">
        <v>11448</v>
      </c>
      <c r="S4646" t="s">
        <v>14827</v>
      </c>
      <c r="T4646" t="s">
        <v>14832</v>
      </c>
      <c r="U4646" t="s">
        <v>485</v>
      </c>
      <c r="V4646">
        <v>645</v>
      </c>
      <c r="W4646" t="s">
        <v>14860</v>
      </c>
      <c r="X4646" t="s">
        <v>14876</v>
      </c>
      <c r="Y4646" t="s">
        <v>14887</v>
      </c>
      <c r="Z4646" t="s">
        <v>18728</v>
      </c>
      <c r="AB4646" t="s">
        <v>23885</v>
      </c>
      <c r="AC4646">
        <v>0</v>
      </c>
      <c r="AD4646" t="s">
        <v>24599</v>
      </c>
      <c r="AE4646" t="s">
        <v>11459</v>
      </c>
      <c r="AF4646">
        <v>36</v>
      </c>
      <c r="AG4646">
        <v>1</v>
      </c>
      <c r="AH4646">
        <v>1</v>
      </c>
      <c r="AI4646">
        <v>170.6</v>
      </c>
      <c r="AL4646" t="s">
        <v>5011</v>
      </c>
      <c r="AM4646">
        <v>28080</v>
      </c>
      <c r="AO4646" t="s">
        <v>24930</v>
      </c>
      <c r="AP4646" t="s">
        <v>24966</v>
      </c>
      <c r="AQ4646" t="s">
        <v>24986</v>
      </c>
      <c r="AS4646">
        <v>34.5</v>
      </c>
      <c r="AT4646" t="s">
        <v>410</v>
      </c>
      <c r="AU4646" t="s">
        <v>153</v>
      </c>
      <c r="AW4646" t="s">
        <v>11447</v>
      </c>
    </row>
    <row r="4647" spans="1:49">
      <c r="A4647" s="1">
        <f>HYPERLINK("https://lsnyc.legalserver.org/matter/dynamic-profile/view/1909388","19-1909388")</f>
        <v>0</v>
      </c>
      <c r="B4647" t="s">
        <v>309</v>
      </c>
      <c r="C4647" t="s">
        <v>412</v>
      </c>
      <c r="D4647" t="s">
        <v>519</v>
      </c>
      <c r="E4647" t="s">
        <v>1025</v>
      </c>
      <c r="F4647" t="s">
        <v>5901</v>
      </c>
      <c r="G4647" t="s">
        <v>9807</v>
      </c>
      <c r="H4647" t="s">
        <v>10523</v>
      </c>
      <c r="I4647" t="s">
        <v>11386</v>
      </c>
      <c r="J4647">
        <v>10031</v>
      </c>
      <c r="K4647" t="s">
        <v>11446</v>
      </c>
      <c r="L4647" t="s">
        <v>14154</v>
      </c>
      <c r="M4647" t="s">
        <v>14744</v>
      </c>
      <c r="N4647" t="s">
        <v>14778</v>
      </c>
      <c r="O4647" t="s">
        <v>14786</v>
      </c>
      <c r="P4647" t="s">
        <v>14806</v>
      </c>
      <c r="Q4647" t="s">
        <v>11448</v>
      </c>
      <c r="S4647" t="s">
        <v>14827</v>
      </c>
      <c r="U4647" t="s">
        <v>412</v>
      </c>
      <c r="V4647">
        <v>2353.49</v>
      </c>
      <c r="W4647" t="s">
        <v>14860</v>
      </c>
      <c r="X4647" t="s">
        <v>14863</v>
      </c>
      <c r="Y4647" t="s">
        <v>14883</v>
      </c>
      <c r="Z4647" t="s">
        <v>18729</v>
      </c>
      <c r="AB4647" t="s">
        <v>23886</v>
      </c>
      <c r="AC4647">
        <v>0</v>
      </c>
      <c r="AD4647" t="s">
        <v>11479</v>
      </c>
      <c r="AE4647" t="s">
        <v>11459</v>
      </c>
      <c r="AF4647">
        <v>14</v>
      </c>
      <c r="AG4647">
        <v>5</v>
      </c>
      <c r="AH4647">
        <v>2</v>
      </c>
      <c r="AI4647">
        <v>266.6</v>
      </c>
      <c r="AL4647" t="s">
        <v>24632</v>
      </c>
      <c r="AM4647">
        <v>104000</v>
      </c>
      <c r="AS4647">
        <v>1.5</v>
      </c>
      <c r="AT4647" t="s">
        <v>412</v>
      </c>
      <c r="AU4647" t="s">
        <v>153</v>
      </c>
      <c r="AV4647" t="s">
        <v>25335</v>
      </c>
      <c r="AW4647" t="s">
        <v>11447</v>
      </c>
    </row>
    <row r="4648" spans="1:49">
      <c r="A4648" s="1">
        <f>HYPERLINK("https://lsnyc.legalserver.org/matter/dynamic-profile/view/1907363","19-1907363")</f>
        <v>0</v>
      </c>
      <c r="B4648" t="s">
        <v>188</v>
      </c>
      <c r="C4648" t="s">
        <v>368</v>
      </c>
      <c r="D4648" t="s">
        <v>471</v>
      </c>
      <c r="E4648" t="s">
        <v>3265</v>
      </c>
      <c r="F4648" t="s">
        <v>3587</v>
      </c>
      <c r="G4648" t="s">
        <v>9808</v>
      </c>
      <c r="H4648" t="s">
        <v>10661</v>
      </c>
      <c r="I4648" t="s">
        <v>11386</v>
      </c>
      <c r="J4648">
        <v>10027</v>
      </c>
      <c r="K4648" t="s">
        <v>11446</v>
      </c>
      <c r="L4648" t="s">
        <v>14155</v>
      </c>
      <c r="M4648" t="s">
        <v>14743</v>
      </c>
      <c r="N4648" t="s">
        <v>14778</v>
      </c>
      <c r="O4648" t="s">
        <v>14786</v>
      </c>
      <c r="P4648" t="s">
        <v>14806</v>
      </c>
      <c r="Q4648" t="s">
        <v>11448</v>
      </c>
      <c r="S4648" t="s">
        <v>14827</v>
      </c>
      <c r="T4648" t="s">
        <v>14832</v>
      </c>
      <c r="U4648" t="s">
        <v>368</v>
      </c>
      <c r="V4648">
        <v>2450</v>
      </c>
      <c r="W4648" t="s">
        <v>14860</v>
      </c>
      <c r="X4648" t="s">
        <v>14865</v>
      </c>
      <c r="Y4648" t="s">
        <v>14883</v>
      </c>
      <c r="Z4648" t="s">
        <v>18730</v>
      </c>
      <c r="AB4648" t="s">
        <v>23887</v>
      </c>
      <c r="AC4648">
        <v>49</v>
      </c>
      <c r="AD4648" t="s">
        <v>24595</v>
      </c>
      <c r="AE4648" t="s">
        <v>11459</v>
      </c>
      <c r="AF4648">
        <v>1</v>
      </c>
      <c r="AG4648">
        <v>1</v>
      </c>
      <c r="AH4648">
        <v>0</v>
      </c>
      <c r="AI4648">
        <v>160.13</v>
      </c>
      <c r="AL4648" t="s">
        <v>5011</v>
      </c>
      <c r="AM4648">
        <v>20000</v>
      </c>
      <c r="AS4648">
        <v>5.8</v>
      </c>
      <c r="AT4648" t="s">
        <v>540</v>
      </c>
      <c r="AU4648" t="s">
        <v>153</v>
      </c>
      <c r="AV4648" t="s">
        <v>25335</v>
      </c>
      <c r="AW4648" t="s">
        <v>11447</v>
      </c>
    </row>
    <row r="4649" spans="1:49">
      <c r="A4649" s="1">
        <f>HYPERLINK("https://lsnyc.legalserver.org/matter/dynamic-profile/view/1907342","19-1907342")</f>
        <v>0</v>
      </c>
      <c r="B4649" t="s">
        <v>207</v>
      </c>
      <c r="C4649" t="s">
        <v>368</v>
      </c>
      <c r="D4649" t="s">
        <v>511</v>
      </c>
      <c r="E4649" t="s">
        <v>3266</v>
      </c>
      <c r="F4649" t="s">
        <v>5902</v>
      </c>
      <c r="G4649" t="s">
        <v>9809</v>
      </c>
      <c r="H4649">
        <v>69</v>
      </c>
      <c r="I4649" t="s">
        <v>11386</v>
      </c>
      <c r="J4649">
        <v>10027</v>
      </c>
      <c r="K4649" t="s">
        <v>11446</v>
      </c>
      <c r="L4649" t="s">
        <v>14156</v>
      </c>
      <c r="M4649" t="s">
        <v>14743</v>
      </c>
      <c r="N4649" t="s">
        <v>14779</v>
      </c>
      <c r="O4649" t="s">
        <v>14787</v>
      </c>
      <c r="P4649" t="s">
        <v>14806</v>
      </c>
      <c r="Q4649" t="s">
        <v>11448</v>
      </c>
      <c r="S4649" t="s">
        <v>14827</v>
      </c>
      <c r="U4649" t="s">
        <v>14839</v>
      </c>
      <c r="V4649">
        <v>864.74</v>
      </c>
      <c r="W4649" t="s">
        <v>14860</v>
      </c>
      <c r="X4649" t="s">
        <v>14863</v>
      </c>
      <c r="Y4649" t="s">
        <v>14883</v>
      </c>
      <c r="Z4649" t="s">
        <v>18731</v>
      </c>
      <c r="AB4649" t="s">
        <v>23888</v>
      </c>
      <c r="AC4649">
        <v>62</v>
      </c>
      <c r="AD4649" t="s">
        <v>24595</v>
      </c>
      <c r="AE4649" t="s">
        <v>11459</v>
      </c>
      <c r="AF4649">
        <v>5</v>
      </c>
      <c r="AG4649">
        <v>1</v>
      </c>
      <c r="AH4649">
        <v>0</v>
      </c>
      <c r="AI4649">
        <v>0</v>
      </c>
      <c r="AM4649">
        <v>0</v>
      </c>
      <c r="AS4649">
        <v>2.9</v>
      </c>
      <c r="AT4649" t="s">
        <v>589</v>
      </c>
      <c r="AU4649" t="s">
        <v>153</v>
      </c>
      <c r="AV4649" t="s">
        <v>25335</v>
      </c>
      <c r="AW4649" t="s">
        <v>11447</v>
      </c>
    </row>
    <row r="4650" spans="1:49">
      <c r="A4650" s="1">
        <f>HYPERLINK("https://lsnyc.legalserver.org/matter/dynamic-profile/view/1904168","19-1904168")</f>
        <v>0</v>
      </c>
      <c r="B4650" t="s">
        <v>182</v>
      </c>
      <c r="C4650" t="s">
        <v>338</v>
      </c>
      <c r="D4650" t="s">
        <v>467</v>
      </c>
      <c r="E4650" t="s">
        <v>3267</v>
      </c>
      <c r="F4650" t="s">
        <v>3709</v>
      </c>
      <c r="G4650" t="s">
        <v>9810</v>
      </c>
      <c r="H4650" t="s">
        <v>10497</v>
      </c>
      <c r="I4650" t="s">
        <v>11386</v>
      </c>
      <c r="J4650">
        <v>10031</v>
      </c>
      <c r="K4650" t="s">
        <v>11446</v>
      </c>
      <c r="L4650" t="s">
        <v>14157</v>
      </c>
      <c r="M4650" t="s">
        <v>14743</v>
      </c>
      <c r="N4650" t="s">
        <v>14778</v>
      </c>
      <c r="O4650" t="s">
        <v>14786</v>
      </c>
      <c r="P4650" t="s">
        <v>14806</v>
      </c>
      <c r="Q4650" t="s">
        <v>11448</v>
      </c>
      <c r="S4650" t="s">
        <v>14827</v>
      </c>
      <c r="T4650" t="s">
        <v>14832</v>
      </c>
      <c r="U4650" t="s">
        <v>14839</v>
      </c>
      <c r="V4650">
        <v>500</v>
      </c>
      <c r="W4650" t="s">
        <v>14860</v>
      </c>
      <c r="X4650" t="s">
        <v>14865</v>
      </c>
      <c r="Y4650" t="s">
        <v>14883</v>
      </c>
      <c r="Z4650" t="s">
        <v>16015</v>
      </c>
      <c r="AB4650" t="s">
        <v>23889</v>
      </c>
      <c r="AC4650">
        <v>56</v>
      </c>
      <c r="AD4650" t="s">
        <v>11479</v>
      </c>
      <c r="AF4650">
        <v>1</v>
      </c>
      <c r="AG4650">
        <v>2</v>
      </c>
      <c r="AH4650">
        <v>1</v>
      </c>
      <c r="AI4650">
        <v>170.65</v>
      </c>
      <c r="AL4650" t="s">
        <v>5011</v>
      </c>
      <c r="AM4650">
        <v>36400</v>
      </c>
      <c r="AS4650">
        <v>1.25</v>
      </c>
      <c r="AT4650" t="s">
        <v>410</v>
      </c>
      <c r="AU4650" t="s">
        <v>25317</v>
      </c>
      <c r="AV4650" t="s">
        <v>25335</v>
      </c>
      <c r="AW4650" t="s">
        <v>11447</v>
      </c>
    </row>
    <row r="4651" spans="1:49">
      <c r="A4651" s="1">
        <f>HYPERLINK("https://lsnyc.legalserver.org/matter/dynamic-profile/view/1904925","19-1904925")</f>
        <v>0</v>
      </c>
      <c r="B4651" t="s">
        <v>247</v>
      </c>
      <c r="C4651" t="s">
        <v>593</v>
      </c>
      <c r="D4651" t="s">
        <v>486</v>
      </c>
      <c r="E4651" t="s">
        <v>3268</v>
      </c>
      <c r="F4651" t="s">
        <v>5903</v>
      </c>
      <c r="G4651" t="s">
        <v>9811</v>
      </c>
      <c r="H4651" t="s">
        <v>10482</v>
      </c>
      <c r="I4651" t="s">
        <v>11386</v>
      </c>
      <c r="J4651">
        <v>10027</v>
      </c>
      <c r="K4651" t="s">
        <v>11446</v>
      </c>
      <c r="L4651" t="s">
        <v>14158</v>
      </c>
      <c r="M4651" t="s">
        <v>14744</v>
      </c>
      <c r="N4651" t="s">
        <v>14781</v>
      </c>
      <c r="O4651" t="s">
        <v>14786</v>
      </c>
      <c r="P4651" t="s">
        <v>14806</v>
      </c>
      <c r="Q4651" t="s">
        <v>11448</v>
      </c>
      <c r="S4651" t="s">
        <v>14828</v>
      </c>
      <c r="U4651" t="s">
        <v>593</v>
      </c>
      <c r="V4651">
        <v>448</v>
      </c>
      <c r="W4651" t="s">
        <v>14860</v>
      </c>
      <c r="X4651" t="s">
        <v>14863</v>
      </c>
      <c r="Y4651" t="s">
        <v>14883</v>
      </c>
      <c r="Z4651" t="s">
        <v>18732</v>
      </c>
      <c r="AB4651" t="s">
        <v>23890</v>
      </c>
      <c r="AC4651">
        <v>1272</v>
      </c>
      <c r="AD4651" t="s">
        <v>24597</v>
      </c>
      <c r="AF4651">
        <v>30</v>
      </c>
      <c r="AG4651">
        <v>1</v>
      </c>
      <c r="AH4651">
        <v>0</v>
      </c>
      <c r="AI4651">
        <v>187.35</v>
      </c>
      <c r="AM4651">
        <v>23400</v>
      </c>
      <c r="AS4651">
        <v>0.5</v>
      </c>
      <c r="AT4651" t="s">
        <v>486</v>
      </c>
      <c r="AU4651" t="s">
        <v>118</v>
      </c>
      <c r="AV4651" t="s">
        <v>25335</v>
      </c>
      <c r="AW4651" t="s">
        <v>11447</v>
      </c>
    </row>
    <row r="4652" spans="1:49">
      <c r="A4652" s="1">
        <f>HYPERLINK("https://lsnyc.legalserver.org/matter/dynamic-profile/view/1904155","19-1904155")</f>
        <v>0</v>
      </c>
      <c r="B4652" t="s">
        <v>194</v>
      </c>
      <c r="C4652" t="s">
        <v>338</v>
      </c>
      <c r="D4652" t="s">
        <v>483</v>
      </c>
      <c r="E4652" t="s">
        <v>2276</v>
      </c>
      <c r="F4652" t="s">
        <v>5857</v>
      </c>
      <c r="G4652" t="s">
        <v>9812</v>
      </c>
      <c r="H4652" t="s">
        <v>10559</v>
      </c>
      <c r="I4652" t="s">
        <v>11386</v>
      </c>
      <c r="J4652">
        <v>10026</v>
      </c>
      <c r="K4652" t="s">
        <v>11446</v>
      </c>
      <c r="L4652" t="s">
        <v>14159</v>
      </c>
      <c r="M4652" t="s">
        <v>14744</v>
      </c>
      <c r="N4652" t="s">
        <v>14781</v>
      </c>
      <c r="O4652" t="s">
        <v>14788</v>
      </c>
      <c r="P4652" t="s">
        <v>14806</v>
      </c>
      <c r="Q4652" t="s">
        <v>11448</v>
      </c>
      <c r="S4652" t="s">
        <v>14828</v>
      </c>
      <c r="T4652" t="s">
        <v>14832</v>
      </c>
      <c r="U4652" t="s">
        <v>338</v>
      </c>
      <c r="V4652">
        <v>552</v>
      </c>
      <c r="W4652" t="s">
        <v>14860</v>
      </c>
      <c r="X4652" t="s">
        <v>14863</v>
      </c>
      <c r="Y4652" t="s">
        <v>14887</v>
      </c>
      <c r="Z4652" t="s">
        <v>16812</v>
      </c>
      <c r="AB4652" t="s">
        <v>23891</v>
      </c>
      <c r="AC4652">
        <v>111</v>
      </c>
      <c r="AD4652" t="s">
        <v>11479</v>
      </c>
      <c r="AE4652" t="s">
        <v>11459</v>
      </c>
      <c r="AF4652">
        <v>5</v>
      </c>
      <c r="AG4652">
        <v>1</v>
      </c>
      <c r="AH4652">
        <v>1</v>
      </c>
      <c r="AI4652">
        <v>196.64</v>
      </c>
      <c r="AL4652" t="s">
        <v>5011</v>
      </c>
      <c r="AM4652">
        <v>33252</v>
      </c>
      <c r="AO4652" t="s">
        <v>24930</v>
      </c>
      <c r="AP4652" t="s">
        <v>24959</v>
      </c>
      <c r="AQ4652" t="s">
        <v>24986</v>
      </c>
      <c r="AR4652" t="s">
        <v>25026</v>
      </c>
      <c r="AS4652">
        <v>14.2</v>
      </c>
      <c r="AT4652" t="s">
        <v>574</v>
      </c>
      <c r="AU4652" t="s">
        <v>25278</v>
      </c>
      <c r="AV4652" t="s">
        <v>25335</v>
      </c>
      <c r="AW4652" t="s">
        <v>11447</v>
      </c>
    </row>
    <row r="4653" spans="1:49">
      <c r="A4653" s="1">
        <f>HYPERLINK("https://lsnyc.legalserver.org/matter/dynamic-profile/view/1912675","19-1912675")</f>
        <v>0</v>
      </c>
      <c r="B4653" t="s">
        <v>309</v>
      </c>
      <c r="C4653" t="s">
        <v>578</v>
      </c>
      <c r="D4653" t="s">
        <v>484</v>
      </c>
      <c r="E4653" t="s">
        <v>3269</v>
      </c>
      <c r="F4653" t="s">
        <v>5904</v>
      </c>
      <c r="G4653" t="s">
        <v>9813</v>
      </c>
      <c r="H4653" t="s">
        <v>10450</v>
      </c>
      <c r="I4653" t="s">
        <v>11386</v>
      </c>
      <c r="J4653">
        <v>10026</v>
      </c>
      <c r="K4653" t="s">
        <v>11446</v>
      </c>
      <c r="L4653" t="s">
        <v>14160</v>
      </c>
      <c r="M4653" t="s">
        <v>14744</v>
      </c>
      <c r="N4653" t="s">
        <v>14778</v>
      </c>
      <c r="O4653" t="s">
        <v>14786</v>
      </c>
      <c r="P4653" t="s">
        <v>14806</v>
      </c>
      <c r="Q4653" t="s">
        <v>11448</v>
      </c>
      <c r="S4653" t="s">
        <v>14827</v>
      </c>
      <c r="U4653" t="s">
        <v>578</v>
      </c>
      <c r="V4653">
        <v>549</v>
      </c>
      <c r="W4653" t="s">
        <v>14860</v>
      </c>
      <c r="X4653" t="s">
        <v>14863</v>
      </c>
      <c r="Y4653" t="s">
        <v>14883</v>
      </c>
      <c r="Z4653" t="s">
        <v>18733</v>
      </c>
      <c r="AB4653" t="s">
        <v>23892</v>
      </c>
      <c r="AC4653">
        <v>0</v>
      </c>
      <c r="AD4653" t="s">
        <v>24596</v>
      </c>
      <c r="AE4653" t="s">
        <v>14755</v>
      </c>
      <c r="AF4653">
        <v>38</v>
      </c>
      <c r="AG4653">
        <v>2</v>
      </c>
      <c r="AH4653">
        <v>1</v>
      </c>
      <c r="AI4653">
        <v>234.41</v>
      </c>
      <c r="AL4653" t="s">
        <v>5011</v>
      </c>
      <c r="AM4653">
        <v>50000</v>
      </c>
      <c r="AS4653">
        <v>2.5</v>
      </c>
      <c r="AT4653" t="s">
        <v>603</v>
      </c>
      <c r="AU4653" t="s">
        <v>25276</v>
      </c>
      <c r="AV4653" t="s">
        <v>25335</v>
      </c>
      <c r="AW4653" t="s">
        <v>11447</v>
      </c>
    </row>
    <row r="4654" spans="1:49">
      <c r="A4654" s="1">
        <f>HYPERLINK("https://lsnyc.legalserver.org/matter/dynamic-profile/view/1876358","18-1876358")</f>
        <v>0</v>
      </c>
      <c r="B4654" t="s">
        <v>247</v>
      </c>
      <c r="C4654" t="s">
        <v>814</v>
      </c>
      <c r="D4654" t="s">
        <v>537</v>
      </c>
      <c r="E4654" t="s">
        <v>3270</v>
      </c>
      <c r="F4654" t="s">
        <v>4674</v>
      </c>
      <c r="G4654" t="s">
        <v>9814</v>
      </c>
      <c r="H4654" t="s">
        <v>10481</v>
      </c>
      <c r="I4654" t="s">
        <v>11386</v>
      </c>
      <c r="J4654">
        <v>10026</v>
      </c>
      <c r="K4654" t="s">
        <v>11446</v>
      </c>
      <c r="L4654" t="s">
        <v>14161</v>
      </c>
      <c r="M4654" t="s">
        <v>14744</v>
      </c>
      <c r="N4654" t="s">
        <v>14781</v>
      </c>
      <c r="O4654" t="s">
        <v>14788</v>
      </c>
      <c r="P4654" t="s">
        <v>14806</v>
      </c>
      <c r="S4654" t="s">
        <v>14827</v>
      </c>
      <c r="V4654">
        <v>1300</v>
      </c>
      <c r="W4654" t="s">
        <v>14860</v>
      </c>
      <c r="Y4654" t="s">
        <v>14887</v>
      </c>
      <c r="Z4654" t="s">
        <v>18734</v>
      </c>
      <c r="AB4654" t="s">
        <v>23893</v>
      </c>
      <c r="AC4654">
        <v>42</v>
      </c>
      <c r="AD4654" t="s">
        <v>24595</v>
      </c>
      <c r="AE4654" t="s">
        <v>11459</v>
      </c>
      <c r="AF4654">
        <v>29</v>
      </c>
      <c r="AG4654">
        <v>4</v>
      </c>
      <c r="AH4654">
        <v>1</v>
      </c>
      <c r="AI4654">
        <v>183.55</v>
      </c>
      <c r="AL4654" t="s">
        <v>5011</v>
      </c>
      <c r="AM4654">
        <v>54000</v>
      </c>
      <c r="AQ4654" t="s">
        <v>24986</v>
      </c>
      <c r="AR4654" t="s">
        <v>25058</v>
      </c>
      <c r="AS4654">
        <v>22.1</v>
      </c>
      <c r="AT4654" t="s">
        <v>537</v>
      </c>
      <c r="AU4654" t="s">
        <v>153</v>
      </c>
      <c r="AW4654" t="s">
        <v>11447</v>
      </c>
    </row>
    <row r="4655" spans="1:49">
      <c r="A4655" s="1">
        <f>HYPERLINK("https://lsnyc.legalserver.org/matter/dynamic-profile/view/1907354","19-1907354")</f>
        <v>0</v>
      </c>
      <c r="B4655" t="s">
        <v>247</v>
      </c>
      <c r="C4655" t="s">
        <v>368</v>
      </c>
      <c r="D4655" t="s">
        <v>521</v>
      </c>
      <c r="E4655" t="s">
        <v>2623</v>
      </c>
      <c r="F4655" t="s">
        <v>5905</v>
      </c>
      <c r="G4655" t="s">
        <v>9815</v>
      </c>
      <c r="H4655" t="s">
        <v>10575</v>
      </c>
      <c r="I4655" t="s">
        <v>11386</v>
      </c>
      <c r="J4655">
        <v>10027</v>
      </c>
      <c r="K4655" t="s">
        <v>11446</v>
      </c>
      <c r="L4655" t="s">
        <v>14162</v>
      </c>
      <c r="M4655" t="s">
        <v>14744</v>
      </c>
      <c r="N4655" t="s">
        <v>14781</v>
      </c>
      <c r="O4655" t="s">
        <v>14788</v>
      </c>
      <c r="P4655" t="s">
        <v>14806</v>
      </c>
      <c r="Q4655" t="s">
        <v>11448</v>
      </c>
      <c r="S4655" t="s">
        <v>14827</v>
      </c>
      <c r="U4655" t="s">
        <v>368</v>
      </c>
      <c r="V4655">
        <v>667</v>
      </c>
      <c r="W4655" t="s">
        <v>14860</v>
      </c>
      <c r="X4655" t="s">
        <v>14863</v>
      </c>
      <c r="Y4655" t="s">
        <v>14887</v>
      </c>
      <c r="Z4655" t="s">
        <v>18728</v>
      </c>
      <c r="AB4655" t="s">
        <v>23894</v>
      </c>
      <c r="AC4655">
        <v>11</v>
      </c>
      <c r="AD4655" t="s">
        <v>24599</v>
      </c>
      <c r="AE4655" t="s">
        <v>14755</v>
      </c>
      <c r="AF4655">
        <v>12</v>
      </c>
      <c r="AG4655">
        <v>2</v>
      </c>
      <c r="AH4655">
        <v>2</v>
      </c>
      <c r="AI4655">
        <v>20.7</v>
      </c>
      <c r="AL4655" t="s">
        <v>5011</v>
      </c>
      <c r="AM4655">
        <v>5330</v>
      </c>
      <c r="AQ4655" t="s">
        <v>24986</v>
      </c>
      <c r="AR4655" t="s">
        <v>25106</v>
      </c>
      <c r="AS4655">
        <v>4.95</v>
      </c>
      <c r="AT4655" t="s">
        <v>521</v>
      </c>
      <c r="AU4655" t="s">
        <v>153</v>
      </c>
      <c r="AV4655" t="s">
        <v>25335</v>
      </c>
      <c r="AW4655" t="s">
        <v>11447</v>
      </c>
    </row>
    <row r="4656" spans="1:49">
      <c r="A4656" s="1">
        <f>HYPERLINK("https://lsnyc.legalserver.org/matter/dynamic-profile/view/1908787","19-1908787")</f>
        <v>0</v>
      </c>
      <c r="B4656" t="s">
        <v>247</v>
      </c>
      <c r="C4656" t="s">
        <v>585</v>
      </c>
      <c r="D4656" t="s">
        <v>521</v>
      </c>
      <c r="E4656" t="s">
        <v>1168</v>
      </c>
      <c r="F4656" t="s">
        <v>3196</v>
      </c>
      <c r="G4656" t="s">
        <v>9816</v>
      </c>
      <c r="H4656" t="s">
        <v>10478</v>
      </c>
      <c r="I4656" t="s">
        <v>11386</v>
      </c>
      <c r="J4656">
        <v>10026</v>
      </c>
      <c r="K4656" t="s">
        <v>11446</v>
      </c>
      <c r="L4656" t="s">
        <v>14163</v>
      </c>
      <c r="M4656" t="s">
        <v>14744</v>
      </c>
      <c r="N4656" t="s">
        <v>14781</v>
      </c>
      <c r="O4656" t="s">
        <v>14788</v>
      </c>
      <c r="P4656" t="s">
        <v>14806</v>
      </c>
      <c r="Q4656" t="s">
        <v>11448</v>
      </c>
      <c r="S4656" t="s">
        <v>14827</v>
      </c>
      <c r="T4656" t="s">
        <v>14832</v>
      </c>
      <c r="U4656" t="s">
        <v>585</v>
      </c>
      <c r="V4656">
        <v>1559</v>
      </c>
      <c r="W4656" t="s">
        <v>14860</v>
      </c>
      <c r="X4656" t="s">
        <v>14865</v>
      </c>
      <c r="Y4656" t="s">
        <v>14887</v>
      </c>
      <c r="Z4656" t="s">
        <v>18489</v>
      </c>
      <c r="AA4656" t="s">
        <v>20006</v>
      </c>
      <c r="AB4656" t="s">
        <v>23895</v>
      </c>
      <c r="AC4656">
        <v>0</v>
      </c>
      <c r="AD4656" t="s">
        <v>24606</v>
      </c>
      <c r="AE4656" t="s">
        <v>24611</v>
      </c>
      <c r="AF4656">
        <v>-1</v>
      </c>
      <c r="AG4656">
        <v>1</v>
      </c>
      <c r="AH4656">
        <v>0</v>
      </c>
      <c r="AI4656">
        <v>39.14</v>
      </c>
      <c r="AL4656" t="s">
        <v>5011</v>
      </c>
      <c r="AM4656">
        <v>4888</v>
      </c>
      <c r="AQ4656" t="s">
        <v>24986</v>
      </c>
      <c r="AR4656" t="s">
        <v>25023</v>
      </c>
      <c r="AS4656">
        <v>3.6</v>
      </c>
      <c r="AT4656" t="s">
        <v>521</v>
      </c>
      <c r="AU4656" t="s">
        <v>153</v>
      </c>
      <c r="AV4656" t="s">
        <v>25334</v>
      </c>
      <c r="AW4656" t="s">
        <v>11447</v>
      </c>
    </row>
    <row r="4657" spans="1:49">
      <c r="A4657" s="1">
        <f>HYPERLINK("https://lsnyc.legalserver.org/matter/dynamic-profile/view/1908761","19-1908761")</f>
        <v>0</v>
      </c>
      <c r="B4657" t="s">
        <v>247</v>
      </c>
      <c r="C4657" t="s">
        <v>585</v>
      </c>
      <c r="D4657" t="s">
        <v>521</v>
      </c>
      <c r="E4657" t="s">
        <v>3271</v>
      </c>
      <c r="F4657" t="s">
        <v>4036</v>
      </c>
      <c r="G4657" t="s">
        <v>9817</v>
      </c>
      <c r="H4657">
        <v>42</v>
      </c>
      <c r="I4657" t="s">
        <v>11386</v>
      </c>
      <c r="J4657">
        <v>10031</v>
      </c>
      <c r="K4657" t="s">
        <v>11446</v>
      </c>
      <c r="L4657" t="s">
        <v>14164</v>
      </c>
      <c r="M4657" t="s">
        <v>14744</v>
      </c>
      <c r="N4657" t="s">
        <v>14781</v>
      </c>
      <c r="O4657" t="s">
        <v>14788</v>
      </c>
      <c r="P4657" t="s">
        <v>14806</v>
      </c>
      <c r="Q4657" t="s">
        <v>11448</v>
      </c>
      <c r="S4657" t="s">
        <v>14827</v>
      </c>
      <c r="T4657" t="s">
        <v>14832</v>
      </c>
      <c r="U4657" t="s">
        <v>604</v>
      </c>
      <c r="V4657">
        <v>2900</v>
      </c>
      <c r="W4657" t="s">
        <v>14860</v>
      </c>
      <c r="X4657" t="s">
        <v>14863</v>
      </c>
      <c r="Y4657" t="s">
        <v>14887</v>
      </c>
      <c r="Z4657" t="s">
        <v>18735</v>
      </c>
      <c r="AB4657" t="s">
        <v>23896</v>
      </c>
      <c r="AC4657">
        <v>21</v>
      </c>
      <c r="AD4657" t="s">
        <v>24595</v>
      </c>
      <c r="AE4657" t="s">
        <v>11459</v>
      </c>
      <c r="AF4657">
        <v>2</v>
      </c>
      <c r="AG4657">
        <v>1</v>
      </c>
      <c r="AH4657">
        <v>0</v>
      </c>
      <c r="AI4657">
        <v>191.51</v>
      </c>
      <c r="AL4657" t="s">
        <v>24632</v>
      </c>
      <c r="AM4657">
        <v>23920</v>
      </c>
      <c r="AQ4657" t="s">
        <v>24986</v>
      </c>
      <c r="AR4657" t="s">
        <v>25023</v>
      </c>
      <c r="AS4657">
        <v>4.5</v>
      </c>
      <c r="AT4657" t="s">
        <v>521</v>
      </c>
      <c r="AU4657" t="s">
        <v>153</v>
      </c>
      <c r="AV4657" t="s">
        <v>25335</v>
      </c>
      <c r="AW4657" t="s">
        <v>11447</v>
      </c>
    </row>
    <row r="4658" spans="1:49">
      <c r="A4658" s="1">
        <f>HYPERLINK("https://lsnyc.legalserver.org/matter/dynamic-profile/view/1896274","19-1896274")</f>
        <v>0</v>
      </c>
      <c r="B4658" t="s">
        <v>247</v>
      </c>
      <c r="C4658" t="s">
        <v>660</v>
      </c>
      <c r="D4658" t="s">
        <v>521</v>
      </c>
      <c r="E4658" t="s">
        <v>3272</v>
      </c>
      <c r="F4658" t="s">
        <v>5906</v>
      </c>
      <c r="G4658" t="s">
        <v>9818</v>
      </c>
      <c r="I4658" t="s">
        <v>11386</v>
      </c>
      <c r="J4658">
        <v>10025</v>
      </c>
      <c r="K4658" t="s">
        <v>11447</v>
      </c>
      <c r="M4658" t="s">
        <v>14744</v>
      </c>
      <c r="N4658" t="s">
        <v>14778</v>
      </c>
      <c r="O4658" t="s">
        <v>14786</v>
      </c>
      <c r="P4658" t="s">
        <v>14806</v>
      </c>
      <c r="Q4658" t="s">
        <v>11448</v>
      </c>
      <c r="S4658" t="s">
        <v>14827</v>
      </c>
      <c r="V4658">
        <v>996</v>
      </c>
      <c r="W4658" t="s">
        <v>14860</v>
      </c>
      <c r="Y4658" t="s">
        <v>14883</v>
      </c>
      <c r="Z4658" t="s">
        <v>18736</v>
      </c>
      <c r="AB4658" t="s">
        <v>23897</v>
      </c>
      <c r="AC4658">
        <v>0</v>
      </c>
      <c r="AF4658">
        <v>0</v>
      </c>
      <c r="AG4658">
        <v>1</v>
      </c>
      <c r="AH4658">
        <v>0</v>
      </c>
      <c r="AI4658">
        <v>400.32</v>
      </c>
      <c r="AL4658" t="s">
        <v>5011</v>
      </c>
      <c r="AM4658">
        <v>50000</v>
      </c>
      <c r="AS4658">
        <v>0.1</v>
      </c>
      <c r="AT4658" t="s">
        <v>521</v>
      </c>
      <c r="AU4658" t="s">
        <v>25282</v>
      </c>
      <c r="AW4658" t="s">
        <v>11447</v>
      </c>
    </row>
    <row r="4659" spans="1:49">
      <c r="A4659" s="1">
        <f>HYPERLINK("https://lsnyc.legalserver.org/matter/dynamic-profile/view/1904426","19-1904426")</f>
        <v>0</v>
      </c>
      <c r="B4659" t="s">
        <v>207</v>
      </c>
      <c r="C4659" t="s">
        <v>607</v>
      </c>
      <c r="D4659" t="s">
        <v>509</v>
      </c>
      <c r="E4659" t="s">
        <v>1425</v>
      </c>
      <c r="F4659" t="s">
        <v>5907</v>
      </c>
      <c r="G4659" t="s">
        <v>9819</v>
      </c>
      <c r="H4659" t="s">
        <v>10481</v>
      </c>
      <c r="I4659" t="s">
        <v>11386</v>
      </c>
      <c r="J4659">
        <v>10031</v>
      </c>
      <c r="K4659" t="s">
        <v>11446</v>
      </c>
      <c r="L4659" t="s">
        <v>14165</v>
      </c>
      <c r="M4659" t="s">
        <v>14744</v>
      </c>
      <c r="N4659" t="s">
        <v>14781</v>
      </c>
      <c r="O4659" t="s">
        <v>14788</v>
      </c>
      <c r="P4659" t="s">
        <v>14806</v>
      </c>
      <c r="Q4659" t="s">
        <v>11448</v>
      </c>
      <c r="S4659" t="s">
        <v>14827</v>
      </c>
      <c r="T4659" t="s">
        <v>14832</v>
      </c>
      <c r="U4659" t="s">
        <v>607</v>
      </c>
      <c r="V4659">
        <v>713.02</v>
      </c>
      <c r="W4659" t="s">
        <v>14860</v>
      </c>
      <c r="X4659" t="s">
        <v>14863</v>
      </c>
      <c r="Y4659" t="s">
        <v>14887</v>
      </c>
      <c r="Z4659" t="s">
        <v>18092</v>
      </c>
      <c r="AB4659" t="s">
        <v>23898</v>
      </c>
      <c r="AC4659">
        <v>42</v>
      </c>
      <c r="AD4659" t="s">
        <v>24595</v>
      </c>
      <c r="AE4659" t="s">
        <v>24610</v>
      </c>
      <c r="AF4659">
        <v>9</v>
      </c>
      <c r="AG4659">
        <v>4</v>
      </c>
      <c r="AH4659">
        <v>0</v>
      </c>
      <c r="AI4659">
        <v>130.67</v>
      </c>
      <c r="AL4659" t="s">
        <v>5011</v>
      </c>
      <c r="AM4659">
        <v>33648</v>
      </c>
      <c r="AS4659">
        <v>3</v>
      </c>
      <c r="AT4659" t="s">
        <v>589</v>
      </c>
      <c r="AU4659" t="s">
        <v>153</v>
      </c>
      <c r="AV4659" t="s">
        <v>25335</v>
      </c>
      <c r="AW4659" t="s">
        <v>11447</v>
      </c>
    </row>
    <row r="4660" spans="1:49">
      <c r="A4660" s="1">
        <f>HYPERLINK("https://lsnyc.legalserver.org/matter/dynamic-profile/view/1896150","19-1896150")</f>
        <v>0</v>
      </c>
      <c r="B4660" t="s">
        <v>253</v>
      </c>
      <c r="C4660" t="s">
        <v>660</v>
      </c>
      <c r="E4660" t="s">
        <v>3273</v>
      </c>
      <c r="F4660" t="s">
        <v>5908</v>
      </c>
      <c r="G4660" t="s">
        <v>9820</v>
      </c>
      <c r="I4660" t="s">
        <v>11386</v>
      </c>
      <c r="J4660">
        <v>10031</v>
      </c>
      <c r="K4660" t="s">
        <v>11446</v>
      </c>
      <c r="L4660" t="s">
        <v>14166</v>
      </c>
      <c r="M4660" t="s">
        <v>14744</v>
      </c>
      <c r="N4660" t="s">
        <v>14781</v>
      </c>
      <c r="P4660" t="s">
        <v>14806</v>
      </c>
      <c r="Q4660" t="s">
        <v>11448</v>
      </c>
      <c r="S4660" t="s">
        <v>14827</v>
      </c>
      <c r="U4660" t="s">
        <v>545</v>
      </c>
      <c r="V4660">
        <v>0</v>
      </c>
      <c r="W4660" t="s">
        <v>14860</v>
      </c>
      <c r="Z4660" t="s">
        <v>18737</v>
      </c>
      <c r="AB4660" t="s">
        <v>23899</v>
      </c>
      <c r="AC4660">
        <v>67</v>
      </c>
      <c r="AF4660">
        <v>0</v>
      </c>
      <c r="AG4660">
        <v>1</v>
      </c>
      <c r="AH4660">
        <v>0</v>
      </c>
      <c r="AI4660">
        <v>0</v>
      </c>
      <c r="AL4660" t="s">
        <v>5011</v>
      </c>
      <c r="AM4660">
        <v>0</v>
      </c>
      <c r="AS4660">
        <v>4.45</v>
      </c>
      <c r="AT4660" t="s">
        <v>522</v>
      </c>
      <c r="AU4660" t="s">
        <v>25282</v>
      </c>
      <c r="AV4660" t="s">
        <v>25335</v>
      </c>
      <c r="AW4660" t="s">
        <v>11447</v>
      </c>
    </row>
    <row r="4661" spans="1:49">
      <c r="A4661" s="1">
        <f>HYPERLINK("https://lsnyc.legalserver.org/matter/dynamic-profile/view/1897140","19-1897140")</f>
        <v>0</v>
      </c>
      <c r="B4661" t="s">
        <v>315</v>
      </c>
      <c r="C4661" t="s">
        <v>502</v>
      </c>
      <c r="E4661" t="s">
        <v>3274</v>
      </c>
      <c r="F4661" t="s">
        <v>5418</v>
      </c>
      <c r="G4661" t="s">
        <v>9821</v>
      </c>
      <c r="H4661" t="s">
        <v>10481</v>
      </c>
      <c r="I4661" t="s">
        <v>11386</v>
      </c>
      <c r="J4661">
        <v>10027</v>
      </c>
      <c r="K4661" t="s">
        <v>11446</v>
      </c>
      <c r="L4661" t="s">
        <v>14167</v>
      </c>
      <c r="M4661" t="s">
        <v>14744</v>
      </c>
      <c r="N4661" t="s">
        <v>14781</v>
      </c>
      <c r="P4661" t="s">
        <v>14806</v>
      </c>
      <c r="Q4661" t="s">
        <v>11448</v>
      </c>
      <c r="S4661" t="s">
        <v>14827</v>
      </c>
      <c r="T4661" t="s">
        <v>14832</v>
      </c>
      <c r="U4661" t="s">
        <v>545</v>
      </c>
      <c r="V4661">
        <v>720</v>
      </c>
      <c r="W4661" t="s">
        <v>14860</v>
      </c>
      <c r="X4661" t="s">
        <v>14863</v>
      </c>
      <c r="Z4661" t="s">
        <v>18144</v>
      </c>
      <c r="AA4661" t="s">
        <v>20007</v>
      </c>
      <c r="AB4661" t="s">
        <v>23900</v>
      </c>
      <c r="AC4661">
        <v>16</v>
      </c>
      <c r="AD4661" t="s">
        <v>11479</v>
      </c>
      <c r="AE4661" t="s">
        <v>24613</v>
      </c>
      <c r="AF4661">
        <v>19</v>
      </c>
      <c r="AG4661">
        <v>1</v>
      </c>
      <c r="AH4661">
        <v>0</v>
      </c>
      <c r="AI4661">
        <v>100.59</v>
      </c>
      <c r="AL4661" t="s">
        <v>5011</v>
      </c>
      <c r="AM4661">
        <v>12564</v>
      </c>
      <c r="AS4661">
        <v>14.9</v>
      </c>
      <c r="AT4661" t="s">
        <v>521</v>
      </c>
      <c r="AU4661" t="s">
        <v>153</v>
      </c>
      <c r="AV4661" t="s">
        <v>25335</v>
      </c>
      <c r="AW4661" t="s">
        <v>11446</v>
      </c>
    </row>
    <row r="4662" spans="1:49">
      <c r="A4662" s="1">
        <f>HYPERLINK("https://lsnyc.legalserver.org/matter/dynamic-profile/view/1903980","19-1903980")</f>
        <v>0</v>
      </c>
      <c r="B4662" t="s">
        <v>217</v>
      </c>
      <c r="C4662" t="s">
        <v>474</v>
      </c>
      <c r="E4662" t="s">
        <v>2896</v>
      </c>
      <c r="F4662" t="s">
        <v>5909</v>
      </c>
      <c r="G4662" t="s">
        <v>9822</v>
      </c>
      <c r="H4662" t="s">
        <v>11280</v>
      </c>
      <c r="I4662" t="s">
        <v>11386</v>
      </c>
      <c r="J4662">
        <v>10027</v>
      </c>
      <c r="K4662" t="s">
        <v>11446</v>
      </c>
      <c r="L4662" t="s">
        <v>14168</v>
      </c>
      <c r="M4662" t="s">
        <v>14744</v>
      </c>
      <c r="N4662" t="s">
        <v>14781</v>
      </c>
      <c r="P4662" t="s">
        <v>14806</v>
      </c>
      <c r="Q4662" t="s">
        <v>11448</v>
      </c>
      <c r="S4662" t="s">
        <v>14827</v>
      </c>
      <c r="U4662" t="s">
        <v>545</v>
      </c>
      <c r="V4662">
        <v>742</v>
      </c>
      <c r="W4662" t="s">
        <v>14860</v>
      </c>
      <c r="X4662" t="s">
        <v>14863</v>
      </c>
      <c r="Z4662" t="s">
        <v>18738</v>
      </c>
      <c r="AB4662" t="s">
        <v>23901</v>
      </c>
      <c r="AC4662">
        <v>19</v>
      </c>
      <c r="AD4662" t="s">
        <v>11479</v>
      </c>
      <c r="AF4662">
        <v>10</v>
      </c>
      <c r="AG4662">
        <v>1</v>
      </c>
      <c r="AH4662">
        <v>1</v>
      </c>
      <c r="AI4662">
        <v>154.99</v>
      </c>
      <c r="AL4662" t="s">
        <v>5011</v>
      </c>
      <c r="AM4662">
        <v>26208</v>
      </c>
      <c r="AS4662">
        <v>16.25</v>
      </c>
      <c r="AT4662" t="s">
        <v>495</v>
      </c>
      <c r="AU4662" t="s">
        <v>25278</v>
      </c>
      <c r="AV4662" t="s">
        <v>25335</v>
      </c>
      <c r="AW4662" t="s">
        <v>11447</v>
      </c>
    </row>
    <row r="4663" spans="1:49">
      <c r="A4663" s="1">
        <f>HYPERLINK("https://lsnyc.legalserver.org/matter/dynamic-profile/view/1898507","19-1898507")</f>
        <v>0</v>
      </c>
      <c r="B4663" t="s">
        <v>249</v>
      </c>
      <c r="C4663" t="s">
        <v>411</v>
      </c>
      <c r="E4663" t="s">
        <v>1294</v>
      </c>
      <c r="F4663" t="s">
        <v>3623</v>
      </c>
      <c r="G4663" t="s">
        <v>9823</v>
      </c>
      <c r="H4663" t="s">
        <v>10510</v>
      </c>
      <c r="I4663" t="s">
        <v>11386</v>
      </c>
      <c r="J4663">
        <v>10027</v>
      </c>
      <c r="K4663" t="s">
        <v>11446</v>
      </c>
      <c r="L4663" t="s">
        <v>14169</v>
      </c>
      <c r="M4663" t="s">
        <v>14744</v>
      </c>
      <c r="N4663" t="s">
        <v>14781</v>
      </c>
      <c r="P4663" t="s">
        <v>14806</v>
      </c>
      <c r="Q4663" t="s">
        <v>11448</v>
      </c>
      <c r="S4663" t="s">
        <v>14827</v>
      </c>
      <c r="T4663" t="s">
        <v>14832</v>
      </c>
      <c r="U4663" t="s">
        <v>545</v>
      </c>
      <c r="V4663">
        <v>886</v>
      </c>
      <c r="W4663" t="s">
        <v>14860</v>
      </c>
      <c r="X4663" t="s">
        <v>14863</v>
      </c>
      <c r="Z4663" t="s">
        <v>18739</v>
      </c>
      <c r="AB4663" t="s">
        <v>23902</v>
      </c>
      <c r="AC4663">
        <v>190</v>
      </c>
      <c r="AD4663" t="s">
        <v>11479</v>
      </c>
      <c r="AE4663" t="s">
        <v>24610</v>
      </c>
      <c r="AF4663">
        <v>27</v>
      </c>
      <c r="AG4663">
        <v>1</v>
      </c>
      <c r="AH4663">
        <v>3</v>
      </c>
      <c r="AI4663">
        <v>204.27</v>
      </c>
      <c r="AL4663" t="s">
        <v>24632</v>
      </c>
      <c r="AM4663">
        <v>52600</v>
      </c>
      <c r="AS4663">
        <v>10.2</v>
      </c>
      <c r="AT4663" t="s">
        <v>663</v>
      </c>
      <c r="AU4663" t="s">
        <v>153</v>
      </c>
      <c r="AV4663" t="s">
        <v>25335</v>
      </c>
      <c r="AW4663" t="s">
        <v>11446</v>
      </c>
    </row>
    <row r="4664" spans="1:49">
      <c r="A4664" s="1">
        <f>HYPERLINK("https://lsnyc.legalserver.org/matter/dynamic-profile/view/1903981","19-1903981")</f>
        <v>0</v>
      </c>
      <c r="B4664" t="s">
        <v>188</v>
      </c>
      <c r="C4664" t="s">
        <v>474</v>
      </c>
      <c r="E4664" t="s">
        <v>1781</v>
      </c>
      <c r="F4664" t="s">
        <v>3686</v>
      </c>
      <c r="G4664" t="s">
        <v>9824</v>
      </c>
      <c r="H4664">
        <v>302</v>
      </c>
      <c r="I4664" t="s">
        <v>11386</v>
      </c>
      <c r="J4664">
        <v>10027</v>
      </c>
      <c r="K4664" t="s">
        <v>11446</v>
      </c>
      <c r="L4664" t="s">
        <v>14170</v>
      </c>
      <c r="M4664" t="s">
        <v>14744</v>
      </c>
      <c r="N4664" t="s">
        <v>14781</v>
      </c>
      <c r="P4664" t="s">
        <v>14806</v>
      </c>
      <c r="Q4664" t="s">
        <v>11448</v>
      </c>
      <c r="S4664" t="s">
        <v>14830</v>
      </c>
      <c r="T4664" t="s">
        <v>14832</v>
      </c>
      <c r="U4664" t="s">
        <v>474</v>
      </c>
      <c r="V4664">
        <v>1100</v>
      </c>
      <c r="W4664" t="s">
        <v>14860</v>
      </c>
      <c r="X4664" t="s">
        <v>14863</v>
      </c>
      <c r="Z4664" t="s">
        <v>18740</v>
      </c>
      <c r="AB4664" t="s">
        <v>23903</v>
      </c>
      <c r="AC4664">
        <v>156</v>
      </c>
      <c r="AD4664" t="s">
        <v>24595</v>
      </c>
      <c r="AE4664" t="s">
        <v>11459</v>
      </c>
      <c r="AF4664">
        <v>7</v>
      </c>
      <c r="AG4664">
        <v>2</v>
      </c>
      <c r="AH4664">
        <v>1</v>
      </c>
      <c r="AI4664">
        <v>148.22</v>
      </c>
      <c r="AL4664" t="s">
        <v>5011</v>
      </c>
      <c r="AM4664">
        <v>31616.04</v>
      </c>
      <c r="AS4664">
        <v>8</v>
      </c>
      <c r="AT4664" t="s">
        <v>509</v>
      </c>
      <c r="AU4664" t="s">
        <v>153</v>
      </c>
      <c r="AV4664" t="s">
        <v>25335</v>
      </c>
      <c r="AW4664" t="s">
        <v>11447</v>
      </c>
    </row>
    <row r="4665" spans="1:49">
      <c r="A4665" s="1">
        <f>HYPERLINK("https://lsnyc.legalserver.org/matter/dynamic-profile/view/1903956","19-1903956")</f>
        <v>0</v>
      </c>
      <c r="B4665" t="s">
        <v>188</v>
      </c>
      <c r="C4665" t="s">
        <v>474</v>
      </c>
      <c r="E4665" t="s">
        <v>1117</v>
      </c>
      <c r="F4665" t="s">
        <v>5910</v>
      </c>
      <c r="G4665" t="s">
        <v>9825</v>
      </c>
      <c r="H4665" t="s">
        <v>10581</v>
      </c>
      <c r="I4665" t="s">
        <v>11386</v>
      </c>
      <c r="J4665">
        <v>10031</v>
      </c>
      <c r="K4665" t="s">
        <v>11446</v>
      </c>
      <c r="L4665" t="s">
        <v>14171</v>
      </c>
      <c r="M4665" t="s">
        <v>14744</v>
      </c>
      <c r="N4665" t="s">
        <v>14781</v>
      </c>
      <c r="P4665" t="s">
        <v>14806</v>
      </c>
      <c r="Q4665" t="s">
        <v>11448</v>
      </c>
      <c r="S4665" t="s">
        <v>14827</v>
      </c>
      <c r="T4665" t="s">
        <v>14832</v>
      </c>
      <c r="U4665" t="s">
        <v>474</v>
      </c>
      <c r="V4665">
        <v>1189</v>
      </c>
      <c r="W4665" t="s">
        <v>14860</v>
      </c>
      <c r="X4665" t="s">
        <v>14863</v>
      </c>
      <c r="Z4665" t="s">
        <v>18741</v>
      </c>
      <c r="AB4665" t="s">
        <v>23904</v>
      </c>
      <c r="AC4665">
        <v>11</v>
      </c>
      <c r="AD4665" t="s">
        <v>24595</v>
      </c>
      <c r="AE4665" t="s">
        <v>24610</v>
      </c>
      <c r="AF4665">
        <v>3</v>
      </c>
      <c r="AG4665">
        <v>1</v>
      </c>
      <c r="AH4665">
        <v>4</v>
      </c>
      <c r="AI4665">
        <v>154.17</v>
      </c>
      <c r="AL4665" t="s">
        <v>5011</v>
      </c>
      <c r="AM4665">
        <v>46514</v>
      </c>
      <c r="AS4665">
        <v>12.75</v>
      </c>
      <c r="AT4665" t="s">
        <v>506</v>
      </c>
      <c r="AU4665" t="s">
        <v>153</v>
      </c>
      <c r="AV4665" t="s">
        <v>25335</v>
      </c>
      <c r="AW4665" t="s">
        <v>11447</v>
      </c>
    </row>
    <row r="4666" spans="1:49">
      <c r="A4666" s="1">
        <f>HYPERLINK("https://lsnyc.legalserver.org/matter/dynamic-profile/view/1903986","19-1903986")</f>
        <v>0</v>
      </c>
      <c r="B4666" t="s">
        <v>247</v>
      </c>
      <c r="C4666" t="s">
        <v>474</v>
      </c>
      <c r="E4666" t="s">
        <v>1274</v>
      </c>
      <c r="F4666" t="s">
        <v>5911</v>
      </c>
      <c r="G4666" t="s">
        <v>9826</v>
      </c>
      <c r="H4666" t="s">
        <v>10448</v>
      </c>
      <c r="I4666" t="s">
        <v>11386</v>
      </c>
      <c r="J4666">
        <v>10026</v>
      </c>
      <c r="K4666" t="s">
        <v>11446</v>
      </c>
      <c r="L4666" t="s">
        <v>14172</v>
      </c>
      <c r="M4666" t="s">
        <v>14744</v>
      </c>
      <c r="N4666" t="s">
        <v>14781</v>
      </c>
      <c r="P4666" t="s">
        <v>14806</v>
      </c>
      <c r="Q4666" t="s">
        <v>11448</v>
      </c>
      <c r="S4666" t="s">
        <v>14828</v>
      </c>
      <c r="T4666" t="s">
        <v>14832</v>
      </c>
      <c r="U4666" t="s">
        <v>474</v>
      </c>
      <c r="V4666">
        <v>387</v>
      </c>
      <c r="W4666" t="s">
        <v>14860</v>
      </c>
      <c r="X4666" t="s">
        <v>14863</v>
      </c>
      <c r="Z4666" t="s">
        <v>18742</v>
      </c>
      <c r="AB4666" t="s">
        <v>23905</v>
      </c>
      <c r="AC4666">
        <v>10</v>
      </c>
      <c r="AD4666" t="s">
        <v>24596</v>
      </c>
      <c r="AE4666" t="s">
        <v>11459</v>
      </c>
      <c r="AF4666">
        <v>25</v>
      </c>
      <c r="AG4666">
        <v>1</v>
      </c>
      <c r="AH4666">
        <v>0</v>
      </c>
      <c r="AI4666">
        <v>160.13</v>
      </c>
      <c r="AL4666" t="s">
        <v>5011</v>
      </c>
      <c r="AM4666">
        <v>20000</v>
      </c>
      <c r="AS4666">
        <v>6.2</v>
      </c>
      <c r="AT4666" t="s">
        <v>521</v>
      </c>
      <c r="AU4666" t="s">
        <v>153</v>
      </c>
      <c r="AV4666" t="s">
        <v>25335</v>
      </c>
      <c r="AW4666" t="s">
        <v>11447</v>
      </c>
    </row>
    <row r="4667" spans="1:49">
      <c r="A4667" s="1">
        <f>HYPERLINK("https://lsnyc.legalserver.org/matter/dynamic-profile/view/1904373","19-1904373")</f>
        <v>0</v>
      </c>
      <c r="B4667" t="s">
        <v>217</v>
      </c>
      <c r="C4667" t="s">
        <v>607</v>
      </c>
      <c r="E4667" t="s">
        <v>3275</v>
      </c>
      <c r="F4667" t="s">
        <v>5912</v>
      </c>
      <c r="G4667" t="s">
        <v>9827</v>
      </c>
      <c r="H4667">
        <v>211</v>
      </c>
      <c r="I4667" t="s">
        <v>11386</v>
      </c>
      <c r="J4667">
        <v>10031</v>
      </c>
      <c r="K4667" t="s">
        <v>11446</v>
      </c>
      <c r="L4667" t="s">
        <v>14173</v>
      </c>
      <c r="M4667" t="s">
        <v>14764</v>
      </c>
      <c r="N4667" t="s">
        <v>14781</v>
      </c>
      <c r="P4667" t="s">
        <v>14806</v>
      </c>
      <c r="Q4667" t="s">
        <v>11448</v>
      </c>
      <c r="S4667" t="s">
        <v>14827</v>
      </c>
      <c r="U4667" t="s">
        <v>607</v>
      </c>
      <c r="V4667">
        <v>150</v>
      </c>
      <c r="W4667" t="s">
        <v>14860</v>
      </c>
      <c r="X4667" t="s">
        <v>14865</v>
      </c>
      <c r="Z4667" t="s">
        <v>18743</v>
      </c>
      <c r="AA4667" t="s">
        <v>20008</v>
      </c>
      <c r="AB4667" t="s">
        <v>23906</v>
      </c>
      <c r="AC4667">
        <v>33</v>
      </c>
      <c r="AD4667" t="s">
        <v>11479</v>
      </c>
      <c r="AE4667" t="s">
        <v>14755</v>
      </c>
      <c r="AF4667">
        <v>-1</v>
      </c>
      <c r="AG4667">
        <v>1</v>
      </c>
      <c r="AH4667">
        <v>0</v>
      </c>
      <c r="AI4667">
        <v>24.02</v>
      </c>
      <c r="AL4667" t="s">
        <v>5011</v>
      </c>
      <c r="AM4667">
        <v>3000</v>
      </c>
      <c r="AS4667">
        <v>46.55</v>
      </c>
      <c r="AT4667" t="s">
        <v>516</v>
      </c>
      <c r="AU4667" t="s">
        <v>25276</v>
      </c>
      <c r="AV4667" t="s">
        <v>25334</v>
      </c>
      <c r="AW4667" t="s">
        <v>11447</v>
      </c>
    </row>
    <row r="4668" spans="1:49">
      <c r="A4668" s="1">
        <f>HYPERLINK("https://lsnyc.legalserver.org/matter/dynamic-profile/view/1904389","19-1904389")</f>
        <v>0</v>
      </c>
      <c r="B4668" t="s">
        <v>161</v>
      </c>
      <c r="C4668" t="s">
        <v>607</v>
      </c>
      <c r="E4668" t="s">
        <v>1216</v>
      </c>
      <c r="F4668" t="s">
        <v>3587</v>
      </c>
      <c r="G4668" t="s">
        <v>9828</v>
      </c>
      <c r="H4668" t="s">
        <v>10451</v>
      </c>
      <c r="I4668" t="s">
        <v>11386</v>
      </c>
      <c r="J4668">
        <v>10031</v>
      </c>
      <c r="K4668" t="s">
        <v>11446</v>
      </c>
      <c r="L4668" t="s">
        <v>14174</v>
      </c>
      <c r="M4668" t="s">
        <v>14744</v>
      </c>
      <c r="N4668" t="s">
        <v>14781</v>
      </c>
      <c r="P4668" t="s">
        <v>14806</v>
      </c>
      <c r="Q4668" t="s">
        <v>11448</v>
      </c>
      <c r="S4668" t="s">
        <v>14827</v>
      </c>
      <c r="T4668" t="s">
        <v>14832</v>
      </c>
      <c r="U4668" t="s">
        <v>607</v>
      </c>
      <c r="V4668">
        <v>306</v>
      </c>
      <c r="W4668" t="s">
        <v>14860</v>
      </c>
      <c r="X4668" t="s">
        <v>14865</v>
      </c>
      <c r="Z4668" t="s">
        <v>18744</v>
      </c>
      <c r="AA4668" t="s">
        <v>20009</v>
      </c>
      <c r="AB4668" t="s">
        <v>23907</v>
      </c>
      <c r="AC4668">
        <v>54</v>
      </c>
      <c r="AD4668" t="s">
        <v>24596</v>
      </c>
      <c r="AE4668" t="s">
        <v>24610</v>
      </c>
      <c r="AF4668">
        <v>13</v>
      </c>
      <c r="AG4668">
        <v>1</v>
      </c>
      <c r="AH4668">
        <v>1</v>
      </c>
      <c r="AI4668">
        <v>67.36</v>
      </c>
      <c r="AL4668" t="s">
        <v>5011</v>
      </c>
      <c r="AM4668">
        <v>11391</v>
      </c>
      <c r="AS4668">
        <v>21</v>
      </c>
      <c r="AT4668" t="s">
        <v>533</v>
      </c>
      <c r="AU4668" t="s">
        <v>153</v>
      </c>
      <c r="AV4668" t="s">
        <v>25334</v>
      </c>
      <c r="AW4668" t="s">
        <v>11447</v>
      </c>
    </row>
    <row r="4669" spans="1:49">
      <c r="A4669" s="1">
        <f>HYPERLINK("https://lsnyc.legalserver.org/matter/dynamic-profile/view/1904457","19-1904457")</f>
        <v>0</v>
      </c>
      <c r="B4669" t="s">
        <v>161</v>
      </c>
      <c r="C4669" t="s">
        <v>607</v>
      </c>
      <c r="E4669" t="s">
        <v>2467</v>
      </c>
      <c r="F4669" t="s">
        <v>5913</v>
      </c>
      <c r="G4669" t="s">
        <v>9829</v>
      </c>
      <c r="H4669" t="s">
        <v>10508</v>
      </c>
      <c r="I4669" t="s">
        <v>11386</v>
      </c>
      <c r="J4669">
        <v>10025</v>
      </c>
      <c r="K4669" t="s">
        <v>11446</v>
      </c>
      <c r="L4669" t="s">
        <v>14175</v>
      </c>
      <c r="M4669" t="s">
        <v>14744</v>
      </c>
      <c r="N4669" t="s">
        <v>14778</v>
      </c>
      <c r="P4669" t="s">
        <v>14806</v>
      </c>
      <c r="Q4669" t="s">
        <v>11448</v>
      </c>
      <c r="S4669" t="s">
        <v>14827</v>
      </c>
      <c r="U4669" t="s">
        <v>607</v>
      </c>
      <c r="V4669">
        <v>0</v>
      </c>
      <c r="W4669" t="s">
        <v>14860</v>
      </c>
      <c r="X4669" t="s">
        <v>14865</v>
      </c>
      <c r="Z4669" t="s">
        <v>18745</v>
      </c>
      <c r="AA4669" t="s">
        <v>20010</v>
      </c>
      <c r="AB4669" t="s">
        <v>23908</v>
      </c>
      <c r="AC4669">
        <v>1</v>
      </c>
      <c r="AD4669" t="s">
        <v>11479</v>
      </c>
      <c r="AE4669" t="s">
        <v>11459</v>
      </c>
      <c r="AF4669">
        <v>35</v>
      </c>
      <c r="AG4669">
        <v>1</v>
      </c>
      <c r="AH4669">
        <v>0</v>
      </c>
      <c r="AI4669">
        <v>84.06999999999999</v>
      </c>
      <c r="AL4669" t="s">
        <v>5011</v>
      </c>
      <c r="AM4669">
        <v>10500</v>
      </c>
      <c r="AS4669">
        <v>1.2</v>
      </c>
      <c r="AT4669" t="s">
        <v>607</v>
      </c>
      <c r="AU4669" t="s">
        <v>153</v>
      </c>
      <c r="AV4669" t="s">
        <v>25334</v>
      </c>
      <c r="AW4669" t="s">
        <v>11447</v>
      </c>
    </row>
    <row r="4670" spans="1:49">
      <c r="A4670" s="1">
        <f>HYPERLINK("https://lsnyc.legalserver.org/matter/dynamic-profile/view/1904403","19-1904403")</f>
        <v>0</v>
      </c>
      <c r="B4670" t="s">
        <v>253</v>
      </c>
      <c r="C4670" t="s">
        <v>607</v>
      </c>
      <c r="E4670" t="s">
        <v>3276</v>
      </c>
      <c r="F4670" t="s">
        <v>5914</v>
      </c>
      <c r="G4670" t="s">
        <v>9830</v>
      </c>
      <c r="H4670" t="s">
        <v>11281</v>
      </c>
      <c r="I4670" t="s">
        <v>11386</v>
      </c>
      <c r="J4670">
        <v>10026</v>
      </c>
      <c r="K4670" t="s">
        <v>11446</v>
      </c>
      <c r="L4670" t="s">
        <v>14176</v>
      </c>
      <c r="M4670" t="s">
        <v>14744</v>
      </c>
      <c r="N4670" t="s">
        <v>14781</v>
      </c>
      <c r="P4670" t="s">
        <v>14806</v>
      </c>
      <c r="Q4670" t="s">
        <v>11448</v>
      </c>
      <c r="S4670" t="s">
        <v>14827</v>
      </c>
      <c r="U4670" t="s">
        <v>607</v>
      </c>
      <c r="V4670">
        <v>644</v>
      </c>
      <c r="W4670" t="s">
        <v>14860</v>
      </c>
      <c r="X4670" t="s">
        <v>14863</v>
      </c>
      <c r="Z4670" t="s">
        <v>18746</v>
      </c>
      <c r="AB4670" t="s">
        <v>23909</v>
      </c>
      <c r="AC4670">
        <v>0</v>
      </c>
      <c r="AD4670" t="s">
        <v>24606</v>
      </c>
      <c r="AE4670" t="s">
        <v>11459</v>
      </c>
      <c r="AF4670">
        <v>21</v>
      </c>
      <c r="AG4670">
        <v>1</v>
      </c>
      <c r="AH4670">
        <v>0</v>
      </c>
      <c r="AI4670">
        <v>96.08</v>
      </c>
      <c r="AL4670" t="s">
        <v>5011</v>
      </c>
      <c r="AM4670">
        <v>12000</v>
      </c>
      <c r="AS4670">
        <v>3.85</v>
      </c>
      <c r="AT4670" t="s">
        <v>592</v>
      </c>
      <c r="AU4670" t="s">
        <v>25276</v>
      </c>
      <c r="AV4670" t="s">
        <v>25335</v>
      </c>
      <c r="AW4670" t="s">
        <v>11447</v>
      </c>
    </row>
    <row r="4671" spans="1:49">
      <c r="A4671" s="1">
        <f>HYPERLINK("https://lsnyc.legalserver.org/matter/dynamic-profile/view/1904371","19-1904371")</f>
        <v>0</v>
      </c>
      <c r="B4671" t="s">
        <v>249</v>
      </c>
      <c r="C4671" t="s">
        <v>607</v>
      </c>
      <c r="E4671" t="s">
        <v>1165</v>
      </c>
      <c r="F4671" t="s">
        <v>5915</v>
      </c>
      <c r="G4671" t="s">
        <v>9831</v>
      </c>
      <c r="H4671" t="s">
        <v>10530</v>
      </c>
      <c r="I4671" t="s">
        <v>11386</v>
      </c>
      <c r="J4671">
        <v>10025</v>
      </c>
      <c r="K4671" t="s">
        <v>11446</v>
      </c>
      <c r="L4671" t="s">
        <v>14177</v>
      </c>
      <c r="M4671" t="s">
        <v>14744</v>
      </c>
      <c r="N4671" t="s">
        <v>14781</v>
      </c>
      <c r="P4671" t="s">
        <v>14806</v>
      </c>
      <c r="Q4671" t="s">
        <v>11448</v>
      </c>
      <c r="S4671" t="s">
        <v>14827</v>
      </c>
      <c r="T4671" t="s">
        <v>14832</v>
      </c>
      <c r="U4671" t="s">
        <v>607</v>
      </c>
      <c r="V4671">
        <v>2450</v>
      </c>
      <c r="W4671" t="s">
        <v>14860</v>
      </c>
      <c r="X4671" t="s">
        <v>14863</v>
      </c>
      <c r="Z4671" t="s">
        <v>15854</v>
      </c>
      <c r="AB4671" t="s">
        <v>23910</v>
      </c>
      <c r="AC4671">
        <v>30</v>
      </c>
      <c r="AD4671" t="s">
        <v>24595</v>
      </c>
      <c r="AE4671" t="s">
        <v>11459</v>
      </c>
      <c r="AF4671">
        <v>35</v>
      </c>
      <c r="AG4671">
        <v>1</v>
      </c>
      <c r="AH4671">
        <v>0</v>
      </c>
      <c r="AI4671">
        <v>128.1</v>
      </c>
      <c r="AL4671" t="s">
        <v>5011</v>
      </c>
      <c r="AM4671">
        <v>16000</v>
      </c>
      <c r="AS4671">
        <v>34.7</v>
      </c>
      <c r="AT4671" t="s">
        <v>516</v>
      </c>
      <c r="AU4671" t="s">
        <v>153</v>
      </c>
      <c r="AV4671" t="s">
        <v>25335</v>
      </c>
      <c r="AW4671" t="s">
        <v>11447</v>
      </c>
    </row>
    <row r="4672" spans="1:49">
      <c r="A4672" s="1">
        <f>HYPERLINK("https://lsnyc.legalserver.org/matter/dynamic-profile/view/1904415","19-1904415")</f>
        <v>0</v>
      </c>
      <c r="B4672" t="s">
        <v>207</v>
      </c>
      <c r="C4672" t="s">
        <v>607</v>
      </c>
      <c r="E4672" t="s">
        <v>3277</v>
      </c>
      <c r="F4672" t="s">
        <v>5916</v>
      </c>
      <c r="G4672" t="s">
        <v>9814</v>
      </c>
      <c r="H4672" t="s">
        <v>10547</v>
      </c>
      <c r="I4672" t="s">
        <v>11386</v>
      </c>
      <c r="J4672">
        <v>10026</v>
      </c>
      <c r="K4672" t="s">
        <v>11446</v>
      </c>
      <c r="L4672" t="s">
        <v>14178</v>
      </c>
      <c r="M4672" t="s">
        <v>14744</v>
      </c>
      <c r="N4672" t="s">
        <v>14781</v>
      </c>
      <c r="P4672" t="s">
        <v>14806</v>
      </c>
      <c r="Q4672" t="s">
        <v>11448</v>
      </c>
      <c r="S4672" t="s">
        <v>14827</v>
      </c>
      <c r="U4672" t="s">
        <v>607</v>
      </c>
      <c r="V4672">
        <v>1269.25</v>
      </c>
      <c r="W4672" t="s">
        <v>14860</v>
      </c>
      <c r="X4672" t="s">
        <v>14863</v>
      </c>
      <c r="Z4672" t="s">
        <v>15447</v>
      </c>
      <c r="AB4672" t="s">
        <v>23911</v>
      </c>
      <c r="AC4672">
        <v>39</v>
      </c>
      <c r="AD4672" t="s">
        <v>24599</v>
      </c>
      <c r="AE4672" t="s">
        <v>11459</v>
      </c>
      <c r="AF4672">
        <v>29</v>
      </c>
      <c r="AG4672">
        <v>3</v>
      </c>
      <c r="AH4672">
        <v>1</v>
      </c>
      <c r="AI4672">
        <v>182.91</v>
      </c>
      <c r="AL4672" t="s">
        <v>5011</v>
      </c>
      <c r="AM4672">
        <v>47100</v>
      </c>
      <c r="AS4672">
        <v>17.5</v>
      </c>
      <c r="AT4672" t="s">
        <v>375</v>
      </c>
      <c r="AU4672" t="s">
        <v>25276</v>
      </c>
      <c r="AV4672" t="s">
        <v>25335</v>
      </c>
      <c r="AW4672" t="s">
        <v>11447</v>
      </c>
    </row>
    <row r="4673" spans="1:49">
      <c r="A4673" s="1">
        <f>HYPERLINK("https://lsnyc.legalserver.org/matter/dynamic-profile/view/1904912","19-1904912")</f>
        <v>0</v>
      </c>
      <c r="B4673" t="s">
        <v>218</v>
      </c>
      <c r="C4673" t="s">
        <v>593</v>
      </c>
      <c r="E4673" t="s">
        <v>1625</v>
      </c>
      <c r="F4673" t="s">
        <v>3571</v>
      </c>
      <c r="G4673" t="s">
        <v>9832</v>
      </c>
      <c r="H4673" t="s">
        <v>11282</v>
      </c>
      <c r="I4673" t="s">
        <v>11386</v>
      </c>
      <c r="J4673">
        <v>10026</v>
      </c>
      <c r="K4673" t="s">
        <v>11446</v>
      </c>
      <c r="L4673" t="s">
        <v>14179</v>
      </c>
      <c r="M4673" t="s">
        <v>14744</v>
      </c>
      <c r="N4673" t="s">
        <v>14781</v>
      </c>
      <c r="P4673" t="s">
        <v>14806</v>
      </c>
      <c r="Q4673" t="s">
        <v>11448</v>
      </c>
      <c r="S4673" t="s">
        <v>14827</v>
      </c>
      <c r="U4673" t="s">
        <v>593</v>
      </c>
      <c r="V4673">
        <v>783</v>
      </c>
      <c r="W4673" t="s">
        <v>14860</v>
      </c>
      <c r="X4673" t="s">
        <v>14868</v>
      </c>
      <c r="Z4673" t="s">
        <v>18747</v>
      </c>
      <c r="AB4673" t="s">
        <v>23912</v>
      </c>
      <c r="AC4673">
        <v>42</v>
      </c>
      <c r="AD4673" t="s">
        <v>24606</v>
      </c>
      <c r="AE4673" t="s">
        <v>24615</v>
      </c>
      <c r="AF4673">
        <v>27</v>
      </c>
      <c r="AG4673">
        <v>2</v>
      </c>
      <c r="AH4673">
        <v>1</v>
      </c>
      <c r="AI4673">
        <v>0</v>
      </c>
      <c r="AL4673" t="s">
        <v>24632</v>
      </c>
      <c r="AM4673">
        <v>0</v>
      </c>
      <c r="AS4673">
        <v>10.2</v>
      </c>
      <c r="AT4673" t="s">
        <v>490</v>
      </c>
      <c r="AU4673" t="s">
        <v>25276</v>
      </c>
      <c r="AV4673" t="s">
        <v>25335</v>
      </c>
      <c r="AW4673" t="s">
        <v>11447</v>
      </c>
    </row>
    <row r="4674" spans="1:49">
      <c r="A4674" s="1">
        <f>HYPERLINK("https://lsnyc.legalserver.org/matter/dynamic-profile/view/1905130","19-1905130")</f>
        <v>0</v>
      </c>
      <c r="B4674" t="s">
        <v>188</v>
      </c>
      <c r="C4674" t="s">
        <v>456</v>
      </c>
      <c r="E4674" t="s">
        <v>3278</v>
      </c>
      <c r="F4674" t="s">
        <v>5917</v>
      </c>
      <c r="G4674" t="s">
        <v>9833</v>
      </c>
      <c r="H4674">
        <v>3</v>
      </c>
      <c r="I4674" t="s">
        <v>11386</v>
      </c>
      <c r="J4674">
        <v>10031</v>
      </c>
      <c r="K4674" t="s">
        <v>11446</v>
      </c>
      <c r="L4674" t="s">
        <v>14180</v>
      </c>
      <c r="M4674" t="s">
        <v>14744</v>
      </c>
      <c r="N4674" t="s">
        <v>14781</v>
      </c>
      <c r="P4674" t="s">
        <v>14806</v>
      </c>
      <c r="Q4674" t="s">
        <v>11448</v>
      </c>
      <c r="S4674" t="s">
        <v>14827</v>
      </c>
      <c r="T4674" t="s">
        <v>14837</v>
      </c>
      <c r="U4674" t="s">
        <v>456</v>
      </c>
      <c r="V4674">
        <v>837</v>
      </c>
      <c r="W4674" t="s">
        <v>14860</v>
      </c>
      <c r="X4674" t="s">
        <v>14863</v>
      </c>
      <c r="Z4674" t="s">
        <v>16563</v>
      </c>
      <c r="AB4674" t="s">
        <v>23913</v>
      </c>
      <c r="AC4674">
        <v>4</v>
      </c>
      <c r="AD4674" t="s">
        <v>24595</v>
      </c>
      <c r="AE4674" t="s">
        <v>11459</v>
      </c>
      <c r="AF4674">
        <v>17</v>
      </c>
      <c r="AG4674">
        <v>1</v>
      </c>
      <c r="AH4674">
        <v>0</v>
      </c>
      <c r="AI4674">
        <v>80.06</v>
      </c>
      <c r="AL4674" t="s">
        <v>5011</v>
      </c>
      <c r="AM4674">
        <v>10000</v>
      </c>
      <c r="AS4674">
        <v>8.5</v>
      </c>
      <c r="AT4674" t="s">
        <v>495</v>
      </c>
      <c r="AU4674" t="s">
        <v>153</v>
      </c>
      <c r="AV4674" t="s">
        <v>25335</v>
      </c>
      <c r="AW4674" t="s">
        <v>11447</v>
      </c>
    </row>
    <row r="4675" spans="1:49">
      <c r="A4675" s="1">
        <f>HYPERLINK("https://lsnyc.legalserver.org/matter/dynamic-profile/view/1905080","19-1905080")</f>
        <v>0</v>
      </c>
      <c r="B4675" t="s">
        <v>315</v>
      </c>
      <c r="C4675" t="s">
        <v>456</v>
      </c>
      <c r="E4675" t="s">
        <v>3279</v>
      </c>
      <c r="F4675" t="s">
        <v>5918</v>
      </c>
      <c r="G4675" t="s">
        <v>9834</v>
      </c>
      <c r="H4675">
        <v>622</v>
      </c>
      <c r="I4675" t="s">
        <v>11386</v>
      </c>
      <c r="J4675">
        <v>10026</v>
      </c>
      <c r="K4675" t="s">
        <v>11446</v>
      </c>
      <c r="L4675" t="s">
        <v>14181</v>
      </c>
      <c r="M4675" t="s">
        <v>14744</v>
      </c>
      <c r="N4675" t="s">
        <v>14781</v>
      </c>
      <c r="P4675" t="s">
        <v>14806</v>
      </c>
      <c r="Q4675" t="s">
        <v>11448</v>
      </c>
      <c r="S4675" t="s">
        <v>14827</v>
      </c>
      <c r="U4675" t="s">
        <v>456</v>
      </c>
      <c r="V4675">
        <v>1055</v>
      </c>
      <c r="W4675" t="s">
        <v>14860</v>
      </c>
      <c r="X4675" t="s">
        <v>14865</v>
      </c>
      <c r="Z4675" t="s">
        <v>18748</v>
      </c>
      <c r="AA4675" t="s">
        <v>20011</v>
      </c>
      <c r="AB4675" t="s">
        <v>23914</v>
      </c>
      <c r="AC4675">
        <v>254</v>
      </c>
      <c r="AD4675" t="s">
        <v>24595</v>
      </c>
      <c r="AE4675" t="s">
        <v>11459</v>
      </c>
      <c r="AF4675">
        <v>7</v>
      </c>
      <c r="AG4675">
        <v>1</v>
      </c>
      <c r="AH4675">
        <v>0</v>
      </c>
      <c r="AI4675">
        <v>82.15000000000001</v>
      </c>
      <c r="AL4675" t="s">
        <v>5011</v>
      </c>
      <c r="AM4675">
        <v>10260</v>
      </c>
      <c r="AS4675">
        <v>6.6</v>
      </c>
      <c r="AT4675" t="s">
        <v>1021</v>
      </c>
      <c r="AU4675" t="s">
        <v>25276</v>
      </c>
      <c r="AV4675" t="s">
        <v>25334</v>
      </c>
      <c r="AW4675" t="s">
        <v>11447</v>
      </c>
    </row>
    <row r="4676" spans="1:49">
      <c r="A4676" s="1">
        <f>HYPERLINK("https://lsnyc.legalserver.org/matter/dynamic-profile/view/1905157","19-1905157")</f>
        <v>0</v>
      </c>
      <c r="B4676" t="s">
        <v>252</v>
      </c>
      <c r="C4676" t="s">
        <v>456</v>
      </c>
      <c r="E4676" t="s">
        <v>3280</v>
      </c>
      <c r="F4676" t="s">
        <v>4112</v>
      </c>
      <c r="G4676" t="s">
        <v>9835</v>
      </c>
      <c r="H4676" t="s">
        <v>10559</v>
      </c>
      <c r="I4676" t="s">
        <v>11386</v>
      </c>
      <c r="J4676">
        <v>10031</v>
      </c>
      <c r="K4676" t="s">
        <v>11446</v>
      </c>
      <c r="L4676" t="s">
        <v>14182</v>
      </c>
      <c r="M4676" t="s">
        <v>14744</v>
      </c>
      <c r="N4676" t="s">
        <v>14781</v>
      </c>
      <c r="P4676" t="s">
        <v>14806</v>
      </c>
      <c r="Q4676" t="s">
        <v>11448</v>
      </c>
      <c r="S4676" t="s">
        <v>14827</v>
      </c>
      <c r="U4676" t="s">
        <v>456</v>
      </c>
      <c r="V4676">
        <v>855.5599999999999</v>
      </c>
      <c r="W4676" t="s">
        <v>14860</v>
      </c>
      <c r="X4676" t="s">
        <v>14863</v>
      </c>
      <c r="Z4676" t="s">
        <v>18749</v>
      </c>
      <c r="AB4676" t="s">
        <v>23915</v>
      </c>
      <c r="AC4676">
        <v>24</v>
      </c>
      <c r="AD4676" t="s">
        <v>24595</v>
      </c>
      <c r="AE4676" t="s">
        <v>11459</v>
      </c>
      <c r="AF4676">
        <v>34</v>
      </c>
      <c r="AG4676">
        <v>1</v>
      </c>
      <c r="AH4676">
        <v>0</v>
      </c>
      <c r="AI4676">
        <v>99.92</v>
      </c>
      <c r="AL4676" t="s">
        <v>5011</v>
      </c>
      <c r="AM4676">
        <v>12480</v>
      </c>
      <c r="AS4676">
        <v>15.65</v>
      </c>
      <c r="AT4676" t="s">
        <v>604</v>
      </c>
      <c r="AU4676" t="s">
        <v>25276</v>
      </c>
      <c r="AV4676" t="s">
        <v>25335</v>
      </c>
      <c r="AW4676" t="s">
        <v>11447</v>
      </c>
    </row>
    <row r="4677" spans="1:49">
      <c r="A4677" s="1">
        <f>HYPERLINK("https://lsnyc.legalserver.org/matter/dynamic-profile/view/1905069","19-1905069")</f>
        <v>0</v>
      </c>
      <c r="B4677" t="s">
        <v>188</v>
      </c>
      <c r="C4677" t="s">
        <v>456</v>
      </c>
      <c r="E4677" t="s">
        <v>1598</v>
      </c>
      <c r="F4677" t="s">
        <v>5684</v>
      </c>
      <c r="G4677" t="s">
        <v>9836</v>
      </c>
      <c r="H4677" t="s">
        <v>10840</v>
      </c>
      <c r="I4677" t="s">
        <v>11386</v>
      </c>
      <c r="J4677">
        <v>10025</v>
      </c>
      <c r="K4677" t="s">
        <v>11446</v>
      </c>
      <c r="L4677" t="s">
        <v>14183</v>
      </c>
      <c r="M4677" t="s">
        <v>14744</v>
      </c>
      <c r="N4677" t="s">
        <v>14781</v>
      </c>
      <c r="P4677" t="s">
        <v>14806</v>
      </c>
      <c r="Q4677" t="s">
        <v>11448</v>
      </c>
      <c r="S4677" t="s">
        <v>14828</v>
      </c>
      <c r="U4677" t="s">
        <v>456</v>
      </c>
      <c r="V4677">
        <v>283</v>
      </c>
      <c r="W4677" t="s">
        <v>14860</v>
      </c>
      <c r="X4677" t="s">
        <v>14865</v>
      </c>
      <c r="Z4677" t="s">
        <v>18750</v>
      </c>
      <c r="AB4677" t="s">
        <v>23916</v>
      </c>
      <c r="AC4677">
        <v>0</v>
      </c>
      <c r="AD4677" t="s">
        <v>24597</v>
      </c>
      <c r="AE4677" t="s">
        <v>11459</v>
      </c>
      <c r="AF4677">
        <v>4</v>
      </c>
      <c r="AG4677">
        <v>1</v>
      </c>
      <c r="AH4677">
        <v>1</v>
      </c>
      <c r="AI4677">
        <v>141.93</v>
      </c>
      <c r="AL4677" t="s">
        <v>5011</v>
      </c>
      <c r="AM4677">
        <v>24000</v>
      </c>
      <c r="AS4677">
        <v>2.5</v>
      </c>
      <c r="AT4677" t="s">
        <v>504</v>
      </c>
      <c r="AU4677" t="s">
        <v>25276</v>
      </c>
      <c r="AV4677" t="s">
        <v>25335</v>
      </c>
      <c r="AW4677" t="s">
        <v>11447</v>
      </c>
    </row>
    <row r="4678" spans="1:49">
      <c r="A4678" s="1">
        <f>HYPERLINK("https://lsnyc.legalserver.org/matter/dynamic-profile/view/1905172","19-1905172")</f>
        <v>0</v>
      </c>
      <c r="B4678" t="s">
        <v>253</v>
      </c>
      <c r="C4678" t="s">
        <v>480</v>
      </c>
      <c r="E4678" t="s">
        <v>3281</v>
      </c>
      <c r="F4678" t="s">
        <v>5919</v>
      </c>
      <c r="G4678" t="s">
        <v>9837</v>
      </c>
      <c r="H4678" t="s">
        <v>10758</v>
      </c>
      <c r="I4678" t="s">
        <v>11386</v>
      </c>
      <c r="J4678">
        <v>10027</v>
      </c>
      <c r="K4678" t="s">
        <v>11446</v>
      </c>
      <c r="L4678" t="s">
        <v>14184</v>
      </c>
      <c r="M4678" t="s">
        <v>14744</v>
      </c>
      <c r="N4678" t="s">
        <v>14781</v>
      </c>
      <c r="P4678" t="s">
        <v>14806</v>
      </c>
      <c r="Q4678" t="s">
        <v>11448</v>
      </c>
      <c r="S4678" t="s">
        <v>14827</v>
      </c>
      <c r="U4678" t="s">
        <v>480</v>
      </c>
      <c r="V4678">
        <v>189</v>
      </c>
      <c r="W4678" t="s">
        <v>14860</v>
      </c>
      <c r="X4678" t="s">
        <v>14876</v>
      </c>
      <c r="Z4678" t="s">
        <v>18751</v>
      </c>
      <c r="AB4678" t="s">
        <v>23917</v>
      </c>
      <c r="AC4678">
        <v>102</v>
      </c>
      <c r="AD4678" t="s">
        <v>24600</v>
      </c>
      <c r="AE4678" t="s">
        <v>24610</v>
      </c>
      <c r="AF4678">
        <v>29</v>
      </c>
      <c r="AG4678">
        <v>1</v>
      </c>
      <c r="AH4678">
        <v>0</v>
      </c>
      <c r="AI4678">
        <v>76.86</v>
      </c>
      <c r="AL4678" t="s">
        <v>5011</v>
      </c>
      <c r="AM4678">
        <v>9600</v>
      </c>
      <c r="AS4678">
        <v>8</v>
      </c>
      <c r="AT4678" t="s">
        <v>521</v>
      </c>
      <c r="AU4678" t="s">
        <v>25276</v>
      </c>
      <c r="AV4678" t="s">
        <v>25335</v>
      </c>
      <c r="AW4678" t="s">
        <v>11447</v>
      </c>
    </row>
    <row r="4679" spans="1:49">
      <c r="A4679" s="1">
        <f>HYPERLINK("https://lsnyc.legalserver.org/matter/dynamic-profile/view/1905775","19-1905775")</f>
        <v>0</v>
      </c>
      <c r="B4679" t="s">
        <v>249</v>
      </c>
      <c r="C4679" t="s">
        <v>496</v>
      </c>
      <c r="E4679" t="s">
        <v>3282</v>
      </c>
      <c r="F4679" t="s">
        <v>5920</v>
      </c>
      <c r="G4679" t="s">
        <v>9838</v>
      </c>
      <c r="H4679" t="s">
        <v>11283</v>
      </c>
      <c r="I4679" t="s">
        <v>11386</v>
      </c>
      <c r="J4679">
        <v>10027</v>
      </c>
      <c r="K4679" t="s">
        <v>11446</v>
      </c>
      <c r="L4679" t="s">
        <v>14185</v>
      </c>
      <c r="M4679" t="s">
        <v>14744</v>
      </c>
      <c r="N4679" t="s">
        <v>14781</v>
      </c>
      <c r="P4679" t="s">
        <v>14806</v>
      </c>
      <c r="Q4679" t="s">
        <v>11448</v>
      </c>
      <c r="S4679" t="s">
        <v>14828</v>
      </c>
      <c r="U4679" t="s">
        <v>496</v>
      </c>
      <c r="V4679">
        <v>903</v>
      </c>
      <c r="W4679" t="s">
        <v>14860</v>
      </c>
      <c r="X4679" t="s">
        <v>14865</v>
      </c>
      <c r="Z4679" t="s">
        <v>18752</v>
      </c>
      <c r="AA4679" t="s">
        <v>20012</v>
      </c>
      <c r="AB4679" t="s">
        <v>23918</v>
      </c>
      <c r="AC4679">
        <v>814</v>
      </c>
      <c r="AD4679" t="s">
        <v>24597</v>
      </c>
      <c r="AE4679" t="s">
        <v>11459</v>
      </c>
      <c r="AF4679">
        <v>-1</v>
      </c>
      <c r="AG4679">
        <v>1</v>
      </c>
      <c r="AH4679">
        <v>1</v>
      </c>
      <c r="AI4679">
        <v>56.35</v>
      </c>
      <c r="AL4679" t="s">
        <v>5011</v>
      </c>
      <c r="AM4679">
        <v>9528</v>
      </c>
      <c r="AS4679">
        <v>5.5</v>
      </c>
      <c r="AT4679" t="s">
        <v>477</v>
      </c>
      <c r="AU4679" t="s">
        <v>25276</v>
      </c>
      <c r="AV4679" t="s">
        <v>25334</v>
      </c>
      <c r="AW4679" t="s">
        <v>11447</v>
      </c>
    </row>
    <row r="4680" spans="1:49">
      <c r="A4680" s="1">
        <f>HYPERLINK("https://lsnyc.legalserver.org/matter/dynamic-profile/view/1905688","19-1905688")</f>
        <v>0</v>
      </c>
      <c r="B4680" t="s">
        <v>249</v>
      </c>
      <c r="C4680" t="s">
        <v>496</v>
      </c>
      <c r="E4680" t="s">
        <v>1137</v>
      </c>
      <c r="F4680" t="s">
        <v>1395</v>
      </c>
      <c r="G4680" t="s">
        <v>9824</v>
      </c>
      <c r="H4680">
        <v>216</v>
      </c>
      <c r="I4680" t="s">
        <v>11386</v>
      </c>
      <c r="J4680">
        <v>10027</v>
      </c>
      <c r="K4680" t="s">
        <v>11446</v>
      </c>
      <c r="L4680" t="s">
        <v>14186</v>
      </c>
      <c r="M4680" t="s">
        <v>14744</v>
      </c>
      <c r="N4680" t="s">
        <v>14781</v>
      </c>
      <c r="P4680" t="s">
        <v>14806</v>
      </c>
      <c r="Q4680" t="s">
        <v>11448</v>
      </c>
      <c r="S4680" t="s">
        <v>14827</v>
      </c>
      <c r="T4680" t="s">
        <v>14832</v>
      </c>
      <c r="U4680" t="s">
        <v>496</v>
      </c>
      <c r="V4680">
        <v>903.02</v>
      </c>
      <c r="W4680" t="s">
        <v>14860</v>
      </c>
      <c r="X4680" t="s">
        <v>14865</v>
      </c>
      <c r="Z4680" t="s">
        <v>18753</v>
      </c>
      <c r="AB4680" t="s">
        <v>23919</v>
      </c>
      <c r="AC4680">
        <v>158</v>
      </c>
      <c r="AD4680" t="s">
        <v>24595</v>
      </c>
      <c r="AE4680" t="s">
        <v>11459</v>
      </c>
      <c r="AF4680">
        <v>6</v>
      </c>
      <c r="AG4680">
        <v>1</v>
      </c>
      <c r="AH4680">
        <v>0</v>
      </c>
      <c r="AI4680">
        <v>136.11</v>
      </c>
      <c r="AL4680" t="s">
        <v>5011</v>
      </c>
      <c r="AM4680">
        <v>17000</v>
      </c>
      <c r="AS4680">
        <v>6</v>
      </c>
      <c r="AT4680" t="s">
        <v>640</v>
      </c>
      <c r="AU4680" t="s">
        <v>153</v>
      </c>
      <c r="AV4680" t="s">
        <v>25335</v>
      </c>
      <c r="AW4680" t="s">
        <v>11447</v>
      </c>
    </row>
    <row r="4681" spans="1:49">
      <c r="A4681" s="1">
        <f>HYPERLINK("https://lsnyc.legalserver.org/matter/dynamic-profile/view/1905706","19-1905706")</f>
        <v>0</v>
      </c>
      <c r="B4681" t="s">
        <v>182</v>
      </c>
      <c r="C4681" t="s">
        <v>496</v>
      </c>
      <c r="E4681" t="s">
        <v>3283</v>
      </c>
      <c r="F4681" t="s">
        <v>5921</v>
      </c>
      <c r="G4681" t="s">
        <v>9839</v>
      </c>
      <c r="H4681">
        <v>31</v>
      </c>
      <c r="I4681" t="s">
        <v>11386</v>
      </c>
      <c r="J4681">
        <v>10031</v>
      </c>
      <c r="K4681" t="s">
        <v>11446</v>
      </c>
      <c r="L4681" t="s">
        <v>14187</v>
      </c>
      <c r="M4681" t="s">
        <v>14744</v>
      </c>
      <c r="N4681" t="s">
        <v>14781</v>
      </c>
      <c r="P4681" t="s">
        <v>14806</v>
      </c>
      <c r="Q4681" t="s">
        <v>11448</v>
      </c>
      <c r="S4681" t="s">
        <v>14827</v>
      </c>
      <c r="U4681" t="s">
        <v>496</v>
      </c>
      <c r="V4681">
        <v>1120</v>
      </c>
      <c r="W4681" t="s">
        <v>14860</v>
      </c>
      <c r="X4681" t="s">
        <v>14863</v>
      </c>
      <c r="Z4681" t="s">
        <v>18754</v>
      </c>
      <c r="AB4681" t="s">
        <v>23920</v>
      </c>
      <c r="AC4681">
        <v>21</v>
      </c>
      <c r="AD4681" t="s">
        <v>24595</v>
      </c>
      <c r="AE4681" t="s">
        <v>11459</v>
      </c>
      <c r="AF4681">
        <v>9</v>
      </c>
      <c r="AG4681">
        <v>1</v>
      </c>
      <c r="AH4681">
        <v>0</v>
      </c>
      <c r="AI4681">
        <v>187.35</v>
      </c>
      <c r="AL4681" t="s">
        <v>5011</v>
      </c>
      <c r="AM4681">
        <v>23400</v>
      </c>
      <c r="AS4681">
        <v>28</v>
      </c>
      <c r="AT4681" t="s">
        <v>495</v>
      </c>
      <c r="AU4681" t="s">
        <v>25276</v>
      </c>
      <c r="AV4681" t="s">
        <v>25335</v>
      </c>
      <c r="AW4681" t="s">
        <v>11447</v>
      </c>
    </row>
    <row r="4682" spans="1:49">
      <c r="A4682" s="1">
        <f>HYPERLINK("https://lsnyc.legalserver.org/matter/dynamic-profile/view/1905765","19-1905765")</f>
        <v>0</v>
      </c>
      <c r="B4682" t="s">
        <v>253</v>
      </c>
      <c r="C4682" t="s">
        <v>496</v>
      </c>
      <c r="E4682" t="s">
        <v>1025</v>
      </c>
      <c r="F4682" t="s">
        <v>5922</v>
      </c>
      <c r="G4682" t="s">
        <v>9840</v>
      </c>
      <c r="H4682" t="s">
        <v>11087</v>
      </c>
      <c r="I4682" t="s">
        <v>11386</v>
      </c>
      <c r="J4682">
        <v>10026</v>
      </c>
      <c r="K4682" t="s">
        <v>11446</v>
      </c>
      <c r="L4682" t="s">
        <v>14188</v>
      </c>
      <c r="M4682" t="s">
        <v>14744</v>
      </c>
      <c r="N4682" t="s">
        <v>14781</v>
      </c>
      <c r="P4682" t="s">
        <v>14806</v>
      </c>
      <c r="Q4682" t="s">
        <v>11448</v>
      </c>
      <c r="S4682" t="s">
        <v>14827</v>
      </c>
      <c r="U4682" t="s">
        <v>496</v>
      </c>
      <c r="V4682">
        <v>0</v>
      </c>
      <c r="W4682" t="s">
        <v>14860</v>
      </c>
      <c r="X4682" t="s">
        <v>14863</v>
      </c>
      <c r="Z4682" t="s">
        <v>15298</v>
      </c>
      <c r="AB4682" t="s">
        <v>23921</v>
      </c>
      <c r="AC4682">
        <v>18</v>
      </c>
      <c r="AD4682" t="s">
        <v>24595</v>
      </c>
      <c r="AE4682" t="s">
        <v>11459</v>
      </c>
      <c r="AF4682">
        <v>0</v>
      </c>
      <c r="AG4682">
        <v>1</v>
      </c>
      <c r="AH4682">
        <v>1</v>
      </c>
      <c r="AI4682">
        <v>425.78</v>
      </c>
      <c r="AL4682" t="s">
        <v>5011</v>
      </c>
      <c r="AM4682">
        <v>72000</v>
      </c>
      <c r="AS4682">
        <v>2</v>
      </c>
      <c r="AT4682" t="s">
        <v>589</v>
      </c>
      <c r="AU4682" t="s">
        <v>153</v>
      </c>
      <c r="AV4682" t="s">
        <v>25335</v>
      </c>
      <c r="AW4682" t="s">
        <v>11447</v>
      </c>
    </row>
    <row r="4683" spans="1:49">
      <c r="A4683" s="1">
        <f>HYPERLINK("https://lsnyc.legalserver.org/matter/dynamic-profile/view/1906177","19-1906177")</f>
        <v>0</v>
      </c>
      <c r="B4683" t="s">
        <v>161</v>
      </c>
      <c r="C4683" t="s">
        <v>553</v>
      </c>
      <c r="E4683" t="s">
        <v>1181</v>
      </c>
      <c r="F4683" t="s">
        <v>3738</v>
      </c>
      <c r="G4683" t="s">
        <v>9841</v>
      </c>
      <c r="H4683" t="s">
        <v>10559</v>
      </c>
      <c r="I4683" t="s">
        <v>11386</v>
      </c>
      <c r="J4683">
        <v>10026</v>
      </c>
      <c r="K4683" t="s">
        <v>11446</v>
      </c>
      <c r="L4683" t="s">
        <v>14189</v>
      </c>
      <c r="M4683" t="s">
        <v>14743</v>
      </c>
      <c r="N4683" t="s">
        <v>14781</v>
      </c>
      <c r="P4683" t="s">
        <v>14806</v>
      </c>
      <c r="Q4683" t="s">
        <v>11448</v>
      </c>
      <c r="S4683" t="s">
        <v>14827</v>
      </c>
      <c r="U4683" t="s">
        <v>553</v>
      </c>
      <c r="V4683">
        <v>0</v>
      </c>
      <c r="W4683" t="s">
        <v>14860</v>
      </c>
      <c r="X4683" t="s">
        <v>14868</v>
      </c>
      <c r="Z4683" t="s">
        <v>18755</v>
      </c>
      <c r="AB4683" t="s">
        <v>23922</v>
      </c>
      <c r="AC4683">
        <v>54</v>
      </c>
      <c r="AD4683" t="s">
        <v>24595</v>
      </c>
      <c r="AF4683">
        <v>30</v>
      </c>
      <c r="AG4683">
        <v>1</v>
      </c>
      <c r="AH4683">
        <v>0</v>
      </c>
      <c r="AI4683">
        <v>73.69</v>
      </c>
      <c r="AL4683" t="s">
        <v>5011</v>
      </c>
      <c r="AM4683">
        <v>9204</v>
      </c>
      <c r="AS4683">
        <v>36.7</v>
      </c>
      <c r="AT4683" t="s">
        <v>533</v>
      </c>
      <c r="AU4683" t="s">
        <v>25276</v>
      </c>
      <c r="AV4683" t="s">
        <v>25335</v>
      </c>
      <c r="AW4683" t="s">
        <v>11447</v>
      </c>
    </row>
    <row r="4684" spans="1:49">
      <c r="A4684" s="1">
        <f>HYPERLINK("https://lsnyc.legalserver.org/matter/dynamic-profile/view/1906265","19-1906265")</f>
        <v>0</v>
      </c>
      <c r="B4684" t="s">
        <v>217</v>
      </c>
      <c r="C4684" t="s">
        <v>355</v>
      </c>
      <c r="E4684" t="s">
        <v>1134</v>
      </c>
      <c r="F4684" t="s">
        <v>4363</v>
      </c>
      <c r="G4684" t="s">
        <v>9806</v>
      </c>
      <c r="H4684" t="s">
        <v>10509</v>
      </c>
      <c r="I4684" t="s">
        <v>11386</v>
      </c>
      <c r="J4684">
        <v>10026</v>
      </c>
      <c r="K4684" t="s">
        <v>11446</v>
      </c>
      <c r="L4684" t="s">
        <v>14148</v>
      </c>
      <c r="M4684" t="s">
        <v>14744</v>
      </c>
      <c r="N4684" t="s">
        <v>14781</v>
      </c>
      <c r="P4684" t="s">
        <v>14806</v>
      </c>
      <c r="Q4684" t="s">
        <v>11448</v>
      </c>
      <c r="S4684" t="s">
        <v>14827</v>
      </c>
      <c r="T4684" t="s">
        <v>14832</v>
      </c>
      <c r="U4684" t="s">
        <v>355</v>
      </c>
      <c r="V4684">
        <v>229</v>
      </c>
      <c r="W4684" t="s">
        <v>14860</v>
      </c>
      <c r="X4684" t="s">
        <v>14863</v>
      </c>
      <c r="Z4684" t="s">
        <v>16824</v>
      </c>
      <c r="AB4684" t="s">
        <v>23923</v>
      </c>
      <c r="AC4684">
        <v>0</v>
      </c>
      <c r="AD4684" t="s">
        <v>24597</v>
      </c>
      <c r="AE4684" t="s">
        <v>24610</v>
      </c>
      <c r="AF4684">
        <v>38</v>
      </c>
      <c r="AG4684">
        <v>1</v>
      </c>
      <c r="AH4684">
        <v>0</v>
      </c>
      <c r="AI4684">
        <v>38.43</v>
      </c>
      <c r="AL4684" t="s">
        <v>5011</v>
      </c>
      <c r="AM4684">
        <v>4800</v>
      </c>
      <c r="AS4684">
        <v>11.7</v>
      </c>
      <c r="AT4684" t="s">
        <v>592</v>
      </c>
      <c r="AU4684" t="s">
        <v>153</v>
      </c>
      <c r="AV4684" t="s">
        <v>25335</v>
      </c>
      <c r="AW4684" t="s">
        <v>11447</v>
      </c>
    </row>
    <row r="4685" spans="1:49">
      <c r="A4685" s="1">
        <f>HYPERLINK("https://lsnyc.legalserver.org/matter/dynamic-profile/view/1906269","19-1906269")</f>
        <v>0</v>
      </c>
      <c r="B4685" t="s">
        <v>218</v>
      </c>
      <c r="C4685" t="s">
        <v>355</v>
      </c>
      <c r="E4685" t="s">
        <v>1025</v>
      </c>
      <c r="F4685" t="s">
        <v>4816</v>
      </c>
      <c r="G4685" t="s">
        <v>9842</v>
      </c>
      <c r="H4685" t="s">
        <v>10509</v>
      </c>
      <c r="I4685" t="s">
        <v>11386</v>
      </c>
      <c r="J4685">
        <v>10031</v>
      </c>
      <c r="K4685" t="s">
        <v>11446</v>
      </c>
      <c r="L4685" t="s">
        <v>14190</v>
      </c>
      <c r="M4685" t="s">
        <v>14743</v>
      </c>
      <c r="N4685" t="s">
        <v>14781</v>
      </c>
      <c r="P4685" t="s">
        <v>14806</v>
      </c>
      <c r="Q4685" t="s">
        <v>11448</v>
      </c>
      <c r="S4685" t="s">
        <v>14827</v>
      </c>
      <c r="T4685" t="s">
        <v>14832</v>
      </c>
      <c r="U4685" t="s">
        <v>355</v>
      </c>
      <c r="V4685">
        <v>556.3200000000001</v>
      </c>
      <c r="W4685" t="s">
        <v>14860</v>
      </c>
      <c r="X4685" t="s">
        <v>14863</v>
      </c>
      <c r="Z4685" t="s">
        <v>18756</v>
      </c>
      <c r="AA4685" t="s">
        <v>20013</v>
      </c>
      <c r="AB4685" t="s">
        <v>23924</v>
      </c>
      <c r="AC4685">
        <v>15</v>
      </c>
      <c r="AD4685" t="s">
        <v>24595</v>
      </c>
      <c r="AE4685" t="s">
        <v>11459</v>
      </c>
      <c r="AF4685">
        <v>30</v>
      </c>
      <c r="AG4685">
        <v>2</v>
      </c>
      <c r="AH4685">
        <v>0</v>
      </c>
      <c r="AI4685">
        <v>52</v>
      </c>
      <c r="AL4685" t="s">
        <v>24632</v>
      </c>
      <c r="AM4685">
        <v>8793</v>
      </c>
      <c r="AS4685">
        <v>17.5</v>
      </c>
      <c r="AT4685" t="s">
        <v>521</v>
      </c>
      <c r="AU4685" t="s">
        <v>153</v>
      </c>
      <c r="AV4685" t="s">
        <v>25335</v>
      </c>
      <c r="AW4685" t="s">
        <v>11447</v>
      </c>
    </row>
    <row r="4686" spans="1:49">
      <c r="A4686" s="1">
        <f>HYPERLINK("https://lsnyc.legalserver.org/matter/dynamic-profile/view/1906330","19-1906330")</f>
        <v>0</v>
      </c>
      <c r="B4686" t="s">
        <v>217</v>
      </c>
      <c r="C4686" t="s">
        <v>355</v>
      </c>
      <c r="E4686" t="s">
        <v>1245</v>
      </c>
      <c r="F4686" t="s">
        <v>3709</v>
      </c>
      <c r="G4686" t="s">
        <v>9843</v>
      </c>
      <c r="H4686" t="s">
        <v>10618</v>
      </c>
      <c r="I4686" t="s">
        <v>11386</v>
      </c>
      <c r="J4686">
        <v>10026</v>
      </c>
      <c r="K4686" t="s">
        <v>11446</v>
      </c>
      <c r="L4686" t="s">
        <v>14191</v>
      </c>
      <c r="M4686" t="s">
        <v>14744</v>
      </c>
      <c r="N4686" t="s">
        <v>14781</v>
      </c>
      <c r="P4686" t="s">
        <v>14806</v>
      </c>
      <c r="Q4686" t="s">
        <v>11448</v>
      </c>
      <c r="S4686" t="s">
        <v>14827</v>
      </c>
      <c r="U4686" t="s">
        <v>355</v>
      </c>
      <c r="V4686">
        <v>1747.93</v>
      </c>
      <c r="W4686" t="s">
        <v>14860</v>
      </c>
      <c r="X4686" t="s">
        <v>14863</v>
      </c>
      <c r="Z4686" t="s">
        <v>16276</v>
      </c>
      <c r="AB4686" t="s">
        <v>23925</v>
      </c>
      <c r="AC4686">
        <v>72</v>
      </c>
      <c r="AD4686" t="s">
        <v>11479</v>
      </c>
      <c r="AE4686" t="s">
        <v>11459</v>
      </c>
      <c r="AF4686">
        <v>7</v>
      </c>
      <c r="AG4686">
        <v>1</v>
      </c>
      <c r="AH4686">
        <v>0</v>
      </c>
      <c r="AI4686">
        <v>80.06</v>
      </c>
      <c r="AL4686" t="s">
        <v>5011</v>
      </c>
      <c r="AM4686">
        <v>10000</v>
      </c>
      <c r="AS4686">
        <v>11.7</v>
      </c>
      <c r="AT4686" t="s">
        <v>592</v>
      </c>
      <c r="AU4686" t="s">
        <v>153</v>
      </c>
      <c r="AV4686" t="s">
        <v>25335</v>
      </c>
      <c r="AW4686" t="s">
        <v>11447</v>
      </c>
    </row>
    <row r="4687" spans="1:49">
      <c r="A4687" s="1">
        <f>HYPERLINK("https://lsnyc.legalserver.org/matter/dynamic-profile/view/1899204","19-1899204")</f>
        <v>0</v>
      </c>
      <c r="B4687" t="s">
        <v>223</v>
      </c>
      <c r="C4687" t="s">
        <v>680</v>
      </c>
      <c r="E4687" t="s">
        <v>1777</v>
      </c>
      <c r="F4687" t="s">
        <v>3746</v>
      </c>
      <c r="G4687" t="s">
        <v>9826</v>
      </c>
      <c r="H4687" t="s">
        <v>10601</v>
      </c>
      <c r="I4687" t="s">
        <v>11386</v>
      </c>
      <c r="J4687">
        <v>10026</v>
      </c>
      <c r="K4687" t="s">
        <v>11446</v>
      </c>
      <c r="L4687" t="s">
        <v>14192</v>
      </c>
      <c r="M4687" t="s">
        <v>14744</v>
      </c>
      <c r="N4687" t="s">
        <v>14781</v>
      </c>
      <c r="P4687" t="s">
        <v>14806</v>
      </c>
      <c r="Q4687" t="s">
        <v>11448</v>
      </c>
      <c r="S4687" t="s">
        <v>14827</v>
      </c>
      <c r="T4687" t="s">
        <v>14832</v>
      </c>
      <c r="U4687" t="s">
        <v>485</v>
      </c>
      <c r="V4687">
        <v>1725</v>
      </c>
      <c r="W4687" t="s">
        <v>14860</v>
      </c>
      <c r="X4687" t="s">
        <v>14865</v>
      </c>
      <c r="Z4687" t="s">
        <v>18757</v>
      </c>
      <c r="AA4687" t="s">
        <v>20014</v>
      </c>
      <c r="AB4687" t="s">
        <v>23926</v>
      </c>
      <c r="AC4687">
        <v>20</v>
      </c>
      <c r="AD4687" t="s">
        <v>24599</v>
      </c>
      <c r="AE4687" t="s">
        <v>14755</v>
      </c>
      <c r="AF4687">
        <v>2</v>
      </c>
      <c r="AG4687">
        <v>1</v>
      </c>
      <c r="AH4687">
        <v>2</v>
      </c>
      <c r="AI4687">
        <v>19.99</v>
      </c>
      <c r="AL4687" t="s">
        <v>5011</v>
      </c>
      <c r="AM4687">
        <v>4264</v>
      </c>
      <c r="AS4687">
        <v>26.5</v>
      </c>
      <c r="AT4687" t="s">
        <v>521</v>
      </c>
      <c r="AU4687" t="s">
        <v>153</v>
      </c>
      <c r="AV4687" t="s">
        <v>25334</v>
      </c>
      <c r="AW4687" t="s">
        <v>11447</v>
      </c>
    </row>
    <row r="4688" spans="1:49">
      <c r="A4688" s="1">
        <f>HYPERLINK("https://lsnyc.legalserver.org/matter/dynamic-profile/view/1874527","18-1874527")</f>
        <v>0</v>
      </c>
      <c r="B4688" t="s">
        <v>208</v>
      </c>
      <c r="C4688" t="s">
        <v>786</v>
      </c>
      <c r="E4688" t="s">
        <v>2082</v>
      </c>
      <c r="F4688" t="s">
        <v>4209</v>
      </c>
      <c r="G4688" t="s">
        <v>9844</v>
      </c>
      <c r="H4688" t="s">
        <v>10450</v>
      </c>
      <c r="I4688" t="s">
        <v>11386</v>
      </c>
      <c r="J4688">
        <v>10027</v>
      </c>
      <c r="K4688" t="s">
        <v>11446</v>
      </c>
      <c r="L4688" t="s">
        <v>14193</v>
      </c>
      <c r="M4688" t="s">
        <v>14744</v>
      </c>
      <c r="N4688" t="s">
        <v>14781</v>
      </c>
      <c r="P4688" t="s">
        <v>14806</v>
      </c>
      <c r="Q4688" t="s">
        <v>11448</v>
      </c>
      <c r="S4688" t="s">
        <v>14827</v>
      </c>
      <c r="U4688" t="s">
        <v>485</v>
      </c>
      <c r="V4688">
        <v>363.05</v>
      </c>
      <c r="W4688" t="s">
        <v>14860</v>
      </c>
      <c r="X4688" t="s">
        <v>14865</v>
      </c>
      <c r="Z4688" t="s">
        <v>18758</v>
      </c>
      <c r="AB4688" t="s">
        <v>23927</v>
      </c>
      <c r="AC4688">
        <v>0</v>
      </c>
      <c r="AD4688" t="s">
        <v>24595</v>
      </c>
      <c r="AE4688" t="s">
        <v>24613</v>
      </c>
      <c r="AF4688">
        <v>26</v>
      </c>
      <c r="AG4688">
        <v>2</v>
      </c>
      <c r="AH4688">
        <v>0</v>
      </c>
      <c r="AI4688">
        <v>53.58</v>
      </c>
      <c r="AL4688" t="s">
        <v>24632</v>
      </c>
      <c r="AM4688">
        <v>8820</v>
      </c>
      <c r="AS4688">
        <v>2.6</v>
      </c>
      <c r="AT4688" t="s">
        <v>729</v>
      </c>
      <c r="AU4688" t="s">
        <v>153</v>
      </c>
      <c r="AV4688" t="s">
        <v>25335</v>
      </c>
      <c r="AW4688" t="s">
        <v>11447</v>
      </c>
    </row>
    <row r="4689" spans="1:49">
      <c r="A4689" s="1">
        <f>HYPERLINK("https://lsnyc.legalserver.org/matter/dynamic-profile/view/1904154","19-1904154")</f>
        <v>0</v>
      </c>
      <c r="B4689" t="s">
        <v>252</v>
      </c>
      <c r="C4689" t="s">
        <v>338</v>
      </c>
      <c r="E4689" t="s">
        <v>3284</v>
      </c>
      <c r="F4689" t="s">
        <v>5107</v>
      </c>
      <c r="G4689" t="s">
        <v>9845</v>
      </c>
      <c r="H4689" t="s">
        <v>10497</v>
      </c>
      <c r="I4689" t="s">
        <v>11386</v>
      </c>
      <c r="J4689">
        <v>10027</v>
      </c>
      <c r="K4689" t="s">
        <v>11446</v>
      </c>
      <c r="L4689" t="s">
        <v>14194</v>
      </c>
      <c r="M4689" t="s">
        <v>14744</v>
      </c>
      <c r="N4689" t="s">
        <v>14781</v>
      </c>
      <c r="P4689" t="s">
        <v>14806</v>
      </c>
      <c r="Q4689" t="s">
        <v>11448</v>
      </c>
      <c r="S4689" t="s">
        <v>14827</v>
      </c>
      <c r="U4689" t="s">
        <v>485</v>
      </c>
      <c r="V4689">
        <v>869.02</v>
      </c>
      <c r="W4689" t="s">
        <v>14860</v>
      </c>
      <c r="X4689" t="s">
        <v>14863</v>
      </c>
      <c r="Z4689" t="s">
        <v>15607</v>
      </c>
      <c r="AB4689" t="s">
        <v>23928</v>
      </c>
      <c r="AC4689">
        <v>18</v>
      </c>
      <c r="AD4689" t="s">
        <v>24595</v>
      </c>
      <c r="AE4689" t="s">
        <v>14755</v>
      </c>
      <c r="AF4689">
        <v>23</v>
      </c>
      <c r="AG4689">
        <v>2</v>
      </c>
      <c r="AH4689">
        <v>1</v>
      </c>
      <c r="AI4689">
        <v>109.7</v>
      </c>
      <c r="AL4689" t="s">
        <v>5011</v>
      </c>
      <c r="AM4689">
        <v>23400</v>
      </c>
      <c r="AS4689">
        <v>12.88</v>
      </c>
      <c r="AT4689" t="s">
        <v>478</v>
      </c>
      <c r="AU4689" t="s">
        <v>25317</v>
      </c>
      <c r="AV4689" t="s">
        <v>25335</v>
      </c>
      <c r="AW4689" t="s">
        <v>11447</v>
      </c>
    </row>
    <row r="4690" spans="1:49">
      <c r="A4690" s="1">
        <f>HYPERLINK("https://lsnyc.legalserver.org/matter/dynamic-profile/view/1874561","18-1874561")</f>
        <v>0</v>
      </c>
      <c r="B4690" t="s">
        <v>208</v>
      </c>
      <c r="C4690" t="s">
        <v>786</v>
      </c>
      <c r="E4690" t="s">
        <v>1165</v>
      </c>
      <c r="F4690" t="s">
        <v>5923</v>
      </c>
      <c r="G4690" t="s">
        <v>9846</v>
      </c>
      <c r="H4690" t="s">
        <v>10522</v>
      </c>
      <c r="I4690" t="s">
        <v>11386</v>
      </c>
      <c r="J4690">
        <v>10027</v>
      </c>
      <c r="K4690" t="s">
        <v>11446</v>
      </c>
      <c r="L4690" t="s">
        <v>14195</v>
      </c>
      <c r="M4690" t="s">
        <v>14744</v>
      </c>
      <c r="N4690" t="s">
        <v>14781</v>
      </c>
      <c r="P4690" t="s">
        <v>14806</v>
      </c>
      <c r="Q4690" t="s">
        <v>11448</v>
      </c>
      <c r="S4690" t="s">
        <v>14827</v>
      </c>
      <c r="U4690" t="s">
        <v>485</v>
      </c>
      <c r="V4690">
        <v>1038</v>
      </c>
      <c r="W4690" t="s">
        <v>14860</v>
      </c>
      <c r="X4690" t="s">
        <v>14865</v>
      </c>
      <c r="Z4690" t="s">
        <v>15869</v>
      </c>
      <c r="AB4690" t="s">
        <v>23929</v>
      </c>
      <c r="AC4690">
        <v>74</v>
      </c>
      <c r="AD4690" t="s">
        <v>24599</v>
      </c>
      <c r="AE4690" t="s">
        <v>24613</v>
      </c>
      <c r="AF4690">
        <v>40</v>
      </c>
      <c r="AG4690">
        <v>1</v>
      </c>
      <c r="AH4690">
        <v>0</v>
      </c>
      <c r="AI4690">
        <v>158.15</v>
      </c>
      <c r="AL4690" t="s">
        <v>5011</v>
      </c>
      <c r="AM4690">
        <v>19200</v>
      </c>
      <c r="AS4690">
        <v>0</v>
      </c>
      <c r="AU4690" t="s">
        <v>153</v>
      </c>
      <c r="AV4690" t="s">
        <v>25335</v>
      </c>
      <c r="AW4690" t="s">
        <v>11447</v>
      </c>
    </row>
    <row r="4691" spans="1:49">
      <c r="A4691" s="1">
        <f>HYPERLINK("https://lsnyc.legalserver.org/matter/dynamic-profile/view/1906875","19-1906875")</f>
        <v>0</v>
      </c>
      <c r="B4691" t="s">
        <v>218</v>
      </c>
      <c r="C4691" t="s">
        <v>564</v>
      </c>
      <c r="E4691" t="s">
        <v>3285</v>
      </c>
      <c r="F4691" t="s">
        <v>3686</v>
      </c>
      <c r="G4691" t="s">
        <v>9847</v>
      </c>
      <c r="H4691" t="s">
        <v>10689</v>
      </c>
      <c r="I4691" t="s">
        <v>11386</v>
      </c>
      <c r="J4691">
        <v>10027</v>
      </c>
      <c r="K4691" t="s">
        <v>11446</v>
      </c>
      <c r="L4691" t="s">
        <v>14196</v>
      </c>
      <c r="M4691" t="s">
        <v>14744</v>
      </c>
      <c r="N4691" t="s">
        <v>14781</v>
      </c>
      <c r="P4691" t="s">
        <v>14806</v>
      </c>
      <c r="Q4691" t="s">
        <v>11448</v>
      </c>
      <c r="S4691" t="s">
        <v>14827</v>
      </c>
      <c r="U4691" t="s">
        <v>564</v>
      </c>
      <c r="V4691">
        <v>0</v>
      </c>
      <c r="W4691" t="s">
        <v>14860</v>
      </c>
      <c r="X4691" t="s">
        <v>14865</v>
      </c>
      <c r="Z4691" t="s">
        <v>18759</v>
      </c>
      <c r="AA4691" t="s">
        <v>20015</v>
      </c>
      <c r="AB4691" t="s">
        <v>23930</v>
      </c>
      <c r="AC4691">
        <v>209</v>
      </c>
      <c r="AD4691" t="s">
        <v>24596</v>
      </c>
      <c r="AF4691">
        <v>21</v>
      </c>
      <c r="AG4691">
        <v>1</v>
      </c>
      <c r="AH4691">
        <v>0</v>
      </c>
      <c r="AI4691">
        <v>19.22</v>
      </c>
      <c r="AL4691" t="s">
        <v>5011</v>
      </c>
      <c r="AM4691">
        <v>2400</v>
      </c>
      <c r="AS4691">
        <v>5.55</v>
      </c>
      <c r="AT4691" t="s">
        <v>490</v>
      </c>
      <c r="AU4691" t="s">
        <v>25276</v>
      </c>
      <c r="AV4691" t="s">
        <v>25334</v>
      </c>
      <c r="AW4691" t="s">
        <v>11447</v>
      </c>
    </row>
    <row r="4692" spans="1:49">
      <c r="A4692" s="1">
        <f>HYPERLINK("https://lsnyc.legalserver.org/matter/dynamic-profile/view/1906814","19-1906814")</f>
        <v>0</v>
      </c>
      <c r="B4692" t="s">
        <v>315</v>
      </c>
      <c r="C4692" t="s">
        <v>564</v>
      </c>
      <c r="E4692" t="s">
        <v>1789</v>
      </c>
      <c r="F4692" t="s">
        <v>3561</v>
      </c>
      <c r="G4692" t="s">
        <v>9848</v>
      </c>
      <c r="H4692" t="s">
        <v>11284</v>
      </c>
      <c r="I4692" t="s">
        <v>11386</v>
      </c>
      <c r="J4692">
        <v>10025</v>
      </c>
      <c r="K4692" t="s">
        <v>11446</v>
      </c>
      <c r="L4692" t="s">
        <v>14197</v>
      </c>
      <c r="M4692" t="s">
        <v>14744</v>
      </c>
      <c r="N4692" t="s">
        <v>14781</v>
      </c>
      <c r="P4692" t="s">
        <v>14806</v>
      </c>
      <c r="Q4692" t="s">
        <v>11448</v>
      </c>
      <c r="S4692" t="s">
        <v>14827</v>
      </c>
      <c r="U4692" t="s">
        <v>564</v>
      </c>
      <c r="V4692">
        <v>241</v>
      </c>
      <c r="W4692" t="s">
        <v>14860</v>
      </c>
      <c r="X4692" t="s">
        <v>14863</v>
      </c>
      <c r="Z4692" t="s">
        <v>18760</v>
      </c>
      <c r="AB4692" t="s">
        <v>23931</v>
      </c>
      <c r="AC4692">
        <v>4</v>
      </c>
      <c r="AD4692" t="s">
        <v>24605</v>
      </c>
      <c r="AE4692" t="s">
        <v>24610</v>
      </c>
      <c r="AF4692">
        <v>30</v>
      </c>
      <c r="AG4692">
        <v>1</v>
      </c>
      <c r="AH4692">
        <v>0</v>
      </c>
      <c r="AI4692">
        <v>82.45999999999999</v>
      </c>
      <c r="AL4692" t="s">
        <v>5011</v>
      </c>
      <c r="AM4692">
        <v>10299</v>
      </c>
      <c r="AS4692">
        <v>8</v>
      </c>
      <c r="AT4692" t="s">
        <v>515</v>
      </c>
      <c r="AU4692" t="s">
        <v>153</v>
      </c>
      <c r="AV4692" t="s">
        <v>25335</v>
      </c>
      <c r="AW4692" t="s">
        <v>11447</v>
      </c>
    </row>
    <row r="4693" spans="1:49">
      <c r="A4693" s="1">
        <f>HYPERLINK("https://lsnyc.legalserver.org/matter/dynamic-profile/view/1906819","19-1906819")</f>
        <v>0</v>
      </c>
      <c r="B4693" t="s">
        <v>188</v>
      </c>
      <c r="C4693" t="s">
        <v>564</v>
      </c>
      <c r="E4693" t="s">
        <v>2629</v>
      </c>
      <c r="F4693" t="s">
        <v>4519</v>
      </c>
      <c r="G4693" t="s">
        <v>9849</v>
      </c>
      <c r="H4693">
        <v>56</v>
      </c>
      <c r="I4693" t="s">
        <v>11386</v>
      </c>
      <c r="J4693">
        <v>10031</v>
      </c>
      <c r="K4693" t="s">
        <v>11446</v>
      </c>
      <c r="L4693" t="s">
        <v>14198</v>
      </c>
      <c r="M4693" t="s">
        <v>14743</v>
      </c>
      <c r="N4693" t="s">
        <v>14781</v>
      </c>
      <c r="P4693" t="s">
        <v>14806</v>
      </c>
      <c r="Q4693" t="s">
        <v>11448</v>
      </c>
      <c r="S4693" t="s">
        <v>14827</v>
      </c>
      <c r="U4693" t="s">
        <v>564</v>
      </c>
      <c r="V4693">
        <v>1194</v>
      </c>
      <c r="W4693" t="s">
        <v>14860</v>
      </c>
      <c r="X4693" t="s">
        <v>14863</v>
      </c>
      <c r="Z4693" t="s">
        <v>16299</v>
      </c>
      <c r="AB4693" t="s">
        <v>23932</v>
      </c>
      <c r="AC4693">
        <v>54</v>
      </c>
      <c r="AD4693" t="s">
        <v>24595</v>
      </c>
      <c r="AE4693" t="s">
        <v>11459</v>
      </c>
      <c r="AF4693">
        <v>22</v>
      </c>
      <c r="AG4693">
        <v>2</v>
      </c>
      <c r="AH4693">
        <v>1</v>
      </c>
      <c r="AI4693">
        <v>121.89</v>
      </c>
      <c r="AL4693" t="s">
        <v>24632</v>
      </c>
      <c r="AM4693">
        <v>26000</v>
      </c>
      <c r="AS4693">
        <v>15.7</v>
      </c>
      <c r="AT4693" t="s">
        <v>521</v>
      </c>
      <c r="AU4693" t="s">
        <v>25276</v>
      </c>
      <c r="AV4693" t="s">
        <v>25335</v>
      </c>
      <c r="AW4693" t="s">
        <v>11447</v>
      </c>
    </row>
    <row r="4694" spans="1:49">
      <c r="A4694" s="1">
        <f>HYPERLINK("https://lsnyc.legalserver.org/matter/dynamic-profile/view/1906844","19-1906844")</f>
        <v>0</v>
      </c>
      <c r="B4694" t="s">
        <v>315</v>
      </c>
      <c r="C4694" t="s">
        <v>564</v>
      </c>
      <c r="E4694" t="s">
        <v>1594</v>
      </c>
      <c r="F4694" t="s">
        <v>5924</v>
      </c>
      <c r="G4694" t="s">
        <v>9850</v>
      </c>
      <c r="H4694">
        <v>84</v>
      </c>
      <c r="I4694" t="s">
        <v>11386</v>
      </c>
      <c r="J4694">
        <v>10031</v>
      </c>
      <c r="K4694" t="s">
        <v>11446</v>
      </c>
      <c r="L4694" t="s">
        <v>14199</v>
      </c>
      <c r="M4694" t="s">
        <v>14743</v>
      </c>
      <c r="N4694" t="s">
        <v>14781</v>
      </c>
      <c r="P4694" t="s">
        <v>14806</v>
      </c>
      <c r="Q4694" t="s">
        <v>11448</v>
      </c>
      <c r="S4694" t="s">
        <v>14827</v>
      </c>
      <c r="T4694" t="s">
        <v>14832</v>
      </c>
      <c r="U4694" t="s">
        <v>564</v>
      </c>
      <c r="V4694">
        <v>1287.3</v>
      </c>
      <c r="W4694" t="s">
        <v>14860</v>
      </c>
      <c r="X4694" t="s">
        <v>14863</v>
      </c>
      <c r="Z4694" t="s">
        <v>17524</v>
      </c>
      <c r="AB4694" t="s">
        <v>23933</v>
      </c>
      <c r="AC4694">
        <v>62</v>
      </c>
      <c r="AD4694" t="s">
        <v>24599</v>
      </c>
      <c r="AE4694" t="s">
        <v>11459</v>
      </c>
      <c r="AF4694">
        <v>7</v>
      </c>
      <c r="AG4694">
        <v>1</v>
      </c>
      <c r="AH4694">
        <v>0</v>
      </c>
      <c r="AI4694">
        <v>160.13</v>
      </c>
      <c r="AL4694" t="s">
        <v>5011</v>
      </c>
      <c r="AM4694">
        <v>20000</v>
      </c>
      <c r="AS4694">
        <v>30.1</v>
      </c>
      <c r="AT4694" t="s">
        <v>580</v>
      </c>
      <c r="AU4694" t="s">
        <v>153</v>
      </c>
      <c r="AV4694" t="s">
        <v>25335</v>
      </c>
      <c r="AW4694" t="s">
        <v>11447</v>
      </c>
    </row>
    <row r="4695" spans="1:49">
      <c r="A4695" s="1">
        <f>HYPERLINK("https://lsnyc.legalserver.org/matter/dynamic-profile/view/1906812","19-1906812")</f>
        <v>0</v>
      </c>
      <c r="B4695" t="s">
        <v>223</v>
      </c>
      <c r="C4695" t="s">
        <v>564</v>
      </c>
      <c r="E4695" t="s">
        <v>1853</v>
      </c>
      <c r="F4695" t="s">
        <v>5925</v>
      </c>
      <c r="G4695" t="s">
        <v>9851</v>
      </c>
      <c r="H4695" t="s">
        <v>10593</v>
      </c>
      <c r="I4695" t="s">
        <v>11386</v>
      </c>
      <c r="J4695">
        <v>10026</v>
      </c>
      <c r="K4695" t="s">
        <v>11446</v>
      </c>
      <c r="L4695" t="s">
        <v>14200</v>
      </c>
      <c r="M4695" t="s">
        <v>14743</v>
      </c>
      <c r="N4695" t="s">
        <v>14781</v>
      </c>
      <c r="P4695" t="s">
        <v>14806</v>
      </c>
      <c r="Q4695" t="s">
        <v>11448</v>
      </c>
      <c r="S4695" t="s">
        <v>14827</v>
      </c>
      <c r="U4695" t="s">
        <v>564</v>
      </c>
      <c r="V4695">
        <v>1600</v>
      </c>
      <c r="W4695" t="s">
        <v>14860</v>
      </c>
      <c r="X4695" t="s">
        <v>14863</v>
      </c>
      <c r="Z4695" t="s">
        <v>18761</v>
      </c>
      <c r="AB4695" t="s">
        <v>23934</v>
      </c>
      <c r="AC4695">
        <v>59</v>
      </c>
      <c r="AD4695" t="s">
        <v>24595</v>
      </c>
      <c r="AE4695" t="s">
        <v>11459</v>
      </c>
      <c r="AF4695">
        <v>4</v>
      </c>
      <c r="AG4695">
        <v>1</v>
      </c>
      <c r="AH4695">
        <v>1</v>
      </c>
      <c r="AI4695">
        <v>177.41</v>
      </c>
      <c r="AL4695" t="s">
        <v>5011</v>
      </c>
      <c r="AM4695">
        <v>30000</v>
      </c>
      <c r="AS4695">
        <v>49.7</v>
      </c>
      <c r="AT4695" t="s">
        <v>521</v>
      </c>
      <c r="AU4695" t="s">
        <v>25276</v>
      </c>
      <c r="AV4695" t="s">
        <v>25335</v>
      </c>
      <c r="AW4695" t="s">
        <v>11447</v>
      </c>
    </row>
    <row r="4696" spans="1:49">
      <c r="A4696" s="1">
        <f>HYPERLINK("https://lsnyc.legalserver.org/matter/dynamic-profile/view/1907452","19-1907452")</f>
        <v>0</v>
      </c>
      <c r="B4696" t="s">
        <v>215</v>
      </c>
      <c r="C4696" t="s">
        <v>465</v>
      </c>
      <c r="E4696" t="s">
        <v>3286</v>
      </c>
      <c r="F4696" t="s">
        <v>5926</v>
      </c>
      <c r="G4696" t="s">
        <v>9852</v>
      </c>
      <c r="I4696" t="s">
        <v>11386</v>
      </c>
      <c r="J4696">
        <v>10025</v>
      </c>
      <c r="K4696" t="s">
        <v>11446</v>
      </c>
      <c r="L4696" t="s">
        <v>14201</v>
      </c>
      <c r="M4696" t="s">
        <v>14750</v>
      </c>
      <c r="N4696" t="s">
        <v>14783</v>
      </c>
      <c r="P4696" t="s">
        <v>14806</v>
      </c>
      <c r="Q4696" t="s">
        <v>11448</v>
      </c>
      <c r="S4696" t="s">
        <v>14830</v>
      </c>
      <c r="T4696" t="s">
        <v>14832</v>
      </c>
      <c r="U4696" t="s">
        <v>465</v>
      </c>
      <c r="V4696">
        <v>239</v>
      </c>
      <c r="W4696" t="s">
        <v>14860</v>
      </c>
      <c r="X4696" t="s">
        <v>14865</v>
      </c>
      <c r="Z4696" t="s">
        <v>18762</v>
      </c>
      <c r="AA4696" t="s">
        <v>11465</v>
      </c>
      <c r="AB4696" t="s">
        <v>23935</v>
      </c>
      <c r="AC4696">
        <v>0</v>
      </c>
      <c r="AD4696" t="s">
        <v>24597</v>
      </c>
      <c r="AF4696">
        <v>40</v>
      </c>
      <c r="AG4696">
        <v>2</v>
      </c>
      <c r="AH4696">
        <v>3</v>
      </c>
      <c r="AI4696">
        <v>30.67</v>
      </c>
      <c r="AL4696" t="s">
        <v>5011</v>
      </c>
      <c r="AM4696">
        <v>9252</v>
      </c>
      <c r="AS4696">
        <v>16.7</v>
      </c>
      <c r="AT4696" t="s">
        <v>475</v>
      </c>
      <c r="AU4696" t="s">
        <v>68</v>
      </c>
      <c r="AV4696" t="s">
        <v>25335</v>
      </c>
      <c r="AW4696" t="s">
        <v>11447</v>
      </c>
    </row>
    <row r="4697" spans="1:49">
      <c r="A4697" s="1">
        <f>HYPERLINK("https://lsnyc.legalserver.org/matter/dynamic-profile/view/1907758","19-1907758")</f>
        <v>0</v>
      </c>
      <c r="B4697" t="s">
        <v>253</v>
      </c>
      <c r="C4697" t="s">
        <v>377</v>
      </c>
      <c r="E4697" t="s">
        <v>1791</v>
      </c>
      <c r="F4697" t="s">
        <v>5927</v>
      </c>
      <c r="G4697" t="s">
        <v>9853</v>
      </c>
      <c r="H4697" t="s">
        <v>11285</v>
      </c>
      <c r="I4697" t="s">
        <v>11386</v>
      </c>
      <c r="J4697">
        <v>10026</v>
      </c>
      <c r="K4697" t="s">
        <v>11446</v>
      </c>
      <c r="L4697" t="s">
        <v>14202</v>
      </c>
      <c r="M4697" t="s">
        <v>14744</v>
      </c>
      <c r="N4697" t="s">
        <v>14781</v>
      </c>
      <c r="P4697" t="s">
        <v>14806</v>
      </c>
      <c r="Q4697" t="s">
        <v>11448</v>
      </c>
      <c r="S4697" t="s">
        <v>14828</v>
      </c>
      <c r="U4697" t="s">
        <v>377</v>
      </c>
      <c r="V4697">
        <v>435</v>
      </c>
      <c r="W4697" t="s">
        <v>14860</v>
      </c>
      <c r="X4697" t="s">
        <v>14865</v>
      </c>
      <c r="Z4697" t="s">
        <v>18763</v>
      </c>
      <c r="AB4697" t="s">
        <v>23936</v>
      </c>
      <c r="AC4697">
        <v>0</v>
      </c>
      <c r="AD4697" t="s">
        <v>24597</v>
      </c>
      <c r="AE4697" t="s">
        <v>11459</v>
      </c>
      <c r="AF4697">
        <v>19</v>
      </c>
      <c r="AG4697">
        <v>2</v>
      </c>
      <c r="AH4697">
        <v>3</v>
      </c>
      <c r="AI4697">
        <v>1.99</v>
      </c>
      <c r="AL4697" t="s">
        <v>5011</v>
      </c>
      <c r="AM4697">
        <v>600</v>
      </c>
      <c r="AS4697">
        <v>8.5</v>
      </c>
      <c r="AT4697" t="s">
        <v>516</v>
      </c>
      <c r="AU4697" t="s">
        <v>25288</v>
      </c>
      <c r="AV4697" t="s">
        <v>25335</v>
      </c>
      <c r="AW4697" t="s">
        <v>11447</v>
      </c>
    </row>
    <row r="4698" spans="1:49">
      <c r="A4698" s="1">
        <f>HYPERLINK("https://lsnyc.legalserver.org/matter/dynamic-profile/view/1907889","19-1907889")</f>
        <v>0</v>
      </c>
      <c r="B4698" t="s">
        <v>217</v>
      </c>
      <c r="C4698" t="s">
        <v>524</v>
      </c>
      <c r="E4698" t="s">
        <v>1337</v>
      </c>
      <c r="F4698" t="s">
        <v>1395</v>
      </c>
      <c r="G4698" t="s">
        <v>9854</v>
      </c>
      <c r="H4698" t="s">
        <v>10787</v>
      </c>
      <c r="I4698" t="s">
        <v>11386</v>
      </c>
      <c r="J4698">
        <v>10026</v>
      </c>
      <c r="K4698" t="s">
        <v>11446</v>
      </c>
      <c r="L4698" t="s">
        <v>14203</v>
      </c>
      <c r="M4698" t="s">
        <v>14744</v>
      </c>
      <c r="N4698" t="s">
        <v>14781</v>
      </c>
      <c r="P4698" t="s">
        <v>14806</v>
      </c>
      <c r="Q4698" t="s">
        <v>11448</v>
      </c>
      <c r="S4698" t="s">
        <v>14827</v>
      </c>
      <c r="T4698" t="s">
        <v>14837</v>
      </c>
      <c r="U4698" t="s">
        <v>524</v>
      </c>
      <c r="V4698">
        <v>535</v>
      </c>
      <c r="W4698" t="s">
        <v>14860</v>
      </c>
      <c r="X4698" t="s">
        <v>14863</v>
      </c>
      <c r="Z4698" t="s">
        <v>18764</v>
      </c>
      <c r="AB4698" t="s">
        <v>23937</v>
      </c>
      <c r="AC4698">
        <v>48</v>
      </c>
      <c r="AD4698" t="s">
        <v>24595</v>
      </c>
      <c r="AE4698" t="s">
        <v>11459</v>
      </c>
      <c r="AF4698">
        <v>14</v>
      </c>
      <c r="AG4698">
        <v>3</v>
      </c>
      <c r="AH4698">
        <v>0</v>
      </c>
      <c r="AI4698">
        <v>18.28</v>
      </c>
      <c r="AL4698" t="s">
        <v>5011</v>
      </c>
      <c r="AM4698">
        <v>3900</v>
      </c>
      <c r="AS4698">
        <v>4.7</v>
      </c>
      <c r="AT4698" t="s">
        <v>516</v>
      </c>
      <c r="AU4698" t="s">
        <v>153</v>
      </c>
      <c r="AV4698" t="s">
        <v>25335</v>
      </c>
      <c r="AW4698" t="s">
        <v>11447</v>
      </c>
    </row>
    <row r="4699" spans="1:49">
      <c r="A4699" s="1">
        <f>HYPERLINK("https://lsnyc.legalserver.org/matter/dynamic-profile/view/1907823","19-1907823")</f>
        <v>0</v>
      </c>
      <c r="B4699" t="s">
        <v>249</v>
      </c>
      <c r="C4699" t="s">
        <v>524</v>
      </c>
      <c r="E4699" t="s">
        <v>1706</v>
      </c>
      <c r="F4699" t="s">
        <v>3770</v>
      </c>
      <c r="G4699" t="s">
        <v>9855</v>
      </c>
      <c r="H4699" t="s">
        <v>10465</v>
      </c>
      <c r="I4699" t="s">
        <v>11386</v>
      </c>
      <c r="J4699">
        <v>10031</v>
      </c>
      <c r="K4699" t="s">
        <v>11446</v>
      </c>
      <c r="L4699" t="s">
        <v>14204</v>
      </c>
      <c r="M4699" t="s">
        <v>14743</v>
      </c>
      <c r="N4699" t="s">
        <v>14781</v>
      </c>
      <c r="P4699" t="s">
        <v>14806</v>
      </c>
      <c r="Q4699" t="s">
        <v>11448</v>
      </c>
      <c r="S4699" t="s">
        <v>14827</v>
      </c>
      <c r="U4699" t="s">
        <v>524</v>
      </c>
      <c r="V4699">
        <v>650</v>
      </c>
      <c r="W4699" t="s">
        <v>14860</v>
      </c>
      <c r="X4699" t="s">
        <v>14863</v>
      </c>
      <c r="Z4699" t="s">
        <v>15743</v>
      </c>
      <c r="AB4699" t="s">
        <v>23938</v>
      </c>
      <c r="AC4699">
        <v>13</v>
      </c>
      <c r="AD4699" t="s">
        <v>24606</v>
      </c>
      <c r="AF4699">
        <v>4</v>
      </c>
      <c r="AG4699">
        <v>1</v>
      </c>
      <c r="AH4699">
        <v>0</v>
      </c>
      <c r="AI4699">
        <v>19.15</v>
      </c>
      <c r="AL4699" t="s">
        <v>5011</v>
      </c>
      <c r="AM4699">
        <v>2392</v>
      </c>
      <c r="AS4699">
        <v>14.7</v>
      </c>
      <c r="AT4699" t="s">
        <v>491</v>
      </c>
      <c r="AU4699" t="s">
        <v>25276</v>
      </c>
      <c r="AV4699" t="s">
        <v>25335</v>
      </c>
      <c r="AW4699" t="s">
        <v>11447</v>
      </c>
    </row>
    <row r="4700" spans="1:49">
      <c r="A4700" s="1">
        <f>HYPERLINK("https://lsnyc.legalserver.org/matter/dynamic-profile/view/1907835","19-1907835")</f>
        <v>0</v>
      </c>
      <c r="B4700" t="s">
        <v>217</v>
      </c>
      <c r="C4700" t="s">
        <v>524</v>
      </c>
      <c r="E4700" t="s">
        <v>3287</v>
      </c>
      <c r="F4700" t="s">
        <v>3547</v>
      </c>
      <c r="G4700" t="s">
        <v>9856</v>
      </c>
      <c r="H4700" t="s">
        <v>10899</v>
      </c>
      <c r="I4700" t="s">
        <v>11386</v>
      </c>
      <c r="J4700">
        <v>10031</v>
      </c>
      <c r="K4700" t="s">
        <v>11446</v>
      </c>
      <c r="L4700" t="s">
        <v>14205</v>
      </c>
      <c r="M4700" t="s">
        <v>14744</v>
      </c>
      <c r="N4700" t="s">
        <v>14781</v>
      </c>
      <c r="P4700" t="s">
        <v>14806</v>
      </c>
      <c r="Q4700" t="s">
        <v>11448</v>
      </c>
      <c r="S4700" t="s">
        <v>14827</v>
      </c>
      <c r="T4700" t="s">
        <v>14832</v>
      </c>
      <c r="U4700" t="s">
        <v>524</v>
      </c>
      <c r="V4700">
        <v>1051.47</v>
      </c>
      <c r="W4700" t="s">
        <v>14860</v>
      </c>
      <c r="X4700" t="s">
        <v>14868</v>
      </c>
      <c r="Z4700" t="s">
        <v>18765</v>
      </c>
      <c r="AA4700" t="s">
        <v>20016</v>
      </c>
      <c r="AB4700" t="s">
        <v>23939</v>
      </c>
      <c r="AC4700">
        <v>86</v>
      </c>
      <c r="AD4700" t="s">
        <v>24595</v>
      </c>
      <c r="AE4700" t="s">
        <v>24615</v>
      </c>
      <c r="AF4700">
        <v>10</v>
      </c>
      <c r="AG4700">
        <v>3</v>
      </c>
      <c r="AH4700">
        <v>5</v>
      </c>
      <c r="AI4700">
        <v>20.53</v>
      </c>
      <c r="AL4700" t="s">
        <v>24632</v>
      </c>
      <c r="AM4700">
        <v>8916</v>
      </c>
      <c r="AS4700">
        <v>7.8</v>
      </c>
      <c r="AT4700" t="s">
        <v>516</v>
      </c>
      <c r="AU4700" t="s">
        <v>153</v>
      </c>
      <c r="AV4700" t="s">
        <v>25334</v>
      </c>
      <c r="AW4700" t="s">
        <v>11447</v>
      </c>
    </row>
    <row r="4701" spans="1:49">
      <c r="A4701" s="1">
        <f>HYPERLINK("https://lsnyc.legalserver.org/matter/dynamic-profile/view/1907898","19-1907898")</f>
        <v>0</v>
      </c>
      <c r="B4701" t="s">
        <v>249</v>
      </c>
      <c r="C4701" t="s">
        <v>524</v>
      </c>
      <c r="E4701" t="s">
        <v>1492</v>
      </c>
      <c r="F4701" t="s">
        <v>5928</v>
      </c>
      <c r="G4701" t="s">
        <v>9857</v>
      </c>
      <c r="H4701" t="s">
        <v>11286</v>
      </c>
      <c r="I4701" t="s">
        <v>11386</v>
      </c>
      <c r="J4701">
        <v>10025</v>
      </c>
      <c r="K4701" t="s">
        <v>11446</v>
      </c>
      <c r="L4701" t="s">
        <v>14206</v>
      </c>
      <c r="M4701" t="s">
        <v>14744</v>
      </c>
      <c r="N4701" t="s">
        <v>14778</v>
      </c>
      <c r="P4701" t="s">
        <v>14806</v>
      </c>
      <c r="Q4701" t="s">
        <v>11448</v>
      </c>
      <c r="S4701" t="s">
        <v>14827</v>
      </c>
      <c r="U4701" t="s">
        <v>524</v>
      </c>
      <c r="V4701">
        <v>998</v>
      </c>
      <c r="W4701" t="s">
        <v>14860</v>
      </c>
      <c r="X4701" t="s">
        <v>14865</v>
      </c>
      <c r="Z4701" t="s">
        <v>18766</v>
      </c>
      <c r="AB4701" t="s">
        <v>23940</v>
      </c>
      <c r="AC4701">
        <v>287</v>
      </c>
      <c r="AD4701" t="s">
        <v>11479</v>
      </c>
      <c r="AE4701" t="s">
        <v>11459</v>
      </c>
      <c r="AF4701">
        <v>4</v>
      </c>
      <c r="AG4701">
        <v>3</v>
      </c>
      <c r="AH4701">
        <v>1</v>
      </c>
      <c r="AI4701">
        <v>41.94</v>
      </c>
      <c r="AL4701" t="s">
        <v>5011</v>
      </c>
      <c r="AM4701">
        <v>10800</v>
      </c>
      <c r="AS4701">
        <v>4.5</v>
      </c>
      <c r="AT4701" t="s">
        <v>458</v>
      </c>
      <c r="AU4701" t="s">
        <v>25276</v>
      </c>
      <c r="AV4701" t="s">
        <v>25335</v>
      </c>
      <c r="AW4701" t="s">
        <v>11447</v>
      </c>
    </row>
    <row r="4702" spans="1:49">
      <c r="A4702" s="1">
        <f>HYPERLINK("https://lsnyc.legalserver.org/matter/dynamic-profile/view/1907814","19-1907814")</f>
        <v>0</v>
      </c>
      <c r="B4702" t="s">
        <v>218</v>
      </c>
      <c r="C4702" t="s">
        <v>524</v>
      </c>
      <c r="E4702" t="s">
        <v>1390</v>
      </c>
      <c r="F4702" t="s">
        <v>5929</v>
      </c>
      <c r="G4702" t="s">
        <v>9858</v>
      </c>
      <c r="H4702" t="s">
        <v>11287</v>
      </c>
      <c r="I4702" t="s">
        <v>11386</v>
      </c>
      <c r="J4702">
        <v>10027</v>
      </c>
      <c r="K4702" t="s">
        <v>11446</v>
      </c>
      <c r="L4702" t="s">
        <v>14207</v>
      </c>
      <c r="M4702" t="s">
        <v>14743</v>
      </c>
      <c r="N4702" t="s">
        <v>14781</v>
      </c>
      <c r="P4702" t="s">
        <v>14806</v>
      </c>
      <c r="Q4702" t="s">
        <v>11448</v>
      </c>
      <c r="S4702" t="s">
        <v>14827</v>
      </c>
      <c r="T4702" t="s">
        <v>14832</v>
      </c>
      <c r="U4702" t="s">
        <v>524</v>
      </c>
      <c r="V4702">
        <v>400</v>
      </c>
      <c r="W4702" t="s">
        <v>14860</v>
      </c>
      <c r="X4702" t="s">
        <v>14863</v>
      </c>
      <c r="Z4702" t="s">
        <v>15190</v>
      </c>
      <c r="AB4702" t="s">
        <v>23941</v>
      </c>
      <c r="AC4702">
        <v>4</v>
      </c>
      <c r="AD4702" t="s">
        <v>24595</v>
      </c>
      <c r="AE4702" t="s">
        <v>11459</v>
      </c>
      <c r="AF4702">
        <v>2</v>
      </c>
      <c r="AG4702">
        <v>1</v>
      </c>
      <c r="AH4702">
        <v>0</v>
      </c>
      <c r="AI4702">
        <v>74.56</v>
      </c>
      <c r="AL4702" t="s">
        <v>5011</v>
      </c>
      <c r="AM4702">
        <v>9312</v>
      </c>
      <c r="AS4702">
        <v>28.3</v>
      </c>
      <c r="AT4702" t="s">
        <v>516</v>
      </c>
      <c r="AU4702" t="s">
        <v>153</v>
      </c>
      <c r="AV4702" t="s">
        <v>25335</v>
      </c>
      <c r="AW4702" t="s">
        <v>11447</v>
      </c>
    </row>
    <row r="4703" spans="1:49">
      <c r="A4703" s="1">
        <f>HYPERLINK("https://lsnyc.legalserver.org/matter/dynamic-profile/view/1908435","19-1908435")</f>
        <v>0</v>
      </c>
      <c r="B4703" t="s">
        <v>188</v>
      </c>
      <c r="C4703" t="s">
        <v>464</v>
      </c>
      <c r="E4703" t="s">
        <v>3288</v>
      </c>
      <c r="F4703" t="s">
        <v>5930</v>
      </c>
      <c r="G4703" t="s">
        <v>9859</v>
      </c>
      <c r="H4703">
        <v>9</v>
      </c>
      <c r="I4703" t="s">
        <v>11386</v>
      </c>
      <c r="J4703">
        <v>10026</v>
      </c>
      <c r="K4703" t="s">
        <v>11446</v>
      </c>
      <c r="L4703" t="s">
        <v>14208</v>
      </c>
      <c r="M4703" t="s">
        <v>14744</v>
      </c>
      <c r="N4703" t="s">
        <v>14781</v>
      </c>
      <c r="P4703" t="s">
        <v>14806</v>
      </c>
      <c r="Q4703" t="s">
        <v>11448</v>
      </c>
      <c r="S4703" t="s">
        <v>14827</v>
      </c>
      <c r="U4703" t="s">
        <v>464</v>
      </c>
      <c r="V4703">
        <v>448.4</v>
      </c>
      <c r="W4703" t="s">
        <v>14860</v>
      </c>
      <c r="X4703" t="s">
        <v>14865</v>
      </c>
      <c r="Z4703" t="s">
        <v>18746</v>
      </c>
      <c r="AB4703" t="s">
        <v>23942</v>
      </c>
      <c r="AC4703">
        <v>48</v>
      </c>
      <c r="AD4703" t="s">
        <v>24599</v>
      </c>
      <c r="AE4703" t="s">
        <v>11459</v>
      </c>
      <c r="AF4703">
        <v>47</v>
      </c>
      <c r="AG4703">
        <v>1</v>
      </c>
      <c r="AH4703">
        <v>0</v>
      </c>
      <c r="AI4703">
        <v>0</v>
      </c>
      <c r="AL4703" t="s">
        <v>5011</v>
      </c>
      <c r="AM4703">
        <v>0</v>
      </c>
      <c r="AS4703">
        <v>11.71</v>
      </c>
      <c r="AT4703" t="s">
        <v>521</v>
      </c>
      <c r="AU4703" t="s">
        <v>25276</v>
      </c>
      <c r="AV4703" t="s">
        <v>25335</v>
      </c>
      <c r="AW4703" t="s">
        <v>11447</v>
      </c>
    </row>
    <row r="4704" spans="1:49">
      <c r="A4704" s="1">
        <f>HYPERLINK("https://lsnyc.legalserver.org/matter/dynamic-profile/view/1908386","19-1908386")</f>
        <v>0</v>
      </c>
      <c r="B4704" t="s">
        <v>182</v>
      </c>
      <c r="C4704" t="s">
        <v>464</v>
      </c>
      <c r="E4704" t="s">
        <v>1189</v>
      </c>
      <c r="F4704" t="s">
        <v>5931</v>
      </c>
      <c r="G4704" t="s">
        <v>9860</v>
      </c>
      <c r="H4704" t="s">
        <v>10665</v>
      </c>
      <c r="I4704" t="s">
        <v>11386</v>
      </c>
      <c r="J4704">
        <v>10025</v>
      </c>
      <c r="K4704" t="s">
        <v>11446</v>
      </c>
      <c r="L4704" t="s">
        <v>14209</v>
      </c>
      <c r="M4704" t="s">
        <v>14744</v>
      </c>
      <c r="N4704" t="s">
        <v>14781</v>
      </c>
      <c r="P4704" t="s">
        <v>14806</v>
      </c>
      <c r="Q4704" t="s">
        <v>11448</v>
      </c>
      <c r="S4704" t="s">
        <v>14827</v>
      </c>
      <c r="U4704" t="s">
        <v>464</v>
      </c>
      <c r="V4704">
        <v>1300</v>
      </c>
      <c r="W4704" t="s">
        <v>14860</v>
      </c>
      <c r="X4704" t="s">
        <v>14865</v>
      </c>
      <c r="Z4704" t="s">
        <v>18767</v>
      </c>
      <c r="AB4704" t="s">
        <v>23943</v>
      </c>
      <c r="AC4704">
        <v>59</v>
      </c>
      <c r="AD4704" t="s">
        <v>24599</v>
      </c>
      <c r="AE4704" t="s">
        <v>11459</v>
      </c>
      <c r="AF4704">
        <v>50</v>
      </c>
      <c r="AG4704">
        <v>5</v>
      </c>
      <c r="AH4704">
        <v>1</v>
      </c>
      <c r="AI4704">
        <v>41.63</v>
      </c>
      <c r="AL4704" t="s">
        <v>5011</v>
      </c>
      <c r="AM4704">
        <v>14400</v>
      </c>
      <c r="AS4704">
        <v>23.75</v>
      </c>
      <c r="AT4704" t="s">
        <v>592</v>
      </c>
      <c r="AU4704" t="s">
        <v>25276</v>
      </c>
      <c r="AV4704" t="s">
        <v>25335</v>
      </c>
      <c r="AW4704" t="s">
        <v>11447</v>
      </c>
    </row>
    <row r="4705" spans="1:49">
      <c r="A4705" s="1">
        <f>HYPERLINK("https://lsnyc.legalserver.org/matter/dynamic-profile/view/1908372","19-1908372")</f>
        <v>0</v>
      </c>
      <c r="B4705" t="s">
        <v>161</v>
      </c>
      <c r="C4705" t="s">
        <v>464</v>
      </c>
      <c r="E4705" t="s">
        <v>3289</v>
      </c>
      <c r="F4705" t="s">
        <v>2218</v>
      </c>
      <c r="G4705" t="s">
        <v>9861</v>
      </c>
      <c r="H4705" t="s">
        <v>10594</v>
      </c>
      <c r="I4705" t="s">
        <v>11386</v>
      </c>
      <c r="J4705">
        <v>10025</v>
      </c>
      <c r="K4705" t="s">
        <v>11446</v>
      </c>
      <c r="L4705" t="s">
        <v>14210</v>
      </c>
      <c r="M4705" t="s">
        <v>14743</v>
      </c>
      <c r="N4705" t="s">
        <v>14781</v>
      </c>
      <c r="P4705" t="s">
        <v>14806</v>
      </c>
      <c r="Q4705" t="s">
        <v>11448</v>
      </c>
      <c r="S4705" t="s">
        <v>14827</v>
      </c>
      <c r="T4705" t="s">
        <v>14832</v>
      </c>
      <c r="U4705" t="s">
        <v>464</v>
      </c>
      <c r="V4705">
        <v>732.95</v>
      </c>
      <c r="W4705" t="s">
        <v>14860</v>
      </c>
      <c r="X4705" t="s">
        <v>14865</v>
      </c>
      <c r="Z4705" t="s">
        <v>18768</v>
      </c>
      <c r="AB4705" t="s">
        <v>23944</v>
      </c>
      <c r="AC4705">
        <v>35</v>
      </c>
      <c r="AD4705" t="s">
        <v>24595</v>
      </c>
      <c r="AE4705" t="s">
        <v>24613</v>
      </c>
      <c r="AF4705">
        <v>37</v>
      </c>
      <c r="AG4705">
        <v>2</v>
      </c>
      <c r="AH4705">
        <v>0</v>
      </c>
      <c r="AI4705">
        <v>75.22</v>
      </c>
      <c r="AL4705" t="s">
        <v>5011</v>
      </c>
      <c r="AM4705">
        <v>12720</v>
      </c>
      <c r="AS4705">
        <v>17.1</v>
      </c>
      <c r="AT4705" t="s">
        <v>483</v>
      </c>
      <c r="AU4705" t="s">
        <v>153</v>
      </c>
      <c r="AV4705" t="s">
        <v>25335</v>
      </c>
      <c r="AW4705" t="s">
        <v>11447</v>
      </c>
    </row>
    <row r="4706" spans="1:49">
      <c r="A4706" s="1">
        <f>HYPERLINK("https://lsnyc.legalserver.org/matter/dynamic-profile/view/1907237","19-1907237")</f>
        <v>0</v>
      </c>
      <c r="B4706" t="s">
        <v>242</v>
      </c>
      <c r="C4706" t="s">
        <v>366</v>
      </c>
      <c r="E4706" t="s">
        <v>2623</v>
      </c>
      <c r="F4706" t="s">
        <v>1272</v>
      </c>
      <c r="G4706" t="s">
        <v>9862</v>
      </c>
      <c r="H4706" t="s">
        <v>11288</v>
      </c>
      <c r="I4706" t="s">
        <v>11386</v>
      </c>
      <c r="J4706">
        <v>10027</v>
      </c>
      <c r="K4706" t="s">
        <v>11446</v>
      </c>
      <c r="L4706" t="s">
        <v>14211</v>
      </c>
      <c r="M4706" t="s">
        <v>14744</v>
      </c>
      <c r="N4706" t="s">
        <v>14780</v>
      </c>
      <c r="P4706" t="s">
        <v>14806</v>
      </c>
      <c r="Q4706" t="s">
        <v>11448</v>
      </c>
      <c r="S4706" t="s">
        <v>14828</v>
      </c>
      <c r="U4706" t="s">
        <v>14839</v>
      </c>
      <c r="V4706">
        <v>1270</v>
      </c>
      <c r="W4706" t="s">
        <v>14860</v>
      </c>
      <c r="X4706" t="s">
        <v>14871</v>
      </c>
      <c r="Z4706" t="s">
        <v>18769</v>
      </c>
      <c r="AB4706" t="s">
        <v>23945</v>
      </c>
      <c r="AC4706">
        <v>226</v>
      </c>
      <c r="AD4706" t="s">
        <v>24597</v>
      </c>
      <c r="AE4706" t="s">
        <v>11459</v>
      </c>
      <c r="AF4706">
        <v>12</v>
      </c>
      <c r="AG4706">
        <v>1</v>
      </c>
      <c r="AH4706">
        <v>1</v>
      </c>
      <c r="AI4706">
        <v>289.77</v>
      </c>
      <c r="AL4706" t="s">
        <v>5011</v>
      </c>
      <c r="AM4706">
        <v>49000</v>
      </c>
      <c r="AS4706">
        <v>3.25</v>
      </c>
      <c r="AT4706" t="s">
        <v>466</v>
      </c>
      <c r="AU4706" t="s">
        <v>25276</v>
      </c>
      <c r="AV4706" t="s">
        <v>25335</v>
      </c>
      <c r="AW4706" t="s">
        <v>11447</v>
      </c>
    </row>
    <row r="4707" spans="1:49">
      <c r="A4707" s="1">
        <f>HYPERLINK("https://lsnyc.legalserver.org/matter/dynamic-profile/view/1906826","19-1906826")</f>
        <v>0</v>
      </c>
      <c r="B4707" t="s">
        <v>223</v>
      </c>
      <c r="C4707" t="s">
        <v>564</v>
      </c>
      <c r="E4707" t="s">
        <v>3290</v>
      </c>
      <c r="F4707" t="s">
        <v>5932</v>
      </c>
      <c r="G4707" t="s">
        <v>9863</v>
      </c>
      <c r="H4707" t="s">
        <v>11289</v>
      </c>
      <c r="I4707" t="s">
        <v>11386</v>
      </c>
      <c r="J4707">
        <v>10031</v>
      </c>
      <c r="K4707" t="s">
        <v>11446</v>
      </c>
      <c r="L4707" t="s">
        <v>14212</v>
      </c>
      <c r="M4707" t="s">
        <v>14744</v>
      </c>
      <c r="N4707" t="s">
        <v>14778</v>
      </c>
      <c r="P4707" t="s">
        <v>14806</v>
      </c>
      <c r="Q4707" t="s">
        <v>11448</v>
      </c>
      <c r="S4707" t="s">
        <v>14827</v>
      </c>
      <c r="U4707" t="s">
        <v>14839</v>
      </c>
      <c r="V4707">
        <v>1400</v>
      </c>
      <c r="W4707" t="s">
        <v>14860</v>
      </c>
      <c r="X4707" t="s">
        <v>14863</v>
      </c>
      <c r="Z4707" t="s">
        <v>18770</v>
      </c>
      <c r="AB4707" t="s">
        <v>23946</v>
      </c>
      <c r="AC4707">
        <v>96</v>
      </c>
      <c r="AD4707" t="s">
        <v>24595</v>
      </c>
      <c r="AE4707" t="s">
        <v>11459</v>
      </c>
      <c r="AF4707">
        <v>15</v>
      </c>
      <c r="AG4707">
        <v>2</v>
      </c>
      <c r="AH4707">
        <v>0</v>
      </c>
      <c r="AI4707">
        <v>827.91</v>
      </c>
      <c r="AL4707" t="s">
        <v>5011</v>
      </c>
      <c r="AM4707">
        <v>140000</v>
      </c>
      <c r="AS4707">
        <v>0.5</v>
      </c>
      <c r="AT4707" t="s">
        <v>564</v>
      </c>
      <c r="AU4707" t="s">
        <v>153</v>
      </c>
      <c r="AV4707" t="s">
        <v>25335</v>
      </c>
      <c r="AW4707" t="s">
        <v>11447</v>
      </c>
    </row>
    <row r="4708" spans="1:49">
      <c r="A4708" s="1">
        <f>HYPERLINK("https://lsnyc.legalserver.org/matter/dynamic-profile/view/1908870","19-1908870")</f>
        <v>0</v>
      </c>
      <c r="B4708" t="s">
        <v>253</v>
      </c>
      <c r="C4708" t="s">
        <v>585</v>
      </c>
      <c r="E4708" t="s">
        <v>1540</v>
      </c>
      <c r="F4708" t="s">
        <v>5933</v>
      </c>
      <c r="G4708" t="s">
        <v>9864</v>
      </c>
      <c r="H4708" t="s">
        <v>10509</v>
      </c>
      <c r="I4708" t="s">
        <v>11386</v>
      </c>
      <c r="J4708">
        <v>10031</v>
      </c>
      <c r="K4708" t="s">
        <v>11446</v>
      </c>
      <c r="L4708" t="s">
        <v>14213</v>
      </c>
      <c r="M4708" t="s">
        <v>14744</v>
      </c>
      <c r="N4708" t="s">
        <v>14781</v>
      </c>
      <c r="P4708" t="s">
        <v>14806</v>
      </c>
      <c r="Q4708" t="s">
        <v>11448</v>
      </c>
      <c r="S4708" t="s">
        <v>14827</v>
      </c>
      <c r="T4708" t="s">
        <v>14832</v>
      </c>
      <c r="U4708" t="s">
        <v>585</v>
      </c>
      <c r="V4708">
        <v>2600</v>
      </c>
      <c r="W4708" t="s">
        <v>14860</v>
      </c>
      <c r="X4708" t="s">
        <v>14865</v>
      </c>
      <c r="Z4708" t="s">
        <v>18771</v>
      </c>
      <c r="AB4708" t="s">
        <v>23947</v>
      </c>
      <c r="AC4708">
        <v>0</v>
      </c>
      <c r="AD4708" t="s">
        <v>24595</v>
      </c>
      <c r="AE4708" t="s">
        <v>11459</v>
      </c>
      <c r="AF4708">
        <v>10</v>
      </c>
      <c r="AG4708">
        <v>1</v>
      </c>
      <c r="AH4708">
        <v>0</v>
      </c>
      <c r="AI4708">
        <v>0</v>
      </c>
      <c r="AL4708" t="s">
        <v>5011</v>
      </c>
      <c r="AM4708">
        <v>0</v>
      </c>
      <c r="AS4708">
        <v>3.95</v>
      </c>
      <c r="AT4708" t="s">
        <v>603</v>
      </c>
      <c r="AU4708" t="s">
        <v>153</v>
      </c>
      <c r="AV4708" t="s">
        <v>25335</v>
      </c>
      <c r="AW4708" t="s">
        <v>11447</v>
      </c>
    </row>
    <row r="4709" spans="1:49">
      <c r="A4709" s="1">
        <f>HYPERLINK("https://lsnyc.legalserver.org/matter/dynamic-profile/view/1908809","19-1908809")</f>
        <v>0</v>
      </c>
      <c r="B4709" t="s">
        <v>234</v>
      </c>
      <c r="C4709" t="s">
        <v>585</v>
      </c>
      <c r="E4709" t="s">
        <v>1232</v>
      </c>
      <c r="F4709" t="s">
        <v>5934</v>
      </c>
      <c r="G4709" t="s">
        <v>9865</v>
      </c>
      <c r="H4709">
        <v>507</v>
      </c>
      <c r="I4709" t="s">
        <v>11386</v>
      </c>
      <c r="J4709">
        <v>10025</v>
      </c>
      <c r="K4709" t="s">
        <v>11446</v>
      </c>
      <c r="L4709" t="s">
        <v>14214</v>
      </c>
      <c r="M4709" t="s">
        <v>14744</v>
      </c>
      <c r="N4709" t="s">
        <v>14781</v>
      </c>
      <c r="P4709" t="s">
        <v>14806</v>
      </c>
      <c r="Q4709" t="s">
        <v>11448</v>
      </c>
      <c r="S4709" t="s">
        <v>14827</v>
      </c>
      <c r="U4709" t="s">
        <v>585</v>
      </c>
      <c r="V4709">
        <v>1040</v>
      </c>
      <c r="W4709" t="s">
        <v>14860</v>
      </c>
      <c r="X4709" t="s">
        <v>14863</v>
      </c>
      <c r="Z4709" t="s">
        <v>18772</v>
      </c>
      <c r="AA4709" t="s">
        <v>20017</v>
      </c>
      <c r="AB4709" t="s">
        <v>23948</v>
      </c>
      <c r="AC4709">
        <v>430</v>
      </c>
      <c r="AD4709" t="s">
        <v>24604</v>
      </c>
      <c r="AE4709" t="s">
        <v>14755</v>
      </c>
      <c r="AF4709">
        <v>-1</v>
      </c>
      <c r="AG4709">
        <v>1</v>
      </c>
      <c r="AH4709">
        <v>0</v>
      </c>
      <c r="AI4709">
        <v>8.789999999999999</v>
      </c>
      <c r="AL4709" t="s">
        <v>5011</v>
      </c>
      <c r="AM4709">
        <v>1098</v>
      </c>
      <c r="AS4709">
        <v>5.2</v>
      </c>
      <c r="AT4709" t="s">
        <v>645</v>
      </c>
      <c r="AU4709" t="s">
        <v>25276</v>
      </c>
      <c r="AV4709" t="s">
        <v>25334</v>
      </c>
      <c r="AW4709" t="s">
        <v>11447</v>
      </c>
    </row>
    <row r="4710" spans="1:49">
      <c r="A4710" s="1">
        <f>HYPERLINK("https://lsnyc.legalserver.org/matter/dynamic-profile/view/1908815","19-1908815")</f>
        <v>0</v>
      </c>
      <c r="B4710" t="s">
        <v>313</v>
      </c>
      <c r="C4710" t="s">
        <v>585</v>
      </c>
      <c r="E4710" t="s">
        <v>2251</v>
      </c>
      <c r="F4710" t="s">
        <v>3709</v>
      </c>
      <c r="G4710" t="s">
        <v>9866</v>
      </c>
      <c r="H4710">
        <v>51</v>
      </c>
      <c r="I4710" t="s">
        <v>11386</v>
      </c>
      <c r="J4710">
        <v>10025</v>
      </c>
      <c r="K4710" t="s">
        <v>11446</v>
      </c>
      <c r="L4710" t="s">
        <v>14215</v>
      </c>
      <c r="M4710" t="s">
        <v>14744</v>
      </c>
      <c r="N4710" t="s">
        <v>14781</v>
      </c>
      <c r="P4710" t="s">
        <v>14806</v>
      </c>
      <c r="Q4710" t="s">
        <v>11448</v>
      </c>
      <c r="S4710" t="s">
        <v>14827</v>
      </c>
      <c r="U4710" t="s">
        <v>585</v>
      </c>
      <c r="V4710">
        <v>1518</v>
      </c>
      <c r="W4710" t="s">
        <v>14860</v>
      </c>
      <c r="X4710" t="s">
        <v>14863</v>
      </c>
      <c r="Z4710" t="s">
        <v>18773</v>
      </c>
      <c r="AB4710" t="s">
        <v>23949</v>
      </c>
      <c r="AC4710">
        <v>0</v>
      </c>
      <c r="AD4710" t="s">
        <v>24596</v>
      </c>
      <c r="AE4710" t="s">
        <v>24610</v>
      </c>
      <c r="AF4710">
        <v>1</v>
      </c>
      <c r="AG4710">
        <v>1</v>
      </c>
      <c r="AH4710">
        <v>2</v>
      </c>
      <c r="AI4710">
        <v>26.33</v>
      </c>
      <c r="AL4710" t="s">
        <v>5011</v>
      </c>
      <c r="AM4710">
        <v>5616</v>
      </c>
      <c r="AS4710">
        <v>22.3</v>
      </c>
      <c r="AT4710" t="s">
        <v>592</v>
      </c>
      <c r="AU4710" t="s">
        <v>153</v>
      </c>
      <c r="AV4710" t="s">
        <v>25335</v>
      </c>
      <c r="AW4710" t="s">
        <v>11447</v>
      </c>
    </row>
    <row r="4711" spans="1:49">
      <c r="A4711" s="1">
        <f>HYPERLINK("https://lsnyc.legalserver.org/matter/dynamic-profile/view/1908789","19-1908789")</f>
        <v>0</v>
      </c>
      <c r="B4711" t="s">
        <v>313</v>
      </c>
      <c r="C4711" t="s">
        <v>585</v>
      </c>
      <c r="E4711" t="s">
        <v>3291</v>
      </c>
      <c r="F4711" t="s">
        <v>5935</v>
      </c>
      <c r="G4711" t="s">
        <v>9867</v>
      </c>
      <c r="H4711" t="s">
        <v>10474</v>
      </c>
      <c r="I4711" t="s">
        <v>11386</v>
      </c>
      <c r="J4711">
        <v>10026</v>
      </c>
      <c r="K4711" t="s">
        <v>11446</v>
      </c>
      <c r="L4711" t="s">
        <v>14216</v>
      </c>
      <c r="M4711" t="s">
        <v>14744</v>
      </c>
      <c r="N4711" t="s">
        <v>14781</v>
      </c>
      <c r="P4711" t="s">
        <v>14806</v>
      </c>
      <c r="Q4711" t="s">
        <v>11448</v>
      </c>
      <c r="S4711" t="s">
        <v>14827</v>
      </c>
      <c r="U4711" t="s">
        <v>585</v>
      </c>
      <c r="V4711">
        <v>648</v>
      </c>
      <c r="W4711" t="s">
        <v>14860</v>
      </c>
      <c r="X4711" t="s">
        <v>14863</v>
      </c>
      <c r="Z4711" t="s">
        <v>18774</v>
      </c>
      <c r="AB4711" t="s">
        <v>23950</v>
      </c>
      <c r="AC4711">
        <v>159</v>
      </c>
      <c r="AD4711" t="s">
        <v>24606</v>
      </c>
      <c r="AE4711" t="s">
        <v>14755</v>
      </c>
      <c r="AF4711">
        <v>20</v>
      </c>
      <c r="AG4711">
        <v>2</v>
      </c>
      <c r="AH4711">
        <v>3</v>
      </c>
      <c r="AI4711">
        <v>46.54</v>
      </c>
      <c r="AL4711" t="s">
        <v>24646</v>
      </c>
      <c r="AM4711">
        <v>14040</v>
      </c>
      <c r="AS4711">
        <v>51.3</v>
      </c>
      <c r="AT4711" t="s">
        <v>509</v>
      </c>
      <c r="AU4711" t="s">
        <v>25276</v>
      </c>
      <c r="AV4711" t="s">
        <v>25335</v>
      </c>
      <c r="AW4711" t="s">
        <v>11447</v>
      </c>
    </row>
    <row r="4712" spans="1:49">
      <c r="A4712" s="1">
        <f>HYPERLINK("https://lsnyc.legalserver.org/matter/dynamic-profile/view/1908868","19-1908868")</f>
        <v>0</v>
      </c>
      <c r="B4712" t="s">
        <v>223</v>
      </c>
      <c r="C4712" t="s">
        <v>585</v>
      </c>
      <c r="E4712" t="s">
        <v>2501</v>
      </c>
      <c r="F4712" t="s">
        <v>5936</v>
      </c>
      <c r="G4712" t="s">
        <v>9140</v>
      </c>
      <c r="H4712" t="s">
        <v>10509</v>
      </c>
      <c r="I4712" t="s">
        <v>11386</v>
      </c>
      <c r="J4712">
        <v>10027</v>
      </c>
      <c r="K4712" t="s">
        <v>11446</v>
      </c>
      <c r="L4712" t="s">
        <v>14217</v>
      </c>
      <c r="M4712" t="s">
        <v>14744</v>
      </c>
      <c r="N4712" t="s">
        <v>14778</v>
      </c>
      <c r="P4712" t="s">
        <v>14806</v>
      </c>
      <c r="Q4712" t="s">
        <v>11448</v>
      </c>
      <c r="S4712" t="s">
        <v>14827</v>
      </c>
      <c r="U4712" t="s">
        <v>585</v>
      </c>
      <c r="V4712">
        <v>810.59</v>
      </c>
      <c r="W4712" t="s">
        <v>14860</v>
      </c>
      <c r="X4712" t="s">
        <v>14865</v>
      </c>
      <c r="Z4712" t="s">
        <v>18775</v>
      </c>
      <c r="AA4712" t="s">
        <v>20018</v>
      </c>
      <c r="AB4712" t="s">
        <v>23951</v>
      </c>
      <c r="AC4712">
        <v>17</v>
      </c>
      <c r="AD4712" t="s">
        <v>24595</v>
      </c>
      <c r="AE4712" t="s">
        <v>11459</v>
      </c>
      <c r="AF4712">
        <v>5</v>
      </c>
      <c r="AG4712">
        <v>1</v>
      </c>
      <c r="AH4712">
        <v>0</v>
      </c>
      <c r="AI4712">
        <v>76.86</v>
      </c>
      <c r="AL4712" t="s">
        <v>5011</v>
      </c>
      <c r="AM4712">
        <v>9600</v>
      </c>
      <c r="AS4712">
        <v>9.9</v>
      </c>
      <c r="AT4712" t="s">
        <v>521</v>
      </c>
      <c r="AU4712" t="s">
        <v>25276</v>
      </c>
      <c r="AV4712" t="s">
        <v>25334</v>
      </c>
      <c r="AW4712" t="s">
        <v>11447</v>
      </c>
    </row>
    <row r="4713" spans="1:49">
      <c r="A4713" s="1">
        <f>HYPERLINK("https://lsnyc.legalserver.org/matter/dynamic-profile/view/1908780","19-1908780")</f>
        <v>0</v>
      </c>
      <c r="B4713" t="s">
        <v>223</v>
      </c>
      <c r="C4713" t="s">
        <v>585</v>
      </c>
      <c r="E4713" t="s">
        <v>1426</v>
      </c>
      <c r="F4713" t="s">
        <v>3623</v>
      </c>
      <c r="G4713" t="s">
        <v>9828</v>
      </c>
      <c r="H4713" t="s">
        <v>11290</v>
      </c>
      <c r="I4713" t="s">
        <v>11386</v>
      </c>
      <c r="J4713">
        <v>10031</v>
      </c>
      <c r="K4713" t="s">
        <v>11446</v>
      </c>
      <c r="L4713" t="s">
        <v>14218</v>
      </c>
      <c r="M4713" t="s">
        <v>14744</v>
      </c>
      <c r="N4713" t="s">
        <v>14781</v>
      </c>
      <c r="P4713" t="s">
        <v>14806</v>
      </c>
      <c r="Q4713" t="s">
        <v>11448</v>
      </c>
      <c r="S4713" t="s">
        <v>14827</v>
      </c>
      <c r="U4713" t="s">
        <v>585</v>
      </c>
      <c r="V4713">
        <v>199</v>
      </c>
      <c r="W4713" t="s">
        <v>14860</v>
      </c>
      <c r="X4713" t="s">
        <v>14863</v>
      </c>
      <c r="Z4713" t="s">
        <v>18776</v>
      </c>
      <c r="AB4713" t="s">
        <v>23952</v>
      </c>
      <c r="AC4713">
        <v>54</v>
      </c>
      <c r="AD4713" t="s">
        <v>24596</v>
      </c>
      <c r="AE4713" t="s">
        <v>24610</v>
      </c>
      <c r="AF4713">
        <v>8</v>
      </c>
      <c r="AG4713">
        <v>1</v>
      </c>
      <c r="AH4713">
        <v>0</v>
      </c>
      <c r="AI4713">
        <v>78.3</v>
      </c>
      <c r="AL4713" t="s">
        <v>5011</v>
      </c>
      <c r="AM4713">
        <v>9780</v>
      </c>
      <c r="AS4713">
        <v>6.4</v>
      </c>
      <c r="AT4713" t="s">
        <v>521</v>
      </c>
      <c r="AU4713" t="s">
        <v>25276</v>
      </c>
      <c r="AV4713" t="s">
        <v>25335</v>
      </c>
      <c r="AW4713" t="s">
        <v>11447</v>
      </c>
    </row>
    <row r="4714" spans="1:49">
      <c r="A4714" s="1">
        <f>HYPERLINK("https://lsnyc.legalserver.org/matter/dynamic-profile/view/1908850","19-1908850")</f>
        <v>0</v>
      </c>
      <c r="B4714" t="s">
        <v>223</v>
      </c>
      <c r="C4714" t="s">
        <v>585</v>
      </c>
      <c r="E4714" t="s">
        <v>3292</v>
      </c>
      <c r="F4714" t="s">
        <v>3683</v>
      </c>
      <c r="G4714" t="s">
        <v>9868</v>
      </c>
      <c r="H4714" t="s">
        <v>10562</v>
      </c>
      <c r="I4714" t="s">
        <v>11386</v>
      </c>
      <c r="J4714">
        <v>10025</v>
      </c>
      <c r="K4714" t="s">
        <v>11446</v>
      </c>
      <c r="L4714" t="s">
        <v>14219</v>
      </c>
      <c r="M4714" t="s">
        <v>14744</v>
      </c>
      <c r="N4714" t="s">
        <v>14781</v>
      </c>
      <c r="P4714" t="s">
        <v>14806</v>
      </c>
      <c r="Q4714" t="s">
        <v>11448</v>
      </c>
      <c r="S4714" t="s">
        <v>14827</v>
      </c>
      <c r="T4714" t="s">
        <v>14832</v>
      </c>
      <c r="U4714" t="s">
        <v>585</v>
      </c>
      <c r="V4714">
        <v>697</v>
      </c>
      <c r="W4714" t="s">
        <v>14860</v>
      </c>
      <c r="X4714" t="s">
        <v>14865</v>
      </c>
      <c r="Z4714" t="s">
        <v>18777</v>
      </c>
      <c r="AA4714" t="s">
        <v>20019</v>
      </c>
      <c r="AB4714" t="s">
        <v>23953</v>
      </c>
      <c r="AC4714">
        <v>15</v>
      </c>
      <c r="AD4714" t="s">
        <v>24599</v>
      </c>
      <c r="AE4714" t="s">
        <v>14755</v>
      </c>
      <c r="AF4714">
        <v>40</v>
      </c>
      <c r="AG4714">
        <v>2</v>
      </c>
      <c r="AH4714">
        <v>0</v>
      </c>
      <c r="AI4714">
        <v>118.51</v>
      </c>
      <c r="AL4714" t="s">
        <v>24632</v>
      </c>
      <c r="AM4714">
        <v>20040</v>
      </c>
      <c r="AS4714">
        <v>13.7</v>
      </c>
      <c r="AT4714" t="s">
        <v>654</v>
      </c>
      <c r="AU4714" t="s">
        <v>153</v>
      </c>
      <c r="AV4714" t="s">
        <v>25334</v>
      </c>
      <c r="AW4714" t="s">
        <v>11447</v>
      </c>
    </row>
    <row r="4715" spans="1:49">
      <c r="A4715" s="1">
        <f>HYPERLINK("https://lsnyc.legalserver.org/matter/dynamic-profile/view/1908775","19-1908775")</f>
        <v>0</v>
      </c>
      <c r="B4715" t="s">
        <v>313</v>
      </c>
      <c r="C4715" t="s">
        <v>585</v>
      </c>
      <c r="E4715" t="s">
        <v>3293</v>
      </c>
      <c r="F4715" t="s">
        <v>5937</v>
      </c>
      <c r="G4715" t="s">
        <v>9869</v>
      </c>
      <c r="H4715">
        <v>1</v>
      </c>
      <c r="I4715" t="s">
        <v>11386</v>
      </c>
      <c r="J4715">
        <v>10031</v>
      </c>
      <c r="K4715" t="s">
        <v>11446</v>
      </c>
      <c r="L4715" t="s">
        <v>14220</v>
      </c>
      <c r="M4715" t="s">
        <v>14743</v>
      </c>
      <c r="N4715" t="s">
        <v>14781</v>
      </c>
      <c r="P4715" t="s">
        <v>14806</v>
      </c>
      <c r="Q4715" t="s">
        <v>11448</v>
      </c>
      <c r="S4715" t="s">
        <v>14827</v>
      </c>
      <c r="T4715" t="s">
        <v>14832</v>
      </c>
      <c r="U4715" t="s">
        <v>585</v>
      </c>
      <c r="V4715">
        <v>0</v>
      </c>
      <c r="W4715" t="s">
        <v>14860</v>
      </c>
      <c r="X4715" t="s">
        <v>14863</v>
      </c>
      <c r="Z4715" t="s">
        <v>18778</v>
      </c>
      <c r="AB4715" t="s">
        <v>23954</v>
      </c>
      <c r="AC4715">
        <v>0</v>
      </c>
      <c r="AD4715" t="s">
        <v>11479</v>
      </c>
      <c r="AE4715" t="s">
        <v>11459</v>
      </c>
      <c r="AF4715">
        <v>2</v>
      </c>
      <c r="AG4715">
        <v>1</v>
      </c>
      <c r="AH4715">
        <v>0</v>
      </c>
      <c r="AI4715">
        <v>144.12</v>
      </c>
      <c r="AL4715" t="s">
        <v>5011</v>
      </c>
      <c r="AM4715">
        <v>18000</v>
      </c>
      <c r="AS4715">
        <v>16.3</v>
      </c>
      <c r="AT4715" t="s">
        <v>509</v>
      </c>
      <c r="AU4715" t="s">
        <v>153</v>
      </c>
      <c r="AV4715" t="s">
        <v>25335</v>
      </c>
      <c r="AW4715" t="s">
        <v>11447</v>
      </c>
    </row>
    <row r="4716" spans="1:49">
      <c r="A4716" s="1">
        <f>HYPERLINK("https://lsnyc.legalserver.org/matter/dynamic-profile/view/1908760","19-1908760")</f>
        <v>0</v>
      </c>
      <c r="B4716" t="s">
        <v>223</v>
      </c>
      <c r="C4716" t="s">
        <v>585</v>
      </c>
      <c r="E4716" t="s">
        <v>3294</v>
      </c>
      <c r="F4716" t="s">
        <v>4227</v>
      </c>
      <c r="G4716" t="s">
        <v>9870</v>
      </c>
      <c r="H4716" t="s">
        <v>10481</v>
      </c>
      <c r="I4716" t="s">
        <v>11386</v>
      </c>
      <c r="J4716">
        <v>10031</v>
      </c>
      <c r="K4716" t="s">
        <v>11446</v>
      </c>
      <c r="L4716" t="s">
        <v>14221</v>
      </c>
      <c r="M4716" t="s">
        <v>14743</v>
      </c>
      <c r="N4716" t="s">
        <v>14778</v>
      </c>
      <c r="P4716" t="s">
        <v>14806</v>
      </c>
      <c r="Q4716" t="s">
        <v>11448</v>
      </c>
      <c r="S4716" t="s">
        <v>14827</v>
      </c>
      <c r="U4716" t="s">
        <v>585</v>
      </c>
      <c r="V4716">
        <v>805</v>
      </c>
      <c r="W4716" t="s">
        <v>14860</v>
      </c>
      <c r="X4716" t="s">
        <v>14863</v>
      </c>
      <c r="Z4716" t="s">
        <v>18779</v>
      </c>
      <c r="AB4716" t="s">
        <v>23955</v>
      </c>
      <c r="AC4716">
        <v>20</v>
      </c>
      <c r="AD4716" t="s">
        <v>24595</v>
      </c>
      <c r="AE4716" t="s">
        <v>11459</v>
      </c>
      <c r="AF4716">
        <v>15</v>
      </c>
      <c r="AG4716">
        <v>1</v>
      </c>
      <c r="AH4716">
        <v>1</v>
      </c>
      <c r="AI4716">
        <v>277.94</v>
      </c>
      <c r="AL4716" t="s">
        <v>24632</v>
      </c>
      <c r="AM4716">
        <v>47000</v>
      </c>
      <c r="AS4716">
        <v>1</v>
      </c>
      <c r="AT4716" t="s">
        <v>585</v>
      </c>
      <c r="AU4716" t="s">
        <v>25276</v>
      </c>
      <c r="AV4716" t="s">
        <v>25335</v>
      </c>
      <c r="AW4716" t="s">
        <v>11447</v>
      </c>
    </row>
    <row r="4717" spans="1:49">
      <c r="A4717" s="1">
        <f>HYPERLINK("https://lsnyc.legalserver.org/matter/dynamic-profile/view/1909380","19-1909380")</f>
        <v>0</v>
      </c>
      <c r="B4717" t="s">
        <v>182</v>
      </c>
      <c r="C4717" t="s">
        <v>412</v>
      </c>
      <c r="E4717" t="s">
        <v>3295</v>
      </c>
      <c r="F4717" t="s">
        <v>3642</v>
      </c>
      <c r="G4717" t="s">
        <v>9871</v>
      </c>
      <c r="H4717" t="s">
        <v>10810</v>
      </c>
      <c r="I4717" t="s">
        <v>11386</v>
      </c>
      <c r="J4717">
        <v>10025</v>
      </c>
      <c r="K4717" t="s">
        <v>11446</v>
      </c>
      <c r="L4717" t="s">
        <v>14222</v>
      </c>
      <c r="M4717" t="s">
        <v>14744</v>
      </c>
      <c r="N4717" t="s">
        <v>14781</v>
      </c>
      <c r="P4717" t="s">
        <v>14806</v>
      </c>
      <c r="Q4717" t="s">
        <v>11448</v>
      </c>
      <c r="S4717" t="s">
        <v>14827</v>
      </c>
      <c r="U4717" t="s">
        <v>412</v>
      </c>
      <c r="V4717">
        <v>1125.16</v>
      </c>
      <c r="W4717" t="s">
        <v>14860</v>
      </c>
      <c r="X4717" t="s">
        <v>14863</v>
      </c>
      <c r="Z4717" t="s">
        <v>18780</v>
      </c>
      <c r="AB4717" t="s">
        <v>23956</v>
      </c>
      <c r="AC4717">
        <v>0</v>
      </c>
      <c r="AD4717" t="s">
        <v>24595</v>
      </c>
      <c r="AE4717" t="s">
        <v>24611</v>
      </c>
      <c r="AF4717">
        <v>10</v>
      </c>
      <c r="AG4717">
        <v>1</v>
      </c>
      <c r="AH4717">
        <v>0</v>
      </c>
      <c r="AI4717">
        <v>104.08</v>
      </c>
      <c r="AL4717" t="s">
        <v>5011</v>
      </c>
      <c r="AM4717">
        <v>13000</v>
      </c>
      <c r="AS4717">
        <v>4</v>
      </c>
      <c r="AT4717" t="s">
        <v>483</v>
      </c>
      <c r="AU4717" t="s">
        <v>25276</v>
      </c>
      <c r="AV4717" t="s">
        <v>25335</v>
      </c>
      <c r="AW4717" t="s">
        <v>11447</v>
      </c>
    </row>
    <row r="4718" spans="1:49">
      <c r="A4718" s="1">
        <f>HYPERLINK("https://lsnyc.legalserver.org/matter/dynamic-profile/view/1909381","19-1909381")</f>
        <v>0</v>
      </c>
      <c r="B4718" t="s">
        <v>309</v>
      </c>
      <c r="C4718" t="s">
        <v>412</v>
      </c>
      <c r="E4718" t="s">
        <v>1956</v>
      </c>
      <c r="F4718" t="s">
        <v>4777</v>
      </c>
      <c r="G4718" t="s">
        <v>9872</v>
      </c>
      <c r="H4718" t="s">
        <v>10569</v>
      </c>
      <c r="I4718" t="s">
        <v>11386</v>
      </c>
      <c r="J4718">
        <v>10031</v>
      </c>
      <c r="K4718" t="s">
        <v>11446</v>
      </c>
      <c r="L4718" t="s">
        <v>14223</v>
      </c>
      <c r="M4718" t="s">
        <v>14744</v>
      </c>
      <c r="N4718" t="s">
        <v>14781</v>
      </c>
      <c r="P4718" t="s">
        <v>14806</v>
      </c>
      <c r="Q4718" t="s">
        <v>11448</v>
      </c>
      <c r="S4718" t="s">
        <v>14827</v>
      </c>
      <c r="T4718" t="s">
        <v>14832</v>
      </c>
      <c r="U4718" t="s">
        <v>412</v>
      </c>
      <c r="V4718">
        <v>779</v>
      </c>
      <c r="W4718" t="s">
        <v>14860</v>
      </c>
      <c r="X4718" t="s">
        <v>14863</v>
      </c>
      <c r="Z4718" t="s">
        <v>17520</v>
      </c>
      <c r="AB4718" t="s">
        <v>23957</v>
      </c>
      <c r="AC4718">
        <v>21</v>
      </c>
      <c r="AD4718" t="s">
        <v>24595</v>
      </c>
      <c r="AE4718" t="s">
        <v>24610</v>
      </c>
      <c r="AF4718">
        <v>-1</v>
      </c>
      <c r="AG4718">
        <v>1</v>
      </c>
      <c r="AH4718">
        <v>1</v>
      </c>
      <c r="AI4718">
        <v>106.09</v>
      </c>
      <c r="AL4718" t="s">
        <v>5011</v>
      </c>
      <c r="AM4718">
        <v>17940</v>
      </c>
      <c r="AS4718">
        <v>11.05</v>
      </c>
      <c r="AT4718" t="s">
        <v>516</v>
      </c>
      <c r="AU4718" t="s">
        <v>153</v>
      </c>
      <c r="AV4718" t="s">
        <v>25335</v>
      </c>
      <c r="AW4718" t="s">
        <v>11447</v>
      </c>
    </row>
    <row r="4719" spans="1:49">
      <c r="A4719" s="1">
        <f>HYPERLINK("https://lsnyc.legalserver.org/matter/dynamic-profile/view/1909373","19-1909373")</f>
        <v>0</v>
      </c>
      <c r="B4719" t="s">
        <v>219</v>
      </c>
      <c r="C4719" t="s">
        <v>412</v>
      </c>
      <c r="E4719" t="s">
        <v>1724</v>
      </c>
      <c r="F4719" t="s">
        <v>1635</v>
      </c>
      <c r="G4719" t="s">
        <v>9152</v>
      </c>
      <c r="H4719">
        <v>43</v>
      </c>
      <c r="I4719" t="s">
        <v>11386</v>
      </c>
      <c r="J4719">
        <v>10031</v>
      </c>
      <c r="K4719" t="s">
        <v>11446</v>
      </c>
      <c r="L4719" t="s">
        <v>14224</v>
      </c>
      <c r="M4719" t="s">
        <v>14744</v>
      </c>
      <c r="N4719" t="s">
        <v>14781</v>
      </c>
      <c r="P4719" t="s">
        <v>14806</v>
      </c>
      <c r="Q4719" t="s">
        <v>11448</v>
      </c>
      <c r="S4719" t="s">
        <v>14827</v>
      </c>
      <c r="T4719" t="s">
        <v>14832</v>
      </c>
      <c r="U4719" t="s">
        <v>412</v>
      </c>
      <c r="V4719">
        <v>1020</v>
      </c>
      <c r="W4719" t="s">
        <v>14860</v>
      </c>
      <c r="X4719" t="s">
        <v>14863</v>
      </c>
      <c r="Z4719" t="s">
        <v>18781</v>
      </c>
      <c r="AB4719" t="s">
        <v>23958</v>
      </c>
      <c r="AC4719">
        <v>0</v>
      </c>
      <c r="AD4719" t="s">
        <v>24595</v>
      </c>
      <c r="AE4719" t="s">
        <v>11459</v>
      </c>
      <c r="AF4719">
        <v>25</v>
      </c>
      <c r="AG4719">
        <v>1</v>
      </c>
      <c r="AH4719">
        <v>1</v>
      </c>
      <c r="AI4719">
        <v>122.7</v>
      </c>
      <c r="AL4719" t="s">
        <v>5011</v>
      </c>
      <c r="AM4719">
        <v>20748</v>
      </c>
      <c r="AS4719">
        <v>7.2</v>
      </c>
      <c r="AT4719" t="s">
        <v>592</v>
      </c>
      <c r="AU4719" t="s">
        <v>153</v>
      </c>
      <c r="AV4719" t="s">
        <v>25335</v>
      </c>
      <c r="AW4719" t="s">
        <v>11447</v>
      </c>
    </row>
    <row r="4720" spans="1:49">
      <c r="A4720" s="1">
        <f>HYPERLINK("https://lsnyc.legalserver.org/matter/dynamic-profile/view/1909368","19-1909368")</f>
        <v>0</v>
      </c>
      <c r="B4720" t="s">
        <v>309</v>
      </c>
      <c r="C4720" t="s">
        <v>412</v>
      </c>
      <c r="E4720" t="s">
        <v>3296</v>
      </c>
      <c r="F4720" t="s">
        <v>4951</v>
      </c>
      <c r="G4720" t="s">
        <v>9873</v>
      </c>
      <c r="H4720" t="s">
        <v>10589</v>
      </c>
      <c r="I4720" t="s">
        <v>11386</v>
      </c>
      <c r="J4720">
        <v>10027</v>
      </c>
      <c r="K4720" t="s">
        <v>11446</v>
      </c>
      <c r="L4720" t="s">
        <v>14225</v>
      </c>
      <c r="M4720" t="s">
        <v>14744</v>
      </c>
      <c r="N4720" t="s">
        <v>14781</v>
      </c>
      <c r="P4720" t="s">
        <v>14806</v>
      </c>
      <c r="Q4720" t="s">
        <v>11448</v>
      </c>
      <c r="S4720" t="s">
        <v>14827</v>
      </c>
      <c r="T4720" t="s">
        <v>14832</v>
      </c>
      <c r="U4720" t="s">
        <v>412</v>
      </c>
      <c r="V4720">
        <v>1448</v>
      </c>
      <c r="W4720" t="s">
        <v>14860</v>
      </c>
      <c r="X4720" t="s">
        <v>14863</v>
      </c>
      <c r="Z4720" t="s">
        <v>18782</v>
      </c>
      <c r="AB4720" t="s">
        <v>23959</v>
      </c>
      <c r="AC4720">
        <v>22</v>
      </c>
      <c r="AD4720" t="s">
        <v>24595</v>
      </c>
      <c r="AE4720" t="s">
        <v>11459</v>
      </c>
      <c r="AF4720">
        <v>5</v>
      </c>
      <c r="AG4720">
        <v>2</v>
      </c>
      <c r="AH4720">
        <v>2</v>
      </c>
      <c r="AI4720">
        <v>198.06</v>
      </c>
      <c r="AL4720" t="s">
        <v>5011</v>
      </c>
      <c r="AM4720">
        <v>51000</v>
      </c>
      <c r="AS4720">
        <v>15.5</v>
      </c>
      <c r="AT4720" t="s">
        <v>516</v>
      </c>
      <c r="AU4720" t="s">
        <v>25276</v>
      </c>
      <c r="AV4720" t="s">
        <v>25335</v>
      </c>
      <c r="AW4720" t="s">
        <v>11447</v>
      </c>
    </row>
    <row r="4721" spans="1:49">
      <c r="A4721" s="1">
        <f>HYPERLINK("https://lsnyc.legalserver.org/matter/dynamic-profile/view/1909386","19-1909386")</f>
        <v>0</v>
      </c>
      <c r="B4721" t="s">
        <v>309</v>
      </c>
      <c r="C4721" t="s">
        <v>412</v>
      </c>
      <c r="E4721" t="s">
        <v>1228</v>
      </c>
      <c r="F4721" t="s">
        <v>4973</v>
      </c>
      <c r="G4721" t="s">
        <v>9874</v>
      </c>
      <c r="H4721" t="s">
        <v>10589</v>
      </c>
      <c r="I4721" t="s">
        <v>11386</v>
      </c>
      <c r="J4721">
        <v>10027</v>
      </c>
      <c r="K4721" t="s">
        <v>11446</v>
      </c>
      <c r="L4721" t="s">
        <v>14226</v>
      </c>
      <c r="M4721" t="s">
        <v>14744</v>
      </c>
      <c r="N4721" t="s">
        <v>14781</v>
      </c>
      <c r="P4721" t="s">
        <v>14806</v>
      </c>
      <c r="Q4721" t="s">
        <v>11448</v>
      </c>
      <c r="S4721" t="s">
        <v>14827</v>
      </c>
      <c r="T4721" t="s">
        <v>14832</v>
      </c>
      <c r="U4721" t="s">
        <v>412</v>
      </c>
      <c r="V4721">
        <v>465</v>
      </c>
      <c r="W4721" t="s">
        <v>14860</v>
      </c>
      <c r="X4721" t="s">
        <v>14863</v>
      </c>
      <c r="Z4721" t="s">
        <v>18783</v>
      </c>
      <c r="AB4721" t="s">
        <v>23960</v>
      </c>
      <c r="AC4721">
        <v>90</v>
      </c>
      <c r="AD4721" t="s">
        <v>24606</v>
      </c>
      <c r="AE4721" t="s">
        <v>24610</v>
      </c>
      <c r="AF4721">
        <v>7</v>
      </c>
      <c r="AG4721">
        <v>1</v>
      </c>
      <c r="AH4721">
        <v>0</v>
      </c>
      <c r="AI4721">
        <v>233.15</v>
      </c>
      <c r="AJ4721" t="s">
        <v>412</v>
      </c>
      <c r="AK4721" t="s">
        <v>24629</v>
      </c>
      <c r="AL4721" t="s">
        <v>5011</v>
      </c>
      <c r="AM4721">
        <v>29120</v>
      </c>
      <c r="AS4721">
        <v>11</v>
      </c>
      <c r="AT4721" t="s">
        <v>470</v>
      </c>
      <c r="AU4721" t="s">
        <v>25276</v>
      </c>
      <c r="AV4721" t="s">
        <v>25335</v>
      </c>
      <c r="AW4721" t="s">
        <v>11447</v>
      </c>
    </row>
    <row r="4722" spans="1:49">
      <c r="A4722" s="1">
        <f>HYPERLINK("https://lsnyc.legalserver.org/matter/dynamic-profile/view/1909901","19-1909901")</f>
        <v>0</v>
      </c>
      <c r="B4722" t="s">
        <v>309</v>
      </c>
      <c r="C4722" t="s">
        <v>468</v>
      </c>
      <c r="E4722" t="s">
        <v>3297</v>
      </c>
      <c r="F4722" t="s">
        <v>5938</v>
      </c>
      <c r="G4722" t="s">
        <v>9875</v>
      </c>
      <c r="I4722" t="s">
        <v>11386</v>
      </c>
      <c r="J4722">
        <v>10027</v>
      </c>
      <c r="K4722" t="s">
        <v>11446</v>
      </c>
      <c r="L4722" t="s">
        <v>14227</v>
      </c>
      <c r="M4722" t="s">
        <v>14744</v>
      </c>
      <c r="N4722" t="s">
        <v>14781</v>
      </c>
      <c r="P4722" t="s">
        <v>14806</v>
      </c>
      <c r="Q4722" t="s">
        <v>11448</v>
      </c>
      <c r="S4722" t="s">
        <v>14827</v>
      </c>
      <c r="T4722" t="s">
        <v>14832</v>
      </c>
      <c r="U4722" t="s">
        <v>468</v>
      </c>
      <c r="V4722">
        <v>754</v>
      </c>
      <c r="W4722" t="s">
        <v>14860</v>
      </c>
      <c r="X4722" t="s">
        <v>14865</v>
      </c>
      <c r="Z4722" t="s">
        <v>18784</v>
      </c>
      <c r="AB4722" t="s">
        <v>23961</v>
      </c>
      <c r="AC4722">
        <v>21</v>
      </c>
      <c r="AD4722" t="s">
        <v>24595</v>
      </c>
      <c r="AE4722" t="s">
        <v>11459</v>
      </c>
      <c r="AF4722">
        <v>23</v>
      </c>
      <c r="AG4722">
        <v>1</v>
      </c>
      <c r="AH4722">
        <v>0</v>
      </c>
      <c r="AI4722">
        <v>0</v>
      </c>
      <c r="AL4722" t="s">
        <v>5011</v>
      </c>
      <c r="AM4722">
        <v>0</v>
      </c>
      <c r="AS4722">
        <v>11.7</v>
      </c>
      <c r="AT4722" t="s">
        <v>483</v>
      </c>
      <c r="AU4722" t="s">
        <v>153</v>
      </c>
      <c r="AV4722" t="s">
        <v>25335</v>
      </c>
      <c r="AW4722" t="s">
        <v>11447</v>
      </c>
    </row>
    <row r="4723" spans="1:49">
      <c r="A4723" s="1">
        <f>HYPERLINK("https://lsnyc.legalserver.org/matter/dynamic-profile/view/1909910","19-1909910")</f>
        <v>0</v>
      </c>
      <c r="B4723" t="s">
        <v>188</v>
      </c>
      <c r="C4723" t="s">
        <v>468</v>
      </c>
      <c r="E4723" t="s">
        <v>1404</v>
      </c>
      <c r="F4723" t="s">
        <v>3654</v>
      </c>
      <c r="G4723" t="s">
        <v>9876</v>
      </c>
      <c r="H4723" t="s">
        <v>10589</v>
      </c>
      <c r="I4723" t="s">
        <v>11386</v>
      </c>
      <c r="J4723">
        <v>10027</v>
      </c>
      <c r="K4723" t="s">
        <v>11446</v>
      </c>
      <c r="L4723" t="s">
        <v>14228</v>
      </c>
      <c r="M4723" t="s">
        <v>14744</v>
      </c>
      <c r="N4723" t="s">
        <v>14781</v>
      </c>
      <c r="P4723" t="s">
        <v>14806</v>
      </c>
      <c r="Q4723" t="s">
        <v>11448</v>
      </c>
      <c r="S4723" t="s">
        <v>14827</v>
      </c>
      <c r="U4723" t="s">
        <v>468</v>
      </c>
      <c r="V4723">
        <v>503.48</v>
      </c>
      <c r="W4723" t="s">
        <v>14860</v>
      </c>
      <c r="X4723" t="s">
        <v>14863</v>
      </c>
      <c r="Z4723" t="s">
        <v>18785</v>
      </c>
      <c r="AB4723" t="s">
        <v>23962</v>
      </c>
      <c r="AC4723">
        <v>0</v>
      </c>
      <c r="AD4723" t="s">
        <v>11479</v>
      </c>
      <c r="AE4723" t="s">
        <v>11459</v>
      </c>
      <c r="AF4723">
        <v>12</v>
      </c>
      <c r="AG4723">
        <v>2</v>
      </c>
      <c r="AH4723">
        <v>0</v>
      </c>
      <c r="AI4723">
        <v>0</v>
      </c>
      <c r="AL4723" t="s">
        <v>5011</v>
      </c>
      <c r="AM4723">
        <v>0</v>
      </c>
      <c r="AS4723">
        <v>5.8</v>
      </c>
      <c r="AT4723" t="s">
        <v>484</v>
      </c>
      <c r="AU4723" t="s">
        <v>25276</v>
      </c>
      <c r="AV4723" t="s">
        <v>25335</v>
      </c>
      <c r="AW4723" t="s">
        <v>11447</v>
      </c>
    </row>
    <row r="4724" spans="1:49">
      <c r="A4724" s="1">
        <f>HYPERLINK("https://lsnyc.legalserver.org/matter/dynamic-profile/view/1909940","19-1909940")</f>
        <v>0</v>
      </c>
      <c r="B4724" t="s">
        <v>161</v>
      </c>
      <c r="C4724" t="s">
        <v>468</v>
      </c>
      <c r="E4724" t="s">
        <v>1929</v>
      </c>
      <c r="F4724" t="s">
        <v>5939</v>
      </c>
      <c r="G4724" t="s">
        <v>9877</v>
      </c>
      <c r="H4724" t="s">
        <v>11291</v>
      </c>
      <c r="I4724" t="s">
        <v>11386</v>
      </c>
      <c r="J4724">
        <v>10027</v>
      </c>
      <c r="K4724" t="s">
        <v>11446</v>
      </c>
      <c r="L4724" t="s">
        <v>14229</v>
      </c>
      <c r="M4724" t="s">
        <v>14744</v>
      </c>
      <c r="N4724" t="s">
        <v>14781</v>
      </c>
      <c r="P4724" t="s">
        <v>14806</v>
      </c>
      <c r="Q4724" t="s">
        <v>11448</v>
      </c>
      <c r="S4724" t="s">
        <v>14828</v>
      </c>
      <c r="U4724" t="s">
        <v>468</v>
      </c>
      <c r="V4724">
        <v>85</v>
      </c>
      <c r="W4724" t="s">
        <v>14860</v>
      </c>
      <c r="X4724" t="s">
        <v>14865</v>
      </c>
      <c r="Z4724" t="s">
        <v>18786</v>
      </c>
      <c r="AA4724" t="s">
        <v>20020</v>
      </c>
      <c r="AB4724" t="s">
        <v>23963</v>
      </c>
      <c r="AC4724">
        <v>814</v>
      </c>
      <c r="AD4724" t="s">
        <v>24597</v>
      </c>
      <c r="AE4724" t="s">
        <v>11459</v>
      </c>
      <c r="AF4724">
        <v>38</v>
      </c>
      <c r="AG4724">
        <v>1</v>
      </c>
      <c r="AH4724">
        <v>1</v>
      </c>
      <c r="AI4724">
        <v>19.99</v>
      </c>
      <c r="AL4724" t="s">
        <v>5011</v>
      </c>
      <c r="AM4724">
        <v>3380</v>
      </c>
      <c r="AS4724">
        <v>8.300000000000001</v>
      </c>
      <c r="AT4724" t="s">
        <v>476</v>
      </c>
      <c r="AU4724" t="s">
        <v>25276</v>
      </c>
      <c r="AV4724" t="s">
        <v>25334</v>
      </c>
      <c r="AW4724" t="s">
        <v>11447</v>
      </c>
    </row>
    <row r="4725" spans="1:49">
      <c r="A4725" s="1">
        <f>HYPERLINK("https://lsnyc.legalserver.org/matter/dynamic-profile/view/1909985","19-1909985")</f>
        <v>0</v>
      </c>
      <c r="B4725" t="s">
        <v>309</v>
      </c>
      <c r="C4725" t="s">
        <v>468</v>
      </c>
      <c r="E4725" t="s">
        <v>1125</v>
      </c>
      <c r="F4725" t="s">
        <v>5940</v>
      </c>
      <c r="G4725" t="s">
        <v>9878</v>
      </c>
      <c r="H4725" t="s">
        <v>10513</v>
      </c>
      <c r="I4725" t="s">
        <v>11386</v>
      </c>
      <c r="J4725">
        <v>10025</v>
      </c>
      <c r="K4725" t="s">
        <v>11446</v>
      </c>
      <c r="L4725" t="s">
        <v>14230</v>
      </c>
      <c r="M4725" t="s">
        <v>14744</v>
      </c>
      <c r="N4725" t="s">
        <v>14781</v>
      </c>
      <c r="P4725" t="s">
        <v>14806</v>
      </c>
      <c r="Q4725" t="s">
        <v>11448</v>
      </c>
      <c r="S4725" t="s">
        <v>14827</v>
      </c>
      <c r="T4725" t="s">
        <v>14837</v>
      </c>
      <c r="U4725" t="s">
        <v>468</v>
      </c>
      <c r="V4725">
        <v>117</v>
      </c>
      <c r="W4725" t="s">
        <v>14860</v>
      </c>
      <c r="X4725" t="s">
        <v>14863</v>
      </c>
      <c r="Z4725" t="s">
        <v>17275</v>
      </c>
      <c r="AA4725" t="s">
        <v>20021</v>
      </c>
      <c r="AB4725" t="s">
        <v>23964</v>
      </c>
      <c r="AC4725">
        <v>143</v>
      </c>
      <c r="AD4725" t="s">
        <v>24596</v>
      </c>
      <c r="AE4725" t="s">
        <v>24610</v>
      </c>
      <c r="AF4725">
        <v>15</v>
      </c>
      <c r="AG4725">
        <v>1</v>
      </c>
      <c r="AH4725">
        <v>2</v>
      </c>
      <c r="AI4725">
        <v>40.59</v>
      </c>
      <c r="AL4725" t="s">
        <v>5011</v>
      </c>
      <c r="AM4725">
        <v>8658</v>
      </c>
      <c r="AS4725">
        <v>9.5</v>
      </c>
      <c r="AT4725" t="s">
        <v>521</v>
      </c>
      <c r="AU4725" t="s">
        <v>25276</v>
      </c>
      <c r="AV4725" t="s">
        <v>25334</v>
      </c>
      <c r="AW4725" t="s">
        <v>11447</v>
      </c>
    </row>
    <row r="4726" spans="1:49">
      <c r="A4726" s="1">
        <f>HYPERLINK("https://lsnyc.legalserver.org/matter/dynamic-profile/view/1909912","19-1909912")</f>
        <v>0</v>
      </c>
      <c r="B4726" t="s">
        <v>309</v>
      </c>
      <c r="C4726" t="s">
        <v>468</v>
      </c>
      <c r="E4726" t="s">
        <v>1329</v>
      </c>
      <c r="F4726" t="s">
        <v>5140</v>
      </c>
      <c r="G4726" t="s">
        <v>9817</v>
      </c>
      <c r="H4726">
        <v>24</v>
      </c>
      <c r="I4726" t="s">
        <v>11386</v>
      </c>
      <c r="J4726">
        <v>10031</v>
      </c>
      <c r="K4726" t="s">
        <v>11446</v>
      </c>
      <c r="L4726" t="s">
        <v>14231</v>
      </c>
      <c r="M4726" t="s">
        <v>14744</v>
      </c>
      <c r="N4726" t="s">
        <v>14781</v>
      </c>
      <c r="P4726" t="s">
        <v>14806</v>
      </c>
      <c r="Q4726" t="s">
        <v>11448</v>
      </c>
      <c r="S4726" t="s">
        <v>14827</v>
      </c>
      <c r="T4726" t="s">
        <v>14832</v>
      </c>
      <c r="U4726" t="s">
        <v>468</v>
      </c>
      <c r="V4726">
        <v>1708</v>
      </c>
      <c r="W4726" t="s">
        <v>14860</v>
      </c>
      <c r="X4726" t="s">
        <v>14865</v>
      </c>
      <c r="Z4726" t="s">
        <v>18787</v>
      </c>
      <c r="AA4726" t="s">
        <v>20022</v>
      </c>
      <c r="AB4726" t="s">
        <v>23965</v>
      </c>
      <c r="AC4726">
        <v>0</v>
      </c>
      <c r="AD4726" t="s">
        <v>24595</v>
      </c>
      <c r="AE4726" t="s">
        <v>24615</v>
      </c>
      <c r="AF4726">
        <v>5</v>
      </c>
      <c r="AG4726">
        <v>1</v>
      </c>
      <c r="AH4726">
        <v>2</v>
      </c>
      <c r="AI4726">
        <v>59.87</v>
      </c>
      <c r="AL4726" t="s">
        <v>5011</v>
      </c>
      <c r="AM4726">
        <v>12770</v>
      </c>
      <c r="AS4726">
        <v>9</v>
      </c>
      <c r="AT4726" t="s">
        <v>506</v>
      </c>
      <c r="AU4726" t="s">
        <v>153</v>
      </c>
      <c r="AV4726" t="s">
        <v>25334</v>
      </c>
      <c r="AW4726" t="s">
        <v>11447</v>
      </c>
    </row>
    <row r="4727" spans="1:49">
      <c r="A4727" s="1">
        <f>HYPERLINK("https://lsnyc.legalserver.org/matter/dynamic-profile/view/1909928","19-1909928")</f>
        <v>0</v>
      </c>
      <c r="B4727" t="s">
        <v>309</v>
      </c>
      <c r="C4727" t="s">
        <v>468</v>
      </c>
      <c r="E4727" t="s">
        <v>1108</v>
      </c>
      <c r="F4727" t="s">
        <v>5941</v>
      </c>
      <c r="G4727" t="s">
        <v>9879</v>
      </c>
      <c r="I4727" t="s">
        <v>11386</v>
      </c>
      <c r="J4727">
        <v>10031</v>
      </c>
      <c r="K4727" t="s">
        <v>11446</v>
      </c>
      <c r="L4727" t="s">
        <v>14232</v>
      </c>
      <c r="M4727" t="s">
        <v>14744</v>
      </c>
      <c r="N4727" t="s">
        <v>14781</v>
      </c>
      <c r="P4727" t="s">
        <v>14806</v>
      </c>
      <c r="Q4727" t="s">
        <v>11448</v>
      </c>
      <c r="S4727" t="s">
        <v>14827</v>
      </c>
      <c r="T4727" t="s">
        <v>14832</v>
      </c>
      <c r="U4727" t="s">
        <v>468</v>
      </c>
      <c r="V4727">
        <v>1200</v>
      </c>
      <c r="W4727" t="s">
        <v>14860</v>
      </c>
      <c r="X4727" t="s">
        <v>14863</v>
      </c>
      <c r="Z4727" t="s">
        <v>18788</v>
      </c>
      <c r="AB4727" t="s">
        <v>23966</v>
      </c>
      <c r="AC4727">
        <v>15</v>
      </c>
      <c r="AD4727" t="s">
        <v>24595</v>
      </c>
      <c r="AE4727" t="s">
        <v>24617</v>
      </c>
      <c r="AF4727">
        <v>3</v>
      </c>
      <c r="AG4727">
        <v>1</v>
      </c>
      <c r="AH4727">
        <v>2</v>
      </c>
      <c r="AI4727">
        <v>85.33</v>
      </c>
      <c r="AL4727" t="s">
        <v>5011</v>
      </c>
      <c r="AM4727">
        <v>18200</v>
      </c>
      <c r="AS4727">
        <v>9.300000000000001</v>
      </c>
      <c r="AT4727" t="s">
        <v>521</v>
      </c>
      <c r="AU4727" t="s">
        <v>153</v>
      </c>
      <c r="AV4727" t="s">
        <v>25335</v>
      </c>
      <c r="AW4727" t="s">
        <v>11447</v>
      </c>
    </row>
    <row r="4728" spans="1:49">
      <c r="A4728" s="1">
        <f>HYPERLINK("https://lsnyc.legalserver.org/matter/dynamic-profile/view/1909898","19-1909898")</f>
        <v>0</v>
      </c>
      <c r="B4728" t="s">
        <v>309</v>
      </c>
      <c r="C4728" t="s">
        <v>468</v>
      </c>
      <c r="E4728" t="s">
        <v>1683</v>
      </c>
      <c r="F4728" t="s">
        <v>4712</v>
      </c>
      <c r="G4728" t="s">
        <v>7755</v>
      </c>
      <c r="H4728">
        <v>64</v>
      </c>
      <c r="I4728" t="s">
        <v>11386</v>
      </c>
      <c r="J4728">
        <v>10031</v>
      </c>
      <c r="K4728" t="s">
        <v>11446</v>
      </c>
      <c r="L4728" t="s">
        <v>14233</v>
      </c>
      <c r="M4728" t="s">
        <v>14744</v>
      </c>
      <c r="N4728" t="s">
        <v>14781</v>
      </c>
      <c r="P4728" t="s">
        <v>14806</v>
      </c>
      <c r="Q4728" t="s">
        <v>11448</v>
      </c>
      <c r="S4728" t="s">
        <v>14827</v>
      </c>
      <c r="T4728" t="s">
        <v>14832</v>
      </c>
      <c r="U4728" t="s">
        <v>468</v>
      </c>
      <c r="V4728">
        <v>977</v>
      </c>
      <c r="W4728" t="s">
        <v>14860</v>
      </c>
      <c r="X4728" t="s">
        <v>14863</v>
      </c>
      <c r="Z4728" t="s">
        <v>16657</v>
      </c>
      <c r="AB4728" t="s">
        <v>21692</v>
      </c>
      <c r="AC4728">
        <v>30</v>
      </c>
      <c r="AD4728" t="s">
        <v>24595</v>
      </c>
      <c r="AE4728" t="s">
        <v>24613</v>
      </c>
      <c r="AF4728">
        <v>48</v>
      </c>
      <c r="AG4728">
        <v>1</v>
      </c>
      <c r="AH4728">
        <v>0</v>
      </c>
      <c r="AI4728">
        <v>105.68</v>
      </c>
      <c r="AL4728" t="s">
        <v>5011</v>
      </c>
      <c r="AM4728">
        <v>13200</v>
      </c>
      <c r="AS4728">
        <v>9.4</v>
      </c>
      <c r="AT4728" t="s">
        <v>539</v>
      </c>
      <c r="AU4728" t="s">
        <v>25276</v>
      </c>
      <c r="AV4728" t="s">
        <v>25335</v>
      </c>
      <c r="AW4728" t="s">
        <v>11447</v>
      </c>
    </row>
    <row r="4729" spans="1:49">
      <c r="A4729" s="1">
        <f>HYPERLINK("https://lsnyc.legalserver.org/matter/dynamic-profile/view/1909922","19-1909922")</f>
        <v>0</v>
      </c>
      <c r="B4729" t="s">
        <v>207</v>
      </c>
      <c r="C4729" t="s">
        <v>468</v>
      </c>
      <c r="E4729" t="s">
        <v>2322</v>
      </c>
      <c r="F4729" t="s">
        <v>3787</v>
      </c>
      <c r="G4729" t="s">
        <v>9880</v>
      </c>
      <c r="H4729" t="s">
        <v>10481</v>
      </c>
      <c r="I4729" t="s">
        <v>11386</v>
      </c>
      <c r="J4729">
        <v>10031</v>
      </c>
      <c r="K4729" t="s">
        <v>11446</v>
      </c>
      <c r="L4729" t="s">
        <v>14234</v>
      </c>
      <c r="M4729" t="s">
        <v>14744</v>
      </c>
      <c r="N4729" t="s">
        <v>14781</v>
      </c>
      <c r="P4729" t="s">
        <v>14806</v>
      </c>
      <c r="Q4729" t="s">
        <v>11448</v>
      </c>
      <c r="S4729" t="s">
        <v>14827</v>
      </c>
      <c r="U4729" t="s">
        <v>468</v>
      </c>
      <c r="V4729">
        <v>821.29</v>
      </c>
      <c r="W4729" t="s">
        <v>14860</v>
      </c>
      <c r="X4729" t="s">
        <v>14863</v>
      </c>
      <c r="Z4729" t="s">
        <v>16519</v>
      </c>
      <c r="AB4729" t="s">
        <v>23967</v>
      </c>
      <c r="AC4729">
        <v>37</v>
      </c>
      <c r="AD4729" t="s">
        <v>24595</v>
      </c>
      <c r="AE4729" t="s">
        <v>24613</v>
      </c>
      <c r="AF4729">
        <v>30</v>
      </c>
      <c r="AG4729">
        <v>1</v>
      </c>
      <c r="AH4729">
        <v>0</v>
      </c>
      <c r="AI4729">
        <v>158.53</v>
      </c>
      <c r="AL4729" t="s">
        <v>5011</v>
      </c>
      <c r="AM4729">
        <v>19800</v>
      </c>
      <c r="AS4729">
        <v>5.75</v>
      </c>
      <c r="AT4729" t="s">
        <v>483</v>
      </c>
      <c r="AU4729" t="s">
        <v>25276</v>
      </c>
      <c r="AV4729" t="s">
        <v>25335</v>
      </c>
      <c r="AW4729" t="s">
        <v>11447</v>
      </c>
    </row>
    <row r="4730" spans="1:49">
      <c r="A4730" s="1">
        <f>HYPERLINK("https://lsnyc.legalserver.org/matter/dynamic-profile/view/1909937","19-1909937")</f>
        <v>0</v>
      </c>
      <c r="B4730" t="s">
        <v>207</v>
      </c>
      <c r="C4730" t="s">
        <v>468</v>
      </c>
      <c r="E4730" t="s">
        <v>1144</v>
      </c>
      <c r="F4730" t="s">
        <v>3547</v>
      </c>
      <c r="G4730" t="s">
        <v>9881</v>
      </c>
      <c r="H4730" t="s">
        <v>10481</v>
      </c>
      <c r="I4730" t="s">
        <v>11386</v>
      </c>
      <c r="J4730">
        <v>10027</v>
      </c>
      <c r="K4730" t="s">
        <v>11446</v>
      </c>
      <c r="L4730" t="s">
        <v>14235</v>
      </c>
      <c r="M4730" t="s">
        <v>14744</v>
      </c>
      <c r="N4730" t="s">
        <v>14781</v>
      </c>
      <c r="P4730" t="s">
        <v>14806</v>
      </c>
      <c r="Q4730" t="s">
        <v>11448</v>
      </c>
      <c r="S4730" t="s">
        <v>14827</v>
      </c>
      <c r="U4730" t="s">
        <v>468</v>
      </c>
      <c r="V4730">
        <v>923.3</v>
      </c>
      <c r="W4730" t="s">
        <v>14860</v>
      </c>
      <c r="X4730" t="s">
        <v>14863</v>
      </c>
      <c r="Z4730" t="s">
        <v>18789</v>
      </c>
      <c r="AA4730" t="s">
        <v>20023</v>
      </c>
      <c r="AB4730" t="s">
        <v>23968</v>
      </c>
      <c r="AC4730">
        <v>9</v>
      </c>
      <c r="AD4730" t="s">
        <v>24595</v>
      </c>
      <c r="AE4730" t="s">
        <v>14755</v>
      </c>
      <c r="AF4730">
        <v>19</v>
      </c>
      <c r="AG4730">
        <v>3</v>
      </c>
      <c r="AH4730">
        <v>0</v>
      </c>
      <c r="AI4730">
        <v>177.84</v>
      </c>
      <c r="AL4730" t="s">
        <v>5011</v>
      </c>
      <c r="AM4730">
        <v>37934</v>
      </c>
      <c r="AS4730">
        <v>1</v>
      </c>
      <c r="AT4730" t="s">
        <v>468</v>
      </c>
      <c r="AU4730" t="s">
        <v>153</v>
      </c>
      <c r="AV4730" t="s">
        <v>25334</v>
      </c>
      <c r="AW4730" t="s">
        <v>11447</v>
      </c>
    </row>
    <row r="4731" spans="1:49">
      <c r="A4731" s="1">
        <f>HYPERLINK("https://lsnyc.legalserver.org/matter/dynamic-profile/view/1910570","19-1910570")</f>
        <v>0</v>
      </c>
      <c r="B4731" t="s">
        <v>217</v>
      </c>
      <c r="C4731" t="s">
        <v>602</v>
      </c>
      <c r="E4731" t="s">
        <v>1337</v>
      </c>
      <c r="F4731" t="s">
        <v>5942</v>
      </c>
      <c r="G4731" t="s">
        <v>9882</v>
      </c>
      <c r="H4731" t="s">
        <v>10468</v>
      </c>
      <c r="I4731" t="s">
        <v>11386</v>
      </c>
      <c r="J4731">
        <v>10025</v>
      </c>
      <c r="K4731" t="s">
        <v>11446</v>
      </c>
      <c r="L4731" t="s">
        <v>14236</v>
      </c>
      <c r="M4731" t="s">
        <v>14744</v>
      </c>
      <c r="N4731" t="s">
        <v>14781</v>
      </c>
      <c r="P4731" t="s">
        <v>14806</v>
      </c>
      <c r="Q4731" t="s">
        <v>11448</v>
      </c>
      <c r="S4731" t="s">
        <v>14827</v>
      </c>
      <c r="U4731" t="s">
        <v>602</v>
      </c>
      <c r="V4731">
        <v>375</v>
      </c>
      <c r="W4731" t="s">
        <v>14860</v>
      </c>
      <c r="X4731" t="s">
        <v>14865</v>
      </c>
      <c r="Z4731" t="s">
        <v>18790</v>
      </c>
      <c r="AA4731" t="s">
        <v>20024</v>
      </c>
      <c r="AB4731" t="s">
        <v>23969</v>
      </c>
      <c r="AC4731">
        <v>0</v>
      </c>
      <c r="AD4731" t="s">
        <v>24596</v>
      </c>
      <c r="AE4731" t="s">
        <v>24610</v>
      </c>
      <c r="AF4731">
        <v>35</v>
      </c>
      <c r="AG4731">
        <v>1</v>
      </c>
      <c r="AH4731">
        <v>0</v>
      </c>
      <c r="AI4731">
        <v>14.9</v>
      </c>
      <c r="AL4731" t="s">
        <v>5011</v>
      </c>
      <c r="AM4731">
        <v>1861.6</v>
      </c>
      <c r="AS4731">
        <v>7.15</v>
      </c>
      <c r="AT4731" t="s">
        <v>521</v>
      </c>
      <c r="AU4731" t="s">
        <v>25276</v>
      </c>
      <c r="AV4731" t="s">
        <v>25334</v>
      </c>
      <c r="AW4731" t="s">
        <v>11447</v>
      </c>
    </row>
    <row r="4732" spans="1:49">
      <c r="A4732" s="1">
        <f>HYPERLINK("https://lsnyc.legalserver.org/matter/dynamic-profile/view/1910527","19-1910527")</f>
        <v>0</v>
      </c>
      <c r="B4732" t="s">
        <v>188</v>
      </c>
      <c r="C4732" t="s">
        <v>602</v>
      </c>
      <c r="E4732" t="s">
        <v>1653</v>
      </c>
      <c r="F4732" t="s">
        <v>1375</v>
      </c>
      <c r="G4732" t="s">
        <v>9838</v>
      </c>
      <c r="I4732" t="s">
        <v>11386</v>
      </c>
      <c r="J4732">
        <v>10027</v>
      </c>
      <c r="K4732" t="s">
        <v>11446</v>
      </c>
      <c r="L4732" t="s">
        <v>14237</v>
      </c>
      <c r="M4732" t="s">
        <v>14744</v>
      </c>
      <c r="N4732" t="s">
        <v>14781</v>
      </c>
      <c r="P4732" t="s">
        <v>14806</v>
      </c>
      <c r="Q4732" t="s">
        <v>11448</v>
      </c>
      <c r="S4732" t="s">
        <v>14828</v>
      </c>
      <c r="T4732" t="s">
        <v>14832</v>
      </c>
      <c r="U4732" t="s">
        <v>602</v>
      </c>
      <c r="V4732">
        <v>241</v>
      </c>
      <c r="W4732" t="s">
        <v>14860</v>
      </c>
      <c r="X4732" t="s">
        <v>14865</v>
      </c>
      <c r="Z4732" t="s">
        <v>17405</v>
      </c>
      <c r="AA4732" t="s">
        <v>20025</v>
      </c>
      <c r="AB4732" t="s">
        <v>23970</v>
      </c>
      <c r="AC4732">
        <v>226</v>
      </c>
      <c r="AD4732" t="s">
        <v>24597</v>
      </c>
      <c r="AE4732" t="s">
        <v>11459</v>
      </c>
      <c r="AF4732">
        <v>12</v>
      </c>
      <c r="AG4732">
        <v>1</v>
      </c>
      <c r="AH4732">
        <v>0</v>
      </c>
      <c r="AI4732">
        <v>81.95</v>
      </c>
      <c r="AL4732" t="s">
        <v>5011</v>
      </c>
      <c r="AM4732">
        <v>10236</v>
      </c>
      <c r="AS4732">
        <v>1.4</v>
      </c>
      <c r="AT4732" t="s">
        <v>486</v>
      </c>
      <c r="AU4732" t="s">
        <v>153</v>
      </c>
      <c r="AV4732" t="s">
        <v>25334</v>
      </c>
      <c r="AW4732" t="s">
        <v>11447</v>
      </c>
    </row>
    <row r="4733" spans="1:49">
      <c r="A4733" s="1">
        <f>HYPERLINK("https://lsnyc.legalserver.org/matter/dynamic-profile/view/1910532","19-1910532")</f>
        <v>0</v>
      </c>
      <c r="B4733" t="s">
        <v>249</v>
      </c>
      <c r="C4733" t="s">
        <v>602</v>
      </c>
      <c r="E4733" t="s">
        <v>1639</v>
      </c>
      <c r="F4733" t="s">
        <v>5605</v>
      </c>
      <c r="G4733" t="s">
        <v>9883</v>
      </c>
      <c r="H4733" t="s">
        <v>10542</v>
      </c>
      <c r="I4733" t="s">
        <v>11386</v>
      </c>
      <c r="J4733">
        <v>10026</v>
      </c>
      <c r="K4733" t="s">
        <v>11446</v>
      </c>
      <c r="L4733" t="s">
        <v>14238</v>
      </c>
      <c r="M4733" t="s">
        <v>14744</v>
      </c>
      <c r="N4733" t="s">
        <v>14781</v>
      </c>
      <c r="P4733" t="s">
        <v>14806</v>
      </c>
      <c r="Q4733" t="s">
        <v>11448</v>
      </c>
      <c r="S4733" t="s">
        <v>14827</v>
      </c>
      <c r="U4733" t="s">
        <v>602</v>
      </c>
      <c r="V4733">
        <v>535</v>
      </c>
      <c r="W4733" t="s">
        <v>14860</v>
      </c>
      <c r="X4733" t="s">
        <v>14865</v>
      </c>
      <c r="Z4733" t="s">
        <v>18791</v>
      </c>
      <c r="AB4733" t="s">
        <v>23971</v>
      </c>
      <c r="AC4733">
        <v>32</v>
      </c>
      <c r="AD4733" t="s">
        <v>11479</v>
      </c>
      <c r="AE4733" t="s">
        <v>11459</v>
      </c>
      <c r="AF4733">
        <v>25</v>
      </c>
      <c r="AG4733">
        <v>2</v>
      </c>
      <c r="AH4733">
        <v>1</v>
      </c>
      <c r="AI4733">
        <v>175.06</v>
      </c>
      <c r="AL4733" t="s">
        <v>5011</v>
      </c>
      <c r="AM4733">
        <v>37340</v>
      </c>
      <c r="AS4733">
        <v>5</v>
      </c>
      <c r="AT4733" t="s">
        <v>539</v>
      </c>
      <c r="AU4733" t="s">
        <v>25276</v>
      </c>
      <c r="AV4733" t="s">
        <v>25335</v>
      </c>
      <c r="AW4733" t="s">
        <v>11447</v>
      </c>
    </row>
    <row r="4734" spans="1:49">
      <c r="A4734" s="1">
        <f>HYPERLINK("https://lsnyc.legalserver.org/matter/dynamic-profile/view/1886449","18-1886449")</f>
        <v>0</v>
      </c>
      <c r="B4734" t="s">
        <v>208</v>
      </c>
      <c r="C4734" t="s">
        <v>830</v>
      </c>
      <c r="E4734" t="s">
        <v>1633</v>
      </c>
      <c r="F4734" t="s">
        <v>5943</v>
      </c>
      <c r="G4734" t="s">
        <v>9884</v>
      </c>
      <c r="I4734" t="s">
        <v>11386</v>
      </c>
      <c r="J4734">
        <v>10027</v>
      </c>
      <c r="K4734" t="s">
        <v>11446</v>
      </c>
      <c r="L4734" t="s">
        <v>14239</v>
      </c>
      <c r="M4734" t="s">
        <v>14744</v>
      </c>
      <c r="N4734" t="s">
        <v>14782</v>
      </c>
      <c r="P4734" t="s">
        <v>14806</v>
      </c>
      <c r="Q4734" t="s">
        <v>11448</v>
      </c>
      <c r="S4734" t="s">
        <v>14827</v>
      </c>
      <c r="U4734" t="s">
        <v>604</v>
      </c>
      <c r="V4734">
        <v>400</v>
      </c>
      <c r="W4734" t="s">
        <v>14860</v>
      </c>
      <c r="X4734" t="s">
        <v>14865</v>
      </c>
      <c r="Z4734" t="s">
        <v>18232</v>
      </c>
      <c r="AA4734" t="s">
        <v>20026</v>
      </c>
      <c r="AB4734" t="s">
        <v>23972</v>
      </c>
      <c r="AC4734">
        <v>12</v>
      </c>
      <c r="AF4734">
        <v>19</v>
      </c>
      <c r="AG4734">
        <v>2</v>
      </c>
      <c r="AH4734">
        <v>3</v>
      </c>
      <c r="AI4734">
        <v>50.82</v>
      </c>
      <c r="AL4734" t="s">
        <v>5011</v>
      </c>
      <c r="AM4734">
        <v>14950</v>
      </c>
      <c r="AS4734">
        <v>9.699999999999999</v>
      </c>
      <c r="AT4734" t="s">
        <v>469</v>
      </c>
      <c r="AU4734" t="s">
        <v>25282</v>
      </c>
      <c r="AV4734" t="s">
        <v>25334</v>
      </c>
      <c r="AW4734" t="s">
        <v>11446</v>
      </c>
    </row>
    <row r="4735" spans="1:49">
      <c r="A4735" s="1">
        <f>HYPERLINK("https://lsnyc.legalserver.org/matter/dynamic-profile/view/1911044","19-1911044")</f>
        <v>0</v>
      </c>
      <c r="B4735" t="s">
        <v>219</v>
      </c>
      <c r="C4735" t="s">
        <v>460</v>
      </c>
      <c r="E4735" t="s">
        <v>2635</v>
      </c>
      <c r="F4735" t="s">
        <v>3563</v>
      </c>
      <c r="G4735" t="s">
        <v>9885</v>
      </c>
      <c r="H4735">
        <v>11</v>
      </c>
      <c r="I4735" t="s">
        <v>11386</v>
      </c>
      <c r="J4735">
        <v>10031</v>
      </c>
      <c r="K4735" t="s">
        <v>11446</v>
      </c>
      <c r="L4735" t="s">
        <v>14240</v>
      </c>
      <c r="M4735" t="s">
        <v>14744</v>
      </c>
      <c r="N4735" t="s">
        <v>14781</v>
      </c>
      <c r="P4735" t="s">
        <v>14806</v>
      </c>
      <c r="Q4735" t="s">
        <v>11448</v>
      </c>
      <c r="S4735" t="s">
        <v>14827</v>
      </c>
      <c r="U4735" t="s">
        <v>460</v>
      </c>
      <c r="V4735">
        <v>1092</v>
      </c>
      <c r="W4735" t="s">
        <v>14860</v>
      </c>
      <c r="X4735" t="s">
        <v>14863</v>
      </c>
      <c r="Z4735" t="s">
        <v>15935</v>
      </c>
      <c r="AA4735" t="s">
        <v>20027</v>
      </c>
      <c r="AB4735" t="s">
        <v>23973</v>
      </c>
      <c r="AC4735">
        <v>0</v>
      </c>
      <c r="AD4735" t="s">
        <v>24595</v>
      </c>
      <c r="AE4735" t="s">
        <v>14755</v>
      </c>
      <c r="AF4735">
        <v>7</v>
      </c>
      <c r="AG4735">
        <v>1</v>
      </c>
      <c r="AH4735">
        <v>0</v>
      </c>
      <c r="AI4735">
        <v>16.65</v>
      </c>
      <c r="AL4735" t="s">
        <v>24632</v>
      </c>
      <c r="AM4735">
        <v>2080</v>
      </c>
      <c r="AS4735">
        <v>6.2</v>
      </c>
      <c r="AT4735" t="s">
        <v>521</v>
      </c>
      <c r="AU4735" t="s">
        <v>25276</v>
      </c>
      <c r="AV4735" t="s">
        <v>25334</v>
      </c>
      <c r="AW4735" t="s">
        <v>11447</v>
      </c>
    </row>
    <row r="4736" spans="1:49">
      <c r="A4736" s="1">
        <f>HYPERLINK("https://lsnyc.legalserver.org/matter/dynamic-profile/view/1911032","19-1911032")</f>
        <v>0</v>
      </c>
      <c r="B4736" t="s">
        <v>320</v>
      </c>
      <c r="C4736" t="s">
        <v>460</v>
      </c>
      <c r="E4736" t="s">
        <v>1279</v>
      </c>
      <c r="F4736" t="s">
        <v>5944</v>
      </c>
      <c r="G4736" t="s">
        <v>9863</v>
      </c>
      <c r="H4736" t="s">
        <v>10790</v>
      </c>
      <c r="I4736" t="s">
        <v>11386</v>
      </c>
      <c r="J4736">
        <v>10031</v>
      </c>
      <c r="K4736" t="s">
        <v>11446</v>
      </c>
      <c r="L4736" t="s">
        <v>14241</v>
      </c>
      <c r="M4736" t="s">
        <v>14744</v>
      </c>
      <c r="N4736" t="s">
        <v>14781</v>
      </c>
      <c r="P4736" t="s">
        <v>14806</v>
      </c>
      <c r="Q4736" t="s">
        <v>11448</v>
      </c>
      <c r="S4736" t="s">
        <v>14827</v>
      </c>
      <c r="U4736" t="s">
        <v>460</v>
      </c>
      <c r="V4736">
        <v>1037</v>
      </c>
      <c r="W4736" t="s">
        <v>14860</v>
      </c>
      <c r="X4736" t="s">
        <v>14865</v>
      </c>
      <c r="Z4736" t="s">
        <v>18792</v>
      </c>
      <c r="AB4736" t="s">
        <v>23974</v>
      </c>
      <c r="AC4736">
        <v>0</v>
      </c>
      <c r="AD4736" t="s">
        <v>24595</v>
      </c>
      <c r="AE4736" t="s">
        <v>24613</v>
      </c>
      <c r="AF4736">
        <v>20</v>
      </c>
      <c r="AG4736">
        <v>1</v>
      </c>
      <c r="AH4736">
        <v>0</v>
      </c>
      <c r="AI4736">
        <v>87.08</v>
      </c>
      <c r="AL4736" t="s">
        <v>5011</v>
      </c>
      <c r="AM4736">
        <v>10876.8</v>
      </c>
      <c r="AS4736">
        <v>4.7</v>
      </c>
      <c r="AT4736" t="s">
        <v>592</v>
      </c>
      <c r="AU4736" t="s">
        <v>153</v>
      </c>
      <c r="AV4736" t="s">
        <v>25335</v>
      </c>
      <c r="AW4736" t="s">
        <v>11447</v>
      </c>
    </row>
    <row r="4737" spans="1:49">
      <c r="A4737" s="1">
        <f>HYPERLINK("https://lsnyc.legalserver.org/matter/dynamic-profile/view/1910990","19-1910990")</f>
        <v>0</v>
      </c>
      <c r="B4737" t="s">
        <v>320</v>
      </c>
      <c r="C4737" t="s">
        <v>460</v>
      </c>
      <c r="E4737" t="s">
        <v>3298</v>
      </c>
      <c r="F4737" t="s">
        <v>5945</v>
      </c>
      <c r="G4737" t="s">
        <v>9886</v>
      </c>
      <c r="H4737">
        <v>4</v>
      </c>
      <c r="I4737" t="s">
        <v>11386</v>
      </c>
      <c r="J4737">
        <v>10031</v>
      </c>
      <c r="K4737" t="s">
        <v>11446</v>
      </c>
      <c r="L4737" t="s">
        <v>14242</v>
      </c>
      <c r="M4737" t="s">
        <v>14744</v>
      </c>
      <c r="N4737" t="s">
        <v>14781</v>
      </c>
      <c r="P4737" t="s">
        <v>14806</v>
      </c>
      <c r="Q4737" t="s">
        <v>11448</v>
      </c>
      <c r="S4737" t="s">
        <v>14827</v>
      </c>
      <c r="U4737" t="s">
        <v>460</v>
      </c>
      <c r="V4737">
        <v>2095.12</v>
      </c>
      <c r="W4737" t="s">
        <v>14860</v>
      </c>
      <c r="X4737" t="s">
        <v>14865</v>
      </c>
      <c r="Z4737" t="s">
        <v>17827</v>
      </c>
      <c r="AA4737" t="s">
        <v>20028</v>
      </c>
      <c r="AB4737" t="s">
        <v>23975</v>
      </c>
      <c r="AC4737">
        <v>0</v>
      </c>
      <c r="AD4737" t="s">
        <v>24595</v>
      </c>
      <c r="AE4737" t="s">
        <v>24616</v>
      </c>
      <c r="AF4737">
        <v>9</v>
      </c>
      <c r="AG4737">
        <v>2</v>
      </c>
      <c r="AH4737">
        <v>2</v>
      </c>
      <c r="AI4737">
        <v>121.68</v>
      </c>
      <c r="AL4737" t="s">
        <v>5011</v>
      </c>
      <c r="AM4737">
        <v>31332</v>
      </c>
      <c r="AS4737">
        <v>11.7</v>
      </c>
      <c r="AT4737" t="s">
        <v>490</v>
      </c>
      <c r="AU4737" t="s">
        <v>25276</v>
      </c>
      <c r="AV4737" t="s">
        <v>25334</v>
      </c>
      <c r="AW4737" t="s">
        <v>11447</v>
      </c>
    </row>
    <row r="4738" spans="1:49">
      <c r="A4738" s="1">
        <f>HYPERLINK("https://lsnyc.legalserver.org/matter/dynamic-profile/view/1911019","19-1911019")</f>
        <v>0</v>
      </c>
      <c r="B4738" t="s">
        <v>219</v>
      </c>
      <c r="C4738" t="s">
        <v>460</v>
      </c>
      <c r="E4738" t="s">
        <v>3299</v>
      </c>
      <c r="F4738" t="s">
        <v>4889</v>
      </c>
      <c r="G4738" t="s">
        <v>9887</v>
      </c>
      <c r="H4738">
        <v>52</v>
      </c>
      <c r="I4738" t="s">
        <v>11386</v>
      </c>
      <c r="J4738">
        <v>10031</v>
      </c>
      <c r="K4738" t="s">
        <v>11446</v>
      </c>
      <c r="L4738" t="s">
        <v>14243</v>
      </c>
      <c r="M4738" t="s">
        <v>14744</v>
      </c>
      <c r="N4738" t="s">
        <v>14782</v>
      </c>
      <c r="P4738" t="s">
        <v>14806</v>
      </c>
      <c r="Q4738" t="s">
        <v>11448</v>
      </c>
      <c r="S4738" t="s">
        <v>14827</v>
      </c>
      <c r="U4738" t="s">
        <v>460</v>
      </c>
      <c r="V4738">
        <v>1560</v>
      </c>
      <c r="W4738" t="s">
        <v>14860</v>
      </c>
      <c r="X4738" t="s">
        <v>14863</v>
      </c>
      <c r="Z4738" t="s">
        <v>18503</v>
      </c>
      <c r="AB4738" t="s">
        <v>23976</v>
      </c>
      <c r="AC4738">
        <v>0</v>
      </c>
      <c r="AD4738" t="s">
        <v>11479</v>
      </c>
      <c r="AE4738" t="s">
        <v>11459</v>
      </c>
      <c r="AF4738">
        <v>19</v>
      </c>
      <c r="AG4738">
        <v>2</v>
      </c>
      <c r="AH4738">
        <v>2</v>
      </c>
      <c r="AI4738">
        <v>131.26</v>
      </c>
      <c r="AL4738" t="s">
        <v>24632</v>
      </c>
      <c r="AM4738">
        <v>33800</v>
      </c>
      <c r="AS4738">
        <v>1.6</v>
      </c>
      <c r="AT4738" t="s">
        <v>521</v>
      </c>
      <c r="AU4738" t="s">
        <v>25276</v>
      </c>
      <c r="AV4738" t="s">
        <v>25335</v>
      </c>
      <c r="AW4738" t="s">
        <v>11447</v>
      </c>
    </row>
    <row r="4739" spans="1:49">
      <c r="A4739" s="1">
        <f>HYPERLINK("https://lsnyc.legalserver.org/matter/dynamic-profile/view/1911084","19-1911084")</f>
        <v>0</v>
      </c>
      <c r="B4739" t="s">
        <v>194</v>
      </c>
      <c r="C4739" t="s">
        <v>460</v>
      </c>
      <c r="E4739" t="s">
        <v>3300</v>
      </c>
      <c r="F4739" t="s">
        <v>5946</v>
      </c>
      <c r="G4739" t="s">
        <v>9888</v>
      </c>
      <c r="H4739">
        <v>23</v>
      </c>
      <c r="I4739" t="s">
        <v>11386</v>
      </c>
      <c r="J4739">
        <v>10031</v>
      </c>
      <c r="K4739" t="s">
        <v>11446</v>
      </c>
      <c r="L4739" t="s">
        <v>14244</v>
      </c>
      <c r="M4739" t="s">
        <v>14744</v>
      </c>
      <c r="N4739" t="s">
        <v>14781</v>
      </c>
      <c r="P4739" t="s">
        <v>14806</v>
      </c>
      <c r="Q4739" t="s">
        <v>11448</v>
      </c>
      <c r="S4739" t="s">
        <v>14827</v>
      </c>
      <c r="U4739" t="s">
        <v>460</v>
      </c>
      <c r="V4739">
        <v>1274.86</v>
      </c>
      <c r="W4739" t="s">
        <v>14860</v>
      </c>
      <c r="X4739" t="s">
        <v>14863</v>
      </c>
      <c r="Z4739" t="s">
        <v>16758</v>
      </c>
      <c r="AB4739" t="s">
        <v>23977</v>
      </c>
      <c r="AC4739">
        <v>49</v>
      </c>
      <c r="AD4739" t="s">
        <v>11479</v>
      </c>
      <c r="AE4739" t="s">
        <v>11459</v>
      </c>
      <c r="AF4739">
        <v>26</v>
      </c>
      <c r="AG4739">
        <v>2</v>
      </c>
      <c r="AH4739">
        <v>0</v>
      </c>
      <c r="AI4739">
        <v>145.69</v>
      </c>
      <c r="AL4739" t="s">
        <v>24632</v>
      </c>
      <c r="AM4739">
        <v>24636</v>
      </c>
      <c r="AS4739">
        <v>15.3</v>
      </c>
      <c r="AT4739" t="s">
        <v>580</v>
      </c>
      <c r="AU4739" t="s">
        <v>25276</v>
      </c>
      <c r="AV4739" t="s">
        <v>25335</v>
      </c>
      <c r="AW4739" t="s">
        <v>11447</v>
      </c>
    </row>
    <row r="4740" spans="1:49">
      <c r="A4740" s="1">
        <f>HYPERLINK("https://lsnyc.legalserver.org/matter/dynamic-profile/view/1911406","19-1911406")</f>
        <v>0</v>
      </c>
      <c r="B4740" t="s">
        <v>320</v>
      </c>
      <c r="C4740" t="s">
        <v>467</v>
      </c>
      <c r="E4740" t="s">
        <v>1056</v>
      </c>
      <c r="F4740" t="s">
        <v>5947</v>
      </c>
      <c r="G4740" t="s">
        <v>9889</v>
      </c>
      <c r="H4740" t="s">
        <v>10527</v>
      </c>
      <c r="I4740" t="s">
        <v>11386</v>
      </c>
      <c r="J4740">
        <v>10025</v>
      </c>
      <c r="K4740" t="s">
        <v>11446</v>
      </c>
      <c r="L4740" t="s">
        <v>14245</v>
      </c>
      <c r="M4740" t="s">
        <v>14744</v>
      </c>
      <c r="N4740" t="s">
        <v>14781</v>
      </c>
      <c r="P4740" t="s">
        <v>14806</v>
      </c>
      <c r="Q4740" t="s">
        <v>11448</v>
      </c>
      <c r="S4740" t="s">
        <v>14827</v>
      </c>
      <c r="T4740" t="s">
        <v>14832</v>
      </c>
      <c r="U4740" t="s">
        <v>467</v>
      </c>
      <c r="V4740">
        <v>2000</v>
      </c>
      <c r="W4740" t="s">
        <v>14860</v>
      </c>
      <c r="X4740" t="s">
        <v>14871</v>
      </c>
      <c r="Z4740" t="s">
        <v>18793</v>
      </c>
      <c r="AB4740" t="s">
        <v>23978</v>
      </c>
      <c r="AC4740">
        <v>0</v>
      </c>
      <c r="AD4740" t="s">
        <v>24595</v>
      </c>
      <c r="AE4740" t="s">
        <v>24611</v>
      </c>
      <c r="AF4740">
        <v>34</v>
      </c>
      <c r="AG4740">
        <v>1</v>
      </c>
      <c r="AH4740">
        <v>0</v>
      </c>
      <c r="AI4740">
        <v>12.01</v>
      </c>
      <c r="AL4740" t="s">
        <v>5011</v>
      </c>
      <c r="AM4740">
        <v>1500</v>
      </c>
      <c r="AS4740">
        <v>13.2</v>
      </c>
      <c r="AT4740" t="s">
        <v>515</v>
      </c>
      <c r="AU4740" t="s">
        <v>25286</v>
      </c>
      <c r="AV4740" t="s">
        <v>25335</v>
      </c>
      <c r="AW4740" t="s">
        <v>11447</v>
      </c>
    </row>
    <row r="4741" spans="1:49">
      <c r="A4741" s="1">
        <f>HYPERLINK("https://lsnyc.legalserver.org/matter/dynamic-profile/view/1911627","19-1911627")</f>
        <v>0</v>
      </c>
      <c r="B4741" t="s">
        <v>223</v>
      </c>
      <c r="C4741" t="s">
        <v>526</v>
      </c>
      <c r="E4741" t="s">
        <v>3301</v>
      </c>
      <c r="F4741" t="s">
        <v>5836</v>
      </c>
      <c r="G4741" t="s">
        <v>9890</v>
      </c>
      <c r="I4741" t="s">
        <v>11386</v>
      </c>
      <c r="J4741">
        <v>10025</v>
      </c>
      <c r="K4741" t="s">
        <v>11446</v>
      </c>
      <c r="L4741" t="s">
        <v>14246</v>
      </c>
      <c r="M4741" t="s">
        <v>14744</v>
      </c>
      <c r="N4741" t="s">
        <v>14781</v>
      </c>
      <c r="P4741" t="s">
        <v>14806</v>
      </c>
      <c r="Q4741" t="s">
        <v>11448</v>
      </c>
      <c r="S4741" t="s">
        <v>14827</v>
      </c>
      <c r="U4741" t="s">
        <v>526</v>
      </c>
      <c r="V4741">
        <v>1043.92</v>
      </c>
      <c r="W4741" t="s">
        <v>14860</v>
      </c>
      <c r="X4741" t="s">
        <v>14863</v>
      </c>
      <c r="Z4741" t="s">
        <v>18794</v>
      </c>
      <c r="AB4741" t="s">
        <v>23979</v>
      </c>
      <c r="AC4741">
        <v>0</v>
      </c>
      <c r="AD4741" t="s">
        <v>24595</v>
      </c>
      <c r="AE4741" t="s">
        <v>11459</v>
      </c>
      <c r="AF4741">
        <v>16</v>
      </c>
      <c r="AG4741">
        <v>1</v>
      </c>
      <c r="AH4741">
        <v>0</v>
      </c>
      <c r="AI4741">
        <v>38.43</v>
      </c>
      <c r="AL4741" t="s">
        <v>5011</v>
      </c>
      <c r="AM4741">
        <v>4800</v>
      </c>
      <c r="AS4741">
        <v>18.5</v>
      </c>
      <c r="AT4741" t="s">
        <v>654</v>
      </c>
      <c r="AU4741" t="s">
        <v>25276</v>
      </c>
      <c r="AV4741" t="s">
        <v>25335</v>
      </c>
      <c r="AW4741" t="s">
        <v>11447</v>
      </c>
    </row>
    <row r="4742" spans="1:49">
      <c r="A4742" s="1">
        <f>HYPERLINK("https://lsnyc.legalserver.org/matter/dynamic-profile/view/1911570","19-1911570")</f>
        <v>0</v>
      </c>
      <c r="B4742" t="s">
        <v>188</v>
      </c>
      <c r="C4742" t="s">
        <v>526</v>
      </c>
      <c r="E4742" t="s">
        <v>1650</v>
      </c>
      <c r="F4742" t="s">
        <v>5948</v>
      </c>
      <c r="G4742" t="s">
        <v>9891</v>
      </c>
      <c r="H4742" t="s">
        <v>10598</v>
      </c>
      <c r="I4742" t="s">
        <v>11386</v>
      </c>
      <c r="J4742">
        <v>10025</v>
      </c>
      <c r="K4742" t="s">
        <v>11446</v>
      </c>
      <c r="L4742" t="s">
        <v>14247</v>
      </c>
      <c r="M4742" t="s">
        <v>14744</v>
      </c>
      <c r="N4742" t="s">
        <v>14781</v>
      </c>
      <c r="P4742" t="s">
        <v>14806</v>
      </c>
      <c r="Q4742" t="s">
        <v>11448</v>
      </c>
      <c r="S4742" t="s">
        <v>14827</v>
      </c>
      <c r="U4742" t="s">
        <v>526</v>
      </c>
      <c r="V4742">
        <v>1514</v>
      </c>
      <c r="W4742" t="s">
        <v>14860</v>
      </c>
      <c r="X4742" t="s">
        <v>14863</v>
      </c>
      <c r="Z4742" t="s">
        <v>18795</v>
      </c>
      <c r="AB4742" t="s">
        <v>23980</v>
      </c>
      <c r="AC4742">
        <v>0</v>
      </c>
      <c r="AD4742" t="s">
        <v>11479</v>
      </c>
      <c r="AE4742" t="s">
        <v>11459</v>
      </c>
      <c r="AF4742">
        <v>22</v>
      </c>
      <c r="AG4742">
        <v>4</v>
      </c>
      <c r="AH4742">
        <v>2</v>
      </c>
      <c r="AI4742">
        <v>121.42</v>
      </c>
      <c r="AL4742" t="s">
        <v>24632</v>
      </c>
      <c r="AM4742">
        <v>42000</v>
      </c>
      <c r="AS4742">
        <v>5.5</v>
      </c>
      <c r="AT4742" t="s">
        <v>537</v>
      </c>
      <c r="AU4742" t="s">
        <v>25276</v>
      </c>
      <c r="AV4742" t="s">
        <v>25335</v>
      </c>
      <c r="AW4742" t="s">
        <v>11447</v>
      </c>
    </row>
    <row r="4743" spans="1:49">
      <c r="A4743" s="1">
        <f>HYPERLINK("https://lsnyc.legalserver.org/matter/dynamic-profile/view/1911568","19-1911568")</f>
        <v>0</v>
      </c>
      <c r="B4743" t="s">
        <v>188</v>
      </c>
      <c r="C4743" t="s">
        <v>526</v>
      </c>
      <c r="E4743" t="s">
        <v>3024</v>
      </c>
      <c r="F4743" t="s">
        <v>5949</v>
      </c>
      <c r="G4743" t="s">
        <v>9892</v>
      </c>
      <c r="H4743" t="s">
        <v>10514</v>
      </c>
      <c r="I4743" t="s">
        <v>11386</v>
      </c>
      <c r="J4743">
        <v>10031</v>
      </c>
      <c r="K4743" t="s">
        <v>11446</v>
      </c>
      <c r="L4743" t="s">
        <v>14248</v>
      </c>
      <c r="M4743" t="s">
        <v>14744</v>
      </c>
      <c r="N4743" t="s">
        <v>14781</v>
      </c>
      <c r="P4743" t="s">
        <v>14806</v>
      </c>
      <c r="Q4743" t="s">
        <v>11448</v>
      </c>
      <c r="S4743" t="s">
        <v>14827</v>
      </c>
      <c r="T4743" t="s">
        <v>14832</v>
      </c>
      <c r="U4743" t="s">
        <v>526</v>
      </c>
      <c r="V4743">
        <v>1428</v>
      </c>
      <c r="W4743" t="s">
        <v>14860</v>
      </c>
      <c r="X4743" t="s">
        <v>14863</v>
      </c>
      <c r="Z4743" t="s">
        <v>18796</v>
      </c>
      <c r="AB4743" t="s">
        <v>23981</v>
      </c>
      <c r="AC4743">
        <v>0</v>
      </c>
      <c r="AE4743" t="s">
        <v>11459</v>
      </c>
      <c r="AF4743">
        <v>7</v>
      </c>
      <c r="AG4743">
        <v>2</v>
      </c>
      <c r="AH4743">
        <v>2</v>
      </c>
      <c r="AI4743">
        <v>132.82</v>
      </c>
      <c r="AL4743" t="s">
        <v>24640</v>
      </c>
      <c r="AM4743">
        <v>34200</v>
      </c>
      <c r="AS4743">
        <v>5.75</v>
      </c>
      <c r="AT4743" t="s">
        <v>491</v>
      </c>
      <c r="AU4743" t="s">
        <v>153</v>
      </c>
      <c r="AV4743" t="s">
        <v>25335</v>
      </c>
      <c r="AW4743" t="s">
        <v>11447</v>
      </c>
    </row>
    <row r="4744" spans="1:49">
      <c r="A4744" s="1">
        <f>HYPERLINK("https://lsnyc.legalserver.org/matter/dynamic-profile/view/1911868","19-1911868")</f>
        <v>0</v>
      </c>
      <c r="B4744" t="s">
        <v>313</v>
      </c>
      <c r="C4744" t="s">
        <v>645</v>
      </c>
      <c r="E4744" t="s">
        <v>1850</v>
      </c>
      <c r="F4744" t="s">
        <v>3758</v>
      </c>
      <c r="G4744" t="s">
        <v>9080</v>
      </c>
      <c r="H4744" t="s">
        <v>11292</v>
      </c>
      <c r="I4744" t="s">
        <v>11386</v>
      </c>
      <c r="J4744">
        <v>10029</v>
      </c>
      <c r="K4744" t="s">
        <v>11446</v>
      </c>
      <c r="L4744">
        <v>908842</v>
      </c>
      <c r="M4744" t="s">
        <v>14750</v>
      </c>
      <c r="N4744" t="s">
        <v>14783</v>
      </c>
      <c r="P4744" t="s">
        <v>14806</v>
      </c>
      <c r="Q4744" t="s">
        <v>11448</v>
      </c>
      <c r="S4744" t="s">
        <v>14828</v>
      </c>
      <c r="T4744" t="s">
        <v>14833</v>
      </c>
      <c r="U4744" t="s">
        <v>505</v>
      </c>
      <c r="V4744">
        <v>0</v>
      </c>
      <c r="W4744" t="s">
        <v>14860</v>
      </c>
      <c r="X4744" t="s">
        <v>14865</v>
      </c>
      <c r="Z4744" t="s">
        <v>18797</v>
      </c>
      <c r="AB4744" t="s">
        <v>23982</v>
      </c>
      <c r="AC4744">
        <v>339</v>
      </c>
      <c r="AD4744" t="s">
        <v>24597</v>
      </c>
      <c r="AF4744">
        <v>0</v>
      </c>
      <c r="AG4744">
        <v>1</v>
      </c>
      <c r="AH4744">
        <v>0</v>
      </c>
      <c r="AI4744">
        <v>67.25</v>
      </c>
      <c r="AL4744" t="s">
        <v>5011</v>
      </c>
      <c r="AM4744">
        <v>8400</v>
      </c>
      <c r="AS4744">
        <v>8.199999999999999</v>
      </c>
      <c r="AT4744" t="s">
        <v>495</v>
      </c>
      <c r="AU4744" t="s">
        <v>145</v>
      </c>
      <c r="AV4744" t="s">
        <v>25335</v>
      </c>
      <c r="AW4744" t="s">
        <v>11447</v>
      </c>
    </row>
    <row r="4745" spans="1:49">
      <c r="A4745" s="1">
        <f>HYPERLINK("https://lsnyc.legalserver.org/matter/dynamic-profile/view/1912119","19-1912119")</f>
        <v>0</v>
      </c>
      <c r="B4745" t="s">
        <v>234</v>
      </c>
      <c r="C4745" t="s">
        <v>551</v>
      </c>
      <c r="E4745" t="s">
        <v>2813</v>
      </c>
      <c r="F4745" t="s">
        <v>3814</v>
      </c>
      <c r="G4745" t="s">
        <v>9893</v>
      </c>
      <c r="H4745">
        <v>52</v>
      </c>
      <c r="I4745" t="s">
        <v>11386</v>
      </c>
      <c r="J4745">
        <v>10027</v>
      </c>
      <c r="K4745" t="s">
        <v>11446</v>
      </c>
      <c r="L4745" t="s">
        <v>14249</v>
      </c>
      <c r="M4745" t="s">
        <v>14744</v>
      </c>
      <c r="N4745" t="s">
        <v>14781</v>
      </c>
      <c r="P4745" t="s">
        <v>14806</v>
      </c>
      <c r="Q4745" t="s">
        <v>11448</v>
      </c>
      <c r="S4745" t="s">
        <v>14827</v>
      </c>
      <c r="T4745" t="s">
        <v>14832</v>
      </c>
      <c r="U4745" t="s">
        <v>551</v>
      </c>
      <c r="V4745">
        <v>298</v>
      </c>
      <c r="W4745" t="s">
        <v>14860</v>
      </c>
      <c r="X4745" t="s">
        <v>14865</v>
      </c>
      <c r="Z4745" t="s">
        <v>18798</v>
      </c>
      <c r="AA4745" t="s">
        <v>20029</v>
      </c>
      <c r="AB4745" t="s">
        <v>23983</v>
      </c>
      <c r="AC4745">
        <v>0</v>
      </c>
      <c r="AD4745" t="s">
        <v>24605</v>
      </c>
      <c r="AE4745" t="s">
        <v>24610</v>
      </c>
      <c r="AF4745">
        <v>20</v>
      </c>
      <c r="AG4745">
        <v>1</v>
      </c>
      <c r="AH4745">
        <v>0</v>
      </c>
      <c r="AI4745">
        <v>66.2</v>
      </c>
      <c r="AL4745" t="s">
        <v>5011</v>
      </c>
      <c r="AM4745">
        <v>8268</v>
      </c>
      <c r="AS4745">
        <v>8.4</v>
      </c>
      <c r="AT4745" t="s">
        <v>509</v>
      </c>
      <c r="AU4745" t="s">
        <v>25276</v>
      </c>
      <c r="AV4745" t="s">
        <v>25334</v>
      </c>
      <c r="AW4745" t="s">
        <v>11447</v>
      </c>
    </row>
    <row r="4746" spans="1:49">
      <c r="A4746" s="1">
        <f>HYPERLINK("https://lsnyc.legalserver.org/matter/dynamic-profile/view/1912081","19-1912081")</f>
        <v>0</v>
      </c>
      <c r="B4746" t="s">
        <v>217</v>
      </c>
      <c r="C4746" t="s">
        <v>551</v>
      </c>
      <c r="E4746" t="s">
        <v>1201</v>
      </c>
      <c r="F4746" t="s">
        <v>3969</v>
      </c>
      <c r="G4746" t="s">
        <v>9894</v>
      </c>
      <c r="H4746" t="s">
        <v>10484</v>
      </c>
      <c r="I4746" t="s">
        <v>11386</v>
      </c>
      <c r="J4746">
        <v>10031</v>
      </c>
      <c r="K4746" t="s">
        <v>11446</v>
      </c>
      <c r="L4746" t="s">
        <v>14250</v>
      </c>
      <c r="M4746" t="s">
        <v>14743</v>
      </c>
      <c r="N4746" t="s">
        <v>14781</v>
      </c>
      <c r="P4746" t="s">
        <v>14806</v>
      </c>
      <c r="Q4746" t="s">
        <v>11448</v>
      </c>
      <c r="S4746" t="s">
        <v>14827</v>
      </c>
      <c r="U4746" t="s">
        <v>551</v>
      </c>
      <c r="V4746">
        <v>1285</v>
      </c>
      <c r="W4746" t="s">
        <v>14860</v>
      </c>
      <c r="X4746" t="s">
        <v>14865</v>
      </c>
      <c r="Z4746" t="s">
        <v>18799</v>
      </c>
      <c r="AA4746" t="s">
        <v>20030</v>
      </c>
      <c r="AB4746" t="s">
        <v>23984</v>
      </c>
      <c r="AC4746">
        <v>0</v>
      </c>
      <c r="AD4746" t="s">
        <v>24595</v>
      </c>
      <c r="AE4746" t="s">
        <v>24617</v>
      </c>
      <c r="AF4746">
        <v>6</v>
      </c>
      <c r="AG4746">
        <v>1</v>
      </c>
      <c r="AH4746">
        <v>0</v>
      </c>
      <c r="AI4746">
        <v>80.13</v>
      </c>
      <c r="AL4746" t="s">
        <v>5011</v>
      </c>
      <c r="AM4746">
        <v>10008</v>
      </c>
      <c r="AS4746">
        <v>3.5</v>
      </c>
      <c r="AT4746" t="s">
        <v>491</v>
      </c>
      <c r="AU4746" t="s">
        <v>25276</v>
      </c>
      <c r="AV4746" t="s">
        <v>25334</v>
      </c>
      <c r="AW4746" t="s">
        <v>11447</v>
      </c>
    </row>
    <row r="4747" spans="1:49">
      <c r="A4747" s="1">
        <f>HYPERLINK("https://lsnyc.legalserver.org/matter/dynamic-profile/view/1912041","19-1912041")</f>
        <v>0</v>
      </c>
      <c r="B4747" t="s">
        <v>234</v>
      </c>
      <c r="C4747" t="s">
        <v>551</v>
      </c>
      <c r="E4747" t="s">
        <v>1323</v>
      </c>
      <c r="F4747" t="s">
        <v>5950</v>
      </c>
      <c r="G4747" t="s">
        <v>9895</v>
      </c>
      <c r="H4747" t="s">
        <v>10523</v>
      </c>
      <c r="I4747" t="s">
        <v>11386</v>
      </c>
      <c r="J4747">
        <v>10026</v>
      </c>
      <c r="K4747" t="s">
        <v>11446</v>
      </c>
      <c r="L4747" t="s">
        <v>14251</v>
      </c>
      <c r="M4747" t="s">
        <v>14744</v>
      </c>
      <c r="N4747" t="s">
        <v>14781</v>
      </c>
      <c r="P4747" t="s">
        <v>14806</v>
      </c>
      <c r="Q4747" t="s">
        <v>11448</v>
      </c>
      <c r="S4747" t="s">
        <v>14827</v>
      </c>
      <c r="U4747" t="s">
        <v>551</v>
      </c>
      <c r="V4747">
        <v>2775</v>
      </c>
      <c r="W4747" t="s">
        <v>14860</v>
      </c>
      <c r="X4747" t="s">
        <v>14865</v>
      </c>
      <c r="Z4747" t="s">
        <v>18800</v>
      </c>
      <c r="AB4747" t="s">
        <v>23985</v>
      </c>
      <c r="AC4747">
        <v>0</v>
      </c>
      <c r="AD4747" t="s">
        <v>24596</v>
      </c>
      <c r="AE4747" t="s">
        <v>24610</v>
      </c>
      <c r="AF4747">
        <v>20</v>
      </c>
      <c r="AG4747">
        <v>2</v>
      </c>
      <c r="AH4747">
        <v>3</v>
      </c>
      <c r="AI4747">
        <v>118.93</v>
      </c>
      <c r="AL4747" t="s">
        <v>5011</v>
      </c>
      <c r="AM4747">
        <v>35880</v>
      </c>
      <c r="AS4747">
        <v>13.8</v>
      </c>
      <c r="AT4747" t="s">
        <v>506</v>
      </c>
      <c r="AU4747" t="s">
        <v>25276</v>
      </c>
      <c r="AV4747" t="s">
        <v>25335</v>
      </c>
      <c r="AW4747" t="s">
        <v>11447</v>
      </c>
    </row>
    <row r="4748" spans="1:49">
      <c r="A4748" s="1">
        <f>HYPERLINK("https://lsnyc.legalserver.org/matter/dynamic-profile/view/1912679","19-1912679")</f>
        <v>0</v>
      </c>
      <c r="B4748" t="s">
        <v>249</v>
      </c>
      <c r="C4748" t="s">
        <v>578</v>
      </c>
      <c r="E4748" t="s">
        <v>1406</v>
      </c>
      <c r="F4748" t="s">
        <v>5951</v>
      </c>
      <c r="G4748" t="s">
        <v>9896</v>
      </c>
      <c r="H4748">
        <v>43</v>
      </c>
      <c r="I4748" t="s">
        <v>11386</v>
      </c>
      <c r="J4748">
        <v>10031</v>
      </c>
      <c r="K4748" t="s">
        <v>11446</v>
      </c>
      <c r="L4748" t="s">
        <v>14252</v>
      </c>
      <c r="M4748" t="s">
        <v>14744</v>
      </c>
      <c r="N4748" t="s">
        <v>14781</v>
      </c>
      <c r="P4748" t="s">
        <v>14806</v>
      </c>
      <c r="Q4748" t="s">
        <v>11448</v>
      </c>
      <c r="S4748" t="s">
        <v>14827</v>
      </c>
      <c r="U4748" t="s">
        <v>578</v>
      </c>
      <c r="V4748">
        <v>2800</v>
      </c>
      <c r="W4748" t="s">
        <v>14860</v>
      </c>
      <c r="X4748" t="s">
        <v>14863</v>
      </c>
      <c r="Z4748" t="s">
        <v>17423</v>
      </c>
      <c r="AB4748" t="s">
        <v>23986</v>
      </c>
      <c r="AC4748">
        <v>0</v>
      </c>
      <c r="AD4748" t="s">
        <v>11479</v>
      </c>
      <c r="AE4748" t="s">
        <v>11459</v>
      </c>
      <c r="AF4748">
        <v>2</v>
      </c>
      <c r="AG4748">
        <v>1</v>
      </c>
      <c r="AH4748">
        <v>0</v>
      </c>
      <c r="AI4748">
        <v>0</v>
      </c>
      <c r="AL4748" t="s">
        <v>5011</v>
      </c>
      <c r="AM4748">
        <v>0</v>
      </c>
      <c r="AS4748">
        <v>1.5</v>
      </c>
      <c r="AT4748" t="s">
        <v>578</v>
      </c>
      <c r="AU4748" t="s">
        <v>25276</v>
      </c>
      <c r="AV4748" t="s">
        <v>25335</v>
      </c>
      <c r="AW4748" t="s">
        <v>11447</v>
      </c>
    </row>
    <row r="4749" spans="1:49">
      <c r="A4749" s="1">
        <f>HYPERLINK("https://lsnyc.legalserver.org/matter/dynamic-profile/view/1912683","19-1912683")</f>
        <v>0</v>
      </c>
      <c r="B4749" t="s">
        <v>309</v>
      </c>
      <c r="C4749" t="s">
        <v>578</v>
      </c>
      <c r="E4749" t="s">
        <v>2271</v>
      </c>
      <c r="F4749" t="s">
        <v>3557</v>
      </c>
      <c r="G4749" t="s">
        <v>9897</v>
      </c>
      <c r="I4749" t="s">
        <v>11386</v>
      </c>
      <c r="J4749">
        <v>10026</v>
      </c>
      <c r="K4749" t="s">
        <v>11446</v>
      </c>
      <c r="L4749" t="s">
        <v>14253</v>
      </c>
      <c r="M4749" t="s">
        <v>14744</v>
      </c>
      <c r="N4749" t="s">
        <v>14781</v>
      </c>
      <c r="P4749" t="s">
        <v>14806</v>
      </c>
      <c r="Q4749" t="s">
        <v>11448</v>
      </c>
      <c r="S4749" t="s">
        <v>14827</v>
      </c>
      <c r="T4749" t="s">
        <v>14832</v>
      </c>
      <c r="U4749" t="s">
        <v>578</v>
      </c>
      <c r="V4749">
        <v>386</v>
      </c>
      <c r="W4749" t="s">
        <v>14860</v>
      </c>
      <c r="X4749" t="s">
        <v>14863</v>
      </c>
      <c r="Z4749" t="s">
        <v>17201</v>
      </c>
      <c r="AB4749" t="s">
        <v>23987</v>
      </c>
      <c r="AC4749">
        <v>0</v>
      </c>
      <c r="AD4749" t="s">
        <v>24605</v>
      </c>
      <c r="AE4749" t="s">
        <v>14755</v>
      </c>
      <c r="AF4749">
        <v>12</v>
      </c>
      <c r="AG4749">
        <v>1</v>
      </c>
      <c r="AH4749">
        <v>1</v>
      </c>
      <c r="AI4749">
        <v>19.99</v>
      </c>
      <c r="AL4749" t="s">
        <v>5011</v>
      </c>
      <c r="AM4749">
        <v>3380</v>
      </c>
      <c r="AS4749">
        <v>2.5</v>
      </c>
      <c r="AT4749" t="s">
        <v>484</v>
      </c>
      <c r="AU4749" t="s">
        <v>153</v>
      </c>
      <c r="AV4749" t="s">
        <v>25335</v>
      </c>
      <c r="AW4749" t="s">
        <v>11447</v>
      </c>
    </row>
    <row r="4750" spans="1:49">
      <c r="A4750" s="1">
        <f>HYPERLINK("https://lsnyc.legalserver.org/matter/dynamic-profile/view/1912697","19-1912697")</f>
        <v>0</v>
      </c>
      <c r="B4750" t="s">
        <v>320</v>
      </c>
      <c r="C4750" t="s">
        <v>578</v>
      </c>
      <c r="E4750" t="s">
        <v>2550</v>
      </c>
      <c r="F4750" t="s">
        <v>1828</v>
      </c>
      <c r="G4750" t="s">
        <v>9898</v>
      </c>
      <c r="I4750" t="s">
        <v>11386</v>
      </c>
      <c r="J4750">
        <v>10031</v>
      </c>
      <c r="K4750" t="s">
        <v>11446</v>
      </c>
      <c r="L4750" t="s">
        <v>14254</v>
      </c>
      <c r="M4750" t="s">
        <v>14744</v>
      </c>
      <c r="N4750" t="s">
        <v>14781</v>
      </c>
      <c r="P4750" t="s">
        <v>14806</v>
      </c>
      <c r="Q4750" t="s">
        <v>11448</v>
      </c>
      <c r="S4750" t="s">
        <v>14827</v>
      </c>
      <c r="U4750" t="s">
        <v>578</v>
      </c>
      <c r="V4750">
        <v>1178.73</v>
      </c>
      <c r="W4750" t="s">
        <v>14860</v>
      </c>
      <c r="X4750" t="s">
        <v>14865</v>
      </c>
      <c r="Z4750" t="s">
        <v>18801</v>
      </c>
      <c r="AA4750" t="s">
        <v>20031</v>
      </c>
      <c r="AB4750" t="s">
        <v>23988</v>
      </c>
      <c r="AC4750">
        <v>0</v>
      </c>
      <c r="AD4750" t="s">
        <v>24595</v>
      </c>
      <c r="AE4750" t="s">
        <v>11459</v>
      </c>
      <c r="AF4750">
        <v>10</v>
      </c>
      <c r="AG4750">
        <v>1</v>
      </c>
      <c r="AH4750">
        <v>3</v>
      </c>
      <c r="AI4750">
        <v>62.14</v>
      </c>
      <c r="AL4750" t="s">
        <v>24632</v>
      </c>
      <c r="AM4750">
        <v>16000</v>
      </c>
      <c r="AS4750">
        <v>4.2</v>
      </c>
      <c r="AT4750" t="s">
        <v>537</v>
      </c>
      <c r="AU4750" t="s">
        <v>25276</v>
      </c>
      <c r="AV4750" t="s">
        <v>25334</v>
      </c>
      <c r="AW4750" t="s">
        <v>11447</v>
      </c>
    </row>
    <row r="4751" spans="1:49">
      <c r="A4751" s="1">
        <f>HYPERLINK("https://lsnyc.legalserver.org/matter/dynamic-profile/view/1912665","19-1912665")</f>
        <v>0</v>
      </c>
      <c r="B4751" t="s">
        <v>309</v>
      </c>
      <c r="C4751" t="s">
        <v>578</v>
      </c>
      <c r="E4751" t="s">
        <v>3302</v>
      </c>
      <c r="F4751" t="s">
        <v>5952</v>
      </c>
      <c r="G4751" t="s">
        <v>9899</v>
      </c>
      <c r="H4751" t="s">
        <v>10460</v>
      </c>
      <c r="I4751" t="s">
        <v>11386</v>
      </c>
      <c r="J4751">
        <v>10031</v>
      </c>
      <c r="K4751" t="s">
        <v>11446</v>
      </c>
      <c r="L4751" t="s">
        <v>14255</v>
      </c>
      <c r="M4751" t="s">
        <v>14744</v>
      </c>
      <c r="N4751" t="s">
        <v>14781</v>
      </c>
      <c r="P4751" t="s">
        <v>14806</v>
      </c>
      <c r="Q4751" t="s">
        <v>11448</v>
      </c>
      <c r="S4751" t="s">
        <v>14827</v>
      </c>
      <c r="T4751" t="s">
        <v>14832</v>
      </c>
      <c r="U4751" t="s">
        <v>578</v>
      </c>
      <c r="V4751">
        <v>623.04</v>
      </c>
      <c r="W4751" t="s">
        <v>14860</v>
      </c>
      <c r="X4751" t="s">
        <v>14863</v>
      </c>
      <c r="Z4751" t="s">
        <v>18802</v>
      </c>
      <c r="AB4751" t="s">
        <v>23989</v>
      </c>
      <c r="AC4751">
        <v>0</v>
      </c>
      <c r="AD4751" t="s">
        <v>24605</v>
      </c>
      <c r="AE4751" t="s">
        <v>24610</v>
      </c>
      <c r="AF4751">
        <v>22</v>
      </c>
      <c r="AG4751">
        <v>1</v>
      </c>
      <c r="AH4751">
        <v>0</v>
      </c>
      <c r="AI4751">
        <v>83.3</v>
      </c>
      <c r="AL4751" t="s">
        <v>5011</v>
      </c>
      <c r="AM4751">
        <v>10404</v>
      </c>
      <c r="AS4751">
        <v>2.5</v>
      </c>
      <c r="AT4751" t="s">
        <v>483</v>
      </c>
      <c r="AU4751" t="s">
        <v>153</v>
      </c>
      <c r="AV4751" t="s">
        <v>25335</v>
      </c>
      <c r="AW4751" t="s">
        <v>11447</v>
      </c>
    </row>
    <row r="4752" spans="1:49">
      <c r="A4752" s="1">
        <f>HYPERLINK("https://lsnyc.legalserver.org/matter/dynamic-profile/view/1912668","19-1912668")</f>
        <v>0</v>
      </c>
      <c r="B4752" t="s">
        <v>320</v>
      </c>
      <c r="C4752" t="s">
        <v>578</v>
      </c>
      <c r="E4752" t="s">
        <v>1850</v>
      </c>
      <c r="F4752" t="s">
        <v>5107</v>
      </c>
      <c r="G4752" t="s">
        <v>9900</v>
      </c>
      <c r="H4752" t="s">
        <v>10689</v>
      </c>
      <c r="I4752" t="s">
        <v>11386</v>
      </c>
      <c r="J4752">
        <v>10027</v>
      </c>
      <c r="K4752" t="s">
        <v>11446</v>
      </c>
      <c r="L4752" t="s">
        <v>14256</v>
      </c>
      <c r="M4752" t="s">
        <v>14744</v>
      </c>
      <c r="N4752" t="s">
        <v>14781</v>
      </c>
      <c r="P4752" t="s">
        <v>14806</v>
      </c>
      <c r="Q4752" t="s">
        <v>11448</v>
      </c>
      <c r="S4752" t="s">
        <v>14827</v>
      </c>
      <c r="U4752" t="s">
        <v>578</v>
      </c>
      <c r="V4752">
        <v>1128.89</v>
      </c>
      <c r="W4752" t="s">
        <v>14860</v>
      </c>
      <c r="X4752" t="s">
        <v>14863</v>
      </c>
      <c r="Z4752" t="s">
        <v>18803</v>
      </c>
      <c r="AA4752" t="s">
        <v>20032</v>
      </c>
      <c r="AB4752" t="s">
        <v>23990</v>
      </c>
      <c r="AC4752">
        <v>0</v>
      </c>
      <c r="AD4752" t="s">
        <v>24595</v>
      </c>
      <c r="AE4752" t="s">
        <v>11459</v>
      </c>
      <c r="AF4752">
        <v>9</v>
      </c>
      <c r="AG4752">
        <v>1</v>
      </c>
      <c r="AH4752">
        <v>2</v>
      </c>
      <c r="AI4752">
        <v>106.89</v>
      </c>
      <c r="AL4752" t="s">
        <v>5011</v>
      </c>
      <c r="AM4752">
        <v>22800</v>
      </c>
      <c r="AS4752">
        <v>3.2</v>
      </c>
      <c r="AT4752" t="s">
        <v>495</v>
      </c>
      <c r="AU4752" t="s">
        <v>25276</v>
      </c>
      <c r="AV4752" t="s">
        <v>25334</v>
      </c>
      <c r="AW4752" t="s">
        <v>11447</v>
      </c>
    </row>
    <row r="4753" spans="1:49">
      <c r="A4753" s="1">
        <f>HYPERLINK("https://lsnyc.legalserver.org/matter/dynamic-profile/view/1912870","19-1912870")</f>
        <v>0</v>
      </c>
      <c r="B4753" t="s">
        <v>223</v>
      </c>
      <c r="C4753" t="s">
        <v>470</v>
      </c>
      <c r="E4753" t="s">
        <v>1855</v>
      </c>
      <c r="F4753" t="s">
        <v>3547</v>
      </c>
      <c r="G4753" t="s">
        <v>9901</v>
      </c>
      <c r="H4753" t="s">
        <v>10783</v>
      </c>
      <c r="I4753" t="s">
        <v>11386</v>
      </c>
      <c r="J4753">
        <v>10027</v>
      </c>
      <c r="K4753" t="s">
        <v>11446</v>
      </c>
      <c r="L4753" t="s">
        <v>14257</v>
      </c>
      <c r="M4753" t="s">
        <v>14744</v>
      </c>
      <c r="N4753" t="s">
        <v>14781</v>
      </c>
      <c r="P4753" t="s">
        <v>14806</v>
      </c>
      <c r="Q4753" t="s">
        <v>11448</v>
      </c>
      <c r="S4753" t="s">
        <v>14828</v>
      </c>
      <c r="U4753" t="s">
        <v>470</v>
      </c>
      <c r="V4753">
        <v>1469</v>
      </c>
      <c r="W4753" t="s">
        <v>14860</v>
      </c>
      <c r="X4753" t="s">
        <v>14863</v>
      </c>
      <c r="Z4753" t="s">
        <v>18329</v>
      </c>
      <c r="AA4753" t="s">
        <v>20033</v>
      </c>
      <c r="AB4753" t="s">
        <v>23991</v>
      </c>
      <c r="AC4753">
        <v>0</v>
      </c>
      <c r="AD4753" t="s">
        <v>24597</v>
      </c>
      <c r="AE4753" t="s">
        <v>11459</v>
      </c>
      <c r="AF4753">
        <v>40</v>
      </c>
      <c r="AG4753">
        <v>1</v>
      </c>
      <c r="AH4753">
        <v>2</v>
      </c>
      <c r="AI4753">
        <v>85.33</v>
      </c>
      <c r="AL4753" t="s">
        <v>5011</v>
      </c>
      <c r="AM4753">
        <v>18200</v>
      </c>
      <c r="AS4753">
        <v>6.6</v>
      </c>
      <c r="AT4753" t="s">
        <v>476</v>
      </c>
      <c r="AU4753" t="s">
        <v>25276</v>
      </c>
      <c r="AV4753" t="s">
        <v>25335</v>
      </c>
      <c r="AW4753" t="s">
        <v>11447</v>
      </c>
    </row>
    <row r="4754" spans="1:49">
      <c r="A4754" s="1">
        <f>HYPERLINK("https://lsnyc.legalserver.org/matter/dynamic-profile/view/1912793","19-1912793")</f>
        <v>0</v>
      </c>
      <c r="B4754" t="s">
        <v>188</v>
      </c>
      <c r="C4754" t="s">
        <v>470</v>
      </c>
      <c r="E4754" t="s">
        <v>1127</v>
      </c>
      <c r="F4754" t="s">
        <v>5953</v>
      </c>
      <c r="G4754" t="s">
        <v>9902</v>
      </c>
      <c r="H4754" t="s">
        <v>10527</v>
      </c>
      <c r="I4754" t="s">
        <v>11386</v>
      </c>
      <c r="J4754">
        <v>10025</v>
      </c>
      <c r="K4754" t="s">
        <v>11446</v>
      </c>
      <c r="L4754" t="s">
        <v>14258</v>
      </c>
      <c r="M4754" t="s">
        <v>14744</v>
      </c>
      <c r="N4754" t="s">
        <v>14781</v>
      </c>
      <c r="P4754" t="s">
        <v>14806</v>
      </c>
      <c r="Q4754" t="s">
        <v>11448</v>
      </c>
      <c r="S4754" t="s">
        <v>14827</v>
      </c>
      <c r="U4754" t="s">
        <v>574</v>
      </c>
      <c r="V4754">
        <v>154</v>
      </c>
      <c r="W4754" t="s">
        <v>14860</v>
      </c>
      <c r="X4754" t="s">
        <v>14865</v>
      </c>
      <c r="Z4754" t="s">
        <v>15010</v>
      </c>
      <c r="AA4754" t="s">
        <v>20034</v>
      </c>
      <c r="AB4754" t="s">
        <v>23992</v>
      </c>
      <c r="AC4754">
        <v>0</v>
      </c>
      <c r="AD4754" t="s">
        <v>24596</v>
      </c>
      <c r="AE4754" t="s">
        <v>24610</v>
      </c>
      <c r="AF4754">
        <v>35</v>
      </c>
      <c r="AG4754">
        <v>1</v>
      </c>
      <c r="AH4754">
        <v>0</v>
      </c>
      <c r="AI4754">
        <v>94.54000000000001</v>
      </c>
      <c r="AL4754" t="s">
        <v>24632</v>
      </c>
      <c r="AM4754">
        <v>11808</v>
      </c>
      <c r="AS4754">
        <v>4</v>
      </c>
      <c r="AT4754" t="s">
        <v>477</v>
      </c>
      <c r="AU4754" t="s">
        <v>25276</v>
      </c>
      <c r="AV4754" t="s">
        <v>25334</v>
      </c>
      <c r="AW4754" t="s">
        <v>11447</v>
      </c>
    </row>
    <row r="4755" spans="1:49">
      <c r="A4755" s="1">
        <f>HYPERLINK("https://lsnyc.legalserver.org/matter/dynamic-profile/view/1913234","19-1913234")</f>
        <v>0</v>
      </c>
      <c r="B4755" t="s">
        <v>161</v>
      </c>
      <c r="C4755" t="s">
        <v>515</v>
      </c>
      <c r="E4755" t="s">
        <v>1462</v>
      </c>
      <c r="F4755" t="s">
        <v>5538</v>
      </c>
      <c r="G4755" t="s">
        <v>9903</v>
      </c>
      <c r="I4755" t="s">
        <v>11386</v>
      </c>
      <c r="J4755">
        <v>10025</v>
      </c>
      <c r="K4755" t="s">
        <v>11446</v>
      </c>
      <c r="L4755" t="s">
        <v>14259</v>
      </c>
      <c r="M4755" t="s">
        <v>14743</v>
      </c>
      <c r="N4755" t="s">
        <v>14781</v>
      </c>
      <c r="P4755" t="s">
        <v>14806</v>
      </c>
      <c r="Q4755" t="s">
        <v>11448</v>
      </c>
      <c r="S4755" t="s">
        <v>14827</v>
      </c>
      <c r="U4755" t="s">
        <v>515</v>
      </c>
      <c r="V4755">
        <v>600</v>
      </c>
      <c r="W4755" t="s">
        <v>14860</v>
      </c>
      <c r="X4755" t="s">
        <v>14865</v>
      </c>
      <c r="Z4755" t="s">
        <v>18804</v>
      </c>
      <c r="AA4755" t="s">
        <v>20035</v>
      </c>
      <c r="AB4755" t="s">
        <v>23993</v>
      </c>
      <c r="AC4755">
        <v>0</v>
      </c>
      <c r="AD4755" t="s">
        <v>24595</v>
      </c>
      <c r="AF4755">
        <v>1</v>
      </c>
      <c r="AG4755">
        <v>2</v>
      </c>
      <c r="AH4755">
        <v>0</v>
      </c>
      <c r="AI4755">
        <v>0</v>
      </c>
      <c r="AL4755" t="s">
        <v>5011</v>
      </c>
      <c r="AM4755">
        <v>0</v>
      </c>
      <c r="AS4755">
        <v>5.5</v>
      </c>
      <c r="AT4755" t="s">
        <v>490</v>
      </c>
      <c r="AU4755" t="s">
        <v>25282</v>
      </c>
      <c r="AV4755" t="s">
        <v>25334</v>
      </c>
      <c r="AW4755" t="s">
        <v>11447</v>
      </c>
    </row>
    <row r="4756" spans="1:49">
      <c r="A4756" s="1">
        <f>HYPERLINK("https://lsnyc.legalserver.org/matter/dynamic-profile/view/1913225","19-1913225")</f>
        <v>0</v>
      </c>
      <c r="B4756" t="s">
        <v>309</v>
      </c>
      <c r="C4756" t="s">
        <v>515</v>
      </c>
      <c r="E4756" t="s">
        <v>3303</v>
      </c>
      <c r="F4756" t="s">
        <v>3975</v>
      </c>
      <c r="G4756" t="s">
        <v>9904</v>
      </c>
      <c r="H4756">
        <v>6</v>
      </c>
      <c r="I4756" t="s">
        <v>11386</v>
      </c>
      <c r="J4756">
        <v>10027</v>
      </c>
      <c r="K4756" t="s">
        <v>11446</v>
      </c>
      <c r="L4756" t="s">
        <v>14260</v>
      </c>
      <c r="M4756" t="s">
        <v>14744</v>
      </c>
      <c r="N4756" t="s">
        <v>14781</v>
      </c>
      <c r="P4756" t="s">
        <v>14806</v>
      </c>
      <c r="Q4756" t="s">
        <v>11448</v>
      </c>
      <c r="S4756" t="s">
        <v>14827</v>
      </c>
      <c r="T4756" t="s">
        <v>14832</v>
      </c>
      <c r="U4756" t="s">
        <v>515</v>
      </c>
      <c r="V4756">
        <v>430</v>
      </c>
      <c r="W4756" t="s">
        <v>14860</v>
      </c>
      <c r="X4756" t="s">
        <v>14863</v>
      </c>
      <c r="Z4756" t="s">
        <v>18805</v>
      </c>
      <c r="AB4756" t="s">
        <v>23994</v>
      </c>
      <c r="AC4756">
        <v>0</v>
      </c>
      <c r="AD4756" t="s">
        <v>11479</v>
      </c>
      <c r="AE4756" t="s">
        <v>11459</v>
      </c>
      <c r="AF4756">
        <v>10</v>
      </c>
      <c r="AG4756">
        <v>1</v>
      </c>
      <c r="AH4756">
        <v>0</v>
      </c>
      <c r="AI4756">
        <v>38.43</v>
      </c>
      <c r="AL4756" t="s">
        <v>5011</v>
      </c>
      <c r="AM4756">
        <v>4800</v>
      </c>
      <c r="AS4756">
        <v>2</v>
      </c>
      <c r="AT4756" t="s">
        <v>515</v>
      </c>
      <c r="AU4756" t="s">
        <v>153</v>
      </c>
      <c r="AV4756" t="s">
        <v>25335</v>
      </c>
      <c r="AW4756" t="s">
        <v>11447</v>
      </c>
    </row>
    <row r="4757" spans="1:49">
      <c r="A4757" s="1">
        <f>HYPERLINK("https://lsnyc.legalserver.org/matter/dynamic-profile/view/1913212","19-1913212")</f>
        <v>0</v>
      </c>
      <c r="B4757" t="s">
        <v>182</v>
      </c>
      <c r="C4757" t="s">
        <v>515</v>
      </c>
      <c r="E4757" t="s">
        <v>3304</v>
      </c>
      <c r="F4757" t="s">
        <v>5954</v>
      </c>
      <c r="G4757" t="s">
        <v>9905</v>
      </c>
      <c r="H4757" t="s">
        <v>10552</v>
      </c>
      <c r="I4757" t="s">
        <v>11386</v>
      </c>
      <c r="J4757">
        <v>10031</v>
      </c>
      <c r="K4757" t="s">
        <v>11446</v>
      </c>
      <c r="L4757" t="s">
        <v>14261</v>
      </c>
      <c r="M4757" t="s">
        <v>14743</v>
      </c>
      <c r="N4757" t="s">
        <v>14781</v>
      </c>
      <c r="P4757" t="s">
        <v>14806</v>
      </c>
      <c r="Q4757" t="s">
        <v>11448</v>
      </c>
      <c r="S4757" t="s">
        <v>14827</v>
      </c>
      <c r="T4757" t="s">
        <v>14832</v>
      </c>
      <c r="U4757" t="s">
        <v>515</v>
      </c>
      <c r="V4757">
        <v>800</v>
      </c>
      <c r="W4757" t="s">
        <v>14860</v>
      </c>
      <c r="X4757" t="s">
        <v>14865</v>
      </c>
      <c r="Z4757" t="s">
        <v>18806</v>
      </c>
      <c r="AB4757" t="s">
        <v>23995</v>
      </c>
      <c r="AC4757">
        <v>10</v>
      </c>
      <c r="AD4757" t="s">
        <v>24595</v>
      </c>
      <c r="AE4757" t="s">
        <v>24615</v>
      </c>
      <c r="AF4757">
        <v>23</v>
      </c>
      <c r="AG4757">
        <v>2</v>
      </c>
      <c r="AH4757">
        <v>2</v>
      </c>
      <c r="AI4757">
        <v>53.5</v>
      </c>
      <c r="AL4757" t="s">
        <v>5011</v>
      </c>
      <c r="AM4757">
        <v>13776</v>
      </c>
      <c r="AS4757">
        <v>1.5</v>
      </c>
      <c r="AT4757" t="s">
        <v>476</v>
      </c>
      <c r="AU4757" t="s">
        <v>206</v>
      </c>
      <c r="AV4757" t="s">
        <v>25335</v>
      </c>
      <c r="AW4757" t="s">
        <v>11447</v>
      </c>
    </row>
    <row r="4758" spans="1:49">
      <c r="A4758" s="1">
        <f>HYPERLINK("https://lsnyc.legalserver.org/matter/dynamic-profile/view/1913210","19-1913210")</f>
        <v>0</v>
      </c>
      <c r="B4758" t="s">
        <v>313</v>
      </c>
      <c r="C4758" t="s">
        <v>515</v>
      </c>
      <c r="E4758" t="s">
        <v>3000</v>
      </c>
      <c r="F4758" t="s">
        <v>1822</v>
      </c>
      <c r="G4758" t="s">
        <v>9906</v>
      </c>
      <c r="H4758" t="s">
        <v>10467</v>
      </c>
      <c r="I4758" t="s">
        <v>11386</v>
      </c>
      <c r="J4758">
        <v>10027</v>
      </c>
      <c r="K4758" t="s">
        <v>11446</v>
      </c>
      <c r="L4758" t="s">
        <v>14262</v>
      </c>
      <c r="M4758" t="s">
        <v>14744</v>
      </c>
      <c r="N4758" t="s">
        <v>14781</v>
      </c>
      <c r="P4758" t="s">
        <v>14806</v>
      </c>
      <c r="Q4758" t="s">
        <v>11448</v>
      </c>
      <c r="S4758" t="s">
        <v>14827</v>
      </c>
      <c r="T4758" t="s">
        <v>14832</v>
      </c>
      <c r="U4758" t="s">
        <v>515</v>
      </c>
      <c r="V4758">
        <v>780</v>
      </c>
      <c r="W4758" t="s">
        <v>14860</v>
      </c>
      <c r="X4758" t="s">
        <v>14863</v>
      </c>
      <c r="Z4758" t="s">
        <v>18807</v>
      </c>
      <c r="AB4758" t="s">
        <v>23996</v>
      </c>
      <c r="AC4758">
        <v>33</v>
      </c>
      <c r="AD4758" t="s">
        <v>24599</v>
      </c>
      <c r="AE4758" t="s">
        <v>11459</v>
      </c>
      <c r="AF4758">
        <v>55</v>
      </c>
      <c r="AG4758">
        <v>1</v>
      </c>
      <c r="AH4758">
        <v>0</v>
      </c>
      <c r="AI4758">
        <v>76.86</v>
      </c>
      <c r="AL4758" t="s">
        <v>5011</v>
      </c>
      <c r="AM4758">
        <v>9600</v>
      </c>
      <c r="AS4758">
        <v>0</v>
      </c>
      <c r="AU4758" t="s">
        <v>153</v>
      </c>
      <c r="AV4758" t="s">
        <v>25335</v>
      </c>
      <c r="AW4758" t="s">
        <v>11447</v>
      </c>
    </row>
    <row r="4759" spans="1:49">
      <c r="A4759" s="1">
        <f>HYPERLINK("https://lsnyc.legalserver.org/matter/dynamic-profile/view/1913206","19-1913206")</f>
        <v>0</v>
      </c>
      <c r="B4759" t="s">
        <v>309</v>
      </c>
      <c r="C4759" t="s">
        <v>515</v>
      </c>
      <c r="E4759" t="s">
        <v>1141</v>
      </c>
      <c r="F4759" t="s">
        <v>5955</v>
      </c>
      <c r="G4759" t="s">
        <v>9907</v>
      </c>
      <c r="H4759" t="s">
        <v>10467</v>
      </c>
      <c r="I4759" t="s">
        <v>11386</v>
      </c>
      <c r="J4759">
        <v>10026</v>
      </c>
      <c r="K4759" t="s">
        <v>11446</v>
      </c>
      <c r="L4759" t="s">
        <v>14263</v>
      </c>
      <c r="M4759" t="s">
        <v>14744</v>
      </c>
      <c r="N4759" t="s">
        <v>14781</v>
      </c>
      <c r="P4759" t="s">
        <v>14806</v>
      </c>
      <c r="Q4759" t="s">
        <v>11448</v>
      </c>
      <c r="S4759" t="s">
        <v>14827</v>
      </c>
      <c r="T4759" t="s">
        <v>14832</v>
      </c>
      <c r="U4759" t="s">
        <v>515</v>
      </c>
      <c r="V4759">
        <v>1078</v>
      </c>
      <c r="W4759" t="s">
        <v>14860</v>
      </c>
      <c r="X4759" t="s">
        <v>14863</v>
      </c>
      <c r="Z4759" t="s">
        <v>17853</v>
      </c>
      <c r="AB4759" t="s">
        <v>23997</v>
      </c>
      <c r="AC4759">
        <v>0</v>
      </c>
      <c r="AD4759" t="s">
        <v>24596</v>
      </c>
      <c r="AE4759" t="s">
        <v>24610</v>
      </c>
      <c r="AF4759">
        <v>26</v>
      </c>
      <c r="AG4759">
        <v>1</v>
      </c>
      <c r="AH4759">
        <v>1</v>
      </c>
      <c r="AI4759">
        <v>331.16</v>
      </c>
      <c r="AL4759" t="s">
        <v>5011</v>
      </c>
      <c r="AM4759">
        <v>56000</v>
      </c>
      <c r="AS4759">
        <v>5</v>
      </c>
      <c r="AT4759" t="s">
        <v>521</v>
      </c>
      <c r="AU4759" t="s">
        <v>153</v>
      </c>
      <c r="AV4759" t="s">
        <v>25335</v>
      </c>
      <c r="AW4759" t="s">
        <v>11447</v>
      </c>
    </row>
    <row r="4760" spans="1:49">
      <c r="A4760" s="1">
        <f>HYPERLINK("https://lsnyc.legalserver.org/matter/dynamic-profile/view/1911807","19-1911807")</f>
        <v>0</v>
      </c>
      <c r="B4760" t="s">
        <v>223</v>
      </c>
      <c r="C4760" t="s">
        <v>645</v>
      </c>
      <c r="E4760" t="s">
        <v>1372</v>
      </c>
      <c r="F4760" t="s">
        <v>3547</v>
      </c>
      <c r="G4760" t="s">
        <v>9901</v>
      </c>
      <c r="H4760" t="s">
        <v>11288</v>
      </c>
      <c r="I4760" t="s">
        <v>11386</v>
      </c>
      <c r="J4760">
        <v>10027</v>
      </c>
      <c r="K4760" t="s">
        <v>11446</v>
      </c>
      <c r="M4760" t="s">
        <v>14750</v>
      </c>
      <c r="N4760" t="s">
        <v>14783</v>
      </c>
      <c r="P4760" t="s">
        <v>14806</v>
      </c>
      <c r="Q4760" t="s">
        <v>11448</v>
      </c>
      <c r="S4760" t="s">
        <v>14828</v>
      </c>
      <c r="U4760" t="s">
        <v>484</v>
      </c>
      <c r="V4760">
        <v>0</v>
      </c>
      <c r="W4760" t="s">
        <v>14860</v>
      </c>
      <c r="Z4760" t="s">
        <v>18808</v>
      </c>
      <c r="AB4760" t="s">
        <v>23998</v>
      </c>
      <c r="AC4760">
        <v>0</v>
      </c>
      <c r="AD4760" t="s">
        <v>24597</v>
      </c>
      <c r="AF4760">
        <v>0</v>
      </c>
      <c r="AG4760">
        <v>1</v>
      </c>
      <c r="AH4760">
        <v>0</v>
      </c>
      <c r="AI4760">
        <v>74.08</v>
      </c>
      <c r="AL4760" t="s">
        <v>5011</v>
      </c>
      <c r="AM4760">
        <v>9252</v>
      </c>
      <c r="AS4760">
        <v>0</v>
      </c>
      <c r="AU4760" t="s">
        <v>145</v>
      </c>
      <c r="AV4760" t="s">
        <v>25335</v>
      </c>
      <c r="AW4760" t="s">
        <v>11447</v>
      </c>
    </row>
    <row r="4761" spans="1:49">
      <c r="A4761" s="1">
        <f>HYPERLINK("https://lsnyc.legalserver.org/matter/dynamic-profile/view/1913661","19-1913661")</f>
        <v>0</v>
      </c>
      <c r="B4761" t="s">
        <v>194</v>
      </c>
      <c r="C4761" t="s">
        <v>476</v>
      </c>
      <c r="E4761" t="s">
        <v>3305</v>
      </c>
      <c r="F4761" t="s">
        <v>1281</v>
      </c>
      <c r="G4761" t="s">
        <v>9908</v>
      </c>
      <c r="H4761" t="s">
        <v>10481</v>
      </c>
      <c r="I4761" t="s">
        <v>11386</v>
      </c>
      <c r="J4761">
        <v>10025</v>
      </c>
      <c r="K4761" t="s">
        <v>11446</v>
      </c>
      <c r="L4761" t="s">
        <v>14264</v>
      </c>
      <c r="M4761" t="s">
        <v>14744</v>
      </c>
      <c r="N4761" t="s">
        <v>14781</v>
      </c>
      <c r="P4761" t="s">
        <v>14806</v>
      </c>
      <c r="Q4761" t="s">
        <v>11448</v>
      </c>
      <c r="S4761" t="s">
        <v>14827</v>
      </c>
      <c r="T4761" t="s">
        <v>14832</v>
      </c>
      <c r="U4761" t="s">
        <v>476</v>
      </c>
      <c r="V4761">
        <v>272.25</v>
      </c>
      <c r="W4761" t="s">
        <v>14860</v>
      </c>
      <c r="X4761" t="s">
        <v>14863</v>
      </c>
      <c r="Z4761" t="s">
        <v>18809</v>
      </c>
      <c r="AB4761" t="s">
        <v>23999</v>
      </c>
      <c r="AC4761">
        <v>0</v>
      </c>
      <c r="AD4761" t="s">
        <v>11479</v>
      </c>
      <c r="AE4761" t="s">
        <v>11459</v>
      </c>
      <c r="AF4761">
        <v>43</v>
      </c>
      <c r="AG4761">
        <v>1</v>
      </c>
      <c r="AH4761">
        <v>0</v>
      </c>
      <c r="AI4761">
        <v>76.86</v>
      </c>
      <c r="AL4761" t="s">
        <v>24632</v>
      </c>
      <c r="AM4761">
        <v>9600</v>
      </c>
      <c r="AS4761">
        <v>2.1</v>
      </c>
      <c r="AT4761" t="s">
        <v>592</v>
      </c>
      <c r="AU4761" t="s">
        <v>153</v>
      </c>
      <c r="AV4761" t="s">
        <v>25335</v>
      </c>
      <c r="AW4761" t="s">
        <v>11447</v>
      </c>
    </row>
    <row r="4762" spans="1:49">
      <c r="A4762" s="1">
        <f>HYPERLINK("https://lsnyc.legalserver.org/matter/dynamic-profile/view/1913675","19-1913675")</f>
        <v>0</v>
      </c>
      <c r="B4762" t="s">
        <v>249</v>
      </c>
      <c r="C4762" t="s">
        <v>476</v>
      </c>
      <c r="E4762" t="s">
        <v>2003</v>
      </c>
      <c r="F4762" t="s">
        <v>4036</v>
      </c>
      <c r="G4762" t="s">
        <v>9909</v>
      </c>
      <c r="H4762" t="s">
        <v>10481</v>
      </c>
      <c r="I4762" t="s">
        <v>11386</v>
      </c>
      <c r="J4762">
        <v>10025</v>
      </c>
      <c r="K4762" t="s">
        <v>11446</v>
      </c>
      <c r="L4762" t="s">
        <v>14265</v>
      </c>
      <c r="M4762" t="s">
        <v>14744</v>
      </c>
      <c r="N4762" t="s">
        <v>14781</v>
      </c>
      <c r="P4762" t="s">
        <v>14806</v>
      </c>
      <c r="Q4762" t="s">
        <v>11448</v>
      </c>
      <c r="S4762" t="s">
        <v>14827</v>
      </c>
      <c r="T4762" t="s">
        <v>14832</v>
      </c>
      <c r="U4762" t="s">
        <v>476</v>
      </c>
      <c r="V4762">
        <v>901</v>
      </c>
      <c r="W4762" t="s">
        <v>14860</v>
      </c>
      <c r="X4762" t="s">
        <v>14863</v>
      </c>
      <c r="Z4762" t="s">
        <v>18810</v>
      </c>
      <c r="AB4762" t="s">
        <v>24000</v>
      </c>
      <c r="AC4762">
        <v>0</v>
      </c>
      <c r="AD4762" t="s">
        <v>24599</v>
      </c>
      <c r="AE4762" t="s">
        <v>11459</v>
      </c>
      <c r="AF4762">
        <v>18</v>
      </c>
      <c r="AG4762">
        <v>3</v>
      </c>
      <c r="AH4762">
        <v>2</v>
      </c>
      <c r="AI4762">
        <v>91.34999999999999</v>
      </c>
      <c r="AL4762" t="s">
        <v>5011</v>
      </c>
      <c r="AM4762">
        <v>27560</v>
      </c>
      <c r="AS4762">
        <v>0</v>
      </c>
      <c r="AU4762" t="s">
        <v>153</v>
      </c>
      <c r="AV4762" t="s">
        <v>25335</v>
      </c>
      <c r="AW4762" t="s">
        <v>11447</v>
      </c>
    </row>
    <row r="4763" spans="1:49">
      <c r="A4763" s="1">
        <f>HYPERLINK("https://lsnyc.legalserver.org/matter/dynamic-profile/view/1913665","19-1913665")</f>
        <v>0</v>
      </c>
      <c r="B4763" t="s">
        <v>161</v>
      </c>
      <c r="C4763" t="s">
        <v>476</v>
      </c>
      <c r="E4763" t="s">
        <v>1144</v>
      </c>
      <c r="F4763" t="s">
        <v>3814</v>
      </c>
      <c r="G4763" t="s">
        <v>9910</v>
      </c>
      <c r="H4763" t="s">
        <v>10586</v>
      </c>
      <c r="I4763" t="s">
        <v>11386</v>
      </c>
      <c r="J4763">
        <v>10026</v>
      </c>
      <c r="K4763" t="s">
        <v>11446</v>
      </c>
      <c r="L4763" t="s">
        <v>14266</v>
      </c>
      <c r="M4763" t="s">
        <v>14744</v>
      </c>
      <c r="N4763" t="s">
        <v>14781</v>
      </c>
      <c r="P4763" t="s">
        <v>14806</v>
      </c>
      <c r="Q4763" t="s">
        <v>11448</v>
      </c>
      <c r="S4763" t="s">
        <v>14827</v>
      </c>
      <c r="U4763" t="s">
        <v>476</v>
      </c>
      <c r="V4763">
        <v>687</v>
      </c>
      <c r="W4763" t="s">
        <v>14860</v>
      </c>
      <c r="X4763" t="s">
        <v>14863</v>
      </c>
      <c r="Z4763" t="s">
        <v>18811</v>
      </c>
      <c r="AB4763" t="s">
        <v>24001</v>
      </c>
      <c r="AC4763">
        <v>0</v>
      </c>
      <c r="AD4763" t="s">
        <v>24606</v>
      </c>
      <c r="AE4763" t="s">
        <v>11459</v>
      </c>
      <c r="AF4763">
        <v>0</v>
      </c>
      <c r="AG4763">
        <v>1</v>
      </c>
      <c r="AH4763">
        <v>0</v>
      </c>
      <c r="AI4763">
        <v>109.05</v>
      </c>
      <c r="AL4763" t="s">
        <v>5011</v>
      </c>
      <c r="AM4763">
        <v>13620</v>
      </c>
      <c r="AS4763">
        <v>0.8</v>
      </c>
      <c r="AT4763" t="s">
        <v>476</v>
      </c>
      <c r="AU4763" t="s">
        <v>25276</v>
      </c>
      <c r="AV4763" t="s">
        <v>25335</v>
      </c>
      <c r="AW4763" t="s">
        <v>11447</v>
      </c>
    </row>
    <row r="4764" spans="1:49">
      <c r="A4764" s="1">
        <f>HYPERLINK("https://lsnyc.legalserver.org/matter/dynamic-profile/view/1913687","19-1913687")</f>
        <v>0</v>
      </c>
      <c r="B4764" t="s">
        <v>249</v>
      </c>
      <c r="C4764" t="s">
        <v>476</v>
      </c>
      <c r="E4764" t="s">
        <v>1114</v>
      </c>
      <c r="F4764" t="s">
        <v>1067</v>
      </c>
      <c r="G4764" t="s">
        <v>9911</v>
      </c>
      <c r="H4764" t="s">
        <v>10859</v>
      </c>
      <c r="I4764" t="s">
        <v>11386</v>
      </c>
      <c r="J4764">
        <v>10027</v>
      </c>
      <c r="K4764" t="s">
        <v>11446</v>
      </c>
      <c r="L4764" t="s">
        <v>14267</v>
      </c>
      <c r="M4764" t="s">
        <v>14744</v>
      </c>
      <c r="N4764" t="s">
        <v>14781</v>
      </c>
      <c r="P4764" t="s">
        <v>14806</v>
      </c>
      <c r="Q4764" t="s">
        <v>11448</v>
      </c>
      <c r="S4764" t="s">
        <v>14827</v>
      </c>
      <c r="U4764" t="s">
        <v>476</v>
      </c>
      <c r="V4764">
        <v>335</v>
      </c>
      <c r="W4764" t="s">
        <v>14860</v>
      </c>
      <c r="X4764" t="s">
        <v>14865</v>
      </c>
      <c r="Z4764" t="s">
        <v>18812</v>
      </c>
      <c r="AA4764" t="s">
        <v>20036</v>
      </c>
      <c r="AB4764" t="s">
        <v>24002</v>
      </c>
      <c r="AC4764">
        <v>0</v>
      </c>
      <c r="AD4764" t="s">
        <v>24605</v>
      </c>
      <c r="AE4764" t="s">
        <v>14755</v>
      </c>
      <c r="AF4764">
        <v>13</v>
      </c>
      <c r="AG4764">
        <v>1</v>
      </c>
      <c r="AH4764">
        <v>0</v>
      </c>
      <c r="AI4764">
        <v>120.67</v>
      </c>
      <c r="AL4764" t="s">
        <v>5011</v>
      </c>
      <c r="AM4764">
        <v>15072</v>
      </c>
      <c r="AS4764">
        <v>1</v>
      </c>
      <c r="AT4764" t="s">
        <v>476</v>
      </c>
      <c r="AU4764" t="s">
        <v>25276</v>
      </c>
      <c r="AV4764" t="s">
        <v>25334</v>
      </c>
      <c r="AW4764" t="s">
        <v>11447</v>
      </c>
    </row>
    <row r="4765" spans="1:49">
      <c r="A4765" s="1">
        <f>HYPERLINK("https://lsnyc.legalserver.org/matter/dynamic-profile/view/1913736","19-1913736")</f>
        <v>0</v>
      </c>
      <c r="B4765" t="s">
        <v>311</v>
      </c>
      <c r="C4765" t="s">
        <v>476</v>
      </c>
      <c r="E4765" t="s">
        <v>1715</v>
      </c>
      <c r="F4765" t="s">
        <v>5956</v>
      </c>
      <c r="G4765" t="s">
        <v>9912</v>
      </c>
      <c r="H4765" t="s">
        <v>10575</v>
      </c>
      <c r="I4765" t="s">
        <v>11386</v>
      </c>
      <c r="J4765">
        <v>10031</v>
      </c>
      <c r="K4765" t="s">
        <v>11446</v>
      </c>
      <c r="L4765" t="s">
        <v>14268</v>
      </c>
      <c r="M4765" t="s">
        <v>14744</v>
      </c>
      <c r="N4765" t="s">
        <v>14781</v>
      </c>
      <c r="P4765" t="s">
        <v>14806</v>
      </c>
      <c r="Q4765" t="s">
        <v>11448</v>
      </c>
      <c r="S4765" t="s">
        <v>14827</v>
      </c>
      <c r="U4765" t="s">
        <v>476</v>
      </c>
      <c r="V4765">
        <v>1490</v>
      </c>
      <c r="W4765" t="s">
        <v>14860</v>
      </c>
      <c r="X4765" t="s">
        <v>14863</v>
      </c>
      <c r="Z4765" t="s">
        <v>17076</v>
      </c>
      <c r="AB4765" t="s">
        <v>24003</v>
      </c>
      <c r="AC4765">
        <v>0</v>
      </c>
      <c r="AD4765" t="s">
        <v>24595</v>
      </c>
      <c r="AE4765" t="s">
        <v>11459</v>
      </c>
      <c r="AF4765">
        <v>25</v>
      </c>
      <c r="AG4765">
        <v>1</v>
      </c>
      <c r="AH4765">
        <v>0</v>
      </c>
      <c r="AI4765">
        <v>152.44</v>
      </c>
      <c r="AL4765" t="s">
        <v>24632</v>
      </c>
      <c r="AM4765">
        <v>19040</v>
      </c>
      <c r="AS4765">
        <v>2.25</v>
      </c>
      <c r="AT4765" t="s">
        <v>592</v>
      </c>
      <c r="AU4765" t="s">
        <v>25276</v>
      </c>
      <c r="AV4765" t="s">
        <v>25335</v>
      </c>
      <c r="AW4765" t="s">
        <v>11447</v>
      </c>
    </row>
    <row r="4766" spans="1:49">
      <c r="A4766" s="1">
        <f>HYPERLINK("https://lsnyc.legalserver.org/matter/dynamic-profile/view/1913739","19-1913739")</f>
        <v>0</v>
      </c>
      <c r="B4766" t="s">
        <v>161</v>
      </c>
      <c r="C4766" t="s">
        <v>476</v>
      </c>
      <c r="E4766" t="s">
        <v>1316</v>
      </c>
      <c r="F4766" t="s">
        <v>4365</v>
      </c>
      <c r="G4766" t="s">
        <v>9816</v>
      </c>
      <c r="H4766" t="s">
        <v>10568</v>
      </c>
      <c r="I4766" t="s">
        <v>11386</v>
      </c>
      <c r="J4766">
        <v>10026</v>
      </c>
      <c r="K4766" t="s">
        <v>11446</v>
      </c>
      <c r="L4766" t="s">
        <v>14269</v>
      </c>
      <c r="M4766" t="s">
        <v>14744</v>
      </c>
      <c r="N4766" t="s">
        <v>14781</v>
      </c>
      <c r="P4766" t="s">
        <v>14806</v>
      </c>
      <c r="Q4766" t="s">
        <v>11448</v>
      </c>
      <c r="S4766" t="s">
        <v>14827</v>
      </c>
      <c r="T4766" t="s">
        <v>14837</v>
      </c>
      <c r="U4766" t="s">
        <v>476</v>
      </c>
      <c r="V4766">
        <v>654.71</v>
      </c>
      <c r="W4766" t="s">
        <v>14860</v>
      </c>
      <c r="X4766" t="s">
        <v>14863</v>
      </c>
      <c r="Z4766" t="s">
        <v>18813</v>
      </c>
      <c r="AB4766" t="s">
        <v>24004</v>
      </c>
      <c r="AC4766">
        <v>0</v>
      </c>
      <c r="AD4766" t="s">
        <v>24606</v>
      </c>
      <c r="AE4766" t="s">
        <v>11459</v>
      </c>
      <c r="AF4766">
        <v>10</v>
      </c>
      <c r="AG4766">
        <v>1</v>
      </c>
      <c r="AH4766">
        <v>1</v>
      </c>
      <c r="AI4766">
        <v>153.76</v>
      </c>
      <c r="AL4766" t="s">
        <v>5011</v>
      </c>
      <c r="AM4766">
        <v>26000</v>
      </c>
      <c r="AS4766">
        <v>0.8</v>
      </c>
      <c r="AT4766" t="s">
        <v>476</v>
      </c>
      <c r="AU4766" t="s">
        <v>153</v>
      </c>
      <c r="AV4766" t="s">
        <v>25335</v>
      </c>
      <c r="AW4766" t="s">
        <v>11447</v>
      </c>
    </row>
    <row r="4767" spans="1:49">
      <c r="A4767" s="1">
        <f>HYPERLINK("https://lsnyc.legalserver.org/matter/dynamic-profile/view/1913699","19-1913699")</f>
        <v>0</v>
      </c>
      <c r="B4767" t="s">
        <v>249</v>
      </c>
      <c r="C4767" t="s">
        <v>476</v>
      </c>
      <c r="E4767" t="s">
        <v>3306</v>
      </c>
      <c r="F4767" t="s">
        <v>3695</v>
      </c>
      <c r="G4767" t="s">
        <v>9913</v>
      </c>
      <c r="H4767" t="s">
        <v>10581</v>
      </c>
      <c r="I4767" t="s">
        <v>11386</v>
      </c>
      <c r="J4767">
        <v>10026</v>
      </c>
      <c r="K4767" t="s">
        <v>11446</v>
      </c>
      <c r="L4767" t="s">
        <v>14270</v>
      </c>
      <c r="M4767" t="s">
        <v>14744</v>
      </c>
      <c r="N4767" t="s">
        <v>14781</v>
      </c>
      <c r="P4767" t="s">
        <v>14806</v>
      </c>
      <c r="Q4767" t="s">
        <v>11448</v>
      </c>
      <c r="S4767" t="s">
        <v>14827</v>
      </c>
      <c r="U4767" t="s">
        <v>476</v>
      </c>
      <c r="V4767">
        <v>816</v>
      </c>
      <c r="W4767" t="s">
        <v>14860</v>
      </c>
      <c r="X4767" t="s">
        <v>14863</v>
      </c>
      <c r="Z4767" t="s">
        <v>18814</v>
      </c>
      <c r="AB4767" t="s">
        <v>24005</v>
      </c>
      <c r="AC4767">
        <v>0</v>
      </c>
      <c r="AD4767" t="s">
        <v>24595</v>
      </c>
      <c r="AE4767" t="s">
        <v>11459</v>
      </c>
      <c r="AF4767">
        <v>28</v>
      </c>
      <c r="AG4767">
        <v>3</v>
      </c>
      <c r="AH4767">
        <v>1</v>
      </c>
      <c r="AI4767">
        <v>157.06</v>
      </c>
      <c r="AL4767" t="s">
        <v>5011</v>
      </c>
      <c r="AM4767">
        <v>40443</v>
      </c>
      <c r="AS4767">
        <v>3.75</v>
      </c>
      <c r="AT4767" t="s">
        <v>478</v>
      </c>
      <c r="AU4767" t="s">
        <v>153</v>
      </c>
      <c r="AV4767" t="s">
        <v>25335</v>
      </c>
      <c r="AW4767" t="s">
        <v>11447</v>
      </c>
    </row>
    <row r="4768" spans="1:49">
      <c r="A4768" s="1">
        <f>HYPERLINK("https://lsnyc.legalserver.org/matter/dynamic-profile/view/1913867","19-1913867")</f>
        <v>0</v>
      </c>
      <c r="B4768" t="s">
        <v>215</v>
      </c>
      <c r="C4768" t="s">
        <v>533</v>
      </c>
      <c r="E4768" t="s">
        <v>1906</v>
      </c>
      <c r="F4768" t="s">
        <v>5957</v>
      </c>
      <c r="G4768" t="s">
        <v>9914</v>
      </c>
      <c r="H4768" t="s">
        <v>10658</v>
      </c>
      <c r="I4768" t="s">
        <v>11386</v>
      </c>
      <c r="J4768">
        <v>10029</v>
      </c>
      <c r="K4768" t="s">
        <v>11446</v>
      </c>
      <c r="L4768" t="s">
        <v>14271</v>
      </c>
      <c r="M4768" t="s">
        <v>14750</v>
      </c>
      <c r="N4768" t="s">
        <v>14783</v>
      </c>
      <c r="P4768" t="s">
        <v>14806</v>
      </c>
      <c r="Q4768" t="s">
        <v>11448</v>
      </c>
      <c r="S4768" t="s">
        <v>14828</v>
      </c>
      <c r="U4768" t="s">
        <v>533</v>
      </c>
      <c r="V4768">
        <v>215</v>
      </c>
      <c r="W4768" t="s">
        <v>14860</v>
      </c>
      <c r="X4768" t="s">
        <v>14755</v>
      </c>
      <c r="Z4768" t="s">
        <v>18815</v>
      </c>
      <c r="AB4768" t="s">
        <v>24006</v>
      </c>
      <c r="AC4768">
        <v>0</v>
      </c>
      <c r="AD4768" t="s">
        <v>24597</v>
      </c>
      <c r="AE4768" t="s">
        <v>11459</v>
      </c>
      <c r="AF4768">
        <v>24</v>
      </c>
      <c r="AG4768">
        <v>1</v>
      </c>
      <c r="AH4768">
        <v>0</v>
      </c>
      <c r="AI4768">
        <v>17.49</v>
      </c>
      <c r="AL4768" t="s">
        <v>5011</v>
      </c>
      <c r="AM4768">
        <v>2184</v>
      </c>
      <c r="AS4768">
        <v>6.4</v>
      </c>
      <c r="AT4768" t="s">
        <v>521</v>
      </c>
      <c r="AU4768" t="s">
        <v>25270</v>
      </c>
      <c r="AV4768" t="s">
        <v>25335</v>
      </c>
      <c r="AW4768" t="s">
        <v>11447</v>
      </c>
    </row>
    <row r="4769" spans="1:49">
      <c r="A4769" s="1">
        <f>HYPERLINK("https://lsnyc.legalserver.org/matter/dynamic-profile/view/1913717","19-1913717")</f>
        <v>0</v>
      </c>
      <c r="B4769" t="s">
        <v>194</v>
      </c>
      <c r="C4769" t="s">
        <v>476</v>
      </c>
      <c r="E4769" t="s">
        <v>3307</v>
      </c>
      <c r="F4769" t="s">
        <v>5958</v>
      </c>
      <c r="G4769" t="s">
        <v>9915</v>
      </c>
      <c r="H4769" t="s">
        <v>10559</v>
      </c>
      <c r="I4769" t="s">
        <v>11386</v>
      </c>
      <c r="J4769">
        <v>10025</v>
      </c>
      <c r="K4769" t="s">
        <v>11446</v>
      </c>
      <c r="L4769" t="s">
        <v>14272</v>
      </c>
      <c r="M4769" t="s">
        <v>14743</v>
      </c>
      <c r="N4769" t="s">
        <v>14781</v>
      </c>
      <c r="P4769" t="s">
        <v>14806</v>
      </c>
      <c r="Q4769" t="s">
        <v>11448</v>
      </c>
      <c r="S4769" t="s">
        <v>14827</v>
      </c>
      <c r="U4769" t="s">
        <v>580</v>
      </c>
      <c r="V4769">
        <v>2100</v>
      </c>
      <c r="W4769" t="s">
        <v>14860</v>
      </c>
      <c r="X4769" t="s">
        <v>14865</v>
      </c>
      <c r="Z4769" t="s">
        <v>18816</v>
      </c>
      <c r="AB4769" t="s">
        <v>24007</v>
      </c>
      <c r="AC4769">
        <v>0</v>
      </c>
      <c r="AD4769" t="s">
        <v>11479</v>
      </c>
      <c r="AE4769" t="s">
        <v>11459</v>
      </c>
      <c r="AF4769">
        <v>1</v>
      </c>
      <c r="AG4769">
        <v>1</v>
      </c>
      <c r="AH4769">
        <v>0</v>
      </c>
      <c r="AI4769">
        <v>0</v>
      </c>
      <c r="AL4769" t="s">
        <v>5011</v>
      </c>
      <c r="AM4769">
        <v>0</v>
      </c>
      <c r="AS4769">
        <v>4.5</v>
      </c>
      <c r="AT4769" t="s">
        <v>495</v>
      </c>
      <c r="AU4769" t="s">
        <v>153</v>
      </c>
      <c r="AV4769" t="s">
        <v>25335</v>
      </c>
      <c r="AW4769" t="s">
        <v>11447</v>
      </c>
    </row>
    <row r="4770" spans="1:49">
      <c r="A4770" s="1">
        <f>HYPERLINK("https://lsnyc.legalserver.org/matter/dynamic-profile/view/1914231","19-1914231")</f>
        <v>0</v>
      </c>
      <c r="B4770" t="s">
        <v>234</v>
      </c>
      <c r="C4770" t="s">
        <v>539</v>
      </c>
      <c r="E4770" t="s">
        <v>1201</v>
      </c>
      <c r="F4770" t="s">
        <v>5959</v>
      </c>
      <c r="G4770" t="s">
        <v>9916</v>
      </c>
      <c r="H4770">
        <v>23</v>
      </c>
      <c r="I4770" t="s">
        <v>11386</v>
      </c>
      <c r="J4770">
        <v>10027</v>
      </c>
      <c r="K4770" t="s">
        <v>11446</v>
      </c>
      <c r="L4770" t="s">
        <v>14273</v>
      </c>
      <c r="M4770" t="s">
        <v>14743</v>
      </c>
      <c r="N4770" t="s">
        <v>14781</v>
      </c>
      <c r="P4770" t="s">
        <v>14806</v>
      </c>
      <c r="Q4770" t="s">
        <v>11448</v>
      </c>
      <c r="S4770" t="s">
        <v>14827</v>
      </c>
      <c r="U4770" t="s">
        <v>539</v>
      </c>
      <c r="V4770">
        <v>852.3</v>
      </c>
      <c r="W4770" t="s">
        <v>14860</v>
      </c>
      <c r="X4770" t="s">
        <v>14863</v>
      </c>
      <c r="Z4770" t="s">
        <v>18817</v>
      </c>
      <c r="AB4770" t="s">
        <v>24008</v>
      </c>
      <c r="AC4770">
        <v>0</v>
      </c>
      <c r="AD4770" t="s">
        <v>24595</v>
      </c>
      <c r="AE4770" t="s">
        <v>11459</v>
      </c>
      <c r="AF4770">
        <v>5</v>
      </c>
      <c r="AG4770">
        <v>1</v>
      </c>
      <c r="AH4770">
        <v>0</v>
      </c>
      <c r="AI4770">
        <v>0</v>
      </c>
      <c r="AL4770" t="s">
        <v>5011</v>
      </c>
      <c r="AM4770">
        <v>0</v>
      </c>
      <c r="AS4770">
        <v>2.9</v>
      </c>
      <c r="AT4770" t="s">
        <v>521</v>
      </c>
      <c r="AU4770" t="s">
        <v>25276</v>
      </c>
      <c r="AV4770" t="s">
        <v>25335</v>
      </c>
      <c r="AW4770" t="s">
        <v>11447</v>
      </c>
    </row>
    <row r="4771" spans="1:49">
      <c r="A4771" s="1">
        <f>HYPERLINK("https://lsnyc.legalserver.org/matter/dynamic-profile/view/1914218","19-1914218")</f>
        <v>0</v>
      </c>
      <c r="B4771" t="s">
        <v>223</v>
      </c>
      <c r="C4771" t="s">
        <v>539</v>
      </c>
      <c r="E4771" t="s">
        <v>1258</v>
      </c>
      <c r="F4771" t="s">
        <v>1093</v>
      </c>
      <c r="G4771" t="s">
        <v>9917</v>
      </c>
      <c r="H4771" t="s">
        <v>10541</v>
      </c>
      <c r="I4771" t="s">
        <v>11386</v>
      </c>
      <c r="J4771">
        <v>10025</v>
      </c>
      <c r="K4771" t="s">
        <v>11446</v>
      </c>
      <c r="L4771" t="s">
        <v>14274</v>
      </c>
      <c r="M4771" t="s">
        <v>14744</v>
      </c>
      <c r="N4771" t="s">
        <v>14781</v>
      </c>
      <c r="P4771" t="s">
        <v>14806</v>
      </c>
      <c r="Q4771" t="s">
        <v>11448</v>
      </c>
      <c r="S4771" t="s">
        <v>14828</v>
      </c>
      <c r="T4771" t="s">
        <v>14832</v>
      </c>
      <c r="U4771" t="s">
        <v>539</v>
      </c>
      <c r="V4771">
        <v>805.4400000000001</v>
      </c>
      <c r="W4771" t="s">
        <v>14860</v>
      </c>
      <c r="X4771" t="s">
        <v>14863</v>
      </c>
      <c r="Z4771" t="s">
        <v>18818</v>
      </c>
      <c r="AB4771" t="s">
        <v>24009</v>
      </c>
      <c r="AC4771">
        <v>0</v>
      </c>
      <c r="AD4771" t="s">
        <v>24595</v>
      </c>
      <c r="AE4771" t="s">
        <v>11459</v>
      </c>
      <c r="AF4771">
        <v>25</v>
      </c>
      <c r="AG4771">
        <v>1</v>
      </c>
      <c r="AH4771">
        <v>0</v>
      </c>
      <c r="AI4771">
        <v>0</v>
      </c>
      <c r="AL4771" t="s">
        <v>5011</v>
      </c>
      <c r="AM4771">
        <v>0</v>
      </c>
      <c r="AS4771">
        <v>4</v>
      </c>
      <c r="AT4771" t="s">
        <v>495</v>
      </c>
      <c r="AU4771" t="s">
        <v>153</v>
      </c>
      <c r="AV4771" t="s">
        <v>25335</v>
      </c>
      <c r="AW4771" t="s">
        <v>11447</v>
      </c>
    </row>
    <row r="4772" spans="1:49">
      <c r="A4772" s="1">
        <f>HYPERLINK("https://lsnyc.legalserver.org/matter/dynamic-profile/view/1914251","19-1914251")</f>
        <v>0</v>
      </c>
      <c r="B4772" t="s">
        <v>223</v>
      </c>
      <c r="C4772" t="s">
        <v>539</v>
      </c>
      <c r="E4772" t="s">
        <v>1264</v>
      </c>
      <c r="F4772" t="s">
        <v>5960</v>
      </c>
      <c r="G4772" t="s">
        <v>9918</v>
      </c>
      <c r="H4772" t="s">
        <v>10728</v>
      </c>
      <c r="I4772" t="s">
        <v>11386</v>
      </c>
      <c r="J4772">
        <v>10032</v>
      </c>
      <c r="K4772" t="s">
        <v>11446</v>
      </c>
      <c r="L4772" t="s">
        <v>14275</v>
      </c>
      <c r="M4772" t="s">
        <v>14744</v>
      </c>
      <c r="N4772" t="s">
        <v>14781</v>
      </c>
      <c r="P4772" t="s">
        <v>14806</v>
      </c>
      <c r="Q4772" t="s">
        <v>11448</v>
      </c>
      <c r="S4772" t="s">
        <v>14827</v>
      </c>
      <c r="T4772" t="s">
        <v>14834</v>
      </c>
      <c r="U4772" t="s">
        <v>539</v>
      </c>
      <c r="V4772">
        <v>1737.17</v>
      </c>
      <c r="W4772" t="s">
        <v>14860</v>
      </c>
      <c r="X4772" t="s">
        <v>14865</v>
      </c>
      <c r="Z4772" t="s">
        <v>18819</v>
      </c>
      <c r="AA4772" t="s">
        <v>20037</v>
      </c>
      <c r="AB4772" t="s">
        <v>24010</v>
      </c>
      <c r="AC4772">
        <v>0</v>
      </c>
      <c r="AD4772" t="s">
        <v>24595</v>
      </c>
      <c r="AE4772" t="s">
        <v>11459</v>
      </c>
      <c r="AF4772">
        <v>27</v>
      </c>
      <c r="AG4772">
        <v>2</v>
      </c>
      <c r="AH4772">
        <v>0</v>
      </c>
      <c r="AI4772">
        <v>10.61</v>
      </c>
      <c r="AM4772">
        <v>1794</v>
      </c>
      <c r="AS4772">
        <v>5.2</v>
      </c>
      <c r="AT4772" t="s">
        <v>516</v>
      </c>
      <c r="AU4772" t="s">
        <v>153</v>
      </c>
      <c r="AV4772" t="s">
        <v>25334</v>
      </c>
      <c r="AW4772" t="s">
        <v>11447</v>
      </c>
    </row>
    <row r="4773" spans="1:49">
      <c r="A4773" s="1">
        <f>HYPERLINK("https://lsnyc.legalserver.org/matter/dynamic-profile/view/1914300","19-1914300")</f>
        <v>0</v>
      </c>
      <c r="B4773" t="s">
        <v>311</v>
      </c>
      <c r="C4773" t="s">
        <v>539</v>
      </c>
      <c r="E4773" t="s">
        <v>3308</v>
      </c>
      <c r="F4773" t="s">
        <v>5961</v>
      </c>
      <c r="G4773" t="s">
        <v>9919</v>
      </c>
      <c r="I4773" t="s">
        <v>11386</v>
      </c>
      <c r="J4773">
        <v>10027</v>
      </c>
      <c r="K4773" t="s">
        <v>11446</v>
      </c>
      <c r="L4773" t="s">
        <v>14276</v>
      </c>
      <c r="M4773" t="s">
        <v>14744</v>
      </c>
      <c r="N4773" t="s">
        <v>14781</v>
      </c>
      <c r="P4773" t="s">
        <v>14806</v>
      </c>
      <c r="Q4773" t="s">
        <v>11448</v>
      </c>
      <c r="S4773" t="s">
        <v>14828</v>
      </c>
      <c r="U4773" t="s">
        <v>539</v>
      </c>
      <c r="V4773">
        <v>454</v>
      </c>
      <c r="W4773" t="s">
        <v>14860</v>
      </c>
      <c r="X4773" t="s">
        <v>14865</v>
      </c>
      <c r="Z4773" t="s">
        <v>18820</v>
      </c>
      <c r="AA4773" t="s">
        <v>20038</v>
      </c>
      <c r="AB4773" t="s">
        <v>24011</v>
      </c>
      <c r="AC4773">
        <v>0</v>
      </c>
      <c r="AD4773" t="s">
        <v>24597</v>
      </c>
      <c r="AE4773" t="s">
        <v>11459</v>
      </c>
      <c r="AF4773">
        <v>27</v>
      </c>
      <c r="AG4773">
        <v>1</v>
      </c>
      <c r="AH4773">
        <v>1</v>
      </c>
      <c r="AI4773">
        <v>82.79000000000001</v>
      </c>
      <c r="AL4773" t="s">
        <v>5011</v>
      </c>
      <c r="AM4773">
        <v>14000</v>
      </c>
      <c r="AS4773">
        <v>4.5</v>
      </c>
      <c r="AT4773" t="s">
        <v>592</v>
      </c>
      <c r="AU4773" t="s">
        <v>25276</v>
      </c>
      <c r="AV4773" t="s">
        <v>25334</v>
      </c>
      <c r="AW4773" t="s">
        <v>11447</v>
      </c>
    </row>
    <row r="4774" spans="1:49">
      <c r="A4774" s="1">
        <f>HYPERLINK("https://lsnyc.legalserver.org/matter/dynamic-profile/view/1914258","19-1914258")</f>
        <v>0</v>
      </c>
      <c r="B4774" t="s">
        <v>223</v>
      </c>
      <c r="C4774" t="s">
        <v>539</v>
      </c>
      <c r="E4774" t="s">
        <v>1123</v>
      </c>
      <c r="F4774" t="s">
        <v>3967</v>
      </c>
      <c r="G4774" t="s">
        <v>9920</v>
      </c>
      <c r="H4774">
        <v>41</v>
      </c>
      <c r="I4774" t="s">
        <v>11386</v>
      </c>
      <c r="J4774">
        <v>10031</v>
      </c>
      <c r="K4774" t="s">
        <v>11446</v>
      </c>
      <c r="L4774" t="s">
        <v>14277</v>
      </c>
      <c r="M4774" t="s">
        <v>14744</v>
      </c>
      <c r="N4774" t="s">
        <v>14781</v>
      </c>
      <c r="P4774" t="s">
        <v>14806</v>
      </c>
      <c r="Q4774" t="s">
        <v>11448</v>
      </c>
      <c r="S4774" t="s">
        <v>14827</v>
      </c>
      <c r="U4774" t="s">
        <v>539</v>
      </c>
      <c r="V4774">
        <v>790.28</v>
      </c>
      <c r="W4774" t="s">
        <v>14860</v>
      </c>
      <c r="X4774" t="s">
        <v>14865</v>
      </c>
      <c r="Z4774" t="s">
        <v>18821</v>
      </c>
      <c r="AA4774" t="s">
        <v>20039</v>
      </c>
      <c r="AB4774" t="s">
        <v>24012</v>
      </c>
      <c r="AC4774">
        <v>0</v>
      </c>
      <c r="AD4774" t="s">
        <v>11479</v>
      </c>
      <c r="AE4774" t="s">
        <v>11459</v>
      </c>
      <c r="AF4774">
        <v>48</v>
      </c>
      <c r="AG4774">
        <v>1</v>
      </c>
      <c r="AH4774">
        <v>0</v>
      </c>
      <c r="AI4774">
        <v>84.36</v>
      </c>
      <c r="AL4774" t="s">
        <v>24632</v>
      </c>
      <c r="AM4774">
        <v>10536</v>
      </c>
      <c r="AS4774">
        <v>5.2</v>
      </c>
      <c r="AT4774" t="s">
        <v>654</v>
      </c>
      <c r="AU4774" t="s">
        <v>25276</v>
      </c>
      <c r="AV4774" t="s">
        <v>25334</v>
      </c>
      <c r="AW4774" t="s">
        <v>11447</v>
      </c>
    </row>
    <row r="4775" spans="1:49">
      <c r="A4775" s="1">
        <f>HYPERLINK("https://lsnyc.legalserver.org/matter/dynamic-profile/view/1914278","19-1914278")</f>
        <v>0</v>
      </c>
      <c r="B4775" t="s">
        <v>311</v>
      </c>
      <c r="C4775" t="s">
        <v>539</v>
      </c>
      <c r="E4775" t="s">
        <v>3309</v>
      </c>
      <c r="F4775" t="s">
        <v>4229</v>
      </c>
      <c r="G4775" t="s">
        <v>9128</v>
      </c>
      <c r="H4775">
        <v>63</v>
      </c>
      <c r="I4775" t="s">
        <v>11386</v>
      </c>
      <c r="J4775">
        <v>10031</v>
      </c>
      <c r="K4775" t="s">
        <v>11446</v>
      </c>
      <c r="L4775" t="s">
        <v>14278</v>
      </c>
      <c r="M4775" t="s">
        <v>14743</v>
      </c>
      <c r="N4775" t="s">
        <v>14781</v>
      </c>
      <c r="P4775" t="s">
        <v>14806</v>
      </c>
      <c r="Q4775" t="s">
        <v>11448</v>
      </c>
      <c r="S4775" t="s">
        <v>14827</v>
      </c>
      <c r="U4775" t="s">
        <v>539</v>
      </c>
      <c r="V4775">
        <v>1168.89</v>
      </c>
      <c r="W4775" t="s">
        <v>14860</v>
      </c>
      <c r="X4775" t="s">
        <v>14865</v>
      </c>
      <c r="Z4775" t="s">
        <v>18822</v>
      </c>
      <c r="AA4775" t="s">
        <v>20040</v>
      </c>
      <c r="AB4775" t="s">
        <v>24013</v>
      </c>
      <c r="AC4775">
        <v>0</v>
      </c>
      <c r="AD4775" t="s">
        <v>11479</v>
      </c>
      <c r="AE4775" t="s">
        <v>14755</v>
      </c>
      <c r="AF4775">
        <v>22</v>
      </c>
      <c r="AG4775">
        <v>1</v>
      </c>
      <c r="AH4775">
        <v>0</v>
      </c>
      <c r="AI4775">
        <v>109.86</v>
      </c>
      <c r="AL4775" t="s">
        <v>24632</v>
      </c>
      <c r="AM4775">
        <v>13722</v>
      </c>
      <c r="AS4775">
        <v>21.6</v>
      </c>
      <c r="AT4775" t="s">
        <v>516</v>
      </c>
      <c r="AU4775" t="s">
        <v>25276</v>
      </c>
      <c r="AV4775" t="s">
        <v>25334</v>
      </c>
      <c r="AW4775" t="s">
        <v>11447</v>
      </c>
    </row>
    <row r="4776" spans="1:49">
      <c r="A4776" s="1">
        <f>HYPERLINK("https://lsnyc.legalserver.org/matter/dynamic-profile/view/1914266","19-1914266")</f>
        <v>0</v>
      </c>
      <c r="B4776" t="s">
        <v>234</v>
      </c>
      <c r="C4776" t="s">
        <v>539</v>
      </c>
      <c r="E4776" t="s">
        <v>3310</v>
      </c>
      <c r="F4776" t="s">
        <v>4184</v>
      </c>
      <c r="G4776" t="s">
        <v>9921</v>
      </c>
      <c r="H4776">
        <v>816</v>
      </c>
      <c r="I4776" t="s">
        <v>11386</v>
      </c>
      <c r="J4776">
        <v>10025</v>
      </c>
      <c r="K4776" t="s">
        <v>11446</v>
      </c>
      <c r="L4776" t="s">
        <v>14279</v>
      </c>
      <c r="M4776" t="s">
        <v>14744</v>
      </c>
      <c r="N4776" t="s">
        <v>14781</v>
      </c>
      <c r="P4776" t="s">
        <v>14806</v>
      </c>
      <c r="Q4776" t="s">
        <v>11448</v>
      </c>
      <c r="S4776" t="s">
        <v>14827</v>
      </c>
      <c r="T4776" t="s">
        <v>14832</v>
      </c>
      <c r="U4776" t="s">
        <v>539</v>
      </c>
      <c r="V4776">
        <v>949.62</v>
      </c>
      <c r="W4776" t="s">
        <v>14860</v>
      </c>
      <c r="X4776" t="s">
        <v>14865</v>
      </c>
      <c r="Z4776" t="s">
        <v>18823</v>
      </c>
      <c r="AA4776" t="s">
        <v>20041</v>
      </c>
      <c r="AB4776" t="s">
        <v>24014</v>
      </c>
      <c r="AC4776">
        <v>0</v>
      </c>
      <c r="AD4776" t="s">
        <v>24595</v>
      </c>
      <c r="AE4776" t="s">
        <v>11459</v>
      </c>
      <c r="AF4776">
        <v>2</v>
      </c>
      <c r="AG4776">
        <v>1</v>
      </c>
      <c r="AH4776">
        <v>0</v>
      </c>
      <c r="AI4776">
        <v>126.56</v>
      </c>
      <c r="AL4776" t="s">
        <v>24632</v>
      </c>
      <c r="AM4776">
        <v>15807.96</v>
      </c>
      <c r="AS4776">
        <v>4</v>
      </c>
      <c r="AT4776" t="s">
        <v>495</v>
      </c>
      <c r="AU4776" t="s">
        <v>153</v>
      </c>
      <c r="AV4776" t="s">
        <v>25334</v>
      </c>
      <c r="AW4776" t="s">
        <v>11447</v>
      </c>
    </row>
    <row r="4777" spans="1:49">
      <c r="A4777" s="1">
        <f>HYPERLINK("https://lsnyc.legalserver.org/matter/dynamic-profile/view/1914247","19-1914247")</f>
        <v>0</v>
      </c>
      <c r="B4777" t="s">
        <v>311</v>
      </c>
      <c r="C4777" t="s">
        <v>539</v>
      </c>
      <c r="E4777" t="s">
        <v>2544</v>
      </c>
      <c r="F4777" t="s">
        <v>2559</v>
      </c>
      <c r="G4777" t="s">
        <v>9922</v>
      </c>
      <c r="H4777">
        <v>35</v>
      </c>
      <c r="I4777" t="s">
        <v>11386</v>
      </c>
      <c r="J4777">
        <v>10027</v>
      </c>
      <c r="K4777" t="s">
        <v>11446</v>
      </c>
      <c r="L4777" t="s">
        <v>14280</v>
      </c>
      <c r="M4777" t="s">
        <v>14744</v>
      </c>
      <c r="N4777" t="s">
        <v>14781</v>
      </c>
      <c r="P4777" t="s">
        <v>14806</v>
      </c>
      <c r="Q4777" t="s">
        <v>11448</v>
      </c>
      <c r="S4777" t="s">
        <v>14827</v>
      </c>
      <c r="U4777" t="s">
        <v>539</v>
      </c>
      <c r="V4777">
        <v>1020</v>
      </c>
      <c r="W4777" t="s">
        <v>14860</v>
      </c>
      <c r="X4777" t="s">
        <v>14863</v>
      </c>
      <c r="Z4777" t="s">
        <v>18824</v>
      </c>
      <c r="AB4777" t="s">
        <v>24015</v>
      </c>
      <c r="AC4777">
        <v>0</v>
      </c>
      <c r="AD4777" t="s">
        <v>11479</v>
      </c>
      <c r="AE4777" t="s">
        <v>11459</v>
      </c>
      <c r="AF4777">
        <v>40</v>
      </c>
      <c r="AG4777">
        <v>1</v>
      </c>
      <c r="AH4777">
        <v>0</v>
      </c>
      <c r="AI4777">
        <v>149.88</v>
      </c>
      <c r="AL4777" t="s">
        <v>5011</v>
      </c>
      <c r="AM4777">
        <v>18720</v>
      </c>
      <c r="AS4777">
        <v>2</v>
      </c>
      <c r="AT4777" t="s">
        <v>539</v>
      </c>
      <c r="AU4777" t="s">
        <v>25276</v>
      </c>
      <c r="AV4777" t="s">
        <v>25335</v>
      </c>
      <c r="AW4777" t="s">
        <v>11447</v>
      </c>
    </row>
    <row r="4778" spans="1:49">
      <c r="A4778" s="1">
        <f>HYPERLINK("https://lsnyc.legalserver.org/matter/dynamic-profile/view/1896206","19-1896206")</f>
        <v>0</v>
      </c>
      <c r="B4778" t="s">
        <v>218</v>
      </c>
      <c r="C4778" t="s">
        <v>660</v>
      </c>
      <c r="E4778" t="s">
        <v>1496</v>
      </c>
      <c r="F4778" t="s">
        <v>4499</v>
      </c>
      <c r="G4778" t="s">
        <v>9923</v>
      </c>
      <c r="H4778" t="s">
        <v>10568</v>
      </c>
      <c r="I4778" t="s">
        <v>11386</v>
      </c>
      <c r="J4778">
        <v>10031</v>
      </c>
      <c r="K4778" t="s">
        <v>11446</v>
      </c>
      <c r="L4778" t="s">
        <v>14281</v>
      </c>
      <c r="M4778" t="s">
        <v>14744</v>
      </c>
      <c r="N4778" t="s">
        <v>14781</v>
      </c>
      <c r="P4778" t="s">
        <v>14806</v>
      </c>
      <c r="Q4778" t="s">
        <v>11448</v>
      </c>
      <c r="S4778" t="s">
        <v>14827</v>
      </c>
      <c r="U4778" t="s">
        <v>592</v>
      </c>
      <c r="V4778">
        <v>1108</v>
      </c>
      <c r="W4778" t="s">
        <v>14860</v>
      </c>
      <c r="X4778" t="s">
        <v>14755</v>
      </c>
      <c r="Z4778" t="s">
        <v>16393</v>
      </c>
      <c r="AB4778" t="s">
        <v>24016</v>
      </c>
      <c r="AC4778">
        <v>0</v>
      </c>
      <c r="AD4778" t="s">
        <v>24595</v>
      </c>
      <c r="AF4778">
        <v>14</v>
      </c>
      <c r="AG4778">
        <v>2</v>
      </c>
      <c r="AH4778">
        <v>0</v>
      </c>
      <c r="AI4778">
        <v>107.63</v>
      </c>
      <c r="AM4778">
        <v>18200</v>
      </c>
      <c r="AS4778">
        <v>5.2</v>
      </c>
      <c r="AT4778" t="s">
        <v>509</v>
      </c>
      <c r="AU4778" t="s">
        <v>118</v>
      </c>
      <c r="AV4778" t="s">
        <v>25335</v>
      </c>
      <c r="AW4778" t="s">
        <v>11446</v>
      </c>
    </row>
    <row r="4779" spans="1:49">
      <c r="A4779" s="1">
        <f>HYPERLINK("https://lsnyc.legalserver.org/matter/dynamic-profile/view/1914871","19-1914871")</f>
        <v>0</v>
      </c>
      <c r="B4779" t="s">
        <v>309</v>
      </c>
      <c r="C4779" t="s">
        <v>537</v>
      </c>
      <c r="E4779" t="s">
        <v>1329</v>
      </c>
      <c r="F4779" t="s">
        <v>3547</v>
      </c>
      <c r="G4779" t="s">
        <v>9917</v>
      </c>
      <c r="H4779" t="s">
        <v>10476</v>
      </c>
      <c r="I4779" t="s">
        <v>11386</v>
      </c>
      <c r="J4779">
        <v>10025</v>
      </c>
      <c r="K4779" t="s">
        <v>11446</v>
      </c>
      <c r="L4779" t="s">
        <v>14282</v>
      </c>
      <c r="M4779" t="s">
        <v>14744</v>
      </c>
      <c r="N4779" t="s">
        <v>14781</v>
      </c>
      <c r="P4779" t="s">
        <v>14806</v>
      </c>
      <c r="Q4779" t="s">
        <v>11448</v>
      </c>
      <c r="S4779" t="s">
        <v>14827</v>
      </c>
      <c r="U4779" t="s">
        <v>537</v>
      </c>
      <c r="V4779">
        <v>189</v>
      </c>
      <c r="W4779" t="s">
        <v>14860</v>
      </c>
      <c r="X4779" t="s">
        <v>14863</v>
      </c>
      <c r="Z4779" t="s">
        <v>18825</v>
      </c>
      <c r="AB4779" t="s">
        <v>24017</v>
      </c>
      <c r="AC4779">
        <v>30</v>
      </c>
      <c r="AD4779" t="s">
        <v>24595</v>
      </c>
      <c r="AE4779" t="s">
        <v>24610</v>
      </c>
      <c r="AF4779">
        <v>26</v>
      </c>
      <c r="AG4779">
        <v>1</v>
      </c>
      <c r="AH4779">
        <v>0</v>
      </c>
      <c r="AI4779">
        <v>82.43000000000001</v>
      </c>
      <c r="AM4779">
        <v>10296</v>
      </c>
      <c r="AS4779">
        <v>2.5</v>
      </c>
      <c r="AT4779" t="s">
        <v>654</v>
      </c>
      <c r="AU4779" t="s">
        <v>25276</v>
      </c>
      <c r="AV4779" t="s">
        <v>25335</v>
      </c>
      <c r="AW4779" t="s">
        <v>11447</v>
      </c>
    </row>
    <row r="4780" spans="1:49">
      <c r="A4780" s="1">
        <f>HYPERLINK("https://lsnyc.legalserver.org/matter/dynamic-profile/view/1914888","19-1914888")</f>
        <v>0</v>
      </c>
      <c r="B4780" t="s">
        <v>219</v>
      </c>
      <c r="C4780" t="s">
        <v>537</v>
      </c>
      <c r="E4780" t="s">
        <v>1495</v>
      </c>
      <c r="F4780" t="s">
        <v>4198</v>
      </c>
      <c r="G4780" t="s">
        <v>9924</v>
      </c>
      <c r="H4780">
        <v>22</v>
      </c>
      <c r="I4780" t="s">
        <v>11386</v>
      </c>
      <c r="J4780">
        <v>10025</v>
      </c>
      <c r="K4780" t="s">
        <v>11446</v>
      </c>
      <c r="L4780" t="s">
        <v>14283</v>
      </c>
      <c r="M4780" t="s">
        <v>14744</v>
      </c>
      <c r="N4780" t="s">
        <v>14781</v>
      </c>
      <c r="P4780" t="s">
        <v>14806</v>
      </c>
      <c r="Q4780" t="s">
        <v>11448</v>
      </c>
      <c r="S4780" t="s">
        <v>14827</v>
      </c>
      <c r="T4780" t="s">
        <v>14832</v>
      </c>
      <c r="U4780" t="s">
        <v>537</v>
      </c>
      <c r="V4780">
        <v>1652.82</v>
      </c>
      <c r="W4780" t="s">
        <v>14860</v>
      </c>
      <c r="X4780" t="s">
        <v>14865</v>
      </c>
      <c r="Z4780" t="s">
        <v>16728</v>
      </c>
      <c r="AA4780" t="s">
        <v>20042</v>
      </c>
      <c r="AB4780" t="s">
        <v>24018</v>
      </c>
      <c r="AC4780">
        <v>0</v>
      </c>
      <c r="AD4780" t="s">
        <v>24599</v>
      </c>
      <c r="AE4780" t="s">
        <v>11459</v>
      </c>
      <c r="AF4780">
        <v>5</v>
      </c>
      <c r="AG4780">
        <v>1</v>
      </c>
      <c r="AH4780">
        <v>0</v>
      </c>
      <c r="AI4780">
        <v>94.40000000000001</v>
      </c>
      <c r="AL4780" t="s">
        <v>5011</v>
      </c>
      <c r="AM4780">
        <v>11790</v>
      </c>
      <c r="AS4780">
        <v>0</v>
      </c>
      <c r="AU4780" t="s">
        <v>153</v>
      </c>
      <c r="AV4780" t="s">
        <v>25334</v>
      </c>
      <c r="AW4780" t="s">
        <v>11447</v>
      </c>
    </row>
    <row r="4781" spans="1:49">
      <c r="A4781" s="1">
        <f>HYPERLINK("https://lsnyc.legalserver.org/matter/dynamic-profile/view/1914828","19-1914828")</f>
        <v>0</v>
      </c>
      <c r="B4781" t="s">
        <v>219</v>
      </c>
      <c r="C4781" t="s">
        <v>537</v>
      </c>
      <c r="E4781" t="s">
        <v>3311</v>
      </c>
      <c r="F4781" t="s">
        <v>3758</v>
      </c>
      <c r="G4781" t="s">
        <v>9925</v>
      </c>
      <c r="H4781">
        <v>504</v>
      </c>
      <c r="I4781" t="s">
        <v>11386</v>
      </c>
      <c r="J4781">
        <v>10026</v>
      </c>
      <c r="K4781" t="s">
        <v>11446</v>
      </c>
      <c r="L4781" t="s">
        <v>14284</v>
      </c>
      <c r="M4781" t="s">
        <v>14744</v>
      </c>
      <c r="N4781" t="s">
        <v>14781</v>
      </c>
      <c r="P4781" t="s">
        <v>14806</v>
      </c>
      <c r="Q4781" t="s">
        <v>11448</v>
      </c>
      <c r="S4781" t="s">
        <v>14828</v>
      </c>
      <c r="T4781" t="s">
        <v>14832</v>
      </c>
      <c r="U4781" t="s">
        <v>537</v>
      </c>
      <c r="V4781">
        <v>1221</v>
      </c>
      <c r="W4781" t="s">
        <v>14860</v>
      </c>
      <c r="X4781" t="s">
        <v>14863</v>
      </c>
      <c r="Z4781" t="s">
        <v>18826</v>
      </c>
      <c r="AB4781" t="s">
        <v>24019</v>
      </c>
      <c r="AC4781">
        <v>0</v>
      </c>
      <c r="AD4781" t="s">
        <v>24605</v>
      </c>
      <c r="AE4781" t="s">
        <v>24611</v>
      </c>
      <c r="AF4781">
        <v>1</v>
      </c>
      <c r="AG4781">
        <v>2</v>
      </c>
      <c r="AH4781">
        <v>0</v>
      </c>
      <c r="AI4781">
        <v>154.75</v>
      </c>
      <c r="AL4781" t="s">
        <v>5011</v>
      </c>
      <c r="AM4781">
        <v>26169</v>
      </c>
      <c r="AS4781">
        <v>0</v>
      </c>
      <c r="AU4781" t="s">
        <v>153</v>
      </c>
      <c r="AV4781" t="s">
        <v>25335</v>
      </c>
      <c r="AW4781" t="s">
        <v>11447</v>
      </c>
    </row>
    <row r="4782" spans="1:49">
      <c r="A4782" s="1">
        <f>HYPERLINK("https://lsnyc.legalserver.org/matter/dynamic-profile/view/1914832","19-1914832")</f>
        <v>0</v>
      </c>
      <c r="B4782" t="s">
        <v>309</v>
      </c>
      <c r="C4782" t="s">
        <v>537</v>
      </c>
      <c r="E4782" t="s">
        <v>3312</v>
      </c>
      <c r="F4782" t="s">
        <v>5962</v>
      </c>
      <c r="G4782" t="s">
        <v>9926</v>
      </c>
      <c r="H4782">
        <v>3</v>
      </c>
      <c r="I4782" t="s">
        <v>11386</v>
      </c>
      <c r="J4782">
        <v>10027</v>
      </c>
      <c r="K4782" t="s">
        <v>11446</v>
      </c>
      <c r="L4782" t="s">
        <v>14285</v>
      </c>
      <c r="M4782" t="s">
        <v>14744</v>
      </c>
      <c r="N4782" t="s">
        <v>14781</v>
      </c>
      <c r="P4782" t="s">
        <v>14806</v>
      </c>
      <c r="Q4782" t="s">
        <v>11448</v>
      </c>
      <c r="S4782" t="s">
        <v>14827</v>
      </c>
      <c r="U4782" t="s">
        <v>537</v>
      </c>
      <c r="V4782">
        <v>1049</v>
      </c>
      <c r="W4782" t="s">
        <v>14860</v>
      </c>
      <c r="X4782" t="s">
        <v>14863</v>
      </c>
      <c r="Z4782" t="s">
        <v>16370</v>
      </c>
      <c r="AB4782" t="s">
        <v>24020</v>
      </c>
      <c r="AC4782">
        <v>22</v>
      </c>
      <c r="AD4782" t="s">
        <v>24595</v>
      </c>
      <c r="AE4782" t="s">
        <v>11459</v>
      </c>
      <c r="AF4782">
        <v>20</v>
      </c>
      <c r="AG4782">
        <v>3</v>
      </c>
      <c r="AH4782">
        <v>1</v>
      </c>
      <c r="AI4782">
        <v>161.55</v>
      </c>
      <c r="AL4782" t="s">
        <v>5011</v>
      </c>
      <c r="AM4782">
        <v>41600</v>
      </c>
      <c r="AS4782">
        <v>2</v>
      </c>
      <c r="AT4782" t="s">
        <v>537</v>
      </c>
      <c r="AU4782" t="s">
        <v>25276</v>
      </c>
      <c r="AV4782" t="s">
        <v>25335</v>
      </c>
      <c r="AW4782" t="s">
        <v>11447</v>
      </c>
    </row>
    <row r="4783" spans="1:49">
      <c r="A4783" s="1">
        <f>HYPERLINK("https://lsnyc.legalserver.org/matter/dynamic-profile/view/1914887","19-1914887")</f>
        <v>0</v>
      </c>
      <c r="B4783" t="s">
        <v>253</v>
      </c>
      <c r="C4783" t="s">
        <v>537</v>
      </c>
      <c r="E4783" t="s">
        <v>3313</v>
      </c>
      <c r="F4783" t="s">
        <v>5963</v>
      </c>
      <c r="G4783" t="s">
        <v>9927</v>
      </c>
      <c r="H4783">
        <v>20</v>
      </c>
      <c r="I4783" t="s">
        <v>11386</v>
      </c>
      <c r="J4783">
        <v>10027</v>
      </c>
      <c r="K4783" t="s">
        <v>11446</v>
      </c>
      <c r="L4783" t="s">
        <v>14286</v>
      </c>
      <c r="M4783" t="s">
        <v>14744</v>
      </c>
      <c r="N4783" t="s">
        <v>14781</v>
      </c>
      <c r="P4783" t="s">
        <v>14806</v>
      </c>
      <c r="Q4783" t="s">
        <v>11448</v>
      </c>
      <c r="S4783" t="s">
        <v>14827</v>
      </c>
      <c r="U4783" t="s">
        <v>537</v>
      </c>
      <c r="V4783">
        <v>1271.28</v>
      </c>
      <c r="W4783" t="s">
        <v>14860</v>
      </c>
      <c r="X4783" t="s">
        <v>14871</v>
      </c>
      <c r="Z4783" t="s">
        <v>18827</v>
      </c>
      <c r="AB4783" t="s">
        <v>24021</v>
      </c>
      <c r="AC4783">
        <v>0</v>
      </c>
      <c r="AD4783" t="s">
        <v>24595</v>
      </c>
      <c r="AE4783" t="s">
        <v>11459</v>
      </c>
      <c r="AF4783">
        <v>0</v>
      </c>
      <c r="AG4783">
        <v>2</v>
      </c>
      <c r="AH4783">
        <v>0</v>
      </c>
      <c r="AI4783">
        <v>183.32</v>
      </c>
      <c r="AL4783" t="s">
        <v>5011</v>
      </c>
      <c r="AM4783">
        <v>31000</v>
      </c>
      <c r="AS4783">
        <v>4</v>
      </c>
      <c r="AT4783" t="s">
        <v>521</v>
      </c>
      <c r="AU4783" t="s">
        <v>25276</v>
      </c>
      <c r="AV4783" t="s">
        <v>25335</v>
      </c>
      <c r="AW4783" t="s">
        <v>11447</v>
      </c>
    </row>
    <row r="4784" spans="1:49">
      <c r="A4784" s="1">
        <f>HYPERLINK("https://lsnyc.legalserver.org/matter/dynamic-profile/view/1914846","19-1914846")</f>
        <v>0</v>
      </c>
      <c r="B4784" t="s">
        <v>153</v>
      </c>
      <c r="C4784" t="s">
        <v>537</v>
      </c>
      <c r="E4784" t="s">
        <v>1381</v>
      </c>
      <c r="F4784" t="s">
        <v>5964</v>
      </c>
      <c r="G4784" t="s">
        <v>9928</v>
      </c>
      <c r="H4784" t="s">
        <v>11043</v>
      </c>
      <c r="I4784" t="s">
        <v>11386</v>
      </c>
      <c r="J4784">
        <v>10027</v>
      </c>
      <c r="K4784" t="s">
        <v>11446</v>
      </c>
      <c r="L4784" t="s">
        <v>14287</v>
      </c>
      <c r="M4784" t="s">
        <v>14744</v>
      </c>
      <c r="N4784" t="s">
        <v>14782</v>
      </c>
      <c r="P4784" t="s">
        <v>14806</v>
      </c>
      <c r="Q4784" t="s">
        <v>11448</v>
      </c>
      <c r="S4784" t="s">
        <v>14827</v>
      </c>
      <c r="U4784" t="s">
        <v>537</v>
      </c>
      <c r="V4784">
        <v>1100</v>
      </c>
      <c r="W4784" t="s">
        <v>14860</v>
      </c>
      <c r="X4784" t="s">
        <v>14863</v>
      </c>
      <c r="Z4784" t="s">
        <v>18828</v>
      </c>
      <c r="AB4784" t="s">
        <v>24022</v>
      </c>
      <c r="AC4784">
        <v>0</v>
      </c>
      <c r="AD4784" t="s">
        <v>11479</v>
      </c>
      <c r="AE4784" t="s">
        <v>11459</v>
      </c>
      <c r="AF4784">
        <v>19</v>
      </c>
      <c r="AG4784">
        <v>1</v>
      </c>
      <c r="AH4784">
        <v>0</v>
      </c>
      <c r="AI4784">
        <v>240.19</v>
      </c>
      <c r="AL4784" t="s">
        <v>5011</v>
      </c>
      <c r="AM4784">
        <v>30000</v>
      </c>
      <c r="AS4784">
        <v>0</v>
      </c>
      <c r="AU4784" t="s">
        <v>153</v>
      </c>
      <c r="AV4784" t="s">
        <v>25335</v>
      </c>
      <c r="AW4784" t="s">
        <v>11447</v>
      </c>
    </row>
    <row r="4785" spans="1:49">
      <c r="A4785" s="1">
        <f>HYPERLINK("https://lsnyc.legalserver.org/matter/dynamic-profile/view/1913801","19-1913801")</f>
        <v>0</v>
      </c>
      <c r="B4785" t="s">
        <v>215</v>
      </c>
      <c r="C4785" t="s">
        <v>533</v>
      </c>
      <c r="E4785" t="s">
        <v>3314</v>
      </c>
      <c r="F4785" t="s">
        <v>3333</v>
      </c>
      <c r="G4785" t="s">
        <v>9929</v>
      </c>
      <c r="H4785" t="s">
        <v>11293</v>
      </c>
      <c r="I4785" t="s">
        <v>11386</v>
      </c>
      <c r="J4785">
        <v>10038</v>
      </c>
      <c r="K4785" t="s">
        <v>11446</v>
      </c>
      <c r="L4785" t="s">
        <v>14288</v>
      </c>
      <c r="M4785" t="s">
        <v>14750</v>
      </c>
      <c r="N4785" t="s">
        <v>14783</v>
      </c>
      <c r="P4785" t="s">
        <v>14806</v>
      </c>
      <c r="Q4785" t="s">
        <v>11448</v>
      </c>
      <c r="S4785" t="s">
        <v>14828</v>
      </c>
      <c r="U4785" t="s">
        <v>537</v>
      </c>
      <c r="V4785">
        <v>1206</v>
      </c>
      <c r="W4785" t="s">
        <v>14860</v>
      </c>
      <c r="Z4785" t="s">
        <v>18829</v>
      </c>
      <c r="AA4785" t="s">
        <v>20043</v>
      </c>
      <c r="AB4785" t="s">
        <v>24023</v>
      </c>
      <c r="AC4785">
        <v>0</v>
      </c>
      <c r="AD4785" t="s">
        <v>24597</v>
      </c>
      <c r="AF4785">
        <v>10</v>
      </c>
      <c r="AG4785">
        <v>1</v>
      </c>
      <c r="AH4785">
        <v>0</v>
      </c>
      <c r="AI4785">
        <v>435.23</v>
      </c>
      <c r="AL4785" t="s">
        <v>5011</v>
      </c>
      <c r="AM4785">
        <v>54360</v>
      </c>
      <c r="AS4785">
        <v>0.55</v>
      </c>
      <c r="AT4785" t="s">
        <v>537</v>
      </c>
      <c r="AU4785" t="s">
        <v>221</v>
      </c>
      <c r="AW4785" t="s">
        <v>11447</v>
      </c>
    </row>
    <row r="4786" spans="1:49">
      <c r="A4786" s="1">
        <f>HYPERLINK("https://lsnyc.legalserver.org/matter/dynamic-profile/view/1911158","19-1911158")</f>
        <v>0</v>
      </c>
      <c r="B4786" t="s">
        <v>234</v>
      </c>
      <c r="C4786" t="s">
        <v>516</v>
      </c>
      <c r="E4786" t="s">
        <v>1025</v>
      </c>
      <c r="F4786" t="s">
        <v>3547</v>
      </c>
      <c r="G4786" t="s">
        <v>9930</v>
      </c>
      <c r="H4786" t="s">
        <v>10593</v>
      </c>
      <c r="I4786" t="s">
        <v>11386</v>
      </c>
      <c r="J4786">
        <v>10025</v>
      </c>
      <c r="K4786" t="s">
        <v>11446</v>
      </c>
      <c r="L4786" t="s">
        <v>14289</v>
      </c>
      <c r="M4786" t="s">
        <v>14744</v>
      </c>
      <c r="N4786" t="s">
        <v>14781</v>
      </c>
      <c r="P4786" t="s">
        <v>14806</v>
      </c>
      <c r="Q4786" t="s">
        <v>11448</v>
      </c>
      <c r="S4786" t="s">
        <v>14827</v>
      </c>
      <c r="T4786" t="s">
        <v>14832</v>
      </c>
      <c r="U4786" t="s">
        <v>516</v>
      </c>
      <c r="V4786">
        <v>3600</v>
      </c>
      <c r="W4786" t="s">
        <v>14860</v>
      </c>
      <c r="X4786" t="s">
        <v>14863</v>
      </c>
      <c r="Z4786" t="s">
        <v>16636</v>
      </c>
      <c r="AB4786" t="s">
        <v>24024</v>
      </c>
      <c r="AC4786">
        <v>0</v>
      </c>
      <c r="AD4786" t="s">
        <v>24595</v>
      </c>
      <c r="AE4786" t="s">
        <v>24610</v>
      </c>
      <c r="AF4786">
        <v>15</v>
      </c>
      <c r="AG4786">
        <v>2</v>
      </c>
      <c r="AH4786">
        <v>0</v>
      </c>
      <c r="AI4786">
        <v>71.86</v>
      </c>
      <c r="AL4786" t="s">
        <v>24632</v>
      </c>
      <c r="AM4786">
        <v>12152</v>
      </c>
      <c r="AS4786">
        <v>0.75</v>
      </c>
      <c r="AT4786" t="s">
        <v>516</v>
      </c>
      <c r="AU4786" t="s">
        <v>153</v>
      </c>
      <c r="AV4786" t="s">
        <v>25335</v>
      </c>
      <c r="AW4786" t="s">
        <v>11447</v>
      </c>
    </row>
    <row r="4787" spans="1:49">
      <c r="A4787" s="1">
        <f>HYPERLINK("https://lsnyc.legalserver.org/matter/dynamic-profile/view/1915450","19-1915450")</f>
        <v>0</v>
      </c>
      <c r="B4787" t="s">
        <v>188</v>
      </c>
      <c r="C4787" t="s">
        <v>654</v>
      </c>
      <c r="E4787" t="s">
        <v>1374</v>
      </c>
      <c r="F4787" t="s">
        <v>5965</v>
      </c>
      <c r="G4787" t="s">
        <v>9931</v>
      </c>
      <c r="H4787" t="s">
        <v>10524</v>
      </c>
      <c r="I4787" t="s">
        <v>11386</v>
      </c>
      <c r="J4787">
        <v>10031</v>
      </c>
      <c r="K4787" t="s">
        <v>11446</v>
      </c>
      <c r="L4787" t="s">
        <v>14290</v>
      </c>
      <c r="M4787" t="s">
        <v>14743</v>
      </c>
      <c r="N4787" t="s">
        <v>14782</v>
      </c>
      <c r="P4787" t="s">
        <v>14806</v>
      </c>
      <c r="Q4787" t="s">
        <v>11448</v>
      </c>
      <c r="S4787" t="s">
        <v>14827</v>
      </c>
      <c r="U4787" t="s">
        <v>654</v>
      </c>
      <c r="V4787">
        <v>1900</v>
      </c>
      <c r="W4787" t="s">
        <v>14860</v>
      </c>
      <c r="X4787" t="s">
        <v>14863</v>
      </c>
      <c r="Z4787" t="s">
        <v>18830</v>
      </c>
      <c r="AB4787" t="s">
        <v>24025</v>
      </c>
      <c r="AC4787">
        <v>0</v>
      </c>
      <c r="AD4787" t="s">
        <v>24595</v>
      </c>
      <c r="AE4787" t="s">
        <v>11459</v>
      </c>
      <c r="AF4787">
        <v>4</v>
      </c>
      <c r="AG4787">
        <v>1</v>
      </c>
      <c r="AH4787">
        <v>0</v>
      </c>
      <c r="AI4787">
        <v>409.36</v>
      </c>
      <c r="AL4787" t="s">
        <v>5011</v>
      </c>
      <c r="AM4787">
        <v>51129</v>
      </c>
      <c r="AS4787">
        <v>0</v>
      </c>
      <c r="AU4787" t="s">
        <v>25276</v>
      </c>
      <c r="AV4787" t="s">
        <v>25335</v>
      </c>
      <c r="AW4787" t="s">
        <v>11447</v>
      </c>
    </row>
    <row r="4788" spans="1:49">
      <c r="A4788" s="1">
        <f>HYPERLINK("https://lsnyc.legalserver.org/matter/dynamic-profile/view/1896281","19-1896281")</f>
        <v>0</v>
      </c>
      <c r="B4788" t="s">
        <v>188</v>
      </c>
      <c r="C4788" t="s">
        <v>660</v>
      </c>
      <c r="E4788" t="s">
        <v>3315</v>
      </c>
      <c r="F4788" t="s">
        <v>5966</v>
      </c>
      <c r="G4788" t="s">
        <v>9932</v>
      </c>
      <c r="I4788" t="s">
        <v>11386</v>
      </c>
      <c r="J4788">
        <v>10031</v>
      </c>
      <c r="K4788" t="s">
        <v>11447</v>
      </c>
      <c r="L4788" t="s">
        <v>14291</v>
      </c>
      <c r="M4788" t="s">
        <v>14744</v>
      </c>
      <c r="N4788" t="s">
        <v>14781</v>
      </c>
      <c r="P4788" t="s">
        <v>14806</v>
      </c>
      <c r="Q4788" t="s">
        <v>11448</v>
      </c>
      <c r="S4788" t="s">
        <v>14827</v>
      </c>
      <c r="V4788">
        <v>1600</v>
      </c>
      <c r="W4788" t="s">
        <v>14860</v>
      </c>
      <c r="Z4788" t="s">
        <v>18831</v>
      </c>
      <c r="AB4788" t="s">
        <v>24026</v>
      </c>
      <c r="AC4788">
        <v>0</v>
      </c>
      <c r="AD4788" t="s">
        <v>24595</v>
      </c>
      <c r="AF4788">
        <v>0</v>
      </c>
      <c r="AG4788">
        <v>1</v>
      </c>
      <c r="AH4788">
        <v>0</v>
      </c>
      <c r="AI4788">
        <v>0</v>
      </c>
      <c r="AM4788">
        <v>0</v>
      </c>
      <c r="AS4788">
        <v>53.35</v>
      </c>
      <c r="AT4788" t="s">
        <v>495</v>
      </c>
      <c r="AU4788" t="s">
        <v>25282</v>
      </c>
      <c r="AW4788" t="s">
        <v>11447</v>
      </c>
    </row>
    <row r="4789" spans="1:49">
      <c r="A4789" s="1">
        <f>HYPERLINK("https://lsnyc.legalserver.org/matter/dynamic-profile/view/1883804","18-1883804")</f>
        <v>0</v>
      </c>
      <c r="B4789" t="s">
        <v>208</v>
      </c>
      <c r="C4789" t="s">
        <v>693</v>
      </c>
      <c r="E4789" t="s">
        <v>2653</v>
      </c>
      <c r="F4789" t="s">
        <v>1035</v>
      </c>
      <c r="G4789" t="s">
        <v>9933</v>
      </c>
      <c r="H4789" t="s">
        <v>10467</v>
      </c>
      <c r="I4789" t="s">
        <v>11386</v>
      </c>
      <c r="J4789">
        <v>10027</v>
      </c>
      <c r="K4789" t="s">
        <v>11448</v>
      </c>
      <c r="L4789" t="s">
        <v>14292</v>
      </c>
      <c r="M4789" t="s">
        <v>14744</v>
      </c>
      <c r="N4789" t="s">
        <v>14781</v>
      </c>
      <c r="P4789" t="s">
        <v>14806</v>
      </c>
      <c r="Q4789" t="s">
        <v>11448</v>
      </c>
      <c r="S4789" t="s">
        <v>14827</v>
      </c>
      <c r="V4789">
        <v>340</v>
      </c>
      <c r="W4789" t="s">
        <v>14860</v>
      </c>
      <c r="Z4789" t="s">
        <v>18832</v>
      </c>
      <c r="AB4789" t="s">
        <v>24027</v>
      </c>
      <c r="AC4789">
        <v>25</v>
      </c>
      <c r="AD4789" t="s">
        <v>24599</v>
      </c>
      <c r="AE4789" t="s">
        <v>11459</v>
      </c>
      <c r="AF4789">
        <v>4</v>
      </c>
      <c r="AG4789">
        <v>2</v>
      </c>
      <c r="AH4789">
        <v>0</v>
      </c>
      <c r="AI4789">
        <v>0</v>
      </c>
      <c r="AL4789" t="s">
        <v>5011</v>
      </c>
      <c r="AM4789">
        <v>0</v>
      </c>
      <c r="AS4789">
        <v>16.3</v>
      </c>
      <c r="AT4789" t="s">
        <v>540</v>
      </c>
      <c r="AU4789" t="s">
        <v>25276</v>
      </c>
      <c r="AW4789" t="s">
        <v>11448</v>
      </c>
    </row>
    <row r="4790" spans="1:49">
      <c r="A4790" s="1">
        <f>HYPERLINK("https://lsnyc.legalserver.org/matter/dynamic-profile/view/1905015","19-1905015")</f>
        <v>0</v>
      </c>
      <c r="B4790" t="s">
        <v>218</v>
      </c>
      <c r="C4790" t="s">
        <v>593</v>
      </c>
      <c r="E4790" t="s">
        <v>2341</v>
      </c>
      <c r="F4790" t="s">
        <v>5967</v>
      </c>
      <c r="G4790" t="s">
        <v>6509</v>
      </c>
      <c r="H4790" t="s">
        <v>10518</v>
      </c>
      <c r="I4790" t="s">
        <v>11386</v>
      </c>
      <c r="J4790">
        <v>10027</v>
      </c>
      <c r="K4790" t="s">
        <v>11447</v>
      </c>
      <c r="L4790" t="s">
        <v>14293</v>
      </c>
      <c r="M4790" t="s">
        <v>14744</v>
      </c>
      <c r="N4790" t="s">
        <v>14781</v>
      </c>
      <c r="P4790" t="s">
        <v>14806</v>
      </c>
      <c r="Q4790" t="s">
        <v>11448</v>
      </c>
      <c r="S4790" t="s">
        <v>14828</v>
      </c>
      <c r="V4790">
        <v>0</v>
      </c>
      <c r="W4790" t="s">
        <v>14860</v>
      </c>
      <c r="Z4790" t="s">
        <v>18833</v>
      </c>
      <c r="AB4790" t="s">
        <v>24028</v>
      </c>
      <c r="AC4790">
        <v>0</v>
      </c>
      <c r="AF4790">
        <v>0</v>
      </c>
      <c r="AG4790">
        <v>1</v>
      </c>
      <c r="AH4790">
        <v>0</v>
      </c>
      <c r="AI4790">
        <v>0</v>
      </c>
      <c r="AL4790" t="s">
        <v>5011</v>
      </c>
      <c r="AM4790">
        <v>0</v>
      </c>
      <c r="AS4790">
        <v>2.9</v>
      </c>
      <c r="AT4790" t="s">
        <v>524</v>
      </c>
      <c r="AU4790" t="s">
        <v>25282</v>
      </c>
      <c r="AW4790" t="s">
        <v>11447</v>
      </c>
    </row>
    <row r="4791" spans="1:49">
      <c r="A4791" s="1">
        <f>HYPERLINK("https://lsnyc.legalserver.org/matter/dynamic-profile/view/1873888","18-1873888")</f>
        <v>0</v>
      </c>
      <c r="B4791" t="s">
        <v>315</v>
      </c>
      <c r="C4791" t="s">
        <v>868</v>
      </c>
      <c r="E4791" t="s">
        <v>3316</v>
      </c>
      <c r="F4791" t="s">
        <v>5968</v>
      </c>
      <c r="G4791" t="s">
        <v>9934</v>
      </c>
      <c r="H4791" t="s">
        <v>10519</v>
      </c>
      <c r="I4791" t="s">
        <v>11386</v>
      </c>
      <c r="J4791">
        <v>10025</v>
      </c>
      <c r="K4791" t="s">
        <v>11446</v>
      </c>
      <c r="L4791" t="s">
        <v>14294</v>
      </c>
      <c r="M4791" t="s">
        <v>14743</v>
      </c>
      <c r="N4791" t="s">
        <v>14781</v>
      </c>
      <c r="P4791" t="s">
        <v>14806</v>
      </c>
      <c r="Q4791" t="s">
        <v>11448</v>
      </c>
      <c r="S4791" t="s">
        <v>14827</v>
      </c>
      <c r="T4791" t="s">
        <v>14832</v>
      </c>
      <c r="V4791">
        <v>4450</v>
      </c>
      <c r="W4791" t="s">
        <v>14860</v>
      </c>
      <c r="X4791" t="s">
        <v>14882</v>
      </c>
      <c r="Z4791" t="s">
        <v>18834</v>
      </c>
      <c r="AB4791" t="s">
        <v>24029</v>
      </c>
      <c r="AC4791">
        <v>0</v>
      </c>
      <c r="AD4791" t="s">
        <v>24600</v>
      </c>
      <c r="AE4791" t="s">
        <v>11459</v>
      </c>
      <c r="AF4791">
        <v>3</v>
      </c>
      <c r="AG4791">
        <v>1</v>
      </c>
      <c r="AH4791">
        <v>1</v>
      </c>
      <c r="AI4791">
        <v>0</v>
      </c>
      <c r="AL4791" t="s">
        <v>5011</v>
      </c>
      <c r="AM4791">
        <v>0</v>
      </c>
      <c r="AS4791">
        <v>84.65000000000001</v>
      </c>
      <c r="AT4791" t="s">
        <v>595</v>
      </c>
      <c r="AU4791" t="s">
        <v>153</v>
      </c>
      <c r="AW4791" t="s">
        <v>11447</v>
      </c>
    </row>
    <row r="4792" spans="1:49">
      <c r="A4792" s="1">
        <f>HYPERLINK("https://lsnyc.legalserver.org/matter/dynamic-profile/view/1909020","19-1909020")</f>
        <v>0</v>
      </c>
      <c r="B4792" t="s">
        <v>274</v>
      </c>
      <c r="C4792" t="s">
        <v>641</v>
      </c>
      <c r="E4792" t="s">
        <v>1789</v>
      </c>
      <c r="F4792" t="s">
        <v>5969</v>
      </c>
      <c r="G4792" t="s">
        <v>9935</v>
      </c>
      <c r="H4792" t="s">
        <v>11294</v>
      </c>
      <c r="I4792" t="s">
        <v>11386</v>
      </c>
      <c r="J4792">
        <v>10009</v>
      </c>
      <c r="K4792" t="s">
        <v>11447</v>
      </c>
      <c r="N4792" t="s">
        <v>14778</v>
      </c>
      <c r="P4792" t="s">
        <v>14806</v>
      </c>
      <c r="S4792" t="s">
        <v>14828</v>
      </c>
      <c r="V4792">
        <v>0</v>
      </c>
      <c r="W4792" t="s">
        <v>14860</v>
      </c>
      <c r="X4792" t="s">
        <v>14755</v>
      </c>
      <c r="Z4792" t="s">
        <v>18835</v>
      </c>
      <c r="AB4792" t="s">
        <v>24030</v>
      </c>
      <c r="AC4792">
        <v>0</v>
      </c>
      <c r="AD4792" t="s">
        <v>24597</v>
      </c>
      <c r="AF4792">
        <v>10</v>
      </c>
      <c r="AG4792">
        <v>2</v>
      </c>
      <c r="AH4792">
        <v>3</v>
      </c>
      <c r="AI4792">
        <v>9.94</v>
      </c>
      <c r="AL4792" t="s">
        <v>5011</v>
      </c>
      <c r="AM4792">
        <v>3000</v>
      </c>
      <c r="AS4792">
        <v>2.25</v>
      </c>
      <c r="AT4792" t="s">
        <v>488</v>
      </c>
      <c r="AU4792" t="s">
        <v>25288</v>
      </c>
      <c r="AV4792" t="s">
        <v>25335</v>
      </c>
      <c r="AW4792" t="s">
        <v>11447</v>
      </c>
    </row>
    <row r="4793" spans="1:49">
      <c r="A4793" s="1">
        <f>HYPERLINK("https://lsnyc.legalserver.org/matter/dynamic-profile/view/1913224","19-1913224")</f>
        <v>0</v>
      </c>
      <c r="B4793" t="s">
        <v>161</v>
      </c>
      <c r="C4793" t="s">
        <v>515</v>
      </c>
      <c r="E4793" t="s">
        <v>3317</v>
      </c>
      <c r="F4793" t="s">
        <v>5970</v>
      </c>
      <c r="G4793" t="s">
        <v>9936</v>
      </c>
      <c r="H4793">
        <v>11</v>
      </c>
      <c r="I4793" t="s">
        <v>11386</v>
      </c>
      <c r="J4793">
        <v>10031</v>
      </c>
      <c r="K4793" t="s">
        <v>11447</v>
      </c>
      <c r="P4793" t="s">
        <v>14806</v>
      </c>
      <c r="S4793" t="s">
        <v>14827</v>
      </c>
      <c r="V4793">
        <v>0</v>
      </c>
      <c r="W4793" t="s">
        <v>14860</v>
      </c>
      <c r="Z4793" t="s">
        <v>18836</v>
      </c>
      <c r="AB4793" t="s">
        <v>24031</v>
      </c>
      <c r="AC4793">
        <v>0</v>
      </c>
      <c r="AF4793">
        <v>0</v>
      </c>
      <c r="AG4793">
        <v>1</v>
      </c>
      <c r="AH4793">
        <v>2</v>
      </c>
      <c r="AI4793">
        <v>10.97</v>
      </c>
      <c r="AL4793" t="s">
        <v>5011</v>
      </c>
      <c r="AM4793">
        <v>2340</v>
      </c>
      <c r="AS4793">
        <v>0</v>
      </c>
      <c r="AU4793" t="s">
        <v>25282</v>
      </c>
      <c r="AW4793" t="s">
        <v>11447</v>
      </c>
    </row>
    <row r="4794" spans="1:49">
      <c r="A4794" s="1">
        <f>HYPERLINK("https://lsnyc.legalserver.org/matter/dynamic-profile/view/1884139","18-1884139")</f>
        <v>0</v>
      </c>
      <c r="B4794" t="s">
        <v>252</v>
      </c>
      <c r="C4794" t="s">
        <v>667</v>
      </c>
      <c r="E4794" t="s">
        <v>3318</v>
      </c>
      <c r="F4794" t="s">
        <v>4190</v>
      </c>
      <c r="G4794" t="s">
        <v>9937</v>
      </c>
      <c r="H4794" t="s">
        <v>10460</v>
      </c>
      <c r="I4794" t="s">
        <v>11386</v>
      </c>
      <c r="J4794">
        <v>10027</v>
      </c>
      <c r="K4794" t="s">
        <v>11446</v>
      </c>
      <c r="L4794" t="s">
        <v>14295</v>
      </c>
      <c r="M4794" t="s">
        <v>14744</v>
      </c>
      <c r="N4794" t="s">
        <v>14781</v>
      </c>
      <c r="P4794" t="s">
        <v>14806</v>
      </c>
      <c r="Q4794" t="s">
        <v>11448</v>
      </c>
      <c r="S4794" t="s">
        <v>14827</v>
      </c>
      <c r="V4794">
        <v>861</v>
      </c>
      <c r="W4794" t="s">
        <v>14860</v>
      </c>
      <c r="X4794" t="s">
        <v>14865</v>
      </c>
      <c r="Z4794" t="s">
        <v>18837</v>
      </c>
      <c r="AB4794" t="s">
        <v>24032</v>
      </c>
      <c r="AC4794">
        <v>10</v>
      </c>
      <c r="AD4794" t="s">
        <v>24595</v>
      </c>
      <c r="AE4794" t="s">
        <v>11459</v>
      </c>
      <c r="AF4794">
        <v>3</v>
      </c>
      <c r="AG4794">
        <v>1</v>
      </c>
      <c r="AH4794">
        <v>0</v>
      </c>
      <c r="AI4794">
        <v>14.33</v>
      </c>
      <c r="AL4794" t="s">
        <v>5011</v>
      </c>
      <c r="AM4794">
        <v>1740</v>
      </c>
      <c r="AS4794">
        <v>163.85</v>
      </c>
      <c r="AT4794" t="s">
        <v>487</v>
      </c>
      <c r="AU4794" t="s">
        <v>153</v>
      </c>
      <c r="AW4794" t="s">
        <v>11446</v>
      </c>
    </row>
    <row r="4795" spans="1:49">
      <c r="A4795" s="1">
        <f>HYPERLINK("https://lsnyc.legalserver.org/matter/dynamic-profile/view/1886826","19-1886826")</f>
        <v>0</v>
      </c>
      <c r="B4795" t="s">
        <v>188</v>
      </c>
      <c r="C4795" t="s">
        <v>419</v>
      </c>
      <c r="E4795" t="s">
        <v>3319</v>
      </c>
      <c r="F4795" t="s">
        <v>4134</v>
      </c>
      <c r="G4795" t="s">
        <v>9938</v>
      </c>
      <c r="H4795">
        <v>31</v>
      </c>
      <c r="I4795" t="s">
        <v>11386</v>
      </c>
      <c r="J4795">
        <v>10031</v>
      </c>
      <c r="K4795" t="s">
        <v>11446</v>
      </c>
      <c r="L4795" t="s">
        <v>14296</v>
      </c>
      <c r="M4795" t="s">
        <v>14744</v>
      </c>
      <c r="N4795" t="s">
        <v>14781</v>
      </c>
      <c r="P4795" t="s">
        <v>14806</v>
      </c>
      <c r="Q4795" t="s">
        <v>11448</v>
      </c>
      <c r="S4795" t="s">
        <v>14827</v>
      </c>
      <c r="T4795" t="s">
        <v>14832</v>
      </c>
      <c r="V4795">
        <v>1243</v>
      </c>
      <c r="W4795" t="s">
        <v>14860</v>
      </c>
      <c r="X4795" t="s">
        <v>14865</v>
      </c>
      <c r="Z4795" t="s">
        <v>17201</v>
      </c>
      <c r="AA4795" t="s">
        <v>20044</v>
      </c>
      <c r="AB4795" t="s">
        <v>24033</v>
      </c>
      <c r="AC4795">
        <v>0</v>
      </c>
      <c r="AD4795" t="s">
        <v>24595</v>
      </c>
      <c r="AE4795" t="s">
        <v>24610</v>
      </c>
      <c r="AF4795">
        <v>32</v>
      </c>
      <c r="AG4795">
        <v>1</v>
      </c>
      <c r="AH4795">
        <v>3</v>
      </c>
      <c r="AI4795">
        <v>14.34</v>
      </c>
      <c r="AL4795" t="s">
        <v>5011</v>
      </c>
      <c r="AM4795">
        <v>3600</v>
      </c>
      <c r="AS4795">
        <v>8.300000000000001</v>
      </c>
      <c r="AT4795" t="s">
        <v>541</v>
      </c>
      <c r="AU4795" t="s">
        <v>25276</v>
      </c>
      <c r="AW4795" t="s">
        <v>11446</v>
      </c>
    </row>
    <row r="4796" spans="1:49">
      <c r="A4796" s="1">
        <f>HYPERLINK("https://lsnyc.legalserver.org/matter/dynamic-profile/view/1915452","19-1915452")</f>
        <v>0</v>
      </c>
      <c r="B4796" t="s">
        <v>218</v>
      </c>
      <c r="C4796" t="s">
        <v>654</v>
      </c>
      <c r="E4796" t="s">
        <v>3320</v>
      </c>
      <c r="F4796" t="s">
        <v>5971</v>
      </c>
      <c r="G4796" t="s">
        <v>9939</v>
      </c>
      <c r="H4796">
        <v>316</v>
      </c>
      <c r="I4796" t="s">
        <v>11386</v>
      </c>
      <c r="J4796">
        <v>10027</v>
      </c>
      <c r="K4796" t="s">
        <v>11446</v>
      </c>
      <c r="L4796" t="s">
        <v>14297</v>
      </c>
      <c r="M4796" t="s">
        <v>14744</v>
      </c>
      <c r="N4796" t="s">
        <v>14782</v>
      </c>
      <c r="P4796" t="s">
        <v>14806</v>
      </c>
      <c r="Q4796" t="s">
        <v>11448</v>
      </c>
      <c r="S4796" t="s">
        <v>14827</v>
      </c>
      <c r="T4796" t="s">
        <v>14832</v>
      </c>
      <c r="V4796">
        <v>1600</v>
      </c>
      <c r="W4796" t="s">
        <v>14860</v>
      </c>
      <c r="Z4796" t="s">
        <v>18838</v>
      </c>
      <c r="AB4796" t="s">
        <v>24034</v>
      </c>
      <c r="AC4796">
        <v>0</v>
      </c>
      <c r="AD4796" t="s">
        <v>11479</v>
      </c>
      <c r="AE4796" t="s">
        <v>11459</v>
      </c>
      <c r="AF4796">
        <v>-1</v>
      </c>
      <c r="AG4796">
        <v>1</v>
      </c>
      <c r="AH4796">
        <v>0</v>
      </c>
      <c r="AI4796">
        <v>20.08</v>
      </c>
      <c r="AL4796" t="s">
        <v>5011</v>
      </c>
      <c r="AM4796">
        <v>2508</v>
      </c>
      <c r="AS4796">
        <v>2.1</v>
      </c>
      <c r="AT4796" t="s">
        <v>654</v>
      </c>
      <c r="AU4796" t="s">
        <v>153</v>
      </c>
      <c r="AV4796" t="s">
        <v>25335</v>
      </c>
      <c r="AW4796" t="s">
        <v>11447</v>
      </c>
    </row>
    <row r="4797" spans="1:49">
      <c r="A4797" s="1">
        <f>HYPERLINK("https://lsnyc.legalserver.org/matter/dynamic-profile/view/1892817","19-1892817")</f>
        <v>0</v>
      </c>
      <c r="B4797" t="s">
        <v>208</v>
      </c>
      <c r="C4797" t="s">
        <v>547</v>
      </c>
      <c r="E4797" t="s">
        <v>3321</v>
      </c>
      <c r="F4797" t="s">
        <v>5125</v>
      </c>
      <c r="G4797" t="s">
        <v>9940</v>
      </c>
      <c r="H4797" t="s">
        <v>11295</v>
      </c>
      <c r="I4797" t="s">
        <v>11386</v>
      </c>
      <c r="J4797">
        <v>10026</v>
      </c>
      <c r="K4797" t="s">
        <v>11446</v>
      </c>
      <c r="L4797" t="s">
        <v>14298</v>
      </c>
      <c r="M4797" t="s">
        <v>14744</v>
      </c>
      <c r="N4797" t="s">
        <v>14781</v>
      </c>
      <c r="P4797" t="s">
        <v>14806</v>
      </c>
      <c r="Q4797" t="s">
        <v>11448</v>
      </c>
      <c r="S4797" t="s">
        <v>14827</v>
      </c>
      <c r="T4797" t="s">
        <v>14832</v>
      </c>
      <c r="V4797">
        <v>275</v>
      </c>
      <c r="W4797" t="s">
        <v>14860</v>
      </c>
      <c r="X4797" t="s">
        <v>14863</v>
      </c>
      <c r="Z4797" t="s">
        <v>18839</v>
      </c>
      <c r="AB4797" t="s">
        <v>24035</v>
      </c>
      <c r="AC4797">
        <v>0</v>
      </c>
      <c r="AD4797" t="s">
        <v>11479</v>
      </c>
      <c r="AE4797" t="s">
        <v>11459</v>
      </c>
      <c r="AF4797">
        <v>2</v>
      </c>
      <c r="AG4797">
        <v>1</v>
      </c>
      <c r="AH4797">
        <v>1</v>
      </c>
      <c r="AI4797">
        <v>22.29</v>
      </c>
      <c r="AL4797" t="s">
        <v>5011</v>
      </c>
      <c r="AM4797">
        <v>3770</v>
      </c>
      <c r="AS4797">
        <v>8.800000000000001</v>
      </c>
      <c r="AT4797" t="s">
        <v>524</v>
      </c>
      <c r="AU4797" t="s">
        <v>153</v>
      </c>
      <c r="AW4797" t="s">
        <v>11446</v>
      </c>
    </row>
    <row r="4798" spans="1:49">
      <c r="A4798" s="1">
        <f>HYPERLINK("https://lsnyc.legalserver.org/matter/dynamic-profile/view/1880727","18-1880727")</f>
        <v>0</v>
      </c>
      <c r="B4798" t="s">
        <v>234</v>
      </c>
      <c r="C4798" t="s">
        <v>820</v>
      </c>
      <c r="E4798" t="s">
        <v>3322</v>
      </c>
      <c r="F4798" t="s">
        <v>3978</v>
      </c>
      <c r="G4798" t="s">
        <v>9841</v>
      </c>
      <c r="H4798" t="s">
        <v>10595</v>
      </c>
      <c r="I4798" t="s">
        <v>11386</v>
      </c>
      <c r="J4798">
        <v>10026</v>
      </c>
      <c r="K4798" t="s">
        <v>11446</v>
      </c>
      <c r="L4798" t="s">
        <v>14299</v>
      </c>
      <c r="M4798" t="s">
        <v>14744</v>
      </c>
      <c r="N4798" t="s">
        <v>14781</v>
      </c>
      <c r="P4798" t="s">
        <v>14806</v>
      </c>
      <c r="Q4798" t="s">
        <v>11448</v>
      </c>
      <c r="S4798" t="s">
        <v>14827</v>
      </c>
      <c r="T4798" t="s">
        <v>14832</v>
      </c>
      <c r="V4798">
        <v>732</v>
      </c>
      <c r="W4798" t="s">
        <v>14860</v>
      </c>
      <c r="X4798" t="s">
        <v>14865</v>
      </c>
      <c r="Z4798" t="s">
        <v>18840</v>
      </c>
      <c r="AA4798" t="s">
        <v>20045</v>
      </c>
      <c r="AB4798" t="s">
        <v>24036</v>
      </c>
      <c r="AC4798">
        <v>54</v>
      </c>
      <c r="AD4798" t="s">
        <v>11479</v>
      </c>
      <c r="AE4798" t="s">
        <v>14755</v>
      </c>
      <c r="AF4798">
        <v>25</v>
      </c>
      <c r="AG4798">
        <v>1</v>
      </c>
      <c r="AH4798">
        <v>0</v>
      </c>
      <c r="AI4798">
        <v>28.27</v>
      </c>
      <c r="AL4798" t="s">
        <v>5011</v>
      </c>
      <c r="AM4798">
        <v>3432</v>
      </c>
      <c r="AS4798">
        <v>53.05</v>
      </c>
      <c r="AT4798" t="s">
        <v>483</v>
      </c>
      <c r="AU4798" t="s">
        <v>153</v>
      </c>
      <c r="AV4798" t="s">
        <v>25334</v>
      </c>
      <c r="AW4798" t="s">
        <v>11446</v>
      </c>
    </row>
    <row r="4799" spans="1:49">
      <c r="A4799" s="1">
        <f>HYPERLINK("https://lsnyc.legalserver.org/matter/dynamic-profile/view/1897086","19-1897086")</f>
        <v>0</v>
      </c>
      <c r="B4799" t="s">
        <v>252</v>
      </c>
      <c r="C4799" t="s">
        <v>617</v>
      </c>
      <c r="E4799" t="s">
        <v>3323</v>
      </c>
      <c r="F4799" t="s">
        <v>4162</v>
      </c>
      <c r="G4799" t="s">
        <v>9941</v>
      </c>
      <c r="H4799" t="s">
        <v>11117</v>
      </c>
      <c r="I4799" t="s">
        <v>11386</v>
      </c>
      <c r="J4799">
        <v>10025</v>
      </c>
      <c r="K4799" t="s">
        <v>11446</v>
      </c>
      <c r="M4799" t="s">
        <v>14744</v>
      </c>
      <c r="N4799" t="s">
        <v>14781</v>
      </c>
      <c r="P4799" t="s">
        <v>14806</v>
      </c>
      <c r="Q4799" t="s">
        <v>11448</v>
      </c>
      <c r="S4799" t="s">
        <v>14828</v>
      </c>
      <c r="V4799">
        <v>621</v>
      </c>
      <c r="W4799" t="s">
        <v>14860</v>
      </c>
      <c r="Z4799" t="s">
        <v>18841</v>
      </c>
      <c r="AB4799" t="s">
        <v>24037</v>
      </c>
      <c r="AC4799">
        <v>1162</v>
      </c>
      <c r="AD4799" t="s">
        <v>24597</v>
      </c>
      <c r="AF4799">
        <v>13</v>
      </c>
      <c r="AG4799">
        <v>3</v>
      </c>
      <c r="AH4799">
        <v>0</v>
      </c>
      <c r="AI4799">
        <v>42.66</v>
      </c>
      <c r="AM4799">
        <v>9100</v>
      </c>
      <c r="AS4799">
        <v>43.65</v>
      </c>
      <c r="AT4799" t="s">
        <v>466</v>
      </c>
      <c r="AU4799" t="s">
        <v>118</v>
      </c>
      <c r="AW4799" t="s">
        <v>11446</v>
      </c>
    </row>
    <row r="4800" spans="1:49">
      <c r="A4800" s="1">
        <f>HYPERLINK("https://lsnyc.legalserver.org/matter/dynamic-profile/view/1896202","19-1896202")</f>
        <v>0</v>
      </c>
      <c r="B4800" t="s">
        <v>252</v>
      </c>
      <c r="C4800" t="s">
        <v>660</v>
      </c>
      <c r="E4800" t="s">
        <v>3324</v>
      </c>
      <c r="F4800" t="s">
        <v>4218</v>
      </c>
      <c r="G4800" t="s">
        <v>9942</v>
      </c>
      <c r="I4800" t="s">
        <v>11386</v>
      </c>
      <c r="J4800">
        <v>10025</v>
      </c>
      <c r="K4800" t="s">
        <v>11446</v>
      </c>
      <c r="L4800" t="s">
        <v>14300</v>
      </c>
      <c r="M4800" t="s">
        <v>14744</v>
      </c>
      <c r="N4800" t="s">
        <v>14781</v>
      </c>
      <c r="P4800" t="s">
        <v>14806</v>
      </c>
      <c r="Q4800" t="s">
        <v>11448</v>
      </c>
      <c r="S4800" t="s">
        <v>14827</v>
      </c>
      <c r="V4800">
        <v>353</v>
      </c>
      <c r="W4800" t="s">
        <v>14860</v>
      </c>
      <c r="X4800" t="s">
        <v>14863</v>
      </c>
      <c r="Z4800" t="s">
        <v>18842</v>
      </c>
      <c r="AB4800" t="s">
        <v>24038</v>
      </c>
      <c r="AC4800">
        <v>135</v>
      </c>
      <c r="AD4800" t="s">
        <v>24597</v>
      </c>
      <c r="AE4800" t="s">
        <v>11459</v>
      </c>
      <c r="AF4800">
        <v>0</v>
      </c>
      <c r="AG4800">
        <v>5</v>
      </c>
      <c r="AH4800">
        <v>0</v>
      </c>
      <c r="AI4800">
        <v>49.72</v>
      </c>
      <c r="AL4800" t="s">
        <v>24647</v>
      </c>
      <c r="AM4800">
        <v>15000</v>
      </c>
      <c r="AS4800">
        <v>18.9</v>
      </c>
      <c r="AT4800" t="s">
        <v>620</v>
      </c>
      <c r="AU4800" t="s">
        <v>25282</v>
      </c>
      <c r="AV4800" t="s">
        <v>25335</v>
      </c>
      <c r="AW4800" t="s">
        <v>11447</v>
      </c>
    </row>
    <row r="4801" spans="1:49">
      <c r="A4801" s="1">
        <f>HYPERLINK("https://lsnyc.legalserver.org/matter/dynamic-profile/view/1872261","18-1872261")</f>
        <v>0</v>
      </c>
      <c r="B4801" t="s">
        <v>208</v>
      </c>
      <c r="C4801" t="s">
        <v>869</v>
      </c>
      <c r="E4801" t="s">
        <v>1169</v>
      </c>
      <c r="F4801" t="s">
        <v>3623</v>
      </c>
      <c r="G4801" t="s">
        <v>7762</v>
      </c>
      <c r="H4801">
        <v>65</v>
      </c>
      <c r="I4801" t="s">
        <v>11386</v>
      </c>
      <c r="J4801">
        <v>10031</v>
      </c>
      <c r="K4801" t="s">
        <v>11448</v>
      </c>
      <c r="L4801" t="s">
        <v>14301</v>
      </c>
      <c r="M4801" t="s">
        <v>14743</v>
      </c>
      <c r="N4801" t="s">
        <v>14781</v>
      </c>
      <c r="P4801" t="s">
        <v>14806</v>
      </c>
      <c r="Q4801" t="s">
        <v>11448</v>
      </c>
      <c r="R4801" t="s">
        <v>14825</v>
      </c>
      <c r="S4801" t="s">
        <v>14827</v>
      </c>
      <c r="V4801">
        <v>0</v>
      </c>
      <c r="W4801" t="s">
        <v>14860</v>
      </c>
      <c r="X4801" t="s">
        <v>14864</v>
      </c>
      <c r="Z4801" t="s">
        <v>18843</v>
      </c>
      <c r="AC4801">
        <v>37</v>
      </c>
      <c r="AD4801" t="s">
        <v>24595</v>
      </c>
      <c r="AF4801">
        <v>40</v>
      </c>
      <c r="AG4801">
        <v>1</v>
      </c>
      <c r="AH4801">
        <v>4</v>
      </c>
      <c r="AI4801">
        <v>53.03</v>
      </c>
      <c r="AM4801">
        <v>15600</v>
      </c>
      <c r="AS4801">
        <v>0.25</v>
      </c>
      <c r="AT4801" t="s">
        <v>25177</v>
      </c>
      <c r="AU4801" t="s">
        <v>25280</v>
      </c>
      <c r="AW4801" t="s">
        <v>11447</v>
      </c>
    </row>
    <row r="4802" spans="1:49">
      <c r="A4802" s="1">
        <f>HYPERLINK("https://lsnyc.legalserver.org/matter/dynamic-profile/view/1904908","19-1904908")</f>
        <v>0</v>
      </c>
      <c r="B4802" t="s">
        <v>218</v>
      </c>
      <c r="C4802" t="s">
        <v>593</v>
      </c>
      <c r="E4802" t="s">
        <v>1316</v>
      </c>
      <c r="F4802" t="s">
        <v>3848</v>
      </c>
      <c r="G4802" t="s">
        <v>9053</v>
      </c>
      <c r="H4802" t="s">
        <v>10599</v>
      </c>
      <c r="I4802" t="s">
        <v>11386</v>
      </c>
      <c r="J4802">
        <v>10027</v>
      </c>
      <c r="K4802" t="s">
        <v>11446</v>
      </c>
      <c r="L4802" t="s">
        <v>14302</v>
      </c>
      <c r="M4802" t="s">
        <v>14744</v>
      </c>
      <c r="N4802" t="s">
        <v>14781</v>
      </c>
      <c r="P4802" t="s">
        <v>14806</v>
      </c>
      <c r="Q4802" t="s">
        <v>11448</v>
      </c>
      <c r="S4802" t="s">
        <v>14828</v>
      </c>
      <c r="V4802">
        <v>986</v>
      </c>
      <c r="W4802" t="s">
        <v>14860</v>
      </c>
      <c r="X4802" t="s">
        <v>14863</v>
      </c>
      <c r="Z4802" t="s">
        <v>15284</v>
      </c>
      <c r="AB4802" t="s">
        <v>24039</v>
      </c>
      <c r="AC4802">
        <v>1128</v>
      </c>
      <c r="AD4802" t="s">
        <v>24597</v>
      </c>
      <c r="AF4802">
        <v>11</v>
      </c>
      <c r="AG4802">
        <v>4</v>
      </c>
      <c r="AH4802">
        <v>0</v>
      </c>
      <c r="AI4802">
        <v>54.37</v>
      </c>
      <c r="AM4802">
        <v>14000</v>
      </c>
      <c r="AS4802">
        <v>5.6</v>
      </c>
      <c r="AT4802" t="s">
        <v>509</v>
      </c>
      <c r="AU4802" t="s">
        <v>118</v>
      </c>
      <c r="AV4802" t="s">
        <v>25335</v>
      </c>
      <c r="AW4802" t="s">
        <v>11447</v>
      </c>
    </row>
    <row r="4803" spans="1:49">
      <c r="A4803" s="1">
        <f>HYPERLINK("https://lsnyc.legalserver.org/matter/dynamic-profile/view/1894359","19-1894359")</f>
        <v>0</v>
      </c>
      <c r="B4803" t="s">
        <v>188</v>
      </c>
      <c r="C4803" t="s">
        <v>870</v>
      </c>
      <c r="E4803" t="s">
        <v>3325</v>
      </c>
      <c r="F4803" t="s">
        <v>3552</v>
      </c>
      <c r="G4803" t="s">
        <v>9803</v>
      </c>
      <c r="H4803" t="s">
        <v>11296</v>
      </c>
      <c r="I4803" t="s">
        <v>11386</v>
      </c>
      <c r="J4803">
        <v>10027</v>
      </c>
      <c r="K4803" t="s">
        <v>11446</v>
      </c>
      <c r="L4803" t="s">
        <v>14303</v>
      </c>
      <c r="M4803" t="s">
        <v>14744</v>
      </c>
      <c r="N4803" t="s">
        <v>14781</v>
      </c>
      <c r="P4803" t="s">
        <v>14806</v>
      </c>
      <c r="Q4803" t="s">
        <v>11446</v>
      </c>
      <c r="S4803" t="s">
        <v>14828</v>
      </c>
      <c r="V4803">
        <v>475</v>
      </c>
      <c r="W4803" t="s">
        <v>14860</v>
      </c>
      <c r="X4803" t="s">
        <v>14865</v>
      </c>
      <c r="Z4803" t="s">
        <v>18844</v>
      </c>
      <c r="AA4803" t="s">
        <v>20046</v>
      </c>
      <c r="AB4803" t="s">
        <v>24040</v>
      </c>
      <c r="AC4803">
        <v>0</v>
      </c>
      <c r="AD4803" t="s">
        <v>24596</v>
      </c>
      <c r="AE4803" t="s">
        <v>11459</v>
      </c>
      <c r="AF4803">
        <v>23</v>
      </c>
      <c r="AG4803">
        <v>2</v>
      </c>
      <c r="AH4803">
        <v>0</v>
      </c>
      <c r="AI4803">
        <v>54.71</v>
      </c>
      <c r="AL4803" t="s">
        <v>24632</v>
      </c>
      <c r="AM4803">
        <v>9252</v>
      </c>
      <c r="AS4803">
        <v>3.3</v>
      </c>
      <c r="AT4803" t="s">
        <v>529</v>
      </c>
      <c r="AU4803" t="s">
        <v>153</v>
      </c>
      <c r="AW4803" t="s">
        <v>11446</v>
      </c>
    </row>
    <row r="4804" spans="1:49">
      <c r="A4804" s="1">
        <f>HYPERLINK("https://lsnyc.legalserver.org/matter/dynamic-profile/view/1896154","19-1896154")</f>
        <v>0</v>
      </c>
      <c r="B4804" t="s">
        <v>218</v>
      </c>
      <c r="C4804" t="s">
        <v>660</v>
      </c>
      <c r="E4804" t="s">
        <v>1695</v>
      </c>
      <c r="F4804" t="s">
        <v>5236</v>
      </c>
      <c r="G4804" t="s">
        <v>9943</v>
      </c>
      <c r="H4804">
        <v>43</v>
      </c>
      <c r="I4804" t="s">
        <v>11386</v>
      </c>
      <c r="J4804">
        <v>10031</v>
      </c>
      <c r="K4804" t="s">
        <v>11446</v>
      </c>
      <c r="M4804" t="s">
        <v>14744</v>
      </c>
      <c r="N4804" t="s">
        <v>14781</v>
      </c>
      <c r="P4804" t="s">
        <v>14806</v>
      </c>
      <c r="Q4804" t="s">
        <v>11448</v>
      </c>
      <c r="S4804" t="s">
        <v>14827</v>
      </c>
      <c r="V4804">
        <v>816.91</v>
      </c>
      <c r="W4804" t="s">
        <v>14860</v>
      </c>
      <c r="X4804" t="s">
        <v>14755</v>
      </c>
      <c r="Z4804" t="s">
        <v>18845</v>
      </c>
      <c r="AB4804" t="s">
        <v>24041</v>
      </c>
      <c r="AC4804">
        <v>0</v>
      </c>
      <c r="AF4804">
        <v>19</v>
      </c>
      <c r="AG4804">
        <v>2</v>
      </c>
      <c r="AH4804">
        <v>0</v>
      </c>
      <c r="AI4804">
        <v>56.77</v>
      </c>
      <c r="AM4804">
        <v>9600</v>
      </c>
      <c r="AS4804">
        <v>2.4</v>
      </c>
      <c r="AT4804" t="s">
        <v>370</v>
      </c>
      <c r="AU4804" t="s">
        <v>118</v>
      </c>
      <c r="AW4804" t="s">
        <v>11446</v>
      </c>
    </row>
    <row r="4805" spans="1:49">
      <c r="A4805" s="1">
        <f>HYPERLINK("https://lsnyc.legalserver.org/matter/dynamic-profile/view/1899832","19-1899832")</f>
        <v>0</v>
      </c>
      <c r="B4805" t="s">
        <v>315</v>
      </c>
      <c r="C4805" t="s">
        <v>370</v>
      </c>
      <c r="E4805" t="s">
        <v>2934</v>
      </c>
      <c r="F4805" t="s">
        <v>3547</v>
      </c>
      <c r="G4805" t="s">
        <v>9944</v>
      </c>
      <c r="H4805" t="s">
        <v>10471</v>
      </c>
      <c r="I4805" t="s">
        <v>11386</v>
      </c>
      <c r="J4805">
        <v>10027</v>
      </c>
      <c r="K4805" t="s">
        <v>11446</v>
      </c>
      <c r="L4805" t="s">
        <v>14304</v>
      </c>
      <c r="M4805" t="s">
        <v>14744</v>
      </c>
      <c r="N4805" t="s">
        <v>14781</v>
      </c>
      <c r="P4805" t="s">
        <v>14806</v>
      </c>
      <c r="Q4805" t="s">
        <v>11448</v>
      </c>
      <c r="S4805" t="s">
        <v>14828</v>
      </c>
      <c r="V4805">
        <v>441</v>
      </c>
      <c r="W4805" t="s">
        <v>14860</v>
      </c>
      <c r="X4805" t="s">
        <v>14865</v>
      </c>
      <c r="Z4805" t="s">
        <v>18846</v>
      </c>
      <c r="AB4805" t="s">
        <v>24042</v>
      </c>
      <c r="AC4805">
        <v>0</v>
      </c>
      <c r="AD4805" t="s">
        <v>24597</v>
      </c>
      <c r="AF4805">
        <v>1</v>
      </c>
      <c r="AG4805">
        <v>1</v>
      </c>
      <c r="AH4805">
        <v>2</v>
      </c>
      <c r="AI4805">
        <v>60.44</v>
      </c>
      <c r="AM4805">
        <v>12892</v>
      </c>
      <c r="AS4805">
        <v>3</v>
      </c>
      <c r="AT4805" t="s">
        <v>351</v>
      </c>
      <c r="AU4805" t="s">
        <v>118</v>
      </c>
      <c r="AV4805" t="s">
        <v>25335</v>
      </c>
      <c r="AW4805" t="s">
        <v>11447</v>
      </c>
    </row>
    <row r="4806" spans="1:49">
      <c r="A4806" s="1">
        <f>HYPERLINK("https://lsnyc.legalserver.org/matter/dynamic-profile/view/1907348","19-1907348")</f>
        <v>0</v>
      </c>
      <c r="B4806" t="s">
        <v>188</v>
      </c>
      <c r="C4806" t="s">
        <v>368</v>
      </c>
      <c r="E4806" t="s">
        <v>3326</v>
      </c>
      <c r="F4806" t="s">
        <v>5972</v>
      </c>
      <c r="G4806" t="s">
        <v>9945</v>
      </c>
      <c r="H4806" t="s">
        <v>11297</v>
      </c>
      <c r="I4806" t="s">
        <v>11386</v>
      </c>
      <c r="J4806">
        <v>10025</v>
      </c>
      <c r="K4806" t="s">
        <v>11446</v>
      </c>
      <c r="L4806" t="s">
        <v>14305</v>
      </c>
      <c r="M4806" t="s">
        <v>14743</v>
      </c>
      <c r="N4806" t="s">
        <v>14781</v>
      </c>
      <c r="P4806" t="s">
        <v>14806</v>
      </c>
      <c r="Q4806" t="s">
        <v>11448</v>
      </c>
      <c r="S4806" t="s">
        <v>14827</v>
      </c>
      <c r="T4806" t="s">
        <v>14835</v>
      </c>
      <c r="V4806">
        <v>2500</v>
      </c>
      <c r="W4806" t="s">
        <v>14860</v>
      </c>
      <c r="X4806" t="s">
        <v>14863</v>
      </c>
      <c r="Z4806" t="s">
        <v>18847</v>
      </c>
      <c r="AB4806" t="s">
        <v>24043</v>
      </c>
      <c r="AC4806">
        <v>0</v>
      </c>
      <c r="AD4806" t="s">
        <v>24596</v>
      </c>
      <c r="AE4806" t="s">
        <v>24610</v>
      </c>
      <c r="AF4806">
        <v>30</v>
      </c>
      <c r="AG4806">
        <v>1</v>
      </c>
      <c r="AH4806">
        <v>0</v>
      </c>
      <c r="AI4806">
        <v>62.45</v>
      </c>
      <c r="AL4806" t="s">
        <v>5011</v>
      </c>
      <c r="AM4806">
        <v>7800</v>
      </c>
      <c r="AS4806">
        <v>16</v>
      </c>
      <c r="AT4806" t="s">
        <v>486</v>
      </c>
      <c r="AU4806" t="s">
        <v>153</v>
      </c>
      <c r="AV4806" t="s">
        <v>25335</v>
      </c>
      <c r="AW4806" t="s">
        <v>11447</v>
      </c>
    </row>
    <row r="4807" spans="1:49">
      <c r="A4807" s="1">
        <f>HYPERLINK("https://lsnyc.legalserver.org/matter/dynamic-profile/view/1883996","18-1883996")</f>
        <v>0</v>
      </c>
      <c r="B4807" t="s">
        <v>253</v>
      </c>
      <c r="C4807" t="s">
        <v>636</v>
      </c>
      <c r="E4807" t="s">
        <v>3327</v>
      </c>
      <c r="F4807" t="s">
        <v>5973</v>
      </c>
      <c r="G4807" t="s">
        <v>9877</v>
      </c>
      <c r="H4807" t="s">
        <v>11298</v>
      </c>
      <c r="I4807" t="s">
        <v>11386</v>
      </c>
      <c r="J4807">
        <v>10027</v>
      </c>
      <c r="K4807" t="s">
        <v>11446</v>
      </c>
      <c r="L4807" t="s">
        <v>14306</v>
      </c>
      <c r="M4807" t="s">
        <v>14744</v>
      </c>
      <c r="N4807" t="s">
        <v>14781</v>
      </c>
      <c r="P4807" t="s">
        <v>14806</v>
      </c>
      <c r="Q4807" t="s">
        <v>11448</v>
      </c>
      <c r="S4807" t="s">
        <v>14828</v>
      </c>
      <c r="T4807" t="s">
        <v>14832</v>
      </c>
      <c r="V4807">
        <v>366</v>
      </c>
      <c r="W4807" t="s">
        <v>14860</v>
      </c>
      <c r="X4807" t="s">
        <v>14865</v>
      </c>
      <c r="Z4807" t="s">
        <v>18848</v>
      </c>
      <c r="AB4807" t="s">
        <v>24044</v>
      </c>
      <c r="AC4807">
        <v>0</v>
      </c>
      <c r="AD4807" t="s">
        <v>24602</v>
      </c>
      <c r="AF4807">
        <v>20</v>
      </c>
      <c r="AG4807">
        <v>3</v>
      </c>
      <c r="AH4807">
        <v>0</v>
      </c>
      <c r="AI4807">
        <v>65.7</v>
      </c>
      <c r="AL4807" t="s">
        <v>5011</v>
      </c>
      <c r="AM4807">
        <v>13652.64</v>
      </c>
      <c r="AS4807">
        <v>1.85</v>
      </c>
      <c r="AT4807" t="s">
        <v>683</v>
      </c>
      <c r="AU4807" t="s">
        <v>25288</v>
      </c>
      <c r="AW4807" t="s">
        <v>11446</v>
      </c>
    </row>
    <row r="4808" spans="1:49">
      <c r="A4808" s="1">
        <f>HYPERLINK("https://lsnyc.legalserver.org/matter/dynamic-profile/view/1886198","18-1886198")</f>
        <v>0</v>
      </c>
      <c r="B4808" t="s">
        <v>247</v>
      </c>
      <c r="C4808" t="s">
        <v>341</v>
      </c>
      <c r="E4808" t="s">
        <v>1247</v>
      </c>
      <c r="F4808" t="s">
        <v>3758</v>
      </c>
      <c r="G4808" t="s">
        <v>9121</v>
      </c>
      <c r="H4808" t="s">
        <v>11299</v>
      </c>
      <c r="I4808" t="s">
        <v>11386</v>
      </c>
      <c r="J4808">
        <v>10031</v>
      </c>
      <c r="K4808" t="s">
        <v>11446</v>
      </c>
      <c r="L4808" t="s">
        <v>14307</v>
      </c>
      <c r="M4808" t="s">
        <v>14744</v>
      </c>
      <c r="N4808" t="s">
        <v>14781</v>
      </c>
      <c r="P4808" t="s">
        <v>14806</v>
      </c>
      <c r="Q4808" t="s">
        <v>11448</v>
      </c>
      <c r="S4808" t="s">
        <v>14827</v>
      </c>
      <c r="V4808">
        <v>200</v>
      </c>
      <c r="W4808" t="s">
        <v>14860</v>
      </c>
      <c r="X4808" t="s">
        <v>14865</v>
      </c>
      <c r="Z4808" t="s">
        <v>18849</v>
      </c>
      <c r="AB4808" t="s">
        <v>24045</v>
      </c>
      <c r="AC4808">
        <v>0</v>
      </c>
      <c r="AD4808" t="s">
        <v>24601</v>
      </c>
      <c r="AE4808" t="s">
        <v>24610</v>
      </c>
      <c r="AF4808">
        <v>43</v>
      </c>
      <c r="AG4808">
        <v>2</v>
      </c>
      <c r="AH4808">
        <v>0</v>
      </c>
      <c r="AI4808">
        <v>68.31</v>
      </c>
      <c r="AL4808" t="s">
        <v>5011</v>
      </c>
      <c r="AM4808">
        <v>11244</v>
      </c>
      <c r="AS4808">
        <v>8</v>
      </c>
      <c r="AT4808" t="s">
        <v>547</v>
      </c>
      <c r="AU4808" t="s">
        <v>153</v>
      </c>
      <c r="AW4808" t="s">
        <v>11446</v>
      </c>
    </row>
    <row r="4809" spans="1:49">
      <c r="A4809" s="1">
        <f>HYPERLINK("https://lsnyc.legalserver.org/matter/dynamic-profile/view/1890800","19-1890800")</f>
        <v>0</v>
      </c>
      <c r="B4809" t="s">
        <v>315</v>
      </c>
      <c r="C4809" t="s">
        <v>552</v>
      </c>
      <c r="E4809" t="s">
        <v>3328</v>
      </c>
      <c r="F4809" t="s">
        <v>5974</v>
      </c>
      <c r="G4809" t="s">
        <v>9946</v>
      </c>
      <c r="H4809">
        <v>34</v>
      </c>
      <c r="I4809" t="s">
        <v>11386</v>
      </c>
      <c r="J4809">
        <v>10027</v>
      </c>
      <c r="K4809" t="s">
        <v>11446</v>
      </c>
      <c r="L4809" t="s">
        <v>14308</v>
      </c>
      <c r="M4809" t="s">
        <v>14744</v>
      </c>
      <c r="N4809" t="s">
        <v>14781</v>
      </c>
      <c r="P4809" t="s">
        <v>14806</v>
      </c>
      <c r="Q4809" t="s">
        <v>11448</v>
      </c>
      <c r="S4809" t="s">
        <v>14827</v>
      </c>
      <c r="T4809" t="s">
        <v>14832</v>
      </c>
      <c r="V4809">
        <v>434.37</v>
      </c>
      <c r="W4809" t="s">
        <v>14860</v>
      </c>
      <c r="Z4809" t="s">
        <v>18850</v>
      </c>
      <c r="AA4809" t="s">
        <v>20047</v>
      </c>
      <c r="AB4809" t="s">
        <v>24046</v>
      </c>
      <c r="AC4809">
        <v>0</v>
      </c>
      <c r="AD4809" t="s">
        <v>11479</v>
      </c>
      <c r="AE4809" t="s">
        <v>11459</v>
      </c>
      <c r="AF4809">
        <v>30</v>
      </c>
      <c r="AG4809">
        <v>1</v>
      </c>
      <c r="AH4809">
        <v>0</v>
      </c>
      <c r="AI4809">
        <v>69.18000000000001</v>
      </c>
      <c r="AL4809" t="s">
        <v>5011</v>
      </c>
      <c r="AM4809">
        <v>8640</v>
      </c>
      <c r="AS4809">
        <v>7.4</v>
      </c>
      <c r="AT4809" t="s">
        <v>618</v>
      </c>
      <c r="AU4809" t="s">
        <v>153</v>
      </c>
      <c r="AW4809" t="s">
        <v>11446</v>
      </c>
    </row>
    <row r="4810" spans="1:49">
      <c r="A4810" s="1">
        <f>HYPERLINK("https://lsnyc.legalserver.org/matter/dynamic-profile/view/1913750","19-1913750")</f>
        <v>0</v>
      </c>
      <c r="B4810" t="s">
        <v>218</v>
      </c>
      <c r="C4810" t="s">
        <v>476</v>
      </c>
      <c r="E4810" t="s">
        <v>3329</v>
      </c>
      <c r="F4810" t="s">
        <v>1397</v>
      </c>
      <c r="G4810" t="s">
        <v>9947</v>
      </c>
      <c r="H4810">
        <v>23</v>
      </c>
      <c r="I4810" t="s">
        <v>11386</v>
      </c>
      <c r="J4810">
        <v>10031</v>
      </c>
      <c r="K4810" t="s">
        <v>11446</v>
      </c>
      <c r="L4810" t="s">
        <v>14309</v>
      </c>
      <c r="M4810" t="s">
        <v>14744</v>
      </c>
      <c r="N4810" t="s">
        <v>14781</v>
      </c>
      <c r="P4810" t="s">
        <v>14806</v>
      </c>
      <c r="Q4810" t="s">
        <v>11448</v>
      </c>
      <c r="S4810" t="s">
        <v>14827</v>
      </c>
      <c r="V4810">
        <v>2735</v>
      </c>
      <c r="W4810" t="s">
        <v>14860</v>
      </c>
      <c r="X4810" t="s">
        <v>14863</v>
      </c>
      <c r="Z4810" t="s">
        <v>18851</v>
      </c>
      <c r="AC4810">
        <v>0</v>
      </c>
      <c r="AD4810" t="s">
        <v>11479</v>
      </c>
      <c r="AE4810" t="s">
        <v>11459</v>
      </c>
      <c r="AF4810">
        <v>2</v>
      </c>
      <c r="AG4810">
        <v>2</v>
      </c>
      <c r="AH4810">
        <v>4</v>
      </c>
      <c r="AI4810">
        <v>70.36</v>
      </c>
      <c r="AL4810" t="s">
        <v>24632</v>
      </c>
      <c r="AM4810">
        <v>24336</v>
      </c>
      <c r="AS4810">
        <v>1.1</v>
      </c>
      <c r="AT4810" t="s">
        <v>509</v>
      </c>
      <c r="AU4810" t="s">
        <v>153</v>
      </c>
      <c r="AV4810" t="s">
        <v>25335</v>
      </c>
      <c r="AW4810" t="s">
        <v>11447</v>
      </c>
    </row>
    <row r="4811" spans="1:49">
      <c r="A4811" s="1">
        <f>HYPERLINK("https://lsnyc.legalserver.org/matter/dynamic-profile/view/1913973","19-1913973")</f>
        <v>0</v>
      </c>
      <c r="B4811" t="s">
        <v>234</v>
      </c>
      <c r="C4811" t="s">
        <v>490</v>
      </c>
      <c r="E4811" t="s">
        <v>1896</v>
      </c>
      <c r="F4811" t="s">
        <v>3797</v>
      </c>
      <c r="G4811" t="s">
        <v>9948</v>
      </c>
      <c r="H4811" t="s">
        <v>11300</v>
      </c>
      <c r="I4811" t="s">
        <v>11386</v>
      </c>
      <c r="J4811">
        <v>10036</v>
      </c>
      <c r="K4811" t="s">
        <v>11446</v>
      </c>
      <c r="L4811" t="s">
        <v>14310</v>
      </c>
      <c r="M4811" t="s">
        <v>14744</v>
      </c>
      <c r="N4811" t="s">
        <v>14781</v>
      </c>
      <c r="P4811" t="s">
        <v>14806</v>
      </c>
      <c r="Q4811" t="s">
        <v>11448</v>
      </c>
      <c r="S4811" t="s">
        <v>14827</v>
      </c>
      <c r="T4811" t="s">
        <v>14832</v>
      </c>
      <c r="V4811">
        <v>659</v>
      </c>
      <c r="W4811" t="s">
        <v>14860</v>
      </c>
      <c r="X4811" t="s">
        <v>14865</v>
      </c>
      <c r="Z4811" t="s">
        <v>17639</v>
      </c>
      <c r="AB4811" t="s">
        <v>24047</v>
      </c>
      <c r="AC4811">
        <v>0</v>
      </c>
      <c r="AD4811" t="s">
        <v>24595</v>
      </c>
      <c r="AE4811" t="s">
        <v>24617</v>
      </c>
      <c r="AF4811">
        <v>1</v>
      </c>
      <c r="AG4811">
        <v>1</v>
      </c>
      <c r="AH4811">
        <v>0</v>
      </c>
      <c r="AI4811">
        <v>72.06</v>
      </c>
      <c r="AL4811" t="s">
        <v>5011</v>
      </c>
      <c r="AM4811">
        <v>9000</v>
      </c>
      <c r="AS4811">
        <v>14.9</v>
      </c>
      <c r="AT4811" t="s">
        <v>509</v>
      </c>
      <c r="AU4811" t="s">
        <v>153</v>
      </c>
      <c r="AV4811" t="s">
        <v>25335</v>
      </c>
      <c r="AW4811" t="s">
        <v>11447</v>
      </c>
    </row>
    <row r="4812" spans="1:49">
      <c r="A4812" s="1">
        <f>HYPERLINK("https://lsnyc.legalserver.org/matter/dynamic-profile/view/1911058","19-1911058")</f>
        <v>0</v>
      </c>
      <c r="B4812" t="s">
        <v>218</v>
      </c>
      <c r="C4812" t="s">
        <v>460</v>
      </c>
      <c r="E4812" t="s">
        <v>1176</v>
      </c>
      <c r="F4812" t="s">
        <v>4399</v>
      </c>
      <c r="G4812" t="s">
        <v>9949</v>
      </c>
      <c r="H4812" t="s">
        <v>10448</v>
      </c>
      <c r="I4812" t="s">
        <v>11386</v>
      </c>
      <c r="J4812">
        <v>10031</v>
      </c>
      <c r="K4812" t="s">
        <v>11446</v>
      </c>
      <c r="L4812" t="s">
        <v>14311</v>
      </c>
      <c r="M4812" t="s">
        <v>14744</v>
      </c>
      <c r="N4812" t="s">
        <v>14781</v>
      </c>
      <c r="P4812" t="s">
        <v>14806</v>
      </c>
      <c r="Q4812" t="s">
        <v>11448</v>
      </c>
      <c r="S4812" t="s">
        <v>14827</v>
      </c>
      <c r="V4812">
        <v>450</v>
      </c>
      <c r="W4812" t="s">
        <v>14860</v>
      </c>
      <c r="X4812" t="s">
        <v>14863</v>
      </c>
      <c r="Z4812" t="s">
        <v>16122</v>
      </c>
      <c r="AB4812" t="s">
        <v>24048</v>
      </c>
      <c r="AC4812">
        <v>134</v>
      </c>
      <c r="AD4812" t="s">
        <v>24599</v>
      </c>
      <c r="AE4812" t="s">
        <v>11459</v>
      </c>
      <c r="AF4812">
        <v>72</v>
      </c>
      <c r="AG4812">
        <v>1</v>
      </c>
      <c r="AH4812">
        <v>0</v>
      </c>
      <c r="AI4812">
        <v>74.08</v>
      </c>
      <c r="AL4812" t="s">
        <v>5011</v>
      </c>
      <c r="AM4812">
        <v>9252</v>
      </c>
      <c r="AS4812">
        <v>3.75</v>
      </c>
      <c r="AT4812" t="s">
        <v>521</v>
      </c>
      <c r="AU4812" t="s">
        <v>153</v>
      </c>
      <c r="AV4812" t="s">
        <v>25335</v>
      </c>
      <c r="AW4812" t="s">
        <v>11447</v>
      </c>
    </row>
    <row r="4813" spans="1:49">
      <c r="A4813" s="1">
        <f>HYPERLINK("https://lsnyc.legalserver.org/matter/dynamic-profile/view/1905004","19-1905004")</f>
        <v>0</v>
      </c>
      <c r="B4813" t="s">
        <v>208</v>
      </c>
      <c r="C4813" t="s">
        <v>593</v>
      </c>
      <c r="E4813" t="s">
        <v>3330</v>
      </c>
      <c r="F4813" t="s">
        <v>5975</v>
      </c>
      <c r="G4813" t="s">
        <v>9950</v>
      </c>
      <c r="H4813" t="s">
        <v>10767</v>
      </c>
      <c r="I4813" t="s">
        <v>11386</v>
      </c>
      <c r="J4813">
        <v>10039</v>
      </c>
      <c r="K4813" t="s">
        <v>11447</v>
      </c>
      <c r="N4813" t="s">
        <v>14781</v>
      </c>
      <c r="P4813" t="s">
        <v>14806</v>
      </c>
      <c r="Q4813" t="s">
        <v>11448</v>
      </c>
      <c r="S4813" t="s">
        <v>14828</v>
      </c>
      <c r="V4813">
        <v>0</v>
      </c>
      <c r="W4813" t="s">
        <v>14860</v>
      </c>
      <c r="Z4813" t="s">
        <v>17952</v>
      </c>
      <c r="AB4813" t="s">
        <v>24049</v>
      </c>
      <c r="AC4813">
        <v>0</v>
      </c>
      <c r="AF4813">
        <v>0</v>
      </c>
      <c r="AG4813">
        <v>2</v>
      </c>
      <c r="AH4813">
        <v>2</v>
      </c>
      <c r="AI4813">
        <v>77.45</v>
      </c>
      <c r="AL4813" t="s">
        <v>5011</v>
      </c>
      <c r="AM4813">
        <v>19944</v>
      </c>
      <c r="AS4813">
        <v>6.5</v>
      </c>
      <c r="AT4813" t="s">
        <v>504</v>
      </c>
      <c r="AU4813" t="s">
        <v>25282</v>
      </c>
      <c r="AW4813" t="s">
        <v>11447</v>
      </c>
    </row>
    <row r="4814" spans="1:49">
      <c r="A4814" s="1">
        <f>HYPERLINK("https://lsnyc.legalserver.org/matter/dynamic-profile/view/1904147","19-1904147")</f>
        <v>0</v>
      </c>
      <c r="B4814" t="s">
        <v>182</v>
      </c>
      <c r="C4814" t="s">
        <v>338</v>
      </c>
      <c r="E4814" t="s">
        <v>2451</v>
      </c>
      <c r="F4814" t="s">
        <v>4136</v>
      </c>
      <c r="G4814" t="s">
        <v>9951</v>
      </c>
      <c r="H4814" t="s">
        <v>10522</v>
      </c>
      <c r="I4814" t="s">
        <v>11386</v>
      </c>
      <c r="J4814">
        <v>10026</v>
      </c>
      <c r="K4814" t="s">
        <v>11447</v>
      </c>
      <c r="L4814" t="s">
        <v>14312</v>
      </c>
      <c r="M4814" t="s">
        <v>14744</v>
      </c>
      <c r="N4814" t="s">
        <v>14781</v>
      </c>
      <c r="P4814" t="s">
        <v>14806</v>
      </c>
      <c r="Q4814" t="s">
        <v>11448</v>
      </c>
      <c r="S4814" t="s">
        <v>14827</v>
      </c>
      <c r="V4814">
        <v>247</v>
      </c>
      <c r="W4814" t="s">
        <v>14860</v>
      </c>
      <c r="Z4814" t="s">
        <v>18852</v>
      </c>
      <c r="AB4814" t="s">
        <v>24050</v>
      </c>
      <c r="AC4814">
        <v>8</v>
      </c>
      <c r="AF4814">
        <v>4</v>
      </c>
      <c r="AG4814">
        <v>1</v>
      </c>
      <c r="AH4814">
        <v>0</v>
      </c>
      <c r="AI4814">
        <v>78.01000000000001</v>
      </c>
      <c r="AL4814" t="s">
        <v>5011</v>
      </c>
      <c r="AM4814">
        <v>9744</v>
      </c>
      <c r="AS4814">
        <v>11.25</v>
      </c>
      <c r="AT4814" t="s">
        <v>476</v>
      </c>
      <c r="AU4814" t="s">
        <v>25317</v>
      </c>
      <c r="AW4814" t="s">
        <v>11447</v>
      </c>
    </row>
    <row r="4815" spans="1:49">
      <c r="A4815" s="1">
        <f>HYPERLINK("https://lsnyc.legalserver.org/matter/dynamic-profile/view/1865652","18-1865652")</f>
        <v>0</v>
      </c>
      <c r="B4815" t="s">
        <v>188</v>
      </c>
      <c r="C4815" t="s">
        <v>871</v>
      </c>
      <c r="E4815" t="s">
        <v>1683</v>
      </c>
      <c r="F4815" t="s">
        <v>5976</v>
      </c>
      <c r="G4815" t="s">
        <v>9952</v>
      </c>
      <c r="I4815" t="s">
        <v>11386</v>
      </c>
      <c r="J4815">
        <v>10025</v>
      </c>
      <c r="K4815" t="s">
        <v>11447</v>
      </c>
      <c r="M4815" t="s">
        <v>14744</v>
      </c>
      <c r="N4815" t="s">
        <v>14781</v>
      </c>
      <c r="P4815" t="s">
        <v>14806</v>
      </c>
      <c r="S4815" t="s">
        <v>14828</v>
      </c>
      <c r="V4815">
        <v>0</v>
      </c>
      <c r="W4815" t="s">
        <v>14860</v>
      </c>
      <c r="Z4815" t="s">
        <v>16106</v>
      </c>
      <c r="AB4815" t="s">
        <v>24051</v>
      </c>
      <c r="AC4815">
        <v>0</v>
      </c>
      <c r="AF4815">
        <v>0</v>
      </c>
      <c r="AG4815">
        <v>1</v>
      </c>
      <c r="AH4815">
        <v>0</v>
      </c>
      <c r="AI4815">
        <v>79.08</v>
      </c>
      <c r="AL4815" t="s">
        <v>5011</v>
      </c>
      <c r="AM4815">
        <v>9600</v>
      </c>
      <c r="AS4815">
        <v>25.7</v>
      </c>
      <c r="AT4815" t="s">
        <v>490</v>
      </c>
      <c r="AU4815" t="s">
        <v>25282</v>
      </c>
      <c r="AW4815" t="s">
        <v>11447</v>
      </c>
    </row>
    <row r="4816" spans="1:49">
      <c r="A4816" s="1">
        <f>HYPERLINK("https://lsnyc.legalserver.org/matter/dynamic-profile/view/1883183","18-1883183")</f>
        <v>0</v>
      </c>
      <c r="B4816" t="s">
        <v>218</v>
      </c>
      <c r="C4816" t="s">
        <v>623</v>
      </c>
      <c r="E4816" t="s">
        <v>1907</v>
      </c>
      <c r="F4816" t="s">
        <v>5977</v>
      </c>
      <c r="G4816" t="s">
        <v>9953</v>
      </c>
      <c r="H4816" t="s">
        <v>11301</v>
      </c>
      <c r="I4816" t="s">
        <v>11386</v>
      </c>
      <c r="J4816">
        <v>10025</v>
      </c>
      <c r="K4816" t="s">
        <v>11446</v>
      </c>
      <c r="L4816" t="s">
        <v>14313</v>
      </c>
      <c r="M4816" t="s">
        <v>14744</v>
      </c>
      <c r="N4816" t="s">
        <v>14781</v>
      </c>
      <c r="P4816" t="s">
        <v>14806</v>
      </c>
      <c r="Q4816" t="s">
        <v>11448</v>
      </c>
      <c r="S4816" t="s">
        <v>14827</v>
      </c>
      <c r="T4816" t="s">
        <v>14832</v>
      </c>
      <c r="V4816">
        <v>686</v>
      </c>
      <c r="W4816" t="s">
        <v>14860</v>
      </c>
      <c r="X4816" t="s">
        <v>14865</v>
      </c>
      <c r="Z4816" t="s">
        <v>18853</v>
      </c>
      <c r="AB4816" t="s">
        <v>24052</v>
      </c>
      <c r="AC4816">
        <v>0</v>
      </c>
      <c r="AD4816" t="s">
        <v>11479</v>
      </c>
      <c r="AE4816" t="s">
        <v>24613</v>
      </c>
      <c r="AF4816">
        <v>40</v>
      </c>
      <c r="AG4816">
        <v>1</v>
      </c>
      <c r="AH4816">
        <v>0</v>
      </c>
      <c r="AI4816">
        <v>79.08</v>
      </c>
      <c r="AL4816" t="s">
        <v>5011</v>
      </c>
      <c r="AM4816">
        <v>9600</v>
      </c>
      <c r="AS4816">
        <v>17.12</v>
      </c>
      <c r="AT4816" t="s">
        <v>551</v>
      </c>
      <c r="AU4816" t="s">
        <v>153</v>
      </c>
      <c r="AW4816" t="s">
        <v>11446</v>
      </c>
    </row>
    <row r="4817" spans="1:49">
      <c r="A4817" s="1">
        <f>HYPERLINK("https://lsnyc.legalserver.org/matter/dynamic-profile/view/1868534","18-1868534")</f>
        <v>0</v>
      </c>
      <c r="B4817" t="s">
        <v>253</v>
      </c>
      <c r="C4817" t="s">
        <v>579</v>
      </c>
      <c r="E4817" t="s">
        <v>2559</v>
      </c>
      <c r="F4817" t="s">
        <v>5978</v>
      </c>
      <c r="G4817" t="s">
        <v>9954</v>
      </c>
      <c r="H4817">
        <v>8</v>
      </c>
      <c r="I4817" t="s">
        <v>11386</v>
      </c>
      <c r="J4817">
        <v>10026</v>
      </c>
      <c r="K4817" t="s">
        <v>11448</v>
      </c>
      <c r="M4817" t="s">
        <v>14744</v>
      </c>
      <c r="N4817" t="s">
        <v>14781</v>
      </c>
      <c r="P4817" t="s">
        <v>14806</v>
      </c>
      <c r="S4817" t="s">
        <v>14827</v>
      </c>
      <c r="V4817">
        <v>551.22</v>
      </c>
      <c r="W4817" t="s">
        <v>14860</v>
      </c>
      <c r="X4817" t="s">
        <v>14882</v>
      </c>
      <c r="Z4817" t="s">
        <v>15494</v>
      </c>
      <c r="AB4817" t="s">
        <v>24053</v>
      </c>
      <c r="AC4817">
        <v>0</v>
      </c>
      <c r="AD4817" t="s">
        <v>24595</v>
      </c>
      <c r="AE4817" t="s">
        <v>11459</v>
      </c>
      <c r="AF4817">
        <v>10</v>
      </c>
      <c r="AG4817">
        <v>1</v>
      </c>
      <c r="AH4817">
        <v>0</v>
      </c>
      <c r="AI4817">
        <v>80.56</v>
      </c>
      <c r="AM4817">
        <v>9780</v>
      </c>
      <c r="AS4817">
        <v>137.42</v>
      </c>
      <c r="AT4817" t="s">
        <v>472</v>
      </c>
      <c r="AU4817" t="s">
        <v>25280</v>
      </c>
      <c r="AW4817" t="s">
        <v>11447</v>
      </c>
    </row>
    <row r="4818" spans="1:49">
      <c r="A4818" s="1">
        <f>HYPERLINK("https://lsnyc.legalserver.org/matter/dynamic-profile/view/1890725","19-1890725")</f>
        <v>0</v>
      </c>
      <c r="B4818" t="s">
        <v>182</v>
      </c>
      <c r="C4818" t="s">
        <v>552</v>
      </c>
      <c r="E4818" t="s">
        <v>1241</v>
      </c>
      <c r="F4818" t="s">
        <v>5979</v>
      </c>
      <c r="G4818" t="s">
        <v>9955</v>
      </c>
      <c r="H4818">
        <v>56</v>
      </c>
      <c r="I4818" t="s">
        <v>11386</v>
      </c>
      <c r="J4818">
        <v>10031</v>
      </c>
      <c r="K4818" t="s">
        <v>11446</v>
      </c>
      <c r="L4818" t="s">
        <v>14314</v>
      </c>
      <c r="M4818" t="s">
        <v>14743</v>
      </c>
      <c r="N4818" t="s">
        <v>14781</v>
      </c>
      <c r="P4818" t="s">
        <v>14806</v>
      </c>
      <c r="Q4818" t="s">
        <v>11448</v>
      </c>
      <c r="S4818" t="s">
        <v>14827</v>
      </c>
      <c r="V4818">
        <v>1100</v>
      </c>
      <c r="W4818" t="s">
        <v>14860</v>
      </c>
      <c r="X4818" t="s">
        <v>14863</v>
      </c>
      <c r="Z4818" t="s">
        <v>18854</v>
      </c>
      <c r="AB4818" t="s">
        <v>24054</v>
      </c>
      <c r="AC4818">
        <v>54</v>
      </c>
      <c r="AE4818" t="s">
        <v>24610</v>
      </c>
      <c r="AF4818">
        <v>30</v>
      </c>
      <c r="AG4818">
        <v>1</v>
      </c>
      <c r="AH4818">
        <v>0</v>
      </c>
      <c r="AI4818">
        <v>81.67</v>
      </c>
      <c r="AL4818" t="s">
        <v>5011</v>
      </c>
      <c r="AM4818">
        <v>10200</v>
      </c>
      <c r="AS4818">
        <v>45.25</v>
      </c>
      <c r="AT4818" t="s">
        <v>509</v>
      </c>
      <c r="AU4818" t="s">
        <v>153</v>
      </c>
      <c r="AW4818" t="s">
        <v>11446</v>
      </c>
    </row>
    <row r="4819" spans="1:49">
      <c r="A4819" s="1">
        <f>HYPERLINK("https://lsnyc.legalserver.org/matter/dynamic-profile/view/1892849","19-1892849")</f>
        <v>0</v>
      </c>
      <c r="B4819" t="s">
        <v>249</v>
      </c>
      <c r="C4819" t="s">
        <v>547</v>
      </c>
      <c r="E4819" t="s">
        <v>1089</v>
      </c>
      <c r="F4819" t="s">
        <v>5980</v>
      </c>
      <c r="G4819" t="s">
        <v>9956</v>
      </c>
      <c r="I4819" t="s">
        <v>11386</v>
      </c>
      <c r="J4819">
        <v>10027</v>
      </c>
      <c r="K4819" t="s">
        <v>11447</v>
      </c>
      <c r="L4819" t="s">
        <v>14315</v>
      </c>
      <c r="M4819" t="s">
        <v>14744</v>
      </c>
      <c r="N4819" t="s">
        <v>14781</v>
      </c>
      <c r="P4819" t="s">
        <v>14806</v>
      </c>
      <c r="Q4819" t="s">
        <v>11448</v>
      </c>
      <c r="S4819" t="s">
        <v>14828</v>
      </c>
      <c r="T4819" t="s">
        <v>14832</v>
      </c>
      <c r="V4819">
        <v>252</v>
      </c>
      <c r="W4819" t="s">
        <v>14860</v>
      </c>
      <c r="Z4819" t="s">
        <v>18042</v>
      </c>
      <c r="AB4819" t="s">
        <v>24055</v>
      </c>
      <c r="AC4819">
        <v>0</v>
      </c>
      <c r="AD4819" t="s">
        <v>24606</v>
      </c>
      <c r="AE4819" t="s">
        <v>24610</v>
      </c>
      <c r="AF4819">
        <v>0</v>
      </c>
      <c r="AG4819">
        <v>1</v>
      </c>
      <c r="AH4819">
        <v>0</v>
      </c>
      <c r="AI4819">
        <v>81.67</v>
      </c>
      <c r="AM4819">
        <v>10200</v>
      </c>
      <c r="AS4819">
        <v>17.4</v>
      </c>
      <c r="AT4819" t="s">
        <v>505</v>
      </c>
      <c r="AU4819" t="s">
        <v>25282</v>
      </c>
      <c r="AW4819" t="s">
        <v>11447</v>
      </c>
    </row>
    <row r="4820" spans="1:49">
      <c r="A4820" s="1">
        <f>HYPERLINK("https://lsnyc.legalserver.org/matter/dynamic-profile/view/1904940","19-1904940")</f>
        <v>0</v>
      </c>
      <c r="B4820" t="s">
        <v>208</v>
      </c>
      <c r="C4820" t="s">
        <v>593</v>
      </c>
      <c r="E4820" t="s">
        <v>2156</v>
      </c>
      <c r="F4820" t="s">
        <v>3797</v>
      </c>
      <c r="G4820" t="s">
        <v>9957</v>
      </c>
      <c r="I4820" t="s">
        <v>11386</v>
      </c>
      <c r="J4820">
        <v>10026</v>
      </c>
      <c r="K4820" t="s">
        <v>11447</v>
      </c>
      <c r="L4820" t="s">
        <v>14316</v>
      </c>
      <c r="M4820" t="s">
        <v>14743</v>
      </c>
      <c r="N4820" t="s">
        <v>14782</v>
      </c>
      <c r="P4820" t="s">
        <v>14806</v>
      </c>
      <c r="Q4820" t="s">
        <v>11448</v>
      </c>
      <c r="S4820" t="s">
        <v>14828</v>
      </c>
      <c r="V4820">
        <v>0</v>
      </c>
      <c r="W4820" t="s">
        <v>14860</v>
      </c>
      <c r="Z4820" t="s">
        <v>18855</v>
      </c>
      <c r="AB4820" t="s">
        <v>24056</v>
      </c>
      <c r="AC4820">
        <v>0</v>
      </c>
      <c r="AD4820" t="s">
        <v>24597</v>
      </c>
      <c r="AF4820">
        <v>0</v>
      </c>
      <c r="AG4820">
        <v>3</v>
      </c>
      <c r="AH4820">
        <v>0</v>
      </c>
      <c r="AI4820">
        <v>84.39</v>
      </c>
      <c r="AL4820" t="s">
        <v>5011</v>
      </c>
      <c r="AM4820">
        <v>18000</v>
      </c>
      <c r="AS4820">
        <v>4</v>
      </c>
      <c r="AT4820" t="s">
        <v>497</v>
      </c>
      <c r="AU4820" t="s">
        <v>25282</v>
      </c>
      <c r="AW4820" t="s">
        <v>11447</v>
      </c>
    </row>
    <row r="4821" spans="1:49">
      <c r="A4821" s="1">
        <f>HYPERLINK("https://lsnyc.legalserver.org/matter/dynamic-profile/view/1912114","19-1912114")</f>
        <v>0</v>
      </c>
      <c r="B4821" t="s">
        <v>219</v>
      </c>
      <c r="C4821" t="s">
        <v>551</v>
      </c>
      <c r="E4821" t="s">
        <v>2061</v>
      </c>
      <c r="F4821" t="s">
        <v>5981</v>
      </c>
      <c r="G4821" t="s">
        <v>9958</v>
      </c>
      <c r="H4821" t="s">
        <v>10523</v>
      </c>
      <c r="I4821" t="s">
        <v>11386</v>
      </c>
      <c r="J4821">
        <v>10031</v>
      </c>
      <c r="K4821" t="s">
        <v>11446</v>
      </c>
      <c r="L4821" t="s">
        <v>14317</v>
      </c>
      <c r="M4821" t="s">
        <v>14743</v>
      </c>
      <c r="N4821" t="s">
        <v>14781</v>
      </c>
      <c r="P4821" t="s">
        <v>14806</v>
      </c>
      <c r="Q4821" t="s">
        <v>11448</v>
      </c>
      <c r="S4821" t="s">
        <v>14827</v>
      </c>
      <c r="T4821" t="s">
        <v>14832</v>
      </c>
      <c r="V4821">
        <v>606</v>
      </c>
      <c r="W4821" t="s">
        <v>14860</v>
      </c>
      <c r="X4821" t="s">
        <v>14865</v>
      </c>
      <c r="Z4821" t="s">
        <v>18856</v>
      </c>
      <c r="AB4821" t="s">
        <v>24057</v>
      </c>
      <c r="AC4821">
        <v>0</v>
      </c>
      <c r="AD4821" t="s">
        <v>24595</v>
      </c>
      <c r="AE4821" t="s">
        <v>11459</v>
      </c>
      <c r="AF4821">
        <v>41</v>
      </c>
      <c r="AG4821">
        <v>2</v>
      </c>
      <c r="AH4821">
        <v>0</v>
      </c>
      <c r="AI4821">
        <v>88.20999999999999</v>
      </c>
      <c r="AL4821" t="s">
        <v>5011</v>
      </c>
      <c r="AM4821">
        <v>14916</v>
      </c>
      <c r="AS4821">
        <v>7.7</v>
      </c>
      <c r="AT4821" t="s">
        <v>491</v>
      </c>
      <c r="AU4821" t="s">
        <v>153</v>
      </c>
      <c r="AV4821" t="s">
        <v>25335</v>
      </c>
      <c r="AW4821" t="s">
        <v>11447</v>
      </c>
    </row>
    <row r="4822" spans="1:49">
      <c r="A4822" s="1">
        <f>HYPERLINK("https://lsnyc.legalserver.org/matter/dynamic-profile/view/1913220","19-1913220")</f>
        <v>0</v>
      </c>
      <c r="B4822" t="s">
        <v>247</v>
      </c>
      <c r="C4822" t="s">
        <v>515</v>
      </c>
      <c r="E4822" t="s">
        <v>3331</v>
      </c>
      <c r="F4822" t="s">
        <v>3896</v>
      </c>
      <c r="G4822" t="s">
        <v>9959</v>
      </c>
      <c r="H4822" t="s">
        <v>10450</v>
      </c>
      <c r="I4822" t="s">
        <v>11386</v>
      </c>
      <c r="J4822">
        <v>10026</v>
      </c>
      <c r="K4822" t="s">
        <v>11446</v>
      </c>
      <c r="L4822" t="s">
        <v>14318</v>
      </c>
      <c r="M4822" t="s">
        <v>14744</v>
      </c>
      <c r="N4822" t="s">
        <v>14781</v>
      </c>
      <c r="P4822" t="s">
        <v>14806</v>
      </c>
      <c r="Q4822" t="s">
        <v>11448</v>
      </c>
      <c r="S4822" t="s">
        <v>14827</v>
      </c>
      <c r="V4822">
        <v>1043</v>
      </c>
      <c r="W4822" t="s">
        <v>14860</v>
      </c>
      <c r="X4822" t="s">
        <v>14865</v>
      </c>
      <c r="Z4822" t="s">
        <v>18857</v>
      </c>
      <c r="AA4822" t="s">
        <v>20048</v>
      </c>
      <c r="AB4822" t="s">
        <v>24058</v>
      </c>
      <c r="AC4822">
        <v>0</v>
      </c>
      <c r="AD4822" t="s">
        <v>24595</v>
      </c>
      <c r="AE4822" t="s">
        <v>11459</v>
      </c>
      <c r="AF4822">
        <v>25</v>
      </c>
      <c r="AG4822">
        <v>1</v>
      </c>
      <c r="AH4822">
        <v>3</v>
      </c>
      <c r="AI4822">
        <v>93.2</v>
      </c>
      <c r="AL4822" t="s">
        <v>5011</v>
      </c>
      <c r="AM4822">
        <v>24000</v>
      </c>
      <c r="AS4822">
        <v>3.3</v>
      </c>
      <c r="AT4822" t="s">
        <v>506</v>
      </c>
      <c r="AU4822" t="s">
        <v>153</v>
      </c>
      <c r="AV4822" t="s">
        <v>25334</v>
      </c>
      <c r="AW4822" t="s">
        <v>11447</v>
      </c>
    </row>
    <row r="4823" spans="1:49">
      <c r="A4823" s="1">
        <f>HYPERLINK("https://lsnyc.legalserver.org/matter/dynamic-profile/view/1875791","18-1875791")</f>
        <v>0</v>
      </c>
      <c r="B4823" t="s">
        <v>208</v>
      </c>
      <c r="C4823" t="s">
        <v>866</v>
      </c>
      <c r="E4823" t="s">
        <v>1309</v>
      </c>
      <c r="F4823" t="s">
        <v>5459</v>
      </c>
      <c r="G4823" t="s">
        <v>9960</v>
      </c>
      <c r="H4823" t="s">
        <v>10482</v>
      </c>
      <c r="I4823" t="s">
        <v>11386</v>
      </c>
      <c r="J4823">
        <v>10025</v>
      </c>
      <c r="K4823" t="s">
        <v>11446</v>
      </c>
      <c r="L4823" t="s">
        <v>14319</v>
      </c>
      <c r="M4823" t="s">
        <v>14744</v>
      </c>
      <c r="N4823" t="s">
        <v>14782</v>
      </c>
      <c r="P4823" t="s">
        <v>14806</v>
      </c>
      <c r="Q4823" t="s">
        <v>11448</v>
      </c>
      <c r="S4823" t="s">
        <v>14827</v>
      </c>
      <c r="V4823">
        <v>825.33</v>
      </c>
      <c r="W4823" t="s">
        <v>14860</v>
      </c>
      <c r="X4823" t="s">
        <v>14865</v>
      </c>
      <c r="Z4823" t="s">
        <v>18858</v>
      </c>
      <c r="AB4823" t="s">
        <v>24059</v>
      </c>
      <c r="AC4823">
        <v>46</v>
      </c>
      <c r="AD4823" t="s">
        <v>24595</v>
      </c>
      <c r="AE4823" t="s">
        <v>24613</v>
      </c>
      <c r="AF4823">
        <v>45</v>
      </c>
      <c r="AG4823">
        <v>3</v>
      </c>
      <c r="AH4823">
        <v>0</v>
      </c>
      <c r="AI4823">
        <v>95.40000000000001</v>
      </c>
      <c r="AL4823" t="s">
        <v>24632</v>
      </c>
      <c r="AM4823">
        <v>19824</v>
      </c>
      <c r="AS4823">
        <v>0.4</v>
      </c>
      <c r="AT4823" t="s">
        <v>448</v>
      </c>
      <c r="AU4823" t="s">
        <v>25266</v>
      </c>
      <c r="AW4823" t="s">
        <v>11447</v>
      </c>
    </row>
    <row r="4824" spans="1:49">
      <c r="A4824" s="1">
        <f>HYPERLINK("https://lsnyc.legalserver.org/matter/dynamic-profile/view/1880731","18-1880731")</f>
        <v>0</v>
      </c>
      <c r="B4824" t="s">
        <v>218</v>
      </c>
      <c r="C4824" t="s">
        <v>820</v>
      </c>
      <c r="E4824" t="s">
        <v>1267</v>
      </c>
      <c r="F4824" t="s">
        <v>4861</v>
      </c>
      <c r="G4824" t="s">
        <v>9841</v>
      </c>
      <c r="H4824" t="s">
        <v>10736</v>
      </c>
      <c r="I4824" t="s">
        <v>11386</v>
      </c>
      <c r="J4824">
        <v>10026</v>
      </c>
      <c r="K4824" t="s">
        <v>11446</v>
      </c>
      <c r="L4824" t="s">
        <v>14320</v>
      </c>
      <c r="M4824" t="s">
        <v>14744</v>
      </c>
      <c r="N4824" t="s">
        <v>14781</v>
      </c>
      <c r="P4824" t="s">
        <v>14806</v>
      </c>
      <c r="Q4824" t="s">
        <v>11448</v>
      </c>
      <c r="S4824" t="s">
        <v>14827</v>
      </c>
      <c r="T4824" t="s">
        <v>14832</v>
      </c>
      <c r="V4824">
        <v>693.8099999999999</v>
      </c>
      <c r="W4824" t="s">
        <v>14860</v>
      </c>
      <c r="X4824" t="s">
        <v>14865</v>
      </c>
      <c r="Z4824" t="s">
        <v>18859</v>
      </c>
      <c r="AB4824" t="s">
        <v>24060</v>
      </c>
      <c r="AC4824">
        <v>54</v>
      </c>
      <c r="AD4824" t="s">
        <v>24595</v>
      </c>
      <c r="AE4824" t="s">
        <v>24613</v>
      </c>
      <c r="AF4824">
        <v>20</v>
      </c>
      <c r="AG4824">
        <v>1</v>
      </c>
      <c r="AH4824">
        <v>0</v>
      </c>
      <c r="AI4824">
        <v>102.41</v>
      </c>
      <c r="AL4824" t="s">
        <v>5011</v>
      </c>
      <c r="AM4824">
        <v>12432</v>
      </c>
      <c r="AS4824">
        <v>11.55</v>
      </c>
      <c r="AT4824" t="s">
        <v>491</v>
      </c>
      <c r="AU4824" t="s">
        <v>153</v>
      </c>
      <c r="AW4824" t="s">
        <v>11446</v>
      </c>
    </row>
    <row r="4825" spans="1:49">
      <c r="A4825" s="1">
        <f>HYPERLINK("https://lsnyc.legalserver.org/matter/dynamic-profile/view/1884202","18-1884202")</f>
        <v>0</v>
      </c>
      <c r="B4825" t="s">
        <v>218</v>
      </c>
      <c r="C4825" t="s">
        <v>667</v>
      </c>
      <c r="E4825" t="s">
        <v>3065</v>
      </c>
      <c r="F4825" t="s">
        <v>5982</v>
      </c>
      <c r="G4825" t="s">
        <v>9961</v>
      </c>
      <c r="H4825" t="s">
        <v>10589</v>
      </c>
      <c r="I4825" t="s">
        <v>11386</v>
      </c>
      <c r="J4825">
        <v>10027</v>
      </c>
      <c r="K4825" t="s">
        <v>11446</v>
      </c>
      <c r="L4825" t="s">
        <v>14321</v>
      </c>
      <c r="M4825" t="s">
        <v>14744</v>
      </c>
      <c r="N4825" t="s">
        <v>14784</v>
      </c>
      <c r="P4825" t="s">
        <v>14806</v>
      </c>
      <c r="Q4825" t="s">
        <v>11448</v>
      </c>
      <c r="S4825" t="s">
        <v>14828</v>
      </c>
      <c r="V4825">
        <v>407</v>
      </c>
      <c r="W4825" t="s">
        <v>14860</v>
      </c>
      <c r="X4825" t="s">
        <v>14865</v>
      </c>
      <c r="Z4825" t="s">
        <v>18860</v>
      </c>
      <c r="AB4825" t="s">
        <v>24061</v>
      </c>
      <c r="AC4825">
        <v>878</v>
      </c>
      <c r="AD4825" t="s">
        <v>24597</v>
      </c>
      <c r="AE4825" t="s">
        <v>11459</v>
      </c>
      <c r="AF4825">
        <v>10</v>
      </c>
      <c r="AG4825">
        <v>2</v>
      </c>
      <c r="AH4825">
        <v>0</v>
      </c>
      <c r="AI4825">
        <v>104.98</v>
      </c>
      <c r="AL4825" t="s">
        <v>5011</v>
      </c>
      <c r="AM4825">
        <v>17280</v>
      </c>
      <c r="AS4825">
        <v>2.3</v>
      </c>
      <c r="AT4825" t="s">
        <v>517</v>
      </c>
      <c r="AU4825" t="s">
        <v>25276</v>
      </c>
      <c r="AW4825" t="s">
        <v>11446</v>
      </c>
    </row>
    <row r="4826" spans="1:49">
      <c r="A4826" s="1">
        <f>HYPERLINK("https://lsnyc.legalserver.org/matter/dynamic-profile/view/1912375","19-1912375")</f>
        <v>0</v>
      </c>
      <c r="B4826" t="s">
        <v>161</v>
      </c>
      <c r="C4826" t="s">
        <v>473</v>
      </c>
      <c r="E4826" t="s">
        <v>3332</v>
      </c>
      <c r="F4826" t="s">
        <v>2366</v>
      </c>
      <c r="G4826" t="s">
        <v>9962</v>
      </c>
      <c r="H4826" t="s">
        <v>11302</v>
      </c>
      <c r="I4826" t="s">
        <v>11386</v>
      </c>
      <c r="J4826">
        <v>10027</v>
      </c>
      <c r="K4826" t="s">
        <v>11446</v>
      </c>
      <c r="L4826" t="s">
        <v>14322</v>
      </c>
      <c r="M4826" t="s">
        <v>14744</v>
      </c>
      <c r="N4826" t="s">
        <v>14781</v>
      </c>
      <c r="P4826" t="s">
        <v>14806</v>
      </c>
      <c r="Q4826" t="s">
        <v>11448</v>
      </c>
      <c r="S4826" t="s">
        <v>14827</v>
      </c>
      <c r="V4826">
        <v>1138</v>
      </c>
      <c r="W4826" t="s">
        <v>14860</v>
      </c>
      <c r="X4826" t="s">
        <v>14871</v>
      </c>
      <c r="Z4826" t="s">
        <v>18861</v>
      </c>
      <c r="AB4826" t="s">
        <v>24062</v>
      </c>
      <c r="AC4826">
        <v>40</v>
      </c>
      <c r="AD4826" t="s">
        <v>24595</v>
      </c>
      <c r="AF4826">
        <v>4</v>
      </c>
      <c r="AG4826">
        <v>2</v>
      </c>
      <c r="AH4826">
        <v>2</v>
      </c>
      <c r="AI4826">
        <v>107.18</v>
      </c>
      <c r="AL4826" t="s">
        <v>5011</v>
      </c>
      <c r="AM4826">
        <v>27600</v>
      </c>
      <c r="AS4826">
        <v>3.7</v>
      </c>
      <c r="AT4826" t="s">
        <v>505</v>
      </c>
      <c r="AU4826" t="s">
        <v>25276</v>
      </c>
      <c r="AV4826" t="s">
        <v>25335</v>
      </c>
      <c r="AW4826" t="s">
        <v>11447</v>
      </c>
    </row>
    <row r="4827" spans="1:49">
      <c r="A4827" s="1">
        <f>HYPERLINK("https://lsnyc.legalserver.org/matter/dynamic-profile/view/1910543","19-1910543")</f>
        <v>0</v>
      </c>
      <c r="B4827" t="s">
        <v>178</v>
      </c>
      <c r="C4827" t="s">
        <v>468</v>
      </c>
      <c r="E4827" t="s">
        <v>1320</v>
      </c>
      <c r="F4827" t="s">
        <v>3547</v>
      </c>
      <c r="G4827" t="s">
        <v>7564</v>
      </c>
      <c r="H4827" t="s">
        <v>10680</v>
      </c>
      <c r="I4827" t="s">
        <v>11386</v>
      </c>
      <c r="J4827">
        <v>10002</v>
      </c>
      <c r="K4827" t="s">
        <v>11446</v>
      </c>
      <c r="M4827" t="s">
        <v>11601</v>
      </c>
      <c r="P4827" t="s">
        <v>14806</v>
      </c>
      <c r="R4827" t="s">
        <v>14813</v>
      </c>
      <c r="S4827" t="s">
        <v>14828</v>
      </c>
      <c r="V4827">
        <v>0</v>
      </c>
      <c r="W4827" t="s">
        <v>14860</v>
      </c>
      <c r="Z4827" t="s">
        <v>18862</v>
      </c>
      <c r="AC4827">
        <v>0</v>
      </c>
      <c r="AD4827" t="s">
        <v>24596</v>
      </c>
      <c r="AF4827">
        <v>0</v>
      </c>
      <c r="AG4827">
        <v>2</v>
      </c>
      <c r="AH4827">
        <v>1</v>
      </c>
      <c r="AI4827">
        <v>115.72</v>
      </c>
      <c r="AL4827" t="s">
        <v>5011</v>
      </c>
      <c r="AM4827">
        <v>24684</v>
      </c>
      <c r="AS4827">
        <v>3.1</v>
      </c>
      <c r="AT4827" t="s">
        <v>471</v>
      </c>
      <c r="AU4827" t="s">
        <v>25278</v>
      </c>
      <c r="AV4827" t="s">
        <v>25335</v>
      </c>
      <c r="AW4827" t="s">
        <v>11447</v>
      </c>
    </row>
    <row r="4828" spans="1:49">
      <c r="A4828" s="1">
        <f>HYPERLINK("https://lsnyc.legalserver.org/matter/dynamic-profile/view/2002098","M09E-62002098")</f>
        <v>0</v>
      </c>
      <c r="B4828" t="s">
        <v>182</v>
      </c>
      <c r="C4828" t="s">
        <v>872</v>
      </c>
      <c r="E4828" t="s">
        <v>1329</v>
      </c>
      <c r="F4828" t="s">
        <v>4134</v>
      </c>
      <c r="G4828" t="s">
        <v>9963</v>
      </c>
      <c r="I4828" t="s">
        <v>11386</v>
      </c>
      <c r="J4828">
        <v>10025</v>
      </c>
      <c r="K4828" t="s">
        <v>11447</v>
      </c>
      <c r="M4828" t="s">
        <v>14743</v>
      </c>
      <c r="N4828" t="s">
        <v>14781</v>
      </c>
      <c r="P4828" t="s">
        <v>14806</v>
      </c>
      <c r="S4828" t="s">
        <v>14827</v>
      </c>
      <c r="V4828">
        <v>0</v>
      </c>
      <c r="W4828" t="s">
        <v>14860</v>
      </c>
      <c r="Y4828" t="s">
        <v>14896</v>
      </c>
      <c r="Z4828" t="s">
        <v>18863</v>
      </c>
      <c r="AB4828" t="s">
        <v>19344</v>
      </c>
      <c r="AC4828">
        <v>0</v>
      </c>
      <c r="AF4828">
        <v>0</v>
      </c>
      <c r="AG4828">
        <v>5</v>
      </c>
      <c r="AH4828">
        <v>2</v>
      </c>
      <c r="AI4828">
        <v>119.66</v>
      </c>
      <c r="AL4828" t="s">
        <v>24632</v>
      </c>
      <c r="AM4828">
        <v>33504</v>
      </c>
      <c r="AS4828">
        <v>2467</v>
      </c>
      <c r="AT4828" t="s">
        <v>539</v>
      </c>
      <c r="AU4828" t="s">
        <v>25266</v>
      </c>
      <c r="AW4828" t="s">
        <v>11447</v>
      </c>
    </row>
    <row r="4829" spans="1:49">
      <c r="A4829" s="1">
        <f>HYPERLINK("https://lsnyc.legalserver.org/matter/dynamic-profile/view/1911050","19-1911050")</f>
        <v>0</v>
      </c>
      <c r="B4829" t="s">
        <v>218</v>
      </c>
      <c r="C4829" t="s">
        <v>460</v>
      </c>
      <c r="E4829" t="s">
        <v>3333</v>
      </c>
      <c r="F4829" t="s">
        <v>5983</v>
      </c>
      <c r="G4829" t="s">
        <v>9964</v>
      </c>
      <c r="H4829" t="s">
        <v>10537</v>
      </c>
      <c r="I4829" t="s">
        <v>11386</v>
      </c>
      <c r="J4829">
        <v>10026</v>
      </c>
      <c r="K4829" t="s">
        <v>11446</v>
      </c>
      <c r="L4829" t="s">
        <v>14323</v>
      </c>
      <c r="M4829" t="s">
        <v>14743</v>
      </c>
      <c r="N4829" t="s">
        <v>14781</v>
      </c>
      <c r="P4829" t="s">
        <v>14806</v>
      </c>
      <c r="Q4829" t="s">
        <v>11448</v>
      </c>
      <c r="S4829" t="s">
        <v>14827</v>
      </c>
      <c r="T4829" t="s">
        <v>14832</v>
      </c>
      <c r="V4829">
        <v>350</v>
      </c>
      <c r="W4829" t="s">
        <v>14860</v>
      </c>
      <c r="X4829" t="s">
        <v>14865</v>
      </c>
      <c r="Z4829" t="s">
        <v>17336</v>
      </c>
      <c r="AB4829" t="s">
        <v>24063</v>
      </c>
      <c r="AC4829">
        <v>0</v>
      </c>
      <c r="AD4829" t="s">
        <v>11479</v>
      </c>
      <c r="AE4829" t="s">
        <v>11459</v>
      </c>
      <c r="AF4829">
        <v>34</v>
      </c>
      <c r="AG4829">
        <v>1</v>
      </c>
      <c r="AH4829">
        <v>0</v>
      </c>
      <c r="AI4829">
        <v>120.1</v>
      </c>
      <c r="AL4829" t="s">
        <v>5011</v>
      </c>
      <c r="AM4829">
        <v>15000</v>
      </c>
      <c r="AS4829">
        <v>1.25</v>
      </c>
      <c r="AT4829" t="s">
        <v>505</v>
      </c>
      <c r="AU4829" t="s">
        <v>153</v>
      </c>
      <c r="AV4829" t="s">
        <v>25335</v>
      </c>
      <c r="AW4829" t="s">
        <v>11447</v>
      </c>
    </row>
    <row r="4830" spans="1:49">
      <c r="A4830" s="1">
        <f>HYPERLINK("https://lsnyc.legalserver.org/matter/dynamic-profile/view/1899830","19-1899830")</f>
        <v>0</v>
      </c>
      <c r="B4830" t="s">
        <v>315</v>
      </c>
      <c r="C4830" t="s">
        <v>370</v>
      </c>
      <c r="E4830" t="s">
        <v>3334</v>
      </c>
      <c r="F4830" t="s">
        <v>5984</v>
      </c>
      <c r="G4830" t="s">
        <v>9965</v>
      </c>
      <c r="H4830" t="s">
        <v>10579</v>
      </c>
      <c r="I4830" t="s">
        <v>11386</v>
      </c>
      <c r="J4830">
        <v>10026</v>
      </c>
      <c r="K4830" t="s">
        <v>11447</v>
      </c>
      <c r="L4830" t="s">
        <v>14324</v>
      </c>
      <c r="M4830" t="s">
        <v>14744</v>
      </c>
      <c r="N4830" t="s">
        <v>14781</v>
      </c>
      <c r="P4830" t="s">
        <v>14806</v>
      </c>
      <c r="Q4830" t="s">
        <v>11448</v>
      </c>
      <c r="S4830" t="s">
        <v>14827</v>
      </c>
      <c r="V4830">
        <v>908.54</v>
      </c>
      <c r="W4830" t="s">
        <v>14860</v>
      </c>
      <c r="Z4830" t="s">
        <v>15088</v>
      </c>
      <c r="AB4830" t="s">
        <v>24064</v>
      </c>
      <c r="AC4830">
        <v>0</v>
      </c>
      <c r="AF4830">
        <v>20</v>
      </c>
      <c r="AG4830">
        <v>1</v>
      </c>
      <c r="AH4830">
        <v>0</v>
      </c>
      <c r="AI4830">
        <v>124.9</v>
      </c>
      <c r="AL4830" t="s">
        <v>5011</v>
      </c>
      <c r="AM4830">
        <v>15600</v>
      </c>
      <c r="AS4830">
        <v>16.2</v>
      </c>
      <c r="AT4830" t="s">
        <v>505</v>
      </c>
      <c r="AU4830" t="s">
        <v>25278</v>
      </c>
      <c r="AW4830" t="s">
        <v>11447</v>
      </c>
    </row>
    <row r="4831" spans="1:49">
      <c r="A4831" s="1">
        <f>HYPERLINK("https://lsnyc.legalserver.org/matter/dynamic-profile/view/1874640","18-1874640")</f>
        <v>0</v>
      </c>
      <c r="B4831" t="s">
        <v>315</v>
      </c>
      <c r="C4831" t="s">
        <v>786</v>
      </c>
      <c r="E4831" t="s">
        <v>1964</v>
      </c>
      <c r="F4831" t="s">
        <v>5125</v>
      </c>
      <c r="G4831" t="s">
        <v>9966</v>
      </c>
      <c r="H4831" t="s">
        <v>10497</v>
      </c>
      <c r="I4831" t="s">
        <v>11386</v>
      </c>
      <c r="J4831">
        <v>10027</v>
      </c>
      <c r="K4831" t="s">
        <v>11447</v>
      </c>
      <c r="L4831" t="s">
        <v>14325</v>
      </c>
      <c r="M4831" t="s">
        <v>14744</v>
      </c>
      <c r="N4831" t="s">
        <v>14781</v>
      </c>
      <c r="P4831" t="s">
        <v>14806</v>
      </c>
      <c r="Q4831" t="s">
        <v>11448</v>
      </c>
      <c r="S4831" t="s">
        <v>14827</v>
      </c>
      <c r="T4831" t="s">
        <v>14832</v>
      </c>
      <c r="V4831">
        <v>934.53</v>
      </c>
      <c r="W4831" t="s">
        <v>14860</v>
      </c>
      <c r="Z4831" t="s">
        <v>18864</v>
      </c>
      <c r="AB4831" t="s">
        <v>24065</v>
      </c>
      <c r="AC4831">
        <v>0</v>
      </c>
      <c r="AF4831">
        <v>29</v>
      </c>
      <c r="AG4831">
        <v>1</v>
      </c>
      <c r="AH4831">
        <v>0</v>
      </c>
      <c r="AI4831">
        <v>128.5</v>
      </c>
      <c r="AL4831" t="s">
        <v>5011</v>
      </c>
      <c r="AM4831">
        <v>15600</v>
      </c>
      <c r="AS4831">
        <v>20.1</v>
      </c>
      <c r="AT4831" t="s">
        <v>656</v>
      </c>
      <c r="AU4831" t="s">
        <v>25278</v>
      </c>
      <c r="AW4831" t="s">
        <v>11447</v>
      </c>
    </row>
    <row r="4832" spans="1:49">
      <c r="A4832" s="1">
        <f>HYPERLINK("https://lsnyc.legalserver.org/matter/dynamic-profile/view/1835719","17-1835719")</f>
        <v>0</v>
      </c>
      <c r="B4832" t="s">
        <v>253</v>
      </c>
      <c r="C4832" t="s">
        <v>873</v>
      </c>
      <c r="E4832" t="s">
        <v>3288</v>
      </c>
      <c r="F4832" t="s">
        <v>4413</v>
      </c>
      <c r="G4832" t="s">
        <v>9967</v>
      </c>
      <c r="H4832" t="s">
        <v>10649</v>
      </c>
      <c r="I4832" t="s">
        <v>11386</v>
      </c>
      <c r="J4832">
        <v>10027</v>
      </c>
      <c r="K4832" t="s">
        <v>11446</v>
      </c>
      <c r="L4832" t="s">
        <v>14326</v>
      </c>
      <c r="M4832" t="s">
        <v>14744</v>
      </c>
      <c r="N4832" t="s">
        <v>14781</v>
      </c>
      <c r="P4832" t="s">
        <v>14806</v>
      </c>
      <c r="Q4832" t="s">
        <v>11448</v>
      </c>
      <c r="S4832" t="s">
        <v>14828</v>
      </c>
      <c r="V4832">
        <v>0</v>
      </c>
      <c r="W4832" t="s">
        <v>14860</v>
      </c>
      <c r="Z4832" t="s">
        <v>18645</v>
      </c>
      <c r="AB4832" t="s">
        <v>24066</v>
      </c>
      <c r="AC4832">
        <v>0</v>
      </c>
      <c r="AD4832" t="s">
        <v>24597</v>
      </c>
      <c r="AF4832">
        <v>0</v>
      </c>
      <c r="AG4832">
        <v>1</v>
      </c>
      <c r="AH4832">
        <v>1</v>
      </c>
      <c r="AI4832">
        <v>134.48</v>
      </c>
      <c r="AL4832" t="s">
        <v>5011</v>
      </c>
      <c r="AM4832">
        <v>21840</v>
      </c>
      <c r="AS4832">
        <v>45.8</v>
      </c>
      <c r="AT4832" t="s">
        <v>613</v>
      </c>
      <c r="AU4832" t="s">
        <v>25286</v>
      </c>
      <c r="AW4832" t="s">
        <v>11447</v>
      </c>
    </row>
    <row r="4833" spans="1:49">
      <c r="A4833" s="1">
        <f>HYPERLINK("https://lsnyc.legalserver.org/matter/dynamic-profile/view/1886467","18-1886467")</f>
        <v>0</v>
      </c>
      <c r="B4833" t="s">
        <v>249</v>
      </c>
      <c r="C4833" t="s">
        <v>830</v>
      </c>
      <c r="E4833" t="s">
        <v>3288</v>
      </c>
      <c r="F4833" t="s">
        <v>5985</v>
      </c>
      <c r="G4833" t="s">
        <v>9968</v>
      </c>
      <c r="H4833" t="s">
        <v>10954</v>
      </c>
      <c r="I4833" t="s">
        <v>11386</v>
      </c>
      <c r="J4833">
        <v>10027</v>
      </c>
      <c r="K4833" t="s">
        <v>11446</v>
      </c>
      <c r="L4833" t="s">
        <v>14327</v>
      </c>
      <c r="M4833" t="s">
        <v>14744</v>
      </c>
      <c r="N4833" t="s">
        <v>14781</v>
      </c>
      <c r="P4833" t="s">
        <v>14806</v>
      </c>
      <c r="Q4833" t="s">
        <v>11448</v>
      </c>
      <c r="S4833" t="s">
        <v>14830</v>
      </c>
      <c r="V4833">
        <v>522</v>
      </c>
      <c r="W4833" t="s">
        <v>14860</v>
      </c>
      <c r="X4833" t="s">
        <v>14865</v>
      </c>
      <c r="Z4833" t="s">
        <v>18865</v>
      </c>
      <c r="AB4833" t="s">
        <v>24067</v>
      </c>
      <c r="AC4833">
        <v>57</v>
      </c>
      <c r="AD4833" t="s">
        <v>24606</v>
      </c>
      <c r="AF4833">
        <v>15</v>
      </c>
      <c r="AG4833">
        <v>2</v>
      </c>
      <c r="AH4833">
        <v>2</v>
      </c>
      <c r="AI4833">
        <v>145.02</v>
      </c>
      <c r="AL4833" t="s">
        <v>5011</v>
      </c>
      <c r="AM4833">
        <v>36400</v>
      </c>
      <c r="AS4833">
        <v>26.6</v>
      </c>
      <c r="AT4833" t="s">
        <v>462</v>
      </c>
      <c r="AU4833" t="s">
        <v>25282</v>
      </c>
      <c r="AW4833" t="s">
        <v>11446</v>
      </c>
    </row>
    <row r="4834" spans="1:49">
      <c r="A4834" s="1">
        <f>HYPERLINK("https://lsnyc.legalserver.org/matter/dynamic-profile/view/1895095","19-1895095")</f>
        <v>0</v>
      </c>
      <c r="B4834" t="s">
        <v>249</v>
      </c>
      <c r="C4834" t="s">
        <v>756</v>
      </c>
      <c r="E4834" t="s">
        <v>3335</v>
      </c>
      <c r="F4834" t="s">
        <v>5986</v>
      </c>
      <c r="G4834" t="s">
        <v>9969</v>
      </c>
      <c r="H4834" t="s">
        <v>10722</v>
      </c>
      <c r="I4834" t="s">
        <v>11386</v>
      </c>
      <c r="J4834">
        <v>10025</v>
      </c>
      <c r="K4834" t="s">
        <v>11446</v>
      </c>
      <c r="L4834" t="s">
        <v>14328</v>
      </c>
      <c r="M4834" t="s">
        <v>14744</v>
      </c>
      <c r="N4834" t="s">
        <v>14781</v>
      </c>
      <c r="P4834" t="s">
        <v>14806</v>
      </c>
      <c r="Q4834" t="s">
        <v>11448</v>
      </c>
      <c r="S4834" t="s">
        <v>14828</v>
      </c>
      <c r="V4834">
        <v>745</v>
      </c>
      <c r="W4834" t="s">
        <v>14860</v>
      </c>
      <c r="X4834" t="s">
        <v>14865</v>
      </c>
      <c r="Z4834" t="s">
        <v>15532</v>
      </c>
      <c r="AA4834" t="s">
        <v>20049</v>
      </c>
      <c r="AB4834" t="s">
        <v>24068</v>
      </c>
      <c r="AC4834">
        <v>0</v>
      </c>
      <c r="AD4834" t="s">
        <v>24597</v>
      </c>
      <c r="AE4834" t="s">
        <v>11459</v>
      </c>
      <c r="AF4834">
        <v>9</v>
      </c>
      <c r="AG4834">
        <v>1</v>
      </c>
      <c r="AH4834">
        <v>3</v>
      </c>
      <c r="AI4834">
        <v>152.87</v>
      </c>
      <c r="AL4834" t="s">
        <v>5011</v>
      </c>
      <c r="AM4834">
        <v>39363.96</v>
      </c>
      <c r="AS4834">
        <v>7</v>
      </c>
      <c r="AT4834" t="s">
        <v>645</v>
      </c>
      <c r="AU4834" t="s">
        <v>153</v>
      </c>
      <c r="AW4834" t="s">
        <v>11446</v>
      </c>
    </row>
    <row r="4835" spans="1:49">
      <c r="A4835" s="1">
        <f>HYPERLINK("https://lsnyc.legalserver.org/matter/dynamic-profile/view/1904928","19-1904928")</f>
        <v>0</v>
      </c>
      <c r="B4835" t="s">
        <v>208</v>
      </c>
      <c r="C4835" t="s">
        <v>593</v>
      </c>
      <c r="E4835" t="s">
        <v>3336</v>
      </c>
      <c r="F4835" t="s">
        <v>5987</v>
      </c>
      <c r="G4835" t="s">
        <v>9970</v>
      </c>
      <c r="H4835" t="s">
        <v>10484</v>
      </c>
      <c r="I4835" t="s">
        <v>11386</v>
      </c>
      <c r="J4835">
        <v>10014</v>
      </c>
      <c r="K4835" t="s">
        <v>11447</v>
      </c>
      <c r="L4835" t="s">
        <v>14329</v>
      </c>
      <c r="M4835" t="s">
        <v>14743</v>
      </c>
      <c r="N4835" t="s">
        <v>14781</v>
      </c>
      <c r="P4835" t="s">
        <v>14806</v>
      </c>
      <c r="Q4835" t="s">
        <v>11448</v>
      </c>
      <c r="S4835" t="s">
        <v>14828</v>
      </c>
      <c r="V4835">
        <v>1000</v>
      </c>
      <c r="W4835" t="s">
        <v>14860</v>
      </c>
      <c r="X4835" t="s">
        <v>14863</v>
      </c>
      <c r="Z4835" t="s">
        <v>16943</v>
      </c>
      <c r="AB4835" t="s">
        <v>24069</v>
      </c>
      <c r="AC4835">
        <v>0</v>
      </c>
      <c r="AD4835" t="s">
        <v>24600</v>
      </c>
      <c r="AE4835" t="s">
        <v>11459</v>
      </c>
      <c r="AF4835">
        <v>3</v>
      </c>
      <c r="AG4835">
        <v>1</v>
      </c>
      <c r="AH4835">
        <v>0</v>
      </c>
      <c r="AI4835">
        <v>155.64</v>
      </c>
      <c r="AL4835" t="s">
        <v>5011</v>
      </c>
      <c r="AM4835">
        <v>19440</v>
      </c>
      <c r="AS4835">
        <v>3</v>
      </c>
      <c r="AT4835" t="s">
        <v>488</v>
      </c>
      <c r="AU4835" t="s">
        <v>25282</v>
      </c>
      <c r="AW4835" t="s">
        <v>11447</v>
      </c>
    </row>
    <row r="4836" spans="1:49">
      <c r="A4836" s="1">
        <f>HYPERLINK("https://lsnyc.legalserver.org/matter/dynamic-profile/view/1890695","19-1890695")</f>
        <v>0</v>
      </c>
      <c r="B4836" t="s">
        <v>249</v>
      </c>
      <c r="C4836" t="s">
        <v>552</v>
      </c>
      <c r="E4836" t="s">
        <v>1652</v>
      </c>
      <c r="F4836" t="s">
        <v>5988</v>
      </c>
      <c r="G4836" t="s">
        <v>9971</v>
      </c>
      <c r="H4836" t="s">
        <v>10569</v>
      </c>
      <c r="I4836" t="s">
        <v>11386</v>
      </c>
      <c r="J4836">
        <v>10025</v>
      </c>
      <c r="K4836" t="s">
        <v>11446</v>
      </c>
      <c r="L4836" t="s">
        <v>14330</v>
      </c>
      <c r="M4836" t="s">
        <v>14743</v>
      </c>
      <c r="N4836" t="s">
        <v>14781</v>
      </c>
      <c r="P4836" t="s">
        <v>14806</v>
      </c>
      <c r="Q4836" t="s">
        <v>11448</v>
      </c>
      <c r="S4836" t="s">
        <v>14828</v>
      </c>
      <c r="V4836">
        <v>1443</v>
      </c>
      <c r="W4836" t="s">
        <v>14860</v>
      </c>
      <c r="X4836" t="s">
        <v>14755</v>
      </c>
      <c r="Z4836" t="s">
        <v>18866</v>
      </c>
      <c r="AB4836" t="s">
        <v>24070</v>
      </c>
      <c r="AC4836">
        <v>0</v>
      </c>
      <c r="AD4836" t="s">
        <v>24599</v>
      </c>
      <c r="AE4836" t="s">
        <v>11459</v>
      </c>
      <c r="AF4836">
        <v>50</v>
      </c>
      <c r="AG4836">
        <v>2</v>
      </c>
      <c r="AH4836">
        <v>0</v>
      </c>
      <c r="AI4836">
        <v>175.99</v>
      </c>
      <c r="AL4836" t="s">
        <v>5011</v>
      </c>
      <c r="AM4836">
        <v>29760</v>
      </c>
      <c r="AS4836">
        <v>40.25</v>
      </c>
      <c r="AT4836" t="s">
        <v>14845</v>
      </c>
      <c r="AU4836" t="s">
        <v>153</v>
      </c>
      <c r="AW4836" t="s">
        <v>11446</v>
      </c>
    </row>
    <row r="4837" spans="1:49">
      <c r="A4837" s="1">
        <f>HYPERLINK("https://lsnyc.legalserver.org/matter/dynamic-profile/view/1910994","19-1910994")</f>
        <v>0</v>
      </c>
      <c r="B4837" t="s">
        <v>218</v>
      </c>
      <c r="C4837" t="s">
        <v>460</v>
      </c>
      <c r="E4837" t="s">
        <v>3337</v>
      </c>
      <c r="F4837" t="s">
        <v>4037</v>
      </c>
      <c r="G4837" t="s">
        <v>9972</v>
      </c>
      <c r="H4837" t="s">
        <v>10575</v>
      </c>
      <c r="I4837" t="s">
        <v>11386</v>
      </c>
      <c r="J4837">
        <v>10027</v>
      </c>
      <c r="K4837" t="s">
        <v>11446</v>
      </c>
      <c r="L4837" t="s">
        <v>14331</v>
      </c>
      <c r="M4837" t="s">
        <v>14744</v>
      </c>
      <c r="N4837" t="s">
        <v>14782</v>
      </c>
      <c r="P4837" t="s">
        <v>14806</v>
      </c>
      <c r="Q4837" t="s">
        <v>11448</v>
      </c>
      <c r="S4837" t="s">
        <v>14827</v>
      </c>
      <c r="T4837" t="s">
        <v>14832</v>
      </c>
      <c r="V4837">
        <v>890</v>
      </c>
      <c r="W4837" t="s">
        <v>14860</v>
      </c>
      <c r="X4837" t="s">
        <v>14863</v>
      </c>
      <c r="Z4837" t="s">
        <v>18867</v>
      </c>
      <c r="AB4837" t="s">
        <v>24071</v>
      </c>
      <c r="AC4837">
        <v>0</v>
      </c>
      <c r="AD4837" t="s">
        <v>11479</v>
      </c>
      <c r="AE4837" t="s">
        <v>11459</v>
      </c>
      <c r="AF4837">
        <v>16</v>
      </c>
      <c r="AG4837">
        <v>2</v>
      </c>
      <c r="AH4837">
        <v>2</v>
      </c>
      <c r="AI4837">
        <v>181.75</v>
      </c>
      <c r="AL4837" t="s">
        <v>5011</v>
      </c>
      <c r="AM4837">
        <v>46800</v>
      </c>
      <c r="AS4837">
        <v>0</v>
      </c>
      <c r="AU4837" t="s">
        <v>153</v>
      </c>
      <c r="AV4837" t="s">
        <v>25335</v>
      </c>
      <c r="AW4837" t="s">
        <v>11447</v>
      </c>
    </row>
    <row r="4838" spans="1:49">
      <c r="A4838" s="1">
        <f>HYPERLINK("https://lsnyc.legalserver.org/matter/dynamic-profile/view/1886797","19-1886797")</f>
        <v>0</v>
      </c>
      <c r="B4838" t="s">
        <v>223</v>
      </c>
      <c r="C4838" t="s">
        <v>419</v>
      </c>
      <c r="E4838" t="s">
        <v>1191</v>
      </c>
      <c r="F4838" t="s">
        <v>5989</v>
      </c>
      <c r="G4838" t="s">
        <v>9973</v>
      </c>
      <c r="H4838" t="s">
        <v>10568</v>
      </c>
      <c r="I4838" t="s">
        <v>11386</v>
      </c>
      <c r="J4838">
        <v>10027</v>
      </c>
      <c r="K4838" t="s">
        <v>11447</v>
      </c>
      <c r="L4838" t="s">
        <v>14332</v>
      </c>
      <c r="M4838" t="s">
        <v>14744</v>
      </c>
      <c r="N4838" t="s">
        <v>14781</v>
      </c>
      <c r="P4838" t="s">
        <v>14806</v>
      </c>
      <c r="Q4838" t="s">
        <v>11448</v>
      </c>
      <c r="S4838" t="s">
        <v>14827</v>
      </c>
      <c r="V4838">
        <v>1588</v>
      </c>
      <c r="W4838" t="s">
        <v>14860</v>
      </c>
      <c r="X4838" t="s">
        <v>14865</v>
      </c>
      <c r="Z4838" t="s">
        <v>18868</v>
      </c>
      <c r="AB4838" t="s">
        <v>24072</v>
      </c>
      <c r="AC4838">
        <v>0</v>
      </c>
      <c r="AD4838" t="s">
        <v>11479</v>
      </c>
      <c r="AE4838" t="s">
        <v>24610</v>
      </c>
      <c r="AF4838">
        <v>23</v>
      </c>
      <c r="AG4838">
        <v>3</v>
      </c>
      <c r="AH4838">
        <v>1</v>
      </c>
      <c r="AI4838">
        <v>192.47</v>
      </c>
      <c r="AL4838" t="s">
        <v>24632</v>
      </c>
      <c r="AM4838">
        <v>48309.74</v>
      </c>
      <c r="AS4838">
        <v>30.3</v>
      </c>
      <c r="AT4838" t="s">
        <v>416</v>
      </c>
      <c r="AU4838" t="s">
        <v>25276</v>
      </c>
      <c r="AW4838" t="s">
        <v>11446</v>
      </c>
    </row>
    <row r="4839" spans="1:49">
      <c r="A4839" s="1">
        <f>HYPERLINK("https://lsnyc.legalserver.org/matter/dynamic-profile/view/1913688","19-1913688")</f>
        <v>0</v>
      </c>
      <c r="B4839" t="s">
        <v>311</v>
      </c>
      <c r="C4839" t="s">
        <v>476</v>
      </c>
      <c r="E4839" t="s">
        <v>1536</v>
      </c>
      <c r="F4839" t="s">
        <v>3662</v>
      </c>
      <c r="G4839" t="s">
        <v>9974</v>
      </c>
      <c r="H4839" t="s">
        <v>10509</v>
      </c>
      <c r="I4839" t="s">
        <v>11386</v>
      </c>
      <c r="J4839">
        <v>10026</v>
      </c>
      <c r="K4839" t="s">
        <v>11446</v>
      </c>
      <c r="L4839" t="s">
        <v>14333</v>
      </c>
      <c r="M4839" t="s">
        <v>14744</v>
      </c>
      <c r="N4839" t="s">
        <v>14781</v>
      </c>
      <c r="P4839" t="s">
        <v>14806</v>
      </c>
      <c r="Q4839" t="s">
        <v>11448</v>
      </c>
      <c r="S4839" t="s">
        <v>14827</v>
      </c>
      <c r="T4839" t="s">
        <v>14832</v>
      </c>
      <c r="V4839">
        <v>354</v>
      </c>
      <c r="W4839" t="s">
        <v>14860</v>
      </c>
      <c r="X4839" t="s">
        <v>14863</v>
      </c>
      <c r="Z4839" t="s">
        <v>18869</v>
      </c>
      <c r="AB4839" t="s">
        <v>24073</v>
      </c>
      <c r="AC4839">
        <v>0</v>
      </c>
      <c r="AD4839" t="s">
        <v>24595</v>
      </c>
      <c r="AE4839" t="s">
        <v>24610</v>
      </c>
      <c r="AF4839">
        <v>20</v>
      </c>
      <c r="AG4839">
        <v>2</v>
      </c>
      <c r="AH4839">
        <v>0</v>
      </c>
      <c r="AI4839">
        <v>196.81</v>
      </c>
      <c r="AL4839" t="s">
        <v>24632</v>
      </c>
      <c r="AM4839">
        <v>33280</v>
      </c>
      <c r="AS4839">
        <v>1.85</v>
      </c>
      <c r="AT4839" t="s">
        <v>592</v>
      </c>
      <c r="AU4839" t="s">
        <v>153</v>
      </c>
      <c r="AV4839" t="s">
        <v>25335</v>
      </c>
      <c r="AW4839" t="s">
        <v>11447</v>
      </c>
    </row>
    <row r="4840" spans="1:49">
      <c r="A4840" s="1">
        <f>HYPERLINK("https://lsnyc.legalserver.org/matter/dynamic-profile/view/1867590","18-1867590")</f>
        <v>0</v>
      </c>
      <c r="B4840" t="s">
        <v>182</v>
      </c>
      <c r="C4840" t="s">
        <v>391</v>
      </c>
      <c r="E4840" t="s">
        <v>1086</v>
      </c>
      <c r="F4840" t="s">
        <v>5990</v>
      </c>
      <c r="G4840" t="s">
        <v>9975</v>
      </c>
      <c r="H4840" t="s">
        <v>11303</v>
      </c>
      <c r="I4840" t="s">
        <v>11386</v>
      </c>
      <c r="J4840">
        <v>10025</v>
      </c>
      <c r="K4840" t="s">
        <v>11448</v>
      </c>
      <c r="L4840" t="s">
        <v>14334</v>
      </c>
      <c r="M4840" t="s">
        <v>14744</v>
      </c>
      <c r="N4840" t="s">
        <v>14780</v>
      </c>
      <c r="P4840" t="s">
        <v>14806</v>
      </c>
      <c r="S4840" t="s">
        <v>14828</v>
      </c>
      <c r="V4840">
        <v>1384</v>
      </c>
      <c r="W4840" t="s">
        <v>14860</v>
      </c>
      <c r="X4840" t="s">
        <v>14882</v>
      </c>
      <c r="Z4840" t="s">
        <v>17956</v>
      </c>
      <c r="AB4840" t="s">
        <v>24074</v>
      </c>
      <c r="AC4840">
        <v>135</v>
      </c>
      <c r="AD4840" t="s">
        <v>11479</v>
      </c>
      <c r="AE4840" t="s">
        <v>11459</v>
      </c>
      <c r="AF4840">
        <v>15</v>
      </c>
      <c r="AG4840">
        <v>2</v>
      </c>
      <c r="AH4840">
        <v>0</v>
      </c>
      <c r="AI4840">
        <v>217.89</v>
      </c>
      <c r="AM4840">
        <v>35864</v>
      </c>
      <c r="AS4840">
        <v>43.25</v>
      </c>
      <c r="AT4840" t="s">
        <v>467</v>
      </c>
      <c r="AU4840" t="s">
        <v>153</v>
      </c>
      <c r="AW4840" t="s">
        <v>11447</v>
      </c>
    </row>
    <row r="4841" spans="1:49">
      <c r="A4841" s="1">
        <f>HYPERLINK("https://lsnyc.legalserver.org/matter/dynamic-profile/view/1893563","19-1893563")</f>
        <v>0</v>
      </c>
      <c r="B4841" t="s">
        <v>218</v>
      </c>
      <c r="C4841" t="s">
        <v>340</v>
      </c>
      <c r="E4841" t="s">
        <v>1870</v>
      </c>
      <c r="F4841" t="s">
        <v>5991</v>
      </c>
      <c r="G4841" t="s">
        <v>9892</v>
      </c>
      <c r="H4841" t="s">
        <v>10467</v>
      </c>
      <c r="I4841" t="s">
        <v>11386</v>
      </c>
      <c r="J4841">
        <v>10031</v>
      </c>
      <c r="K4841" t="s">
        <v>11448</v>
      </c>
      <c r="L4841" t="s">
        <v>14335</v>
      </c>
      <c r="M4841" t="s">
        <v>14744</v>
      </c>
      <c r="N4841" t="s">
        <v>14781</v>
      </c>
      <c r="P4841" t="s">
        <v>14806</v>
      </c>
      <c r="Q4841" t="s">
        <v>11448</v>
      </c>
      <c r="S4841" t="s">
        <v>14827</v>
      </c>
      <c r="V4841">
        <v>843.76</v>
      </c>
      <c r="W4841" t="s">
        <v>14860</v>
      </c>
      <c r="X4841" t="s">
        <v>14868</v>
      </c>
      <c r="Z4841" t="s">
        <v>18870</v>
      </c>
      <c r="AB4841" t="s">
        <v>24075</v>
      </c>
      <c r="AC4841">
        <v>0</v>
      </c>
      <c r="AD4841" t="s">
        <v>24599</v>
      </c>
      <c r="AE4841" t="s">
        <v>24613</v>
      </c>
      <c r="AF4841">
        <v>46</v>
      </c>
      <c r="AG4841">
        <v>1</v>
      </c>
      <c r="AH4841">
        <v>0</v>
      </c>
      <c r="AI4841">
        <v>225.78</v>
      </c>
      <c r="AL4841" t="s">
        <v>5011</v>
      </c>
      <c r="AM4841">
        <v>28200</v>
      </c>
      <c r="AS4841">
        <v>21.7</v>
      </c>
      <c r="AT4841" t="s">
        <v>491</v>
      </c>
      <c r="AU4841" t="s">
        <v>153</v>
      </c>
      <c r="AW4841" t="s">
        <v>11448</v>
      </c>
    </row>
    <row r="4842" spans="1:49">
      <c r="A4842" s="1">
        <f>HYPERLINK("https://lsnyc.legalserver.org/matter/dynamic-profile/view/1912630","19-1912630")</f>
        <v>0</v>
      </c>
      <c r="B4842" t="s">
        <v>249</v>
      </c>
      <c r="C4842" t="s">
        <v>472</v>
      </c>
      <c r="E4842" t="s">
        <v>1713</v>
      </c>
      <c r="F4842" t="s">
        <v>1114</v>
      </c>
      <c r="G4842" t="s">
        <v>9976</v>
      </c>
      <c r="H4842" t="s">
        <v>10849</v>
      </c>
      <c r="I4842" t="s">
        <v>11386</v>
      </c>
      <c r="J4842">
        <v>10031</v>
      </c>
      <c r="K4842" t="s">
        <v>11446</v>
      </c>
      <c r="L4842" t="s">
        <v>14336</v>
      </c>
      <c r="M4842" t="s">
        <v>14744</v>
      </c>
      <c r="N4842" t="s">
        <v>14782</v>
      </c>
      <c r="P4842" t="s">
        <v>14806</v>
      </c>
      <c r="Q4842" t="s">
        <v>11448</v>
      </c>
      <c r="S4842" t="s">
        <v>14827</v>
      </c>
      <c r="T4842" t="s">
        <v>14837</v>
      </c>
      <c r="V4842">
        <v>1743.01</v>
      </c>
      <c r="W4842" t="s">
        <v>14860</v>
      </c>
      <c r="X4842" t="s">
        <v>14864</v>
      </c>
      <c r="Z4842" t="s">
        <v>18871</v>
      </c>
      <c r="AB4842" t="s">
        <v>24076</v>
      </c>
      <c r="AC4842">
        <v>0</v>
      </c>
      <c r="AD4842" t="s">
        <v>24606</v>
      </c>
      <c r="AE4842" t="s">
        <v>11459</v>
      </c>
      <c r="AF4842">
        <v>22</v>
      </c>
      <c r="AG4842">
        <v>1</v>
      </c>
      <c r="AH4842">
        <v>0</v>
      </c>
      <c r="AI4842">
        <v>230.1</v>
      </c>
      <c r="AJ4842" t="s">
        <v>491</v>
      </c>
      <c r="AK4842" t="s">
        <v>24629</v>
      </c>
      <c r="AL4842" t="s">
        <v>5011</v>
      </c>
      <c r="AM4842">
        <v>28740</v>
      </c>
      <c r="AS4842">
        <v>4.5</v>
      </c>
      <c r="AT4842" t="s">
        <v>490</v>
      </c>
      <c r="AU4842" t="s">
        <v>153</v>
      </c>
      <c r="AW4842" t="s">
        <v>11447</v>
      </c>
    </row>
    <row r="4843" spans="1:49">
      <c r="A4843" s="1">
        <f>HYPERLINK("https://lsnyc.legalserver.org/matter/dynamic-profile/view/1892859","19-1892859")</f>
        <v>0</v>
      </c>
      <c r="B4843" t="s">
        <v>161</v>
      </c>
      <c r="C4843" t="s">
        <v>547</v>
      </c>
      <c r="E4843" t="s">
        <v>1104</v>
      </c>
      <c r="F4843" t="s">
        <v>4180</v>
      </c>
      <c r="G4843" t="s">
        <v>9977</v>
      </c>
      <c r="I4843" t="s">
        <v>11386</v>
      </c>
      <c r="J4843">
        <v>10031</v>
      </c>
      <c r="K4843" t="s">
        <v>11447</v>
      </c>
      <c r="M4843" t="s">
        <v>14744</v>
      </c>
      <c r="N4843" t="s">
        <v>14782</v>
      </c>
      <c r="P4843" t="s">
        <v>14806</v>
      </c>
      <c r="Q4843" t="s">
        <v>11448</v>
      </c>
      <c r="S4843" t="s">
        <v>14828</v>
      </c>
      <c r="V4843">
        <v>670</v>
      </c>
      <c r="W4843" t="s">
        <v>14860</v>
      </c>
      <c r="Z4843" t="s">
        <v>18872</v>
      </c>
      <c r="AB4843" t="s">
        <v>24077</v>
      </c>
      <c r="AC4843">
        <v>150</v>
      </c>
      <c r="AF4843">
        <v>34</v>
      </c>
      <c r="AG4843">
        <v>1</v>
      </c>
      <c r="AH4843">
        <v>0</v>
      </c>
      <c r="AI4843">
        <v>240.19</v>
      </c>
      <c r="AL4843" t="s">
        <v>5011</v>
      </c>
      <c r="AM4843">
        <v>30000</v>
      </c>
      <c r="AS4843">
        <v>6</v>
      </c>
      <c r="AT4843" t="s">
        <v>665</v>
      </c>
      <c r="AU4843" t="s">
        <v>25282</v>
      </c>
      <c r="AW4843" t="s">
        <v>11447</v>
      </c>
    </row>
    <row r="4844" spans="1:49">
      <c r="A4844" s="1">
        <f>HYPERLINK("https://lsnyc.legalserver.org/matter/dynamic-profile/view/1892867","19-1892867")</f>
        <v>0</v>
      </c>
      <c r="B4844" t="s">
        <v>208</v>
      </c>
      <c r="C4844" t="s">
        <v>547</v>
      </c>
      <c r="E4844" t="s">
        <v>3338</v>
      </c>
      <c r="F4844" t="s">
        <v>4373</v>
      </c>
      <c r="G4844" t="s">
        <v>9978</v>
      </c>
      <c r="I4844" t="s">
        <v>11386</v>
      </c>
      <c r="J4844">
        <v>10026</v>
      </c>
      <c r="K4844" t="s">
        <v>11447</v>
      </c>
      <c r="M4844" t="s">
        <v>14744</v>
      </c>
      <c r="N4844" t="s">
        <v>14782</v>
      </c>
      <c r="P4844" t="s">
        <v>14806</v>
      </c>
      <c r="Q4844" t="s">
        <v>11448</v>
      </c>
      <c r="S4844" t="s">
        <v>14828</v>
      </c>
      <c r="T4844" t="s">
        <v>14832</v>
      </c>
      <c r="V4844">
        <v>688</v>
      </c>
      <c r="W4844" t="s">
        <v>14860</v>
      </c>
      <c r="Z4844" t="s">
        <v>17551</v>
      </c>
      <c r="AB4844" t="s">
        <v>24078</v>
      </c>
      <c r="AC4844">
        <v>15</v>
      </c>
      <c r="AF4844">
        <v>21</v>
      </c>
      <c r="AG4844">
        <v>2</v>
      </c>
      <c r="AH4844">
        <v>0</v>
      </c>
      <c r="AI4844">
        <v>256.18</v>
      </c>
      <c r="AL4844" t="s">
        <v>24632</v>
      </c>
      <c r="AM4844">
        <v>43320</v>
      </c>
      <c r="AS4844">
        <v>6.5</v>
      </c>
      <c r="AT4844" t="s">
        <v>363</v>
      </c>
      <c r="AU4844" t="s">
        <v>25282</v>
      </c>
      <c r="AW4844" t="s">
        <v>11447</v>
      </c>
    </row>
    <row r="4845" spans="1:49">
      <c r="A4845" s="1">
        <f>HYPERLINK("https://lsnyc.legalserver.org/matter/dynamic-profile/view/1897095","19-1897095")</f>
        <v>0</v>
      </c>
      <c r="B4845" t="s">
        <v>252</v>
      </c>
      <c r="C4845" t="s">
        <v>617</v>
      </c>
      <c r="E4845" t="s">
        <v>2179</v>
      </c>
      <c r="F4845" t="s">
        <v>3848</v>
      </c>
      <c r="G4845" t="s">
        <v>9979</v>
      </c>
      <c r="H4845" t="s">
        <v>10627</v>
      </c>
      <c r="I4845" t="s">
        <v>11386</v>
      </c>
      <c r="J4845">
        <v>10024</v>
      </c>
      <c r="K4845" t="s">
        <v>11446</v>
      </c>
      <c r="M4845" t="s">
        <v>14744</v>
      </c>
      <c r="N4845" t="s">
        <v>14781</v>
      </c>
      <c r="P4845" t="s">
        <v>14806</v>
      </c>
      <c r="Q4845" t="s">
        <v>11448</v>
      </c>
      <c r="S4845" t="s">
        <v>14828</v>
      </c>
      <c r="V4845">
        <v>858</v>
      </c>
      <c r="W4845" t="s">
        <v>14860</v>
      </c>
      <c r="Z4845" t="s">
        <v>18873</v>
      </c>
      <c r="AB4845" t="s">
        <v>24079</v>
      </c>
      <c r="AC4845">
        <v>1610</v>
      </c>
      <c r="AD4845" t="s">
        <v>24597</v>
      </c>
      <c r="AF4845">
        <v>7</v>
      </c>
      <c r="AG4845">
        <v>1</v>
      </c>
      <c r="AH4845">
        <v>1</v>
      </c>
      <c r="AI4845">
        <v>276.76</v>
      </c>
      <c r="AJ4845" t="s">
        <v>610</v>
      </c>
      <c r="AK4845" t="s">
        <v>24629</v>
      </c>
      <c r="AL4845" t="s">
        <v>5011</v>
      </c>
      <c r="AM4845">
        <v>46800</v>
      </c>
      <c r="AS4845">
        <v>86.75</v>
      </c>
      <c r="AT4845" t="s">
        <v>663</v>
      </c>
      <c r="AU4845" t="s">
        <v>25317</v>
      </c>
      <c r="AW4845" t="s">
        <v>11446</v>
      </c>
    </row>
    <row r="4846" spans="1:49">
      <c r="A4846" s="1">
        <f>HYPERLINK("https://lsnyc.legalserver.org/matter/dynamic-profile/view/1911017","19-1911017")</f>
        <v>0</v>
      </c>
      <c r="B4846" t="s">
        <v>320</v>
      </c>
      <c r="C4846" t="s">
        <v>460</v>
      </c>
      <c r="E4846" t="s">
        <v>3320</v>
      </c>
      <c r="F4846" t="s">
        <v>5971</v>
      </c>
      <c r="G4846" t="s">
        <v>9939</v>
      </c>
      <c r="H4846">
        <v>316</v>
      </c>
      <c r="I4846" t="s">
        <v>11386</v>
      </c>
      <c r="J4846">
        <v>10027</v>
      </c>
      <c r="K4846" t="s">
        <v>11446</v>
      </c>
      <c r="L4846" t="s">
        <v>14337</v>
      </c>
      <c r="M4846" t="s">
        <v>14744</v>
      </c>
      <c r="N4846" t="s">
        <v>14782</v>
      </c>
      <c r="P4846" t="s">
        <v>14806</v>
      </c>
      <c r="Q4846" t="s">
        <v>11448</v>
      </c>
      <c r="S4846" t="s">
        <v>14827</v>
      </c>
      <c r="T4846" t="s">
        <v>14832</v>
      </c>
      <c r="V4846">
        <v>1600</v>
      </c>
      <c r="W4846" t="s">
        <v>14860</v>
      </c>
      <c r="X4846" t="s">
        <v>14863</v>
      </c>
      <c r="Z4846" t="s">
        <v>18838</v>
      </c>
      <c r="AB4846" t="s">
        <v>24034</v>
      </c>
      <c r="AC4846">
        <v>0</v>
      </c>
      <c r="AD4846" t="s">
        <v>11479</v>
      </c>
      <c r="AE4846" t="s">
        <v>11459</v>
      </c>
      <c r="AF4846">
        <v>-1</v>
      </c>
      <c r="AG4846">
        <v>1</v>
      </c>
      <c r="AH4846">
        <v>0</v>
      </c>
      <c r="AI4846">
        <v>440.35</v>
      </c>
      <c r="AL4846" t="s">
        <v>5011</v>
      </c>
      <c r="AM4846">
        <v>55000</v>
      </c>
      <c r="AS4846">
        <v>2.6</v>
      </c>
      <c r="AT4846" t="s">
        <v>470</v>
      </c>
      <c r="AU4846" t="s">
        <v>153</v>
      </c>
      <c r="AV4846" t="s">
        <v>25335</v>
      </c>
      <c r="AW4846" t="s">
        <v>11447</v>
      </c>
    </row>
    <row r="4847" spans="1:49">
      <c r="A4847" s="1">
        <f>HYPERLINK("https://lsnyc.legalserver.org/matter/dynamic-profile/view/1902406","19-1902406")</f>
        <v>0</v>
      </c>
      <c r="B4847" t="s">
        <v>83</v>
      </c>
      <c r="C4847" t="s">
        <v>362</v>
      </c>
      <c r="D4847" t="s">
        <v>365</v>
      </c>
      <c r="E4847" t="s">
        <v>1043</v>
      </c>
      <c r="F4847" t="s">
        <v>1047</v>
      </c>
      <c r="G4847" t="s">
        <v>9980</v>
      </c>
      <c r="H4847" t="s">
        <v>10486</v>
      </c>
      <c r="I4847" t="s">
        <v>11388</v>
      </c>
      <c r="J4847">
        <v>11385</v>
      </c>
      <c r="K4847" t="s">
        <v>11446</v>
      </c>
      <c r="L4847" t="s">
        <v>14338</v>
      </c>
      <c r="M4847" t="s">
        <v>14744</v>
      </c>
      <c r="N4847" t="s">
        <v>14778</v>
      </c>
      <c r="O4847" t="s">
        <v>14786</v>
      </c>
      <c r="P4847" t="s">
        <v>14807</v>
      </c>
      <c r="Q4847" t="s">
        <v>11448</v>
      </c>
      <c r="S4847" t="s">
        <v>14827</v>
      </c>
      <c r="T4847" t="s">
        <v>14832</v>
      </c>
      <c r="U4847" t="s">
        <v>545</v>
      </c>
      <c r="V4847">
        <v>2000</v>
      </c>
      <c r="W4847" t="s">
        <v>14861</v>
      </c>
      <c r="X4847" t="s">
        <v>14865</v>
      </c>
      <c r="Y4847" t="s">
        <v>14883</v>
      </c>
      <c r="Z4847" t="s">
        <v>17368</v>
      </c>
      <c r="AA4847" t="s">
        <v>11459</v>
      </c>
      <c r="AB4847" t="s">
        <v>24080</v>
      </c>
      <c r="AC4847">
        <v>2</v>
      </c>
      <c r="AD4847" t="s">
        <v>11479</v>
      </c>
      <c r="AE4847" t="s">
        <v>11459</v>
      </c>
      <c r="AF4847">
        <v>1</v>
      </c>
      <c r="AG4847">
        <v>2</v>
      </c>
      <c r="AH4847">
        <v>0</v>
      </c>
      <c r="AI4847">
        <v>199.05</v>
      </c>
      <c r="AL4847" t="s">
        <v>5011</v>
      </c>
      <c r="AM4847">
        <v>33660</v>
      </c>
      <c r="AS4847">
        <v>2.38</v>
      </c>
      <c r="AT4847" t="s">
        <v>365</v>
      </c>
      <c r="AU4847" t="s">
        <v>25233</v>
      </c>
      <c r="AV4847" t="s">
        <v>25335</v>
      </c>
      <c r="AW4847" t="s">
        <v>11447</v>
      </c>
    </row>
    <row r="4848" spans="1:49">
      <c r="A4848" s="1">
        <f>HYPERLINK("https://lsnyc.legalserver.org/matter/dynamic-profile/view/1904946","19-1904946")</f>
        <v>0</v>
      </c>
      <c r="B4848" t="s">
        <v>289</v>
      </c>
      <c r="C4848" t="s">
        <v>593</v>
      </c>
      <c r="D4848" t="s">
        <v>520</v>
      </c>
      <c r="E4848" t="s">
        <v>1277</v>
      </c>
      <c r="F4848" t="s">
        <v>5992</v>
      </c>
      <c r="G4848" t="s">
        <v>9981</v>
      </c>
      <c r="H4848" t="s">
        <v>11151</v>
      </c>
      <c r="I4848" t="s">
        <v>11387</v>
      </c>
      <c r="J4848">
        <v>11434</v>
      </c>
      <c r="K4848" t="s">
        <v>11446</v>
      </c>
      <c r="L4848" t="s">
        <v>14339</v>
      </c>
      <c r="M4848" t="s">
        <v>14743</v>
      </c>
      <c r="N4848" t="s">
        <v>14778</v>
      </c>
      <c r="O4848" t="s">
        <v>14786</v>
      </c>
      <c r="P4848" t="s">
        <v>14807</v>
      </c>
      <c r="Q4848" t="s">
        <v>11448</v>
      </c>
      <c r="S4848" t="s">
        <v>14828</v>
      </c>
      <c r="T4848" t="s">
        <v>14836</v>
      </c>
      <c r="U4848" t="s">
        <v>593</v>
      </c>
      <c r="V4848">
        <v>1049</v>
      </c>
      <c r="W4848" t="s">
        <v>14861</v>
      </c>
      <c r="X4848" t="s">
        <v>14865</v>
      </c>
      <c r="Y4848" t="s">
        <v>14883</v>
      </c>
      <c r="Z4848" t="s">
        <v>18874</v>
      </c>
      <c r="AB4848" t="s">
        <v>24081</v>
      </c>
      <c r="AC4848">
        <v>5860</v>
      </c>
      <c r="AD4848" t="s">
        <v>24601</v>
      </c>
      <c r="AE4848" t="s">
        <v>24613</v>
      </c>
      <c r="AF4848">
        <v>15</v>
      </c>
      <c r="AG4848">
        <v>1</v>
      </c>
      <c r="AH4848">
        <v>1</v>
      </c>
      <c r="AI4848">
        <v>0</v>
      </c>
      <c r="AL4848" t="s">
        <v>5011</v>
      </c>
      <c r="AM4848">
        <v>0</v>
      </c>
      <c r="AS4848">
        <v>2.15</v>
      </c>
      <c r="AT4848" t="s">
        <v>620</v>
      </c>
      <c r="AU4848" t="s">
        <v>292</v>
      </c>
      <c r="AV4848" t="s">
        <v>25335</v>
      </c>
      <c r="AW4848" t="s">
        <v>11447</v>
      </c>
    </row>
    <row r="4849" spans="1:49">
      <c r="A4849" s="1">
        <f>HYPERLINK("https://lsnyc.legalserver.org/matter/dynamic-profile/view/1888200","19-1888200")</f>
        <v>0</v>
      </c>
      <c r="B4849" t="s">
        <v>289</v>
      </c>
      <c r="C4849" t="s">
        <v>584</v>
      </c>
      <c r="D4849" t="s">
        <v>500</v>
      </c>
      <c r="E4849" t="s">
        <v>1034</v>
      </c>
      <c r="F4849" t="s">
        <v>5993</v>
      </c>
      <c r="G4849" t="s">
        <v>9982</v>
      </c>
      <c r="H4849" t="s">
        <v>10510</v>
      </c>
      <c r="I4849" t="s">
        <v>11395</v>
      </c>
      <c r="J4849">
        <v>11373</v>
      </c>
      <c r="K4849" t="s">
        <v>11446</v>
      </c>
      <c r="L4849" t="s">
        <v>14340</v>
      </c>
      <c r="M4849" t="s">
        <v>14744</v>
      </c>
      <c r="N4849" t="s">
        <v>14781</v>
      </c>
      <c r="O4849" t="s">
        <v>14788</v>
      </c>
      <c r="P4849" t="s">
        <v>14807</v>
      </c>
      <c r="Q4849" t="s">
        <v>11446</v>
      </c>
      <c r="S4849" t="s">
        <v>14827</v>
      </c>
      <c r="T4849" t="s">
        <v>14832</v>
      </c>
      <c r="U4849" t="s">
        <v>500</v>
      </c>
      <c r="V4849">
        <v>1700</v>
      </c>
      <c r="W4849" t="s">
        <v>14861</v>
      </c>
      <c r="X4849" t="s">
        <v>14863</v>
      </c>
      <c r="Y4849" t="s">
        <v>14888</v>
      </c>
      <c r="Z4849" t="s">
        <v>15416</v>
      </c>
      <c r="AB4849" t="s">
        <v>24082</v>
      </c>
      <c r="AC4849">
        <v>122</v>
      </c>
      <c r="AD4849" t="s">
        <v>24595</v>
      </c>
      <c r="AF4849">
        <v>1</v>
      </c>
      <c r="AG4849">
        <v>2</v>
      </c>
      <c r="AH4849">
        <v>1</v>
      </c>
      <c r="AI4849">
        <v>131.93</v>
      </c>
      <c r="AL4849" t="s">
        <v>5011</v>
      </c>
      <c r="AM4849">
        <v>28140</v>
      </c>
      <c r="AO4849" t="s">
        <v>24930</v>
      </c>
      <c r="AP4849" t="s">
        <v>14755</v>
      </c>
      <c r="AQ4849" t="s">
        <v>24987</v>
      </c>
      <c r="AR4849" t="s">
        <v>25069</v>
      </c>
      <c r="AS4849">
        <v>11.8</v>
      </c>
      <c r="AT4849" t="s">
        <v>619</v>
      </c>
      <c r="AU4849" t="s">
        <v>124</v>
      </c>
      <c r="AV4849" t="s">
        <v>25335</v>
      </c>
      <c r="AW4849" t="s">
        <v>11446</v>
      </c>
    </row>
    <row r="4850" spans="1:49">
      <c r="A4850" s="1">
        <f>HYPERLINK("https://lsnyc.legalserver.org/matter/dynamic-profile/view/1906402","19-1906402")</f>
        <v>0</v>
      </c>
      <c r="B4850" t="s">
        <v>122</v>
      </c>
      <c r="C4850" t="s">
        <v>485</v>
      </c>
      <c r="D4850" t="s">
        <v>379</v>
      </c>
      <c r="E4850" t="s">
        <v>1426</v>
      </c>
      <c r="F4850" t="s">
        <v>3682</v>
      </c>
      <c r="G4850" t="s">
        <v>9983</v>
      </c>
      <c r="I4850" t="s">
        <v>11388</v>
      </c>
      <c r="J4850">
        <v>11385</v>
      </c>
      <c r="K4850" t="s">
        <v>11446</v>
      </c>
      <c r="L4850" t="s">
        <v>14341</v>
      </c>
      <c r="M4850" t="s">
        <v>14744</v>
      </c>
      <c r="N4850" t="s">
        <v>14781</v>
      </c>
      <c r="O4850" t="s">
        <v>14793</v>
      </c>
      <c r="P4850" t="s">
        <v>14807</v>
      </c>
      <c r="Q4850" t="s">
        <v>11448</v>
      </c>
      <c r="S4850" t="s">
        <v>14827</v>
      </c>
      <c r="T4850" t="s">
        <v>14832</v>
      </c>
      <c r="U4850" t="s">
        <v>485</v>
      </c>
      <c r="V4850">
        <v>750</v>
      </c>
      <c r="W4850" t="s">
        <v>14861</v>
      </c>
      <c r="X4850" t="s">
        <v>14865</v>
      </c>
      <c r="Y4850" t="s">
        <v>14887</v>
      </c>
      <c r="Z4850" t="s">
        <v>18875</v>
      </c>
      <c r="AA4850" t="s">
        <v>20050</v>
      </c>
      <c r="AB4850" t="s">
        <v>24083</v>
      </c>
      <c r="AC4850">
        <v>3</v>
      </c>
      <c r="AD4850" t="s">
        <v>11479</v>
      </c>
      <c r="AE4850" t="s">
        <v>11459</v>
      </c>
      <c r="AF4850">
        <v>1</v>
      </c>
      <c r="AG4850">
        <v>1</v>
      </c>
      <c r="AH4850">
        <v>0</v>
      </c>
      <c r="AI4850">
        <v>8.26</v>
      </c>
      <c r="AL4850" t="s">
        <v>5011</v>
      </c>
      <c r="AM4850">
        <v>1032</v>
      </c>
      <c r="AO4850" t="s">
        <v>24932</v>
      </c>
      <c r="AP4850" t="s">
        <v>24942</v>
      </c>
      <c r="AQ4850" t="s">
        <v>24986</v>
      </c>
      <c r="AR4850" t="s">
        <v>25097</v>
      </c>
      <c r="AS4850">
        <v>2.8</v>
      </c>
      <c r="AT4850" t="s">
        <v>564</v>
      </c>
      <c r="AU4850" t="s">
        <v>292</v>
      </c>
      <c r="AV4850" t="s">
        <v>25335</v>
      </c>
      <c r="AW4850" t="s">
        <v>11447</v>
      </c>
    </row>
    <row r="4851" spans="1:49">
      <c r="A4851" s="1">
        <f>HYPERLINK("https://lsnyc.legalserver.org/matter/dynamic-profile/view/1904957","19-1904957")</f>
        <v>0</v>
      </c>
      <c r="B4851" t="s">
        <v>83</v>
      </c>
      <c r="C4851" t="s">
        <v>593</v>
      </c>
      <c r="D4851" t="s">
        <v>379</v>
      </c>
      <c r="E4851" t="s">
        <v>3339</v>
      </c>
      <c r="F4851" t="s">
        <v>5994</v>
      </c>
      <c r="G4851" t="s">
        <v>9984</v>
      </c>
      <c r="H4851" t="s">
        <v>10793</v>
      </c>
      <c r="I4851" t="s">
        <v>11387</v>
      </c>
      <c r="J4851">
        <v>11433</v>
      </c>
      <c r="K4851" t="s">
        <v>11446</v>
      </c>
      <c r="L4851" t="s">
        <v>14342</v>
      </c>
      <c r="M4851" t="s">
        <v>14743</v>
      </c>
      <c r="N4851" t="s">
        <v>14778</v>
      </c>
      <c r="O4851" t="s">
        <v>14786</v>
      </c>
      <c r="P4851" t="s">
        <v>14807</v>
      </c>
      <c r="Q4851" t="s">
        <v>11448</v>
      </c>
      <c r="S4851" t="s">
        <v>14827</v>
      </c>
      <c r="T4851" t="s">
        <v>14832</v>
      </c>
      <c r="U4851" t="s">
        <v>379</v>
      </c>
      <c r="V4851">
        <v>1000</v>
      </c>
      <c r="W4851" t="s">
        <v>14861</v>
      </c>
      <c r="X4851" t="s">
        <v>14868</v>
      </c>
      <c r="Y4851" t="s">
        <v>14883</v>
      </c>
      <c r="Z4851" t="s">
        <v>15855</v>
      </c>
      <c r="AA4851" t="s">
        <v>20051</v>
      </c>
      <c r="AB4851" t="s">
        <v>24084</v>
      </c>
      <c r="AC4851">
        <v>2</v>
      </c>
      <c r="AD4851" t="s">
        <v>24600</v>
      </c>
      <c r="AE4851" t="s">
        <v>11459</v>
      </c>
      <c r="AF4851">
        <v>3</v>
      </c>
      <c r="AG4851">
        <v>1</v>
      </c>
      <c r="AH4851">
        <v>0</v>
      </c>
      <c r="AI4851">
        <v>19.05</v>
      </c>
      <c r="AL4851" t="s">
        <v>5011</v>
      </c>
      <c r="AM4851">
        <v>2379</v>
      </c>
      <c r="AS4851">
        <v>2.5</v>
      </c>
      <c r="AT4851" t="s">
        <v>379</v>
      </c>
      <c r="AU4851" t="s">
        <v>292</v>
      </c>
      <c r="AV4851" t="s">
        <v>25335</v>
      </c>
      <c r="AW4851" t="s">
        <v>11447</v>
      </c>
    </row>
    <row r="4852" spans="1:49">
      <c r="A4852" s="1">
        <f>HYPERLINK("https://lsnyc.legalserver.org/matter/dynamic-profile/view/1865524","18-1865524")</f>
        <v>0</v>
      </c>
      <c r="B4852" t="s">
        <v>85</v>
      </c>
      <c r="C4852" t="s">
        <v>874</v>
      </c>
      <c r="D4852" t="s">
        <v>366</v>
      </c>
      <c r="E4852" t="s">
        <v>2760</v>
      </c>
      <c r="F4852" t="s">
        <v>1840</v>
      </c>
      <c r="G4852" t="s">
        <v>9985</v>
      </c>
      <c r="H4852" t="s">
        <v>10506</v>
      </c>
      <c r="I4852" t="s">
        <v>11388</v>
      </c>
      <c r="J4852">
        <v>11385</v>
      </c>
      <c r="K4852" t="s">
        <v>11446</v>
      </c>
      <c r="L4852" t="s">
        <v>14343</v>
      </c>
      <c r="M4852" t="s">
        <v>14743</v>
      </c>
      <c r="N4852" t="s">
        <v>14781</v>
      </c>
      <c r="O4852" t="s">
        <v>14788</v>
      </c>
      <c r="P4852" t="s">
        <v>14807</v>
      </c>
      <c r="Q4852" t="s">
        <v>11448</v>
      </c>
      <c r="S4852" t="s">
        <v>14827</v>
      </c>
      <c r="V4852">
        <v>863.45</v>
      </c>
      <c r="W4852" t="s">
        <v>14861</v>
      </c>
      <c r="X4852" t="s">
        <v>14873</v>
      </c>
      <c r="Y4852" t="s">
        <v>14887</v>
      </c>
      <c r="Z4852" t="s">
        <v>18876</v>
      </c>
      <c r="AA4852" t="s">
        <v>20052</v>
      </c>
      <c r="AB4852" t="s">
        <v>24085</v>
      </c>
      <c r="AC4852">
        <v>8</v>
      </c>
      <c r="AD4852" t="s">
        <v>24595</v>
      </c>
      <c r="AE4852" t="s">
        <v>11459</v>
      </c>
      <c r="AF4852">
        <v>37</v>
      </c>
      <c r="AG4852">
        <v>3</v>
      </c>
      <c r="AH4852">
        <v>1</v>
      </c>
      <c r="AI4852">
        <v>94.70999999999999</v>
      </c>
      <c r="AL4852" t="s">
        <v>5011</v>
      </c>
      <c r="AM4852">
        <v>23772</v>
      </c>
      <c r="AO4852" t="s">
        <v>24932</v>
      </c>
      <c r="AP4852" t="s">
        <v>24942</v>
      </c>
      <c r="AQ4852" t="s">
        <v>24986</v>
      </c>
      <c r="AR4852" t="s">
        <v>25107</v>
      </c>
      <c r="AS4852">
        <v>23.1</v>
      </c>
      <c r="AT4852" t="s">
        <v>379</v>
      </c>
      <c r="AU4852" t="s">
        <v>83</v>
      </c>
      <c r="AW4852" t="s">
        <v>11447</v>
      </c>
    </row>
    <row r="4853" spans="1:49">
      <c r="A4853" s="1">
        <f>HYPERLINK("https://lsnyc.legalserver.org/matter/dynamic-profile/view/1903920","19-1903920")</f>
        <v>0</v>
      </c>
      <c r="B4853" t="s">
        <v>68</v>
      </c>
      <c r="C4853" t="s">
        <v>378</v>
      </c>
      <c r="D4853" t="s">
        <v>519</v>
      </c>
      <c r="E4853" t="s">
        <v>3340</v>
      </c>
      <c r="F4853" t="s">
        <v>5995</v>
      </c>
      <c r="G4853" t="s">
        <v>6326</v>
      </c>
      <c r="H4853" t="s">
        <v>10471</v>
      </c>
      <c r="I4853" t="s">
        <v>11395</v>
      </c>
      <c r="J4853">
        <v>11373</v>
      </c>
      <c r="K4853" t="s">
        <v>11446</v>
      </c>
      <c r="L4853" t="s">
        <v>14344</v>
      </c>
      <c r="M4853" t="s">
        <v>14744</v>
      </c>
      <c r="N4853" t="s">
        <v>14778</v>
      </c>
      <c r="O4853" t="s">
        <v>14786</v>
      </c>
      <c r="P4853" t="s">
        <v>14807</v>
      </c>
      <c r="Q4853" t="s">
        <v>11446</v>
      </c>
      <c r="S4853" t="s">
        <v>14827</v>
      </c>
      <c r="T4853" t="s">
        <v>14832</v>
      </c>
      <c r="U4853" t="s">
        <v>519</v>
      </c>
      <c r="V4853">
        <v>890</v>
      </c>
      <c r="W4853" t="s">
        <v>14861</v>
      </c>
      <c r="X4853" t="s">
        <v>14865</v>
      </c>
      <c r="Y4853" t="s">
        <v>14883</v>
      </c>
      <c r="Z4853" t="s">
        <v>18877</v>
      </c>
      <c r="AB4853" t="s">
        <v>24086</v>
      </c>
      <c r="AC4853">
        <v>100</v>
      </c>
      <c r="AD4853" t="s">
        <v>24598</v>
      </c>
      <c r="AE4853" t="s">
        <v>11459</v>
      </c>
      <c r="AF4853">
        <v>23</v>
      </c>
      <c r="AG4853">
        <v>2</v>
      </c>
      <c r="AH4853">
        <v>0</v>
      </c>
      <c r="AI4853">
        <v>0</v>
      </c>
      <c r="AL4853" t="s">
        <v>5011</v>
      </c>
      <c r="AM4853">
        <v>0</v>
      </c>
      <c r="AS4853">
        <v>2.85</v>
      </c>
      <c r="AT4853" t="s">
        <v>519</v>
      </c>
      <c r="AU4853" t="s">
        <v>25233</v>
      </c>
      <c r="AV4853" t="s">
        <v>25335</v>
      </c>
      <c r="AW4853" t="s">
        <v>11447</v>
      </c>
    </row>
    <row r="4854" spans="1:49">
      <c r="A4854" s="1">
        <f>HYPERLINK("https://lsnyc.legalserver.org/matter/dynamic-profile/view/1900706","19-1900706")</f>
        <v>0</v>
      </c>
      <c r="B4854" t="s">
        <v>83</v>
      </c>
      <c r="C4854" t="s">
        <v>612</v>
      </c>
      <c r="D4854" t="s">
        <v>468</v>
      </c>
      <c r="E4854" t="s">
        <v>3341</v>
      </c>
      <c r="F4854" t="s">
        <v>5996</v>
      </c>
      <c r="G4854" t="s">
        <v>9986</v>
      </c>
      <c r="H4854" t="s">
        <v>10513</v>
      </c>
      <c r="I4854" t="s">
        <v>11388</v>
      </c>
      <c r="J4854">
        <v>11385</v>
      </c>
      <c r="K4854" t="s">
        <v>11446</v>
      </c>
      <c r="L4854" t="s">
        <v>14345</v>
      </c>
      <c r="M4854" t="s">
        <v>14744</v>
      </c>
      <c r="N4854" t="s">
        <v>14781</v>
      </c>
      <c r="O4854" t="s">
        <v>14788</v>
      </c>
      <c r="P4854" t="s">
        <v>14807</v>
      </c>
      <c r="Q4854" t="s">
        <v>11448</v>
      </c>
      <c r="S4854" t="s">
        <v>14827</v>
      </c>
      <c r="T4854" t="s">
        <v>14832</v>
      </c>
      <c r="U4854" t="s">
        <v>545</v>
      </c>
      <c r="V4854">
        <v>1490.65</v>
      </c>
      <c r="W4854" t="s">
        <v>14861</v>
      </c>
      <c r="X4854" t="s">
        <v>14863</v>
      </c>
      <c r="Y4854" t="s">
        <v>14887</v>
      </c>
      <c r="Z4854" t="s">
        <v>18878</v>
      </c>
      <c r="AB4854" t="s">
        <v>24087</v>
      </c>
      <c r="AC4854">
        <v>6</v>
      </c>
      <c r="AD4854" t="s">
        <v>24595</v>
      </c>
      <c r="AE4854" t="s">
        <v>24610</v>
      </c>
      <c r="AF4854">
        <v>10</v>
      </c>
      <c r="AG4854">
        <v>2</v>
      </c>
      <c r="AH4854">
        <v>1</v>
      </c>
      <c r="AI4854">
        <v>108.11</v>
      </c>
      <c r="AL4854" t="s">
        <v>24632</v>
      </c>
      <c r="AM4854">
        <v>23060.25</v>
      </c>
      <c r="AO4854" t="s">
        <v>24932</v>
      </c>
      <c r="AP4854" t="s">
        <v>24942</v>
      </c>
      <c r="AQ4854" t="s">
        <v>24986</v>
      </c>
      <c r="AR4854" t="s">
        <v>25008</v>
      </c>
      <c r="AS4854">
        <v>18.3</v>
      </c>
      <c r="AT4854" t="s">
        <v>456</v>
      </c>
      <c r="AU4854" t="s">
        <v>292</v>
      </c>
      <c r="AV4854" t="s">
        <v>25335</v>
      </c>
      <c r="AW4854" t="s">
        <v>11447</v>
      </c>
    </row>
    <row r="4855" spans="1:49">
      <c r="A4855" s="1">
        <f>HYPERLINK("https://lsnyc.legalserver.org/matter/dynamic-profile/view/1892560","19-1892560")</f>
        <v>0</v>
      </c>
      <c r="B4855" t="s">
        <v>83</v>
      </c>
      <c r="C4855" t="s">
        <v>833</v>
      </c>
      <c r="D4855" t="s">
        <v>468</v>
      </c>
      <c r="E4855" t="s">
        <v>3342</v>
      </c>
      <c r="F4855" t="s">
        <v>5997</v>
      </c>
      <c r="G4855" t="s">
        <v>9987</v>
      </c>
      <c r="H4855">
        <v>2</v>
      </c>
      <c r="I4855" t="s">
        <v>11387</v>
      </c>
      <c r="J4855">
        <v>11433</v>
      </c>
      <c r="K4855" t="s">
        <v>11446</v>
      </c>
      <c r="L4855" t="s">
        <v>14346</v>
      </c>
      <c r="M4855" t="s">
        <v>14743</v>
      </c>
      <c r="N4855" t="s">
        <v>14781</v>
      </c>
      <c r="O4855" t="s">
        <v>14788</v>
      </c>
      <c r="P4855" t="s">
        <v>14807</v>
      </c>
      <c r="Q4855" t="s">
        <v>11448</v>
      </c>
      <c r="S4855" t="s">
        <v>14827</v>
      </c>
      <c r="T4855" t="s">
        <v>14832</v>
      </c>
      <c r="U4855" t="s">
        <v>462</v>
      </c>
      <c r="V4855">
        <v>1500</v>
      </c>
      <c r="W4855" t="s">
        <v>14861</v>
      </c>
      <c r="X4855" t="s">
        <v>14863</v>
      </c>
      <c r="Y4855" t="s">
        <v>14887</v>
      </c>
      <c r="Z4855" t="s">
        <v>18879</v>
      </c>
      <c r="AB4855" t="s">
        <v>24088</v>
      </c>
      <c r="AC4855">
        <v>2</v>
      </c>
      <c r="AD4855" t="s">
        <v>24600</v>
      </c>
      <c r="AE4855" t="s">
        <v>11459</v>
      </c>
      <c r="AF4855">
        <v>1</v>
      </c>
      <c r="AG4855">
        <v>1</v>
      </c>
      <c r="AH4855">
        <v>0</v>
      </c>
      <c r="AI4855">
        <v>96.08</v>
      </c>
      <c r="AL4855" t="s">
        <v>5011</v>
      </c>
      <c r="AM4855">
        <v>12000</v>
      </c>
      <c r="AO4855" t="s">
        <v>24932</v>
      </c>
      <c r="AP4855" t="s">
        <v>24942</v>
      </c>
      <c r="AQ4855" t="s">
        <v>24986</v>
      </c>
      <c r="AR4855" t="s">
        <v>25108</v>
      </c>
      <c r="AS4855">
        <v>32</v>
      </c>
      <c r="AT4855" t="s">
        <v>462</v>
      </c>
      <c r="AU4855" t="s">
        <v>83</v>
      </c>
      <c r="AV4855" t="s">
        <v>25335</v>
      </c>
      <c r="AW4855" t="s">
        <v>11446</v>
      </c>
    </row>
    <row r="4856" spans="1:49">
      <c r="A4856" s="1">
        <f>HYPERLINK("https://lsnyc.legalserver.org/matter/dynamic-profile/view/1907017","19-1907017")</f>
        <v>0</v>
      </c>
      <c r="B4856" t="s">
        <v>83</v>
      </c>
      <c r="C4856" t="s">
        <v>626</v>
      </c>
      <c r="D4856" t="s">
        <v>471</v>
      </c>
      <c r="E4856" t="s">
        <v>3343</v>
      </c>
      <c r="F4856" t="s">
        <v>1735</v>
      </c>
      <c r="G4856" t="s">
        <v>9988</v>
      </c>
      <c r="H4856" t="s">
        <v>10648</v>
      </c>
      <c r="I4856" t="s">
        <v>11388</v>
      </c>
      <c r="J4856">
        <v>11385</v>
      </c>
      <c r="K4856" t="s">
        <v>11446</v>
      </c>
      <c r="L4856" t="s">
        <v>14347</v>
      </c>
      <c r="M4856" t="s">
        <v>14743</v>
      </c>
      <c r="N4856" t="s">
        <v>14778</v>
      </c>
      <c r="O4856" t="s">
        <v>14786</v>
      </c>
      <c r="P4856" t="s">
        <v>14807</v>
      </c>
      <c r="Q4856" t="s">
        <v>11448</v>
      </c>
      <c r="S4856" t="s">
        <v>14827</v>
      </c>
      <c r="T4856" t="s">
        <v>14832</v>
      </c>
      <c r="U4856" t="s">
        <v>468</v>
      </c>
      <c r="V4856">
        <v>1200</v>
      </c>
      <c r="W4856" t="s">
        <v>14861</v>
      </c>
      <c r="X4856" t="s">
        <v>14863</v>
      </c>
      <c r="Y4856" t="s">
        <v>14883</v>
      </c>
      <c r="Z4856" t="s">
        <v>18880</v>
      </c>
      <c r="AB4856" t="s">
        <v>19344</v>
      </c>
      <c r="AC4856">
        <v>2</v>
      </c>
      <c r="AD4856" t="s">
        <v>24600</v>
      </c>
      <c r="AE4856" t="s">
        <v>11459</v>
      </c>
      <c r="AF4856">
        <v>1</v>
      </c>
      <c r="AG4856">
        <v>2</v>
      </c>
      <c r="AH4856">
        <v>0</v>
      </c>
      <c r="AI4856">
        <v>92.25</v>
      </c>
      <c r="AL4856" t="s">
        <v>5011</v>
      </c>
      <c r="AM4856">
        <v>15600</v>
      </c>
      <c r="AS4856">
        <v>1.93</v>
      </c>
      <c r="AT4856" t="s">
        <v>471</v>
      </c>
      <c r="AU4856" t="s">
        <v>25233</v>
      </c>
      <c r="AV4856" t="s">
        <v>25335</v>
      </c>
      <c r="AW4856" t="s">
        <v>11447</v>
      </c>
    </row>
    <row r="4857" spans="1:49">
      <c r="A4857" s="1">
        <f>HYPERLINK("https://lsnyc.legalserver.org/matter/dynamic-profile/view/1903513","19-1903513")</f>
        <v>0</v>
      </c>
      <c r="B4857" t="s">
        <v>83</v>
      </c>
      <c r="C4857" t="s">
        <v>631</v>
      </c>
      <c r="D4857" t="s">
        <v>540</v>
      </c>
      <c r="E4857" t="s">
        <v>1359</v>
      </c>
      <c r="F4857" t="s">
        <v>4638</v>
      </c>
      <c r="G4857" t="s">
        <v>9989</v>
      </c>
      <c r="H4857" t="s">
        <v>10506</v>
      </c>
      <c r="I4857" t="s">
        <v>11388</v>
      </c>
      <c r="J4857">
        <v>11385</v>
      </c>
      <c r="K4857" t="s">
        <v>11446</v>
      </c>
      <c r="L4857" t="s">
        <v>14348</v>
      </c>
      <c r="M4857" t="s">
        <v>14744</v>
      </c>
      <c r="N4857" t="s">
        <v>14781</v>
      </c>
      <c r="O4857" t="s">
        <v>14788</v>
      </c>
      <c r="P4857" t="s">
        <v>14807</v>
      </c>
      <c r="Q4857" t="s">
        <v>11448</v>
      </c>
      <c r="S4857" t="s">
        <v>14827</v>
      </c>
      <c r="T4857" t="s">
        <v>14832</v>
      </c>
      <c r="U4857" t="s">
        <v>564</v>
      </c>
      <c r="V4857">
        <v>1615</v>
      </c>
      <c r="W4857" t="s">
        <v>14861</v>
      </c>
      <c r="X4857" t="s">
        <v>14863</v>
      </c>
      <c r="Y4857" t="s">
        <v>14887</v>
      </c>
      <c r="Z4857" t="s">
        <v>18881</v>
      </c>
      <c r="AB4857" t="s">
        <v>24089</v>
      </c>
      <c r="AC4857">
        <v>6</v>
      </c>
      <c r="AD4857" t="s">
        <v>24595</v>
      </c>
      <c r="AE4857" t="s">
        <v>11459</v>
      </c>
      <c r="AF4857">
        <v>1</v>
      </c>
      <c r="AG4857">
        <v>2</v>
      </c>
      <c r="AH4857">
        <v>0</v>
      </c>
      <c r="AI4857">
        <v>172.44</v>
      </c>
      <c r="AL4857" t="s">
        <v>5011</v>
      </c>
      <c r="AM4857">
        <v>29160</v>
      </c>
      <c r="AP4857" t="s">
        <v>24942</v>
      </c>
      <c r="AQ4857" t="s">
        <v>24986</v>
      </c>
      <c r="AR4857" t="s">
        <v>25015</v>
      </c>
      <c r="AS4857">
        <v>11.45</v>
      </c>
      <c r="AT4857" t="s">
        <v>604</v>
      </c>
      <c r="AU4857" t="s">
        <v>25233</v>
      </c>
      <c r="AV4857" t="s">
        <v>25335</v>
      </c>
      <c r="AW4857" t="s">
        <v>11447</v>
      </c>
    </row>
    <row r="4858" spans="1:49">
      <c r="A4858" s="1">
        <f>HYPERLINK("https://lsnyc.legalserver.org/matter/dynamic-profile/view/1907630","19-1907630")</f>
        <v>0</v>
      </c>
      <c r="B4858" t="s">
        <v>83</v>
      </c>
      <c r="C4858" t="s">
        <v>633</v>
      </c>
      <c r="D4858" t="s">
        <v>663</v>
      </c>
      <c r="E4858" t="s">
        <v>1584</v>
      </c>
      <c r="F4858" t="s">
        <v>5998</v>
      </c>
      <c r="G4858" t="s">
        <v>9990</v>
      </c>
      <c r="H4858" t="s">
        <v>10760</v>
      </c>
      <c r="I4858" t="s">
        <v>11387</v>
      </c>
      <c r="J4858">
        <v>11434</v>
      </c>
      <c r="K4858" t="s">
        <v>11446</v>
      </c>
      <c r="L4858" t="s">
        <v>14349</v>
      </c>
      <c r="M4858" t="s">
        <v>14744</v>
      </c>
      <c r="N4858" t="s">
        <v>14781</v>
      </c>
      <c r="O4858" t="s">
        <v>14788</v>
      </c>
      <c r="P4858" t="s">
        <v>14807</v>
      </c>
      <c r="Q4858" t="s">
        <v>11448</v>
      </c>
      <c r="S4858" t="s">
        <v>14828</v>
      </c>
      <c r="T4858" t="s">
        <v>14832</v>
      </c>
      <c r="U4858" t="s">
        <v>633</v>
      </c>
      <c r="V4858">
        <v>395</v>
      </c>
      <c r="W4858" t="s">
        <v>14861</v>
      </c>
      <c r="X4858" t="s">
        <v>14863</v>
      </c>
      <c r="Y4858" t="s">
        <v>14894</v>
      </c>
      <c r="Z4858" t="s">
        <v>18882</v>
      </c>
      <c r="AA4858" t="s">
        <v>20053</v>
      </c>
      <c r="AB4858" t="s">
        <v>24090</v>
      </c>
      <c r="AC4858">
        <v>80</v>
      </c>
      <c r="AD4858" t="s">
        <v>24597</v>
      </c>
      <c r="AE4858" t="s">
        <v>11459</v>
      </c>
      <c r="AF4858">
        <v>17</v>
      </c>
      <c r="AG4858">
        <v>3</v>
      </c>
      <c r="AH4858">
        <v>0</v>
      </c>
      <c r="AI4858">
        <v>61.36</v>
      </c>
      <c r="AL4858" t="s">
        <v>5011</v>
      </c>
      <c r="AM4858">
        <v>13089</v>
      </c>
      <c r="AP4858" t="s">
        <v>24942</v>
      </c>
      <c r="AQ4858" t="s">
        <v>24986</v>
      </c>
      <c r="AR4858" t="s">
        <v>25026</v>
      </c>
      <c r="AS4858">
        <v>2.45</v>
      </c>
      <c r="AT4858" t="s">
        <v>663</v>
      </c>
      <c r="AU4858" t="s">
        <v>292</v>
      </c>
      <c r="AV4858" t="s">
        <v>25335</v>
      </c>
      <c r="AW4858" t="s">
        <v>11447</v>
      </c>
    </row>
    <row r="4859" spans="1:49">
      <c r="A4859" s="1">
        <f>HYPERLINK("https://lsnyc.legalserver.org/matter/dynamic-profile/view/1902303","19-1902303")</f>
        <v>0</v>
      </c>
      <c r="B4859" t="s">
        <v>83</v>
      </c>
      <c r="C4859" t="s">
        <v>362</v>
      </c>
      <c r="D4859" t="s">
        <v>663</v>
      </c>
      <c r="E4859" t="s">
        <v>1416</v>
      </c>
      <c r="F4859" t="s">
        <v>5617</v>
      </c>
      <c r="G4859" t="s">
        <v>8595</v>
      </c>
      <c r="I4859" t="s">
        <v>11387</v>
      </c>
      <c r="J4859">
        <v>11433</v>
      </c>
      <c r="K4859" t="s">
        <v>11446</v>
      </c>
      <c r="L4859" t="s">
        <v>14350</v>
      </c>
      <c r="M4859" t="s">
        <v>14744</v>
      </c>
      <c r="N4859" t="s">
        <v>14781</v>
      </c>
      <c r="O4859" t="s">
        <v>14788</v>
      </c>
      <c r="P4859" t="s">
        <v>14807</v>
      </c>
      <c r="Q4859" t="s">
        <v>11448</v>
      </c>
      <c r="S4859" t="s">
        <v>14827</v>
      </c>
      <c r="T4859" t="s">
        <v>14834</v>
      </c>
      <c r="U4859" t="s">
        <v>540</v>
      </c>
      <c r="V4859">
        <v>784.13</v>
      </c>
      <c r="W4859" t="s">
        <v>14861</v>
      </c>
      <c r="X4859" t="s">
        <v>14863</v>
      </c>
      <c r="Y4859" t="s">
        <v>14887</v>
      </c>
      <c r="Z4859" t="s">
        <v>18883</v>
      </c>
      <c r="AA4859" t="s">
        <v>20054</v>
      </c>
      <c r="AB4859" t="s">
        <v>24091</v>
      </c>
      <c r="AC4859">
        <v>221</v>
      </c>
      <c r="AD4859" t="s">
        <v>24595</v>
      </c>
      <c r="AE4859" t="s">
        <v>11459</v>
      </c>
      <c r="AF4859">
        <v>3</v>
      </c>
      <c r="AG4859">
        <v>1</v>
      </c>
      <c r="AH4859">
        <v>0</v>
      </c>
      <c r="AI4859">
        <v>84.45</v>
      </c>
      <c r="AL4859" t="s">
        <v>5011</v>
      </c>
      <c r="AM4859">
        <v>10548</v>
      </c>
      <c r="AO4859" t="s">
        <v>24932</v>
      </c>
      <c r="AP4859" t="s">
        <v>24942</v>
      </c>
      <c r="AQ4859" t="s">
        <v>24986</v>
      </c>
      <c r="AR4859" t="s">
        <v>25015</v>
      </c>
      <c r="AS4859">
        <v>17.68</v>
      </c>
      <c r="AT4859" t="s">
        <v>508</v>
      </c>
      <c r="AU4859" t="s">
        <v>25233</v>
      </c>
      <c r="AV4859" t="s">
        <v>25335</v>
      </c>
      <c r="AW4859" t="s">
        <v>11447</v>
      </c>
    </row>
    <row r="4860" spans="1:49">
      <c r="A4860" s="1">
        <f>HYPERLINK("https://lsnyc.legalserver.org/matter/dynamic-profile/view/1907658","19-1907658")</f>
        <v>0</v>
      </c>
      <c r="B4860" t="s">
        <v>83</v>
      </c>
      <c r="C4860" t="s">
        <v>633</v>
      </c>
      <c r="D4860" t="s">
        <v>663</v>
      </c>
      <c r="E4860" t="s">
        <v>1181</v>
      </c>
      <c r="F4860" t="s">
        <v>5999</v>
      </c>
      <c r="G4860" t="s">
        <v>9991</v>
      </c>
      <c r="H4860" t="s">
        <v>11304</v>
      </c>
      <c r="I4860" t="s">
        <v>11387</v>
      </c>
      <c r="J4860">
        <v>11433</v>
      </c>
      <c r="K4860" t="s">
        <v>11446</v>
      </c>
      <c r="L4860" t="s">
        <v>14351</v>
      </c>
      <c r="M4860" t="s">
        <v>14744</v>
      </c>
      <c r="N4860" t="s">
        <v>14781</v>
      </c>
      <c r="O4860" t="s">
        <v>14788</v>
      </c>
      <c r="P4860" t="s">
        <v>14807</v>
      </c>
      <c r="Q4860" t="s">
        <v>11448</v>
      </c>
      <c r="S4860" t="s">
        <v>14828</v>
      </c>
      <c r="T4860" t="s">
        <v>14832</v>
      </c>
      <c r="U4860" t="s">
        <v>644</v>
      </c>
      <c r="V4860">
        <v>292</v>
      </c>
      <c r="W4860" t="s">
        <v>14861</v>
      </c>
      <c r="X4860" t="s">
        <v>14863</v>
      </c>
      <c r="Y4860" t="s">
        <v>14894</v>
      </c>
      <c r="Z4860" t="s">
        <v>17437</v>
      </c>
      <c r="AB4860" t="s">
        <v>24092</v>
      </c>
      <c r="AC4860">
        <v>12</v>
      </c>
      <c r="AD4860" t="s">
        <v>24597</v>
      </c>
      <c r="AE4860" t="s">
        <v>11459</v>
      </c>
      <c r="AF4860">
        <v>8</v>
      </c>
      <c r="AG4860">
        <v>1</v>
      </c>
      <c r="AH4860">
        <v>0</v>
      </c>
      <c r="AI4860">
        <v>41.51</v>
      </c>
      <c r="AL4860" t="s">
        <v>5011</v>
      </c>
      <c r="AM4860">
        <v>5184</v>
      </c>
      <c r="AP4860" t="s">
        <v>24942</v>
      </c>
      <c r="AQ4860" t="s">
        <v>24986</v>
      </c>
      <c r="AR4860" t="s">
        <v>25026</v>
      </c>
      <c r="AS4860">
        <v>2.7</v>
      </c>
      <c r="AT4860" t="s">
        <v>663</v>
      </c>
      <c r="AU4860" t="s">
        <v>292</v>
      </c>
      <c r="AV4860" t="s">
        <v>25335</v>
      </c>
      <c r="AW4860" t="s">
        <v>11447</v>
      </c>
    </row>
    <row r="4861" spans="1:49">
      <c r="A4861" s="1">
        <f>HYPERLINK("https://lsnyc.legalserver.org/matter/dynamic-profile/view/1907641","19-1907641")</f>
        <v>0</v>
      </c>
      <c r="B4861" t="s">
        <v>83</v>
      </c>
      <c r="C4861" t="s">
        <v>633</v>
      </c>
      <c r="D4861" t="s">
        <v>663</v>
      </c>
      <c r="E4861" t="s">
        <v>1089</v>
      </c>
      <c r="F4861" t="s">
        <v>1395</v>
      </c>
      <c r="G4861" t="s">
        <v>9992</v>
      </c>
      <c r="H4861" t="s">
        <v>10759</v>
      </c>
      <c r="I4861" t="s">
        <v>11387</v>
      </c>
      <c r="J4861">
        <v>11433</v>
      </c>
      <c r="K4861" t="s">
        <v>11446</v>
      </c>
      <c r="L4861" t="s">
        <v>14352</v>
      </c>
      <c r="M4861" t="s">
        <v>14744</v>
      </c>
      <c r="N4861" t="s">
        <v>14781</v>
      </c>
      <c r="O4861" t="s">
        <v>14788</v>
      </c>
      <c r="P4861" t="s">
        <v>14807</v>
      </c>
      <c r="Q4861" t="s">
        <v>11448</v>
      </c>
      <c r="S4861" t="s">
        <v>14828</v>
      </c>
      <c r="T4861" t="s">
        <v>14833</v>
      </c>
      <c r="U4861" t="s">
        <v>644</v>
      </c>
      <c r="V4861">
        <v>227</v>
      </c>
      <c r="W4861" t="s">
        <v>14861</v>
      </c>
      <c r="X4861" t="s">
        <v>14863</v>
      </c>
      <c r="Y4861" t="s">
        <v>14894</v>
      </c>
      <c r="Z4861" t="s">
        <v>18884</v>
      </c>
      <c r="AA4861" t="s">
        <v>20055</v>
      </c>
      <c r="AB4861" t="s">
        <v>24093</v>
      </c>
      <c r="AC4861">
        <v>50</v>
      </c>
      <c r="AD4861" t="s">
        <v>24597</v>
      </c>
      <c r="AE4861" t="s">
        <v>14755</v>
      </c>
      <c r="AF4861">
        <v>28</v>
      </c>
      <c r="AG4861">
        <v>1</v>
      </c>
      <c r="AH4861">
        <v>0</v>
      </c>
      <c r="AI4861">
        <v>80.98999999999999</v>
      </c>
      <c r="AL4861" t="s">
        <v>5011</v>
      </c>
      <c r="AM4861">
        <v>10116</v>
      </c>
      <c r="AP4861" t="s">
        <v>24942</v>
      </c>
      <c r="AQ4861" t="s">
        <v>24986</v>
      </c>
      <c r="AR4861" t="s">
        <v>25026</v>
      </c>
      <c r="AS4861">
        <v>2.5</v>
      </c>
      <c r="AT4861" t="s">
        <v>663</v>
      </c>
      <c r="AU4861" t="s">
        <v>292</v>
      </c>
      <c r="AV4861" t="s">
        <v>25335</v>
      </c>
      <c r="AW4861" t="s">
        <v>11447</v>
      </c>
    </row>
    <row r="4862" spans="1:49">
      <c r="A4862" s="1">
        <f>HYPERLINK("https://lsnyc.legalserver.org/matter/dynamic-profile/view/1907660","19-1907660")</f>
        <v>0</v>
      </c>
      <c r="B4862" t="s">
        <v>83</v>
      </c>
      <c r="C4862" t="s">
        <v>524</v>
      </c>
      <c r="D4862" t="s">
        <v>663</v>
      </c>
      <c r="E4862" t="s">
        <v>3344</v>
      </c>
      <c r="F4862" t="s">
        <v>1528</v>
      </c>
      <c r="G4862" t="s">
        <v>9993</v>
      </c>
      <c r="H4862" t="s">
        <v>10460</v>
      </c>
      <c r="I4862" t="s">
        <v>11387</v>
      </c>
      <c r="J4862">
        <v>11433</v>
      </c>
      <c r="K4862" t="s">
        <v>11446</v>
      </c>
      <c r="L4862" t="s">
        <v>14353</v>
      </c>
      <c r="M4862" t="s">
        <v>14744</v>
      </c>
      <c r="N4862" t="s">
        <v>14781</v>
      </c>
      <c r="O4862" t="s">
        <v>14788</v>
      </c>
      <c r="P4862" t="s">
        <v>14807</v>
      </c>
      <c r="Q4862" t="s">
        <v>11448</v>
      </c>
      <c r="S4862" t="s">
        <v>14828</v>
      </c>
      <c r="T4862" t="s">
        <v>14832</v>
      </c>
      <c r="U4862" t="s">
        <v>644</v>
      </c>
      <c r="V4862">
        <v>878</v>
      </c>
      <c r="W4862" t="s">
        <v>14861</v>
      </c>
      <c r="X4862" t="s">
        <v>14865</v>
      </c>
      <c r="Y4862" t="s">
        <v>14894</v>
      </c>
      <c r="Z4862" t="s">
        <v>18885</v>
      </c>
      <c r="AA4862" t="s">
        <v>11459</v>
      </c>
      <c r="AB4862" t="s">
        <v>19344</v>
      </c>
      <c r="AC4862">
        <v>448</v>
      </c>
      <c r="AD4862" t="s">
        <v>24597</v>
      </c>
      <c r="AE4862" t="s">
        <v>11459</v>
      </c>
      <c r="AF4862">
        <v>16</v>
      </c>
      <c r="AG4862">
        <v>2</v>
      </c>
      <c r="AH4862">
        <v>0</v>
      </c>
      <c r="AI4862">
        <v>85.16</v>
      </c>
      <c r="AL4862" t="s">
        <v>5011</v>
      </c>
      <c r="AM4862">
        <v>14400</v>
      </c>
      <c r="AP4862" t="s">
        <v>24942</v>
      </c>
      <c r="AQ4862" t="s">
        <v>24986</v>
      </c>
      <c r="AR4862" t="s">
        <v>25026</v>
      </c>
      <c r="AS4862">
        <v>1.75</v>
      </c>
      <c r="AT4862" t="s">
        <v>663</v>
      </c>
      <c r="AU4862" t="s">
        <v>292</v>
      </c>
      <c r="AV4862" t="s">
        <v>25335</v>
      </c>
      <c r="AW4862" t="s">
        <v>11447</v>
      </c>
    </row>
    <row r="4863" spans="1:49">
      <c r="A4863" s="1">
        <f>HYPERLINK("https://lsnyc.legalserver.org/matter/dynamic-profile/view/1907644","19-1907644")</f>
        <v>0</v>
      </c>
      <c r="B4863" t="s">
        <v>83</v>
      </c>
      <c r="C4863" t="s">
        <v>633</v>
      </c>
      <c r="D4863" t="s">
        <v>663</v>
      </c>
      <c r="E4863" t="s">
        <v>1070</v>
      </c>
      <c r="F4863" t="s">
        <v>2021</v>
      </c>
      <c r="G4863" t="s">
        <v>9994</v>
      </c>
      <c r="H4863" t="s">
        <v>10460</v>
      </c>
      <c r="I4863" t="s">
        <v>11387</v>
      </c>
      <c r="J4863">
        <v>11433</v>
      </c>
      <c r="K4863" t="s">
        <v>11446</v>
      </c>
      <c r="L4863" t="s">
        <v>14353</v>
      </c>
      <c r="M4863" t="s">
        <v>14744</v>
      </c>
      <c r="N4863" t="s">
        <v>14781</v>
      </c>
      <c r="O4863" t="s">
        <v>14788</v>
      </c>
      <c r="P4863" t="s">
        <v>14807</v>
      </c>
      <c r="Q4863" t="s">
        <v>11448</v>
      </c>
      <c r="S4863" t="s">
        <v>14828</v>
      </c>
      <c r="T4863" t="s">
        <v>14832</v>
      </c>
      <c r="U4863" t="s">
        <v>644</v>
      </c>
      <c r="V4863">
        <v>1312</v>
      </c>
      <c r="W4863" t="s">
        <v>14861</v>
      </c>
      <c r="X4863" t="s">
        <v>14863</v>
      </c>
      <c r="Y4863" t="s">
        <v>14894</v>
      </c>
      <c r="Z4863" t="s">
        <v>18886</v>
      </c>
      <c r="AB4863" t="s">
        <v>24094</v>
      </c>
      <c r="AC4863">
        <v>48</v>
      </c>
      <c r="AD4863" t="s">
        <v>24597</v>
      </c>
      <c r="AE4863" t="s">
        <v>11459</v>
      </c>
      <c r="AF4863">
        <v>16</v>
      </c>
      <c r="AG4863">
        <v>1</v>
      </c>
      <c r="AH4863">
        <v>1</v>
      </c>
      <c r="AI4863">
        <v>187.34</v>
      </c>
      <c r="AL4863" t="s">
        <v>5011</v>
      </c>
      <c r="AM4863">
        <v>31680</v>
      </c>
      <c r="AP4863" t="s">
        <v>24942</v>
      </c>
      <c r="AQ4863" t="s">
        <v>24986</v>
      </c>
      <c r="AR4863" t="s">
        <v>25026</v>
      </c>
      <c r="AS4863">
        <v>2.5</v>
      </c>
      <c r="AT4863" t="s">
        <v>663</v>
      </c>
      <c r="AU4863" t="s">
        <v>292</v>
      </c>
      <c r="AV4863" t="s">
        <v>25335</v>
      </c>
      <c r="AW4863" t="s">
        <v>11447</v>
      </c>
    </row>
    <row r="4864" spans="1:49">
      <c r="A4864" s="1">
        <f>HYPERLINK("https://lsnyc.legalserver.org/matter/dynamic-profile/view/1907593","19-1907593")</f>
        <v>0</v>
      </c>
      <c r="B4864" t="s">
        <v>83</v>
      </c>
      <c r="C4864" t="s">
        <v>630</v>
      </c>
      <c r="D4864" t="s">
        <v>601</v>
      </c>
      <c r="E4864" t="s">
        <v>1043</v>
      </c>
      <c r="F4864" t="s">
        <v>6000</v>
      </c>
      <c r="G4864" t="s">
        <v>9995</v>
      </c>
      <c r="H4864" t="s">
        <v>10468</v>
      </c>
      <c r="I4864" t="s">
        <v>11387</v>
      </c>
      <c r="J4864">
        <v>11433</v>
      </c>
      <c r="K4864" t="s">
        <v>11446</v>
      </c>
      <c r="L4864" t="s">
        <v>14354</v>
      </c>
      <c r="M4864" t="s">
        <v>14744</v>
      </c>
      <c r="N4864" t="s">
        <v>14781</v>
      </c>
      <c r="O4864" t="s">
        <v>14788</v>
      </c>
      <c r="P4864" t="s">
        <v>14807</v>
      </c>
      <c r="Q4864" t="s">
        <v>11448</v>
      </c>
      <c r="S4864" t="s">
        <v>14828</v>
      </c>
      <c r="T4864" t="s">
        <v>14832</v>
      </c>
      <c r="U4864" t="s">
        <v>630</v>
      </c>
      <c r="V4864">
        <v>0</v>
      </c>
      <c r="W4864" t="s">
        <v>14861</v>
      </c>
      <c r="X4864" t="s">
        <v>14863</v>
      </c>
      <c r="Y4864" t="s">
        <v>14894</v>
      </c>
      <c r="Z4864" t="s">
        <v>18887</v>
      </c>
      <c r="AB4864" t="s">
        <v>24095</v>
      </c>
      <c r="AC4864">
        <v>56</v>
      </c>
      <c r="AD4864" t="s">
        <v>24597</v>
      </c>
      <c r="AE4864" t="s">
        <v>11459</v>
      </c>
      <c r="AF4864">
        <v>30</v>
      </c>
      <c r="AG4864">
        <v>1</v>
      </c>
      <c r="AH4864">
        <v>0</v>
      </c>
      <c r="AI4864">
        <v>112.22</v>
      </c>
      <c r="AL4864" t="s">
        <v>5011</v>
      </c>
      <c r="AM4864">
        <v>14016</v>
      </c>
      <c r="AP4864" t="s">
        <v>24942</v>
      </c>
      <c r="AQ4864" t="s">
        <v>24986</v>
      </c>
      <c r="AR4864" t="s">
        <v>25026</v>
      </c>
      <c r="AS4864">
        <v>2.55</v>
      </c>
      <c r="AT4864" t="s">
        <v>601</v>
      </c>
      <c r="AU4864" t="s">
        <v>292</v>
      </c>
      <c r="AV4864" t="s">
        <v>25335</v>
      </c>
      <c r="AW4864" t="s">
        <v>11447</v>
      </c>
    </row>
    <row r="4865" spans="1:49">
      <c r="A4865" s="1">
        <f>HYPERLINK("https://lsnyc.legalserver.org/matter/dynamic-profile/view/1884811","18-1884811")</f>
        <v>0</v>
      </c>
      <c r="B4865" t="s">
        <v>68</v>
      </c>
      <c r="C4865" t="s">
        <v>600</v>
      </c>
      <c r="D4865" t="s">
        <v>460</v>
      </c>
      <c r="E4865" t="s">
        <v>1872</v>
      </c>
      <c r="F4865" t="s">
        <v>6001</v>
      </c>
      <c r="G4865" t="s">
        <v>9996</v>
      </c>
      <c r="H4865" t="s">
        <v>10778</v>
      </c>
      <c r="I4865" t="s">
        <v>11395</v>
      </c>
      <c r="J4865">
        <v>11373</v>
      </c>
      <c r="K4865" t="s">
        <v>11448</v>
      </c>
      <c r="M4865" t="s">
        <v>11601</v>
      </c>
      <c r="N4865" t="s">
        <v>14778</v>
      </c>
      <c r="O4865" t="s">
        <v>14786</v>
      </c>
      <c r="P4865" t="s">
        <v>14807</v>
      </c>
      <c r="Q4865" t="s">
        <v>11448</v>
      </c>
      <c r="S4865" t="s">
        <v>14827</v>
      </c>
      <c r="T4865" t="s">
        <v>14832</v>
      </c>
      <c r="V4865">
        <v>1050</v>
      </c>
      <c r="W4865" t="s">
        <v>14861</v>
      </c>
      <c r="X4865" t="s">
        <v>14877</v>
      </c>
      <c r="Y4865" t="s">
        <v>14883</v>
      </c>
      <c r="Z4865" t="s">
        <v>18888</v>
      </c>
      <c r="AB4865" t="s">
        <v>24096</v>
      </c>
      <c r="AC4865">
        <v>126</v>
      </c>
      <c r="AD4865" t="s">
        <v>24595</v>
      </c>
      <c r="AE4865" t="s">
        <v>11459</v>
      </c>
      <c r="AF4865">
        <v>8</v>
      </c>
      <c r="AG4865">
        <v>2</v>
      </c>
      <c r="AH4865">
        <v>0</v>
      </c>
      <c r="AI4865">
        <v>145.81</v>
      </c>
      <c r="AL4865" t="s">
        <v>24632</v>
      </c>
      <c r="AM4865">
        <v>24000</v>
      </c>
      <c r="AS4865">
        <v>0.8</v>
      </c>
      <c r="AT4865" t="s">
        <v>734</v>
      </c>
      <c r="AU4865" t="s">
        <v>25299</v>
      </c>
      <c r="AW4865" t="s">
        <v>11448</v>
      </c>
    </row>
    <row r="4866" spans="1:49">
      <c r="A4866" s="1">
        <f>HYPERLINK("https://lsnyc.legalserver.org/matter/dynamic-profile/view/1895747","19-1895747")</f>
        <v>0</v>
      </c>
      <c r="B4866" t="s">
        <v>290</v>
      </c>
      <c r="C4866" t="s">
        <v>729</v>
      </c>
      <c r="D4866" t="s">
        <v>511</v>
      </c>
      <c r="E4866" t="s">
        <v>2451</v>
      </c>
      <c r="F4866" t="s">
        <v>6002</v>
      </c>
      <c r="G4866" t="s">
        <v>9997</v>
      </c>
      <c r="H4866" t="s">
        <v>11305</v>
      </c>
      <c r="I4866" t="s">
        <v>11387</v>
      </c>
      <c r="J4866">
        <v>11434</v>
      </c>
      <c r="K4866" t="s">
        <v>11446</v>
      </c>
      <c r="L4866" t="s">
        <v>14355</v>
      </c>
      <c r="M4866" t="s">
        <v>14744</v>
      </c>
      <c r="N4866" t="s">
        <v>14781</v>
      </c>
      <c r="O4866" t="s">
        <v>14788</v>
      </c>
      <c r="P4866" t="s">
        <v>14807</v>
      </c>
      <c r="Q4866" t="s">
        <v>11448</v>
      </c>
      <c r="S4866" t="s">
        <v>14827</v>
      </c>
      <c r="U4866" t="s">
        <v>564</v>
      </c>
      <c r="V4866">
        <v>1497</v>
      </c>
      <c r="W4866" t="s">
        <v>14861</v>
      </c>
      <c r="X4866" t="s">
        <v>14863</v>
      </c>
      <c r="Y4866" t="s">
        <v>14887</v>
      </c>
      <c r="Z4866" t="s">
        <v>18889</v>
      </c>
      <c r="AB4866" t="s">
        <v>24097</v>
      </c>
      <c r="AC4866">
        <v>281</v>
      </c>
      <c r="AD4866" t="s">
        <v>24601</v>
      </c>
      <c r="AE4866" t="s">
        <v>11459</v>
      </c>
      <c r="AF4866">
        <v>20</v>
      </c>
      <c r="AG4866">
        <v>1</v>
      </c>
      <c r="AH4866">
        <v>0</v>
      </c>
      <c r="AI4866">
        <v>171.5</v>
      </c>
      <c r="AL4866" t="s">
        <v>5011</v>
      </c>
      <c r="AM4866">
        <v>21420</v>
      </c>
      <c r="AO4866" t="s">
        <v>24932</v>
      </c>
      <c r="AP4866" t="s">
        <v>24942</v>
      </c>
      <c r="AQ4866" t="s">
        <v>24986</v>
      </c>
      <c r="AR4866" t="s">
        <v>25033</v>
      </c>
      <c r="AS4866">
        <v>28.2</v>
      </c>
      <c r="AT4866" t="s">
        <v>511</v>
      </c>
      <c r="AU4866" t="s">
        <v>25229</v>
      </c>
      <c r="AW4866" t="s">
        <v>11447</v>
      </c>
    </row>
    <row r="4867" spans="1:49">
      <c r="A4867" s="1">
        <f>HYPERLINK("https://lsnyc.legalserver.org/matter/dynamic-profile/view/1905978","19-1905978")</f>
        <v>0</v>
      </c>
      <c r="B4867" t="s">
        <v>83</v>
      </c>
      <c r="C4867" t="s">
        <v>461</v>
      </c>
      <c r="D4867" t="s">
        <v>467</v>
      </c>
      <c r="E4867" t="s">
        <v>1590</v>
      </c>
      <c r="F4867" t="s">
        <v>6003</v>
      </c>
      <c r="G4867" t="s">
        <v>9998</v>
      </c>
      <c r="H4867">
        <v>311</v>
      </c>
      <c r="I4867" t="s">
        <v>11387</v>
      </c>
      <c r="J4867">
        <v>11434</v>
      </c>
      <c r="K4867" t="s">
        <v>11446</v>
      </c>
      <c r="L4867" t="s">
        <v>14356</v>
      </c>
      <c r="M4867" t="s">
        <v>14744</v>
      </c>
      <c r="N4867" t="s">
        <v>14781</v>
      </c>
      <c r="O4867" t="s">
        <v>14788</v>
      </c>
      <c r="P4867" t="s">
        <v>14807</v>
      </c>
      <c r="Q4867" t="s">
        <v>11448</v>
      </c>
      <c r="S4867" t="s">
        <v>14828</v>
      </c>
      <c r="T4867" t="s">
        <v>14834</v>
      </c>
      <c r="U4867" t="s">
        <v>467</v>
      </c>
      <c r="V4867">
        <v>150</v>
      </c>
      <c r="W4867" t="s">
        <v>14861</v>
      </c>
      <c r="X4867" t="s">
        <v>14863</v>
      </c>
      <c r="Y4867" t="s">
        <v>14894</v>
      </c>
      <c r="Z4867" t="s">
        <v>18890</v>
      </c>
      <c r="AB4867" t="s">
        <v>24098</v>
      </c>
      <c r="AC4867">
        <v>1</v>
      </c>
      <c r="AD4867" t="s">
        <v>24597</v>
      </c>
      <c r="AE4867" t="s">
        <v>11459</v>
      </c>
      <c r="AF4867">
        <v>47</v>
      </c>
      <c r="AG4867">
        <v>1</v>
      </c>
      <c r="AH4867">
        <v>0</v>
      </c>
      <c r="AI4867">
        <v>108.25</v>
      </c>
      <c r="AL4867" t="s">
        <v>5011</v>
      </c>
      <c r="AM4867">
        <v>13520</v>
      </c>
      <c r="AO4867" t="s">
        <v>24932</v>
      </c>
      <c r="AP4867" t="s">
        <v>24942</v>
      </c>
      <c r="AQ4867" t="s">
        <v>24986</v>
      </c>
      <c r="AR4867" t="s">
        <v>25019</v>
      </c>
      <c r="AS4867">
        <v>11.95</v>
      </c>
      <c r="AT4867" t="s">
        <v>467</v>
      </c>
      <c r="AU4867" t="s">
        <v>83</v>
      </c>
      <c r="AV4867" t="s">
        <v>25335</v>
      </c>
      <c r="AW4867" t="s">
        <v>11447</v>
      </c>
    </row>
    <row r="4868" spans="1:49">
      <c r="A4868" s="1">
        <f>HYPERLINK("https://lsnyc.legalserver.org/matter/dynamic-profile/view/1904134","19-1904134")</f>
        <v>0</v>
      </c>
      <c r="B4868" t="s">
        <v>204</v>
      </c>
      <c r="C4868" t="s">
        <v>338</v>
      </c>
      <c r="D4868" t="s">
        <v>506</v>
      </c>
      <c r="E4868" t="s">
        <v>1181</v>
      </c>
      <c r="F4868" t="s">
        <v>6004</v>
      </c>
      <c r="G4868" t="s">
        <v>9999</v>
      </c>
      <c r="H4868" t="s">
        <v>10594</v>
      </c>
      <c r="I4868" t="s">
        <v>11395</v>
      </c>
      <c r="J4868">
        <v>11373</v>
      </c>
      <c r="K4868" t="s">
        <v>11446</v>
      </c>
      <c r="L4868" t="s">
        <v>14357</v>
      </c>
      <c r="M4868" t="s">
        <v>14743</v>
      </c>
      <c r="N4868" t="s">
        <v>14781</v>
      </c>
      <c r="O4868" t="s">
        <v>14788</v>
      </c>
      <c r="P4868" t="s">
        <v>14807</v>
      </c>
      <c r="Q4868" t="s">
        <v>11448</v>
      </c>
      <c r="S4868" t="s">
        <v>14827</v>
      </c>
      <c r="T4868" t="s">
        <v>14832</v>
      </c>
      <c r="U4868" t="s">
        <v>593</v>
      </c>
      <c r="V4868">
        <v>1350</v>
      </c>
      <c r="W4868" t="s">
        <v>14861</v>
      </c>
      <c r="X4868" t="s">
        <v>14863</v>
      </c>
      <c r="Y4868" t="s">
        <v>14887</v>
      </c>
      <c r="Z4868" t="s">
        <v>16828</v>
      </c>
      <c r="AB4868" t="s">
        <v>24099</v>
      </c>
      <c r="AC4868">
        <v>169</v>
      </c>
      <c r="AD4868" t="s">
        <v>24598</v>
      </c>
      <c r="AE4868" t="s">
        <v>11459</v>
      </c>
      <c r="AF4868">
        <v>10</v>
      </c>
      <c r="AG4868">
        <v>2</v>
      </c>
      <c r="AH4868">
        <v>2</v>
      </c>
      <c r="AI4868">
        <v>93.2</v>
      </c>
      <c r="AL4868" t="s">
        <v>5011</v>
      </c>
      <c r="AM4868">
        <v>24000</v>
      </c>
      <c r="AO4868" t="s">
        <v>24937</v>
      </c>
      <c r="AP4868" t="s">
        <v>24941</v>
      </c>
      <c r="AQ4868" t="s">
        <v>24986</v>
      </c>
      <c r="AR4868" t="s">
        <v>25071</v>
      </c>
      <c r="AS4868">
        <v>23.25</v>
      </c>
      <c r="AT4868" t="s">
        <v>368</v>
      </c>
      <c r="AU4868" t="s">
        <v>25233</v>
      </c>
      <c r="AV4868" t="s">
        <v>25335</v>
      </c>
      <c r="AW4868" t="s">
        <v>11447</v>
      </c>
    </row>
    <row r="4869" spans="1:49">
      <c r="A4869" s="1">
        <f>HYPERLINK("https://lsnyc.legalserver.org/matter/dynamic-profile/view/1902932","19-1902932")</f>
        <v>0</v>
      </c>
      <c r="B4869" t="s">
        <v>204</v>
      </c>
      <c r="C4869" t="s">
        <v>343</v>
      </c>
      <c r="D4869" t="s">
        <v>478</v>
      </c>
      <c r="E4869" t="s">
        <v>1584</v>
      </c>
      <c r="F4869" t="s">
        <v>1254</v>
      </c>
      <c r="G4869" t="s">
        <v>10000</v>
      </c>
      <c r="H4869" t="s">
        <v>10486</v>
      </c>
      <c r="I4869" t="s">
        <v>11387</v>
      </c>
      <c r="J4869">
        <v>11434</v>
      </c>
      <c r="K4869" t="s">
        <v>11446</v>
      </c>
      <c r="L4869" t="s">
        <v>14358</v>
      </c>
      <c r="M4869" t="s">
        <v>14743</v>
      </c>
      <c r="N4869" t="s">
        <v>14781</v>
      </c>
      <c r="O4869" t="s">
        <v>14788</v>
      </c>
      <c r="P4869" t="s">
        <v>14807</v>
      </c>
      <c r="Q4869" t="s">
        <v>11448</v>
      </c>
      <c r="S4869" t="s">
        <v>14827</v>
      </c>
      <c r="T4869" t="s">
        <v>14832</v>
      </c>
      <c r="U4869" t="s">
        <v>345</v>
      </c>
      <c r="V4869">
        <v>1350</v>
      </c>
      <c r="W4869" t="s">
        <v>14861</v>
      </c>
      <c r="X4869" t="s">
        <v>14865</v>
      </c>
      <c r="Y4869" t="s">
        <v>14887</v>
      </c>
      <c r="Z4869" t="s">
        <v>18891</v>
      </c>
      <c r="AB4869" t="s">
        <v>24100</v>
      </c>
      <c r="AC4869">
        <v>2</v>
      </c>
      <c r="AD4869" t="s">
        <v>24600</v>
      </c>
      <c r="AE4869" t="s">
        <v>11459</v>
      </c>
      <c r="AF4869">
        <v>5</v>
      </c>
      <c r="AG4869">
        <v>3</v>
      </c>
      <c r="AH4869">
        <v>2</v>
      </c>
      <c r="AI4869">
        <v>0</v>
      </c>
      <c r="AL4869" t="s">
        <v>5011</v>
      </c>
      <c r="AM4869">
        <v>0</v>
      </c>
      <c r="AO4869" t="s">
        <v>24930</v>
      </c>
      <c r="AP4869" t="s">
        <v>24941</v>
      </c>
      <c r="AQ4869" t="s">
        <v>24986</v>
      </c>
      <c r="AR4869" t="s">
        <v>25074</v>
      </c>
      <c r="AS4869">
        <v>15.07</v>
      </c>
      <c r="AT4869" t="s">
        <v>592</v>
      </c>
      <c r="AU4869" t="s">
        <v>25233</v>
      </c>
      <c r="AV4869" t="s">
        <v>25335</v>
      </c>
      <c r="AW4869" t="s">
        <v>11447</v>
      </c>
    </row>
    <row r="4870" spans="1:49">
      <c r="A4870" s="1">
        <f>HYPERLINK("https://lsnyc.legalserver.org/matter/dynamic-profile/view/1907047","19-1907047")</f>
        <v>0</v>
      </c>
      <c r="B4870" t="s">
        <v>227</v>
      </c>
      <c r="C4870" t="s">
        <v>626</v>
      </c>
      <c r="D4870" t="s">
        <v>478</v>
      </c>
      <c r="E4870" t="s">
        <v>3345</v>
      </c>
      <c r="F4870" t="s">
        <v>6005</v>
      </c>
      <c r="G4870" t="s">
        <v>10001</v>
      </c>
      <c r="H4870" t="s">
        <v>11306</v>
      </c>
      <c r="I4870" t="s">
        <v>11387</v>
      </c>
      <c r="J4870">
        <v>11434</v>
      </c>
      <c r="K4870" t="s">
        <v>11446</v>
      </c>
      <c r="L4870" t="s">
        <v>14359</v>
      </c>
      <c r="M4870" t="s">
        <v>14744</v>
      </c>
      <c r="N4870" t="s">
        <v>14778</v>
      </c>
      <c r="O4870" t="s">
        <v>14786</v>
      </c>
      <c r="P4870" t="s">
        <v>14807</v>
      </c>
      <c r="Q4870" t="s">
        <v>11448</v>
      </c>
      <c r="S4870" t="s">
        <v>14827</v>
      </c>
      <c r="T4870" t="s">
        <v>14833</v>
      </c>
      <c r="U4870" t="s">
        <v>564</v>
      </c>
      <c r="V4870">
        <v>1126</v>
      </c>
      <c r="W4870" t="s">
        <v>14861</v>
      </c>
      <c r="X4870" t="s">
        <v>14863</v>
      </c>
      <c r="Y4870" t="s">
        <v>14883</v>
      </c>
      <c r="Z4870" t="s">
        <v>18892</v>
      </c>
      <c r="AB4870" t="s">
        <v>24101</v>
      </c>
      <c r="AC4870">
        <v>0</v>
      </c>
      <c r="AD4870" t="s">
        <v>24601</v>
      </c>
      <c r="AF4870">
        <v>21</v>
      </c>
      <c r="AG4870">
        <v>3</v>
      </c>
      <c r="AH4870">
        <v>1</v>
      </c>
      <c r="AI4870">
        <v>223.69</v>
      </c>
      <c r="AJ4870" t="s">
        <v>462</v>
      </c>
      <c r="AK4870" t="s">
        <v>24629</v>
      </c>
      <c r="AL4870" t="s">
        <v>5011</v>
      </c>
      <c r="AM4870">
        <v>57600</v>
      </c>
      <c r="AS4870">
        <v>21.2</v>
      </c>
      <c r="AT4870" t="s">
        <v>491</v>
      </c>
      <c r="AU4870" t="s">
        <v>25233</v>
      </c>
      <c r="AV4870" t="s">
        <v>25335</v>
      </c>
      <c r="AW4870" t="s">
        <v>11447</v>
      </c>
    </row>
    <row r="4871" spans="1:49">
      <c r="A4871" s="1">
        <f>HYPERLINK("https://lsnyc.legalserver.org/matter/dynamic-profile/view/1913596","19-1913596")</f>
        <v>0</v>
      </c>
      <c r="B4871" t="s">
        <v>291</v>
      </c>
      <c r="C4871" t="s">
        <v>477</v>
      </c>
      <c r="D4871" t="s">
        <v>592</v>
      </c>
      <c r="E4871" t="s">
        <v>2343</v>
      </c>
      <c r="F4871" t="s">
        <v>5191</v>
      </c>
      <c r="G4871" t="s">
        <v>10002</v>
      </c>
      <c r="I4871" t="s">
        <v>11395</v>
      </c>
      <c r="J4871">
        <v>11373</v>
      </c>
      <c r="K4871" t="s">
        <v>11446</v>
      </c>
      <c r="L4871" t="s">
        <v>14360</v>
      </c>
      <c r="M4871" t="s">
        <v>14743</v>
      </c>
      <c r="N4871" t="s">
        <v>14778</v>
      </c>
      <c r="O4871" t="s">
        <v>14786</v>
      </c>
      <c r="P4871" t="s">
        <v>14807</v>
      </c>
      <c r="Q4871" t="s">
        <v>11448</v>
      </c>
      <c r="S4871" t="s">
        <v>14827</v>
      </c>
      <c r="U4871" t="s">
        <v>477</v>
      </c>
      <c r="V4871">
        <v>1900</v>
      </c>
      <c r="W4871" t="s">
        <v>14861</v>
      </c>
      <c r="X4871" t="s">
        <v>14863</v>
      </c>
      <c r="Y4871" t="s">
        <v>14883</v>
      </c>
      <c r="Z4871" t="s">
        <v>18893</v>
      </c>
      <c r="AB4871" t="s">
        <v>19344</v>
      </c>
      <c r="AC4871">
        <v>3</v>
      </c>
      <c r="AD4871" t="s">
        <v>11479</v>
      </c>
      <c r="AE4871" t="s">
        <v>11459</v>
      </c>
      <c r="AF4871">
        <v>2</v>
      </c>
      <c r="AG4871">
        <v>2</v>
      </c>
      <c r="AH4871">
        <v>0</v>
      </c>
      <c r="AI4871">
        <v>175.99</v>
      </c>
      <c r="AL4871" t="s">
        <v>5011</v>
      </c>
      <c r="AM4871">
        <v>29760</v>
      </c>
      <c r="AS4871">
        <v>0.77</v>
      </c>
      <c r="AT4871" t="s">
        <v>476</v>
      </c>
      <c r="AU4871" t="s">
        <v>292</v>
      </c>
      <c r="AV4871" t="s">
        <v>25335</v>
      </c>
      <c r="AW4871" t="s">
        <v>11447</v>
      </c>
    </row>
    <row r="4872" spans="1:49">
      <c r="A4872" s="1">
        <f>HYPERLINK("https://lsnyc.legalserver.org/matter/dynamic-profile/view/1903850","19-1903850")</f>
        <v>0</v>
      </c>
      <c r="B4872" t="s">
        <v>147</v>
      </c>
      <c r="C4872" t="s">
        <v>378</v>
      </c>
      <c r="E4872" t="s">
        <v>2113</v>
      </c>
      <c r="F4872" t="s">
        <v>5319</v>
      </c>
      <c r="G4872" t="s">
        <v>8676</v>
      </c>
      <c r="H4872" t="s">
        <v>10638</v>
      </c>
      <c r="I4872" t="s">
        <v>11388</v>
      </c>
      <c r="J4872">
        <v>11385</v>
      </c>
      <c r="K4872" t="s">
        <v>11446</v>
      </c>
      <c r="L4872" t="s">
        <v>12883</v>
      </c>
      <c r="M4872" t="s">
        <v>14744</v>
      </c>
      <c r="N4872" t="s">
        <v>14781</v>
      </c>
      <c r="P4872" t="s">
        <v>14807</v>
      </c>
      <c r="Q4872" t="s">
        <v>11448</v>
      </c>
      <c r="R4872" t="s">
        <v>14807</v>
      </c>
      <c r="S4872" t="s">
        <v>14827</v>
      </c>
      <c r="T4872" t="s">
        <v>14837</v>
      </c>
      <c r="U4872" t="s">
        <v>378</v>
      </c>
      <c r="V4872">
        <v>1044</v>
      </c>
      <c r="W4872" t="s">
        <v>14861</v>
      </c>
      <c r="X4872" t="s">
        <v>14865</v>
      </c>
      <c r="Z4872" t="s">
        <v>17602</v>
      </c>
      <c r="AB4872" t="s">
        <v>22677</v>
      </c>
      <c r="AC4872">
        <v>6</v>
      </c>
      <c r="AD4872" t="s">
        <v>11479</v>
      </c>
      <c r="AE4872" t="s">
        <v>11459</v>
      </c>
      <c r="AF4872">
        <v>23</v>
      </c>
      <c r="AG4872">
        <v>1</v>
      </c>
      <c r="AH4872">
        <v>0</v>
      </c>
      <c r="AI4872">
        <v>0</v>
      </c>
      <c r="AL4872" t="s">
        <v>24632</v>
      </c>
      <c r="AM4872">
        <v>0</v>
      </c>
      <c r="AO4872" t="s">
        <v>24931</v>
      </c>
      <c r="AP4872" t="s">
        <v>24943</v>
      </c>
      <c r="AQ4872" t="s">
        <v>24986</v>
      </c>
      <c r="AR4872" t="s">
        <v>25071</v>
      </c>
      <c r="AS4872">
        <v>25.9</v>
      </c>
      <c r="AT4872" t="s">
        <v>551</v>
      </c>
      <c r="AU4872" t="s">
        <v>292</v>
      </c>
      <c r="AV4872" t="s">
        <v>25335</v>
      </c>
      <c r="AW4872" t="s">
        <v>11447</v>
      </c>
    </row>
    <row r="4873" spans="1:49">
      <c r="A4873" s="1">
        <f>HYPERLINK("https://lsnyc.legalserver.org/matter/dynamic-profile/view/1903922","19-1903922")</f>
        <v>0</v>
      </c>
      <c r="B4873" t="s">
        <v>248</v>
      </c>
      <c r="C4873" t="s">
        <v>378</v>
      </c>
      <c r="E4873" t="s">
        <v>3346</v>
      </c>
      <c r="F4873" t="s">
        <v>6006</v>
      </c>
      <c r="G4873" t="s">
        <v>10003</v>
      </c>
      <c r="H4873" t="s">
        <v>11307</v>
      </c>
      <c r="I4873" t="s">
        <v>11395</v>
      </c>
      <c r="J4873">
        <v>11373</v>
      </c>
      <c r="K4873" t="s">
        <v>11446</v>
      </c>
      <c r="L4873" t="s">
        <v>14361</v>
      </c>
      <c r="M4873" t="s">
        <v>14743</v>
      </c>
      <c r="N4873" t="s">
        <v>14781</v>
      </c>
      <c r="P4873" t="s">
        <v>14807</v>
      </c>
      <c r="Q4873" t="s">
        <v>11448</v>
      </c>
      <c r="S4873" t="s">
        <v>14827</v>
      </c>
      <c r="T4873" t="s">
        <v>14832</v>
      </c>
      <c r="U4873" t="s">
        <v>378</v>
      </c>
      <c r="V4873">
        <v>1277</v>
      </c>
      <c r="W4873" t="s">
        <v>14861</v>
      </c>
      <c r="X4873" t="s">
        <v>14865</v>
      </c>
      <c r="Z4873" t="s">
        <v>18894</v>
      </c>
      <c r="AB4873" t="s">
        <v>24102</v>
      </c>
      <c r="AC4873">
        <v>39</v>
      </c>
      <c r="AD4873" t="s">
        <v>24595</v>
      </c>
      <c r="AE4873" t="s">
        <v>11459</v>
      </c>
      <c r="AF4873">
        <v>11</v>
      </c>
      <c r="AG4873">
        <v>2</v>
      </c>
      <c r="AH4873">
        <v>0</v>
      </c>
      <c r="AI4873">
        <v>153.76</v>
      </c>
      <c r="AL4873" t="s">
        <v>24643</v>
      </c>
      <c r="AM4873">
        <v>26000</v>
      </c>
      <c r="AS4873">
        <v>23.15</v>
      </c>
      <c r="AT4873" t="s">
        <v>516</v>
      </c>
      <c r="AU4873" t="s">
        <v>83</v>
      </c>
      <c r="AV4873" t="s">
        <v>25335</v>
      </c>
      <c r="AW4873" t="s">
        <v>11447</v>
      </c>
    </row>
    <row r="4874" spans="1:49">
      <c r="A4874" s="1">
        <f>HYPERLINK("https://lsnyc.legalserver.org/matter/dynamic-profile/view/1904117","19-1904117")</f>
        <v>0</v>
      </c>
      <c r="B4874" t="s">
        <v>138</v>
      </c>
      <c r="C4874" t="s">
        <v>621</v>
      </c>
      <c r="E4874" t="s">
        <v>2124</v>
      </c>
      <c r="F4874" t="s">
        <v>4669</v>
      </c>
      <c r="G4874" t="s">
        <v>7702</v>
      </c>
      <c r="H4874">
        <v>2</v>
      </c>
      <c r="I4874" t="s">
        <v>11400</v>
      </c>
      <c r="J4874">
        <v>11385</v>
      </c>
      <c r="K4874" t="s">
        <v>11446</v>
      </c>
      <c r="L4874" t="s">
        <v>14362</v>
      </c>
      <c r="M4874" t="s">
        <v>14744</v>
      </c>
      <c r="N4874" t="s">
        <v>14781</v>
      </c>
      <c r="P4874" t="s">
        <v>14807</v>
      </c>
      <c r="Q4874" t="s">
        <v>11448</v>
      </c>
      <c r="S4874" t="s">
        <v>14827</v>
      </c>
      <c r="T4874" t="s">
        <v>14832</v>
      </c>
      <c r="U4874" t="s">
        <v>621</v>
      </c>
      <c r="V4874">
        <v>1450</v>
      </c>
      <c r="W4874" t="s">
        <v>14861</v>
      </c>
      <c r="X4874" t="s">
        <v>14865</v>
      </c>
      <c r="Z4874" t="s">
        <v>16584</v>
      </c>
      <c r="AB4874" t="s">
        <v>21624</v>
      </c>
      <c r="AC4874">
        <v>2</v>
      </c>
      <c r="AD4874" t="s">
        <v>11479</v>
      </c>
      <c r="AE4874" t="s">
        <v>11459</v>
      </c>
      <c r="AF4874">
        <v>3</v>
      </c>
      <c r="AG4874">
        <v>2</v>
      </c>
      <c r="AH4874">
        <v>2</v>
      </c>
      <c r="AI4874">
        <v>74.56</v>
      </c>
      <c r="AL4874" t="s">
        <v>5011</v>
      </c>
      <c r="AM4874">
        <v>19200</v>
      </c>
      <c r="AO4874" t="s">
        <v>24937</v>
      </c>
      <c r="AP4874" t="s">
        <v>24942</v>
      </c>
      <c r="AQ4874" t="s">
        <v>24986</v>
      </c>
      <c r="AR4874" t="s">
        <v>25076</v>
      </c>
      <c r="AS4874">
        <v>14.95</v>
      </c>
      <c r="AT4874" t="s">
        <v>488</v>
      </c>
      <c r="AU4874" t="s">
        <v>138</v>
      </c>
      <c r="AV4874" t="s">
        <v>25335</v>
      </c>
      <c r="AW4874" t="s">
        <v>11447</v>
      </c>
    </row>
    <row r="4875" spans="1:49">
      <c r="A4875" s="1">
        <f>HYPERLINK("https://lsnyc.legalserver.org/matter/dynamic-profile/view/1903622","19-1903622")</f>
        <v>0</v>
      </c>
      <c r="B4875" t="s">
        <v>204</v>
      </c>
      <c r="C4875" t="s">
        <v>522</v>
      </c>
      <c r="E4875" t="s">
        <v>1056</v>
      </c>
      <c r="F4875" t="s">
        <v>4817</v>
      </c>
      <c r="G4875" t="s">
        <v>10004</v>
      </c>
      <c r="H4875" t="s">
        <v>10486</v>
      </c>
      <c r="I4875" t="s">
        <v>11387</v>
      </c>
      <c r="J4875">
        <v>11433</v>
      </c>
      <c r="K4875" t="s">
        <v>11446</v>
      </c>
      <c r="L4875" t="s">
        <v>14363</v>
      </c>
      <c r="M4875" t="s">
        <v>14743</v>
      </c>
      <c r="N4875" t="s">
        <v>14781</v>
      </c>
      <c r="P4875" t="s">
        <v>14807</v>
      </c>
      <c r="Q4875" t="s">
        <v>11446</v>
      </c>
      <c r="S4875" t="s">
        <v>14827</v>
      </c>
      <c r="T4875" t="s">
        <v>14834</v>
      </c>
      <c r="U4875" t="s">
        <v>338</v>
      </c>
      <c r="V4875">
        <v>500</v>
      </c>
      <c r="W4875" t="s">
        <v>14861</v>
      </c>
      <c r="X4875" t="s">
        <v>14863</v>
      </c>
      <c r="Z4875" t="s">
        <v>15377</v>
      </c>
      <c r="AA4875" t="s">
        <v>11459</v>
      </c>
      <c r="AB4875" t="s">
        <v>24103</v>
      </c>
      <c r="AC4875">
        <v>3</v>
      </c>
      <c r="AD4875" t="s">
        <v>24600</v>
      </c>
      <c r="AE4875" t="s">
        <v>11459</v>
      </c>
      <c r="AF4875">
        <v>3</v>
      </c>
      <c r="AG4875">
        <v>1</v>
      </c>
      <c r="AH4875">
        <v>0</v>
      </c>
      <c r="AI4875">
        <v>0</v>
      </c>
      <c r="AL4875" t="s">
        <v>5011</v>
      </c>
      <c r="AM4875">
        <v>0</v>
      </c>
      <c r="AS4875">
        <v>23.6</v>
      </c>
      <c r="AT4875" t="s">
        <v>521</v>
      </c>
      <c r="AU4875" t="s">
        <v>25233</v>
      </c>
      <c r="AV4875" t="s">
        <v>25335</v>
      </c>
      <c r="AW4875" t="s">
        <v>11447</v>
      </c>
    </row>
    <row r="4876" spans="1:49">
      <c r="A4876" s="1">
        <f>HYPERLINK("https://lsnyc.legalserver.org/matter/dynamic-profile/view/1903463","19-1903463")</f>
        <v>0</v>
      </c>
      <c r="B4876" t="s">
        <v>204</v>
      </c>
      <c r="C4876" t="s">
        <v>608</v>
      </c>
      <c r="E4876" t="s">
        <v>1135</v>
      </c>
      <c r="F4876" t="s">
        <v>4505</v>
      </c>
      <c r="G4876" t="s">
        <v>10005</v>
      </c>
      <c r="H4876" t="s">
        <v>10641</v>
      </c>
      <c r="I4876" t="s">
        <v>11388</v>
      </c>
      <c r="J4876">
        <v>11385</v>
      </c>
      <c r="K4876" t="s">
        <v>11446</v>
      </c>
      <c r="L4876" t="s">
        <v>14364</v>
      </c>
      <c r="M4876" t="s">
        <v>14744</v>
      </c>
      <c r="N4876" t="s">
        <v>14781</v>
      </c>
      <c r="P4876" t="s">
        <v>14807</v>
      </c>
      <c r="Q4876" t="s">
        <v>11448</v>
      </c>
      <c r="S4876" t="s">
        <v>14827</v>
      </c>
      <c r="T4876" t="s">
        <v>14837</v>
      </c>
      <c r="U4876" t="s">
        <v>607</v>
      </c>
      <c r="V4876">
        <v>1123.4</v>
      </c>
      <c r="W4876" t="s">
        <v>14861</v>
      </c>
      <c r="X4876" t="s">
        <v>14863</v>
      </c>
      <c r="Z4876" t="s">
        <v>18895</v>
      </c>
      <c r="AA4876" t="s">
        <v>11459</v>
      </c>
      <c r="AB4876" t="s">
        <v>24104</v>
      </c>
      <c r="AC4876">
        <v>6</v>
      </c>
      <c r="AD4876" t="s">
        <v>24595</v>
      </c>
      <c r="AE4876" t="s">
        <v>11459</v>
      </c>
      <c r="AF4876">
        <v>27</v>
      </c>
      <c r="AG4876">
        <v>1</v>
      </c>
      <c r="AH4876">
        <v>0</v>
      </c>
      <c r="AI4876">
        <v>116.16</v>
      </c>
      <c r="AL4876" t="s">
        <v>5011</v>
      </c>
      <c r="AM4876">
        <v>14508</v>
      </c>
      <c r="AS4876">
        <v>77.09999999999999</v>
      </c>
      <c r="AT4876" t="s">
        <v>495</v>
      </c>
      <c r="AU4876" t="s">
        <v>25238</v>
      </c>
      <c r="AV4876" t="s">
        <v>25335</v>
      </c>
      <c r="AW4876" t="s">
        <v>11447</v>
      </c>
    </row>
    <row r="4877" spans="1:49">
      <c r="A4877" s="1">
        <f>HYPERLINK("https://lsnyc.legalserver.org/matter/dynamic-profile/view/1902519","19-1902519")</f>
        <v>0</v>
      </c>
      <c r="B4877" t="s">
        <v>248</v>
      </c>
      <c r="C4877" t="s">
        <v>517</v>
      </c>
      <c r="E4877" t="s">
        <v>1242</v>
      </c>
      <c r="F4877" t="s">
        <v>4112</v>
      </c>
      <c r="G4877" t="s">
        <v>10006</v>
      </c>
      <c r="I4877" t="s">
        <v>11387</v>
      </c>
      <c r="J4877">
        <v>11434</v>
      </c>
      <c r="K4877" t="s">
        <v>11446</v>
      </c>
      <c r="L4877" t="s">
        <v>14365</v>
      </c>
      <c r="M4877" t="s">
        <v>14743</v>
      </c>
      <c r="N4877" t="s">
        <v>14781</v>
      </c>
      <c r="P4877" t="s">
        <v>14807</v>
      </c>
      <c r="Q4877" t="s">
        <v>11448</v>
      </c>
      <c r="S4877" t="s">
        <v>14827</v>
      </c>
      <c r="T4877" t="s">
        <v>14832</v>
      </c>
      <c r="U4877" t="s">
        <v>493</v>
      </c>
      <c r="V4877">
        <v>0</v>
      </c>
      <c r="W4877" t="s">
        <v>14861</v>
      </c>
      <c r="X4877" t="s">
        <v>14869</v>
      </c>
      <c r="Z4877" t="s">
        <v>18896</v>
      </c>
      <c r="AB4877" t="s">
        <v>24105</v>
      </c>
      <c r="AC4877">
        <v>2</v>
      </c>
      <c r="AF4877">
        <v>11</v>
      </c>
      <c r="AG4877">
        <v>3</v>
      </c>
      <c r="AH4877">
        <v>0</v>
      </c>
      <c r="AI4877">
        <v>298.17</v>
      </c>
      <c r="AL4877" t="s">
        <v>5011</v>
      </c>
      <c r="AM4877">
        <v>63600</v>
      </c>
      <c r="AN4877" t="s">
        <v>24920</v>
      </c>
      <c r="AS4877">
        <v>21.65</v>
      </c>
      <c r="AT4877" t="s">
        <v>460</v>
      </c>
      <c r="AU4877" t="s">
        <v>25225</v>
      </c>
      <c r="AV4877" t="s">
        <v>11459</v>
      </c>
      <c r="AW4877" t="s">
        <v>11447</v>
      </c>
    </row>
    <row r="4878" spans="1:49">
      <c r="A4878" s="1">
        <f>HYPERLINK("https://lsnyc.legalserver.org/matter/dynamic-profile/view/1904674","19-1904674")</f>
        <v>0</v>
      </c>
      <c r="B4878" t="s">
        <v>138</v>
      </c>
      <c r="C4878" t="s">
        <v>365</v>
      </c>
      <c r="E4878" t="s">
        <v>3347</v>
      </c>
      <c r="F4878" t="s">
        <v>4890</v>
      </c>
      <c r="G4878" t="s">
        <v>10007</v>
      </c>
      <c r="I4878" t="s">
        <v>11387</v>
      </c>
      <c r="J4878">
        <v>11434</v>
      </c>
      <c r="K4878" t="s">
        <v>11446</v>
      </c>
      <c r="L4878" t="s">
        <v>14366</v>
      </c>
      <c r="M4878" t="s">
        <v>14743</v>
      </c>
      <c r="N4878" t="s">
        <v>14781</v>
      </c>
      <c r="P4878" t="s">
        <v>14807</v>
      </c>
      <c r="Q4878" t="s">
        <v>11448</v>
      </c>
      <c r="S4878" t="s">
        <v>14827</v>
      </c>
      <c r="T4878" t="s">
        <v>14832</v>
      </c>
      <c r="U4878" t="s">
        <v>365</v>
      </c>
      <c r="V4878">
        <v>0</v>
      </c>
      <c r="W4878" t="s">
        <v>14861</v>
      </c>
      <c r="X4878" t="s">
        <v>14868</v>
      </c>
      <c r="Z4878" t="s">
        <v>18897</v>
      </c>
      <c r="AB4878" t="s">
        <v>24106</v>
      </c>
      <c r="AC4878">
        <v>3</v>
      </c>
      <c r="AD4878" t="s">
        <v>24600</v>
      </c>
      <c r="AE4878" t="s">
        <v>11459</v>
      </c>
      <c r="AF4878">
        <v>29</v>
      </c>
      <c r="AG4878">
        <v>8</v>
      </c>
      <c r="AH4878">
        <v>0</v>
      </c>
      <c r="AI4878">
        <v>232.1</v>
      </c>
      <c r="AJ4878" t="s">
        <v>618</v>
      </c>
      <c r="AK4878" t="s">
        <v>24629</v>
      </c>
      <c r="AL4878" t="s">
        <v>5011</v>
      </c>
      <c r="AM4878">
        <v>100800</v>
      </c>
      <c r="AO4878" t="s">
        <v>24937</v>
      </c>
      <c r="AP4878" t="s">
        <v>24942</v>
      </c>
      <c r="AQ4878" t="s">
        <v>24986</v>
      </c>
      <c r="AR4878" t="s">
        <v>25028</v>
      </c>
      <c r="AS4878">
        <v>3.43</v>
      </c>
      <c r="AT4878" t="s">
        <v>368</v>
      </c>
      <c r="AU4878" t="s">
        <v>292</v>
      </c>
      <c r="AV4878" t="s">
        <v>25335</v>
      </c>
      <c r="AW4878" t="s">
        <v>11447</v>
      </c>
    </row>
    <row r="4879" spans="1:49">
      <c r="A4879" s="1">
        <f>HYPERLINK("https://lsnyc.legalserver.org/matter/dynamic-profile/view/1904967","19-1904967")</f>
        <v>0</v>
      </c>
      <c r="B4879" t="s">
        <v>179</v>
      </c>
      <c r="C4879" t="s">
        <v>593</v>
      </c>
      <c r="E4879" t="s">
        <v>3348</v>
      </c>
      <c r="F4879" t="s">
        <v>4103</v>
      </c>
      <c r="G4879" t="s">
        <v>10008</v>
      </c>
      <c r="H4879" t="s">
        <v>11308</v>
      </c>
      <c r="I4879" t="s">
        <v>11387</v>
      </c>
      <c r="J4879">
        <v>11434</v>
      </c>
      <c r="K4879" t="s">
        <v>11446</v>
      </c>
      <c r="L4879" t="s">
        <v>14367</v>
      </c>
      <c r="M4879" t="s">
        <v>14744</v>
      </c>
      <c r="N4879" t="s">
        <v>14781</v>
      </c>
      <c r="P4879" t="s">
        <v>14807</v>
      </c>
      <c r="Q4879" t="s">
        <v>11448</v>
      </c>
      <c r="S4879" t="s">
        <v>14827</v>
      </c>
      <c r="T4879" t="s">
        <v>14832</v>
      </c>
      <c r="U4879" t="s">
        <v>345</v>
      </c>
      <c r="V4879">
        <v>1466.85</v>
      </c>
      <c r="W4879" t="s">
        <v>14861</v>
      </c>
      <c r="X4879" t="s">
        <v>14865</v>
      </c>
      <c r="Z4879" t="s">
        <v>18898</v>
      </c>
      <c r="AB4879" t="s">
        <v>24107</v>
      </c>
      <c r="AC4879">
        <v>273</v>
      </c>
      <c r="AD4879" t="s">
        <v>24601</v>
      </c>
      <c r="AE4879" t="s">
        <v>11459</v>
      </c>
      <c r="AF4879">
        <v>37</v>
      </c>
      <c r="AG4879">
        <v>1</v>
      </c>
      <c r="AH4879">
        <v>0</v>
      </c>
      <c r="AI4879">
        <v>192.15</v>
      </c>
      <c r="AL4879" t="s">
        <v>5011</v>
      </c>
      <c r="AM4879">
        <v>24000</v>
      </c>
      <c r="AS4879">
        <v>27.7</v>
      </c>
      <c r="AT4879" t="s">
        <v>476</v>
      </c>
      <c r="AU4879" t="s">
        <v>225</v>
      </c>
      <c r="AW4879" t="s">
        <v>11447</v>
      </c>
    </row>
    <row r="4880" spans="1:49">
      <c r="A4880" s="1">
        <f>HYPERLINK("https://lsnyc.legalserver.org/matter/dynamic-profile/view/1904999","19-1904999")</f>
        <v>0</v>
      </c>
      <c r="B4880" t="s">
        <v>122</v>
      </c>
      <c r="C4880" t="s">
        <v>593</v>
      </c>
      <c r="E4880" t="s">
        <v>3349</v>
      </c>
      <c r="F4880" t="s">
        <v>6007</v>
      </c>
      <c r="G4880" t="s">
        <v>10009</v>
      </c>
      <c r="H4880" t="s">
        <v>10648</v>
      </c>
      <c r="I4880" t="s">
        <v>11388</v>
      </c>
      <c r="J4880">
        <v>11385</v>
      </c>
      <c r="K4880" t="s">
        <v>11446</v>
      </c>
      <c r="L4880" t="s">
        <v>14368</v>
      </c>
      <c r="M4880" t="s">
        <v>14743</v>
      </c>
      <c r="N4880" t="s">
        <v>14781</v>
      </c>
      <c r="P4880" t="s">
        <v>14807</v>
      </c>
      <c r="Q4880" t="s">
        <v>11448</v>
      </c>
      <c r="S4880" t="s">
        <v>14827</v>
      </c>
      <c r="T4880" t="s">
        <v>14832</v>
      </c>
      <c r="U4880" t="s">
        <v>593</v>
      </c>
      <c r="V4880">
        <v>700</v>
      </c>
      <c r="W4880" t="s">
        <v>14861</v>
      </c>
      <c r="X4880" t="s">
        <v>14865</v>
      </c>
      <c r="Z4880" t="s">
        <v>18899</v>
      </c>
      <c r="AA4880" t="s">
        <v>11459</v>
      </c>
      <c r="AB4880" t="s">
        <v>24108</v>
      </c>
      <c r="AC4880">
        <v>3</v>
      </c>
      <c r="AD4880" t="s">
        <v>24600</v>
      </c>
      <c r="AE4880" t="s">
        <v>11459</v>
      </c>
      <c r="AF4880">
        <v>2</v>
      </c>
      <c r="AG4880">
        <v>1</v>
      </c>
      <c r="AH4880">
        <v>0</v>
      </c>
      <c r="AI4880">
        <v>80.06</v>
      </c>
      <c r="AL4880" t="s">
        <v>5011</v>
      </c>
      <c r="AM4880">
        <v>10000</v>
      </c>
      <c r="AO4880" t="s">
        <v>24932</v>
      </c>
      <c r="AP4880" t="s">
        <v>14755</v>
      </c>
      <c r="AQ4880" t="s">
        <v>24987</v>
      </c>
      <c r="AR4880" t="s">
        <v>25014</v>
      </c>
      <c r="AS4880">
        <v>29.9</v>
      </c>
      <c r="AT4880" t="s">
        <v>491</v>
      </c>
      <c r="AU4880" t="s">
        <v>25233</v>
      </c>
      <c r="AV4880" t="s">
        <v>25335</v>
      </c>
      <c r="AW4880" t="s">
        <v>11447</v>
      </c>
    </row>
    <row r="4881" spans="1:49">
      <c r="A4881" s="1">
        <f>HYPERLINK("https://lsnyc.legalserver.org/matter/dynamic-profile/view/1905107","19-1905107")</f>
        <v>0</v>
      </c>
      <c r="B4881" t="s">
        <v>271</v>
      </c>
      <c r="C4881" t="s">
        <v>456</v>
      </c>
      <c r="E4881" t="s">
        <v>2133</v>
      </c>
      <c r="F4881" t="s">
        <v>6008</v>
      </c>
      <c r="G4881" t="s">
        <v>10010</v>
      </c>
      <c r="H4881" t="s">
        <v>10513</v>
      </c>
      <c r="I4881" t="s">
        <v>11400</v>
      </c>
      <c r="J4881">
        <v>11385</v>
      </c>
      <c r="K4881" t="s">
        <v>11446</v>
      </c>
      <c r="L4881" t="s">
        <v>14369</v>
      </c>
      <c r="M4881" t="s">
        <v>14744</v>
      </c>
      <c r="N4881" t="s">
        <v>14781</v>
      </c>
      <c r="P4881" t="s">
        <v>14807</v>
      </c>
      <c r="Q4881" t="s">
        <v>11446</v>
      </c>
      <c r="S4881" t="s">
        <v>14827</v>
      </c>
      <c r="T4881" t="s">
        <v>14832</v>
      </c>
      <c r="U4881" t="s">
        <v>456</v>
      </c>
      <c r="V4881">
        <v>1365</v>
      </c>
      <c r="W4881" t="s">
        <v>14861</v>
      </c>
      <c r="X4881" t="s">
        <v>14863</v>
      </c>
      <c r="Z4881" t="s">
        <v>18900</v>
      </c>
      <c r="AC4881">
        <v>6</v>
      </c>
      <c r="AD4881" t="s">
        <v>24595</v>
      </c>
      <c r="AE4881" t="s">
        <v>24613</v>
      </c>
      <c r="AF4881">
        <v>10</v>
      </c>
      <c r="AG4881">
        <v>1</v>
      </c>
      <c r="AH4881">
        <v>0</v>
      </c>
      <c r="AI4881">
        <v>0</v>
      </c>
      <c r="AL4881" t="s">
        <v>5011</v>
      </c>
      <c r="AM4881">
        <v>0</v>
      </c>
      <c r="AS4881">
        <v>35.1</v>
      </c>
      <c r="AT4881" t="s">
        <v>475</v>
      </c>
      <c r="AU4881" t="s">
        <v>25233</v>
      </c>
      <c r="AV4881" t="s">
        <v>25335</v>
      </c>
      <c r="AW4881" t="s">
        <v>11447</v>
      </c>
    </row>
    <row r="4882" spans="1:49">
      <c r="A4882" s="1">
        <f>HYPERLINK("https://lsnyc.legalserver.org/matter/dynamic-profile/view/1905090","19-1905090")</f>
        <v>0</v>
      </c>
      <c r="B4882" t="s">
        <v>293</v>
      </c>
      <c r="C4882" t="s">
        <v>456</v>
      </c>
      <c r="E4882" t="s">
        <v>2871</v>
      </c>
      <c r="F4882" t="s">
        <v>6009</v>
      </c>
      <c r="G4882" t="s">
        <v>10011</v>
      </c>
      <c r="H4882" t="s">
        <v>10610</v>
      </c>
      <c r="I4882" t="s">
        <v>11387</v>
      </c>
      <c r="J4882">
        <v>11434</v>
      </c>
      <c r="K4882" t="s">
        <v>11446</v>
      </c>
      <c r="L4882" t="s">
        <v>14370</v>
      </c>
      <c r="M4882" t="s">
        <v>14743</v>
      </c>
      <c r="N4882" t="s">
        <v>14781</v>
      </c>
      <c r="P4882" t="s">
        <v>14807</v>
      </c>
      <c r="Q4882" t="s">
        <v>11448</v>
      </c>
      <c r="S4882" t="s">
        <v>14827</v>
      </c>
      <c r="T4882" t="s">
        <v>14832</v>
      </c>
      <c r="U4882" t="s">
        <v>456</v>
      </c>
      <c r="V4882">
        <v>950</v>
      </c>
      <c r="W4882" t="s">
        <v>14861</v>
      </c>
      <c r="X4882" t="s">
        <v>14863</v>
      </c>
      <c r="Z4882" t="s">
        <v>18901</v>
      </c>
      <c r="AB4882" t="s">
        <v>24109</v>
      </c>
      <c r="AC4882">
        <v>3</v>
      </c>
      <c r="AD4882" t="s">
        <v>24600</v>
      </c>
      <c r="AE4882" t="s">
        <v>11459</v>
      </c>
      <c r="AF4882">
        <v>3</v>
      </c>
      <c r="AG4882">
        <v>2</v>
      </c>
      <c r="AH4882">
        <v>2</v>
      </c>
      <c r="AI4882">
        <v>128.16</v>
      </c>
      <c r="AL4882" t="s">
        <v>5011</v>
      </c>
      <c r="AM4882">
        <v>33000</v>
      </c>
      <c r="AS4882">
        <v>13.2</v>
      </c>
      <c r="AT4882" t="s">
        <v>580</v>
      </c>
      <c r="AU4882" t="s">
        <v>292</v>
      </c>
      <c r="AV4882" t="s">
        <v>25335</v>
      </c>
      <c r="AW4882" t="s">
        <v>11447</v>
      </c>
    </row>
    <row r="4883" spans="1:49">
      <c r="A4883" s="1">
        <f>HYPERLINK("https://lsnyc.legalserver.org/matter/dynamic-profile/view/1905292","19-1905292")</f>
        <v>0</v>
      </c>
      <c r="B4883" t="s">
        <v>138</v>
      </c>
      <c r="C4883" t="s">
        <v>520</v>
      </c>
      <c r="E4883" t="s">
        <v>1334</v>
      </c>
      <c r="F4883" t="s">
        <v>3577</v>
      </c>
      <c r="G4883" t="s">
        <v>10012</v>
      </c>
      <c r="H4883" t="s">
        <v>10705</v>
      </c>
      <c r="I4883" t="s">
        <v>11387</v>
      </c>
      <c r="J4883">
        <v>11433</v>
      </c>
      <c r="K4883" t="s">
        <v>11446</v>
      </c>
      <c r="L4883" t="s">
        <v>14371</v>
      </c>
      <c r="M4883" t="s">
        <v>14743</v>
      </c>
      <c r="N4883" t="s">
        <v>14781</v>
      </c>
      <c r="P4883" t="s">
        <v>14807</v>
      </c>
      <c r="Q4883" t="s">
        <v>11448</v>
      </c>
      <c r="S4883" t="s">
        <v>14827</v>
      </c>
      <c r="T4883" t="s">
        <v>14832</v>
      </c>
      <c r="U4883" t="s">
        <v>520</v>
      </c>
      <c r="V4883">
        <v>1700</v>
      </c>
      <c r="W4883" t="s">
        <v>14861</v>
      </c>
      <c r="X4883" t="s">
        <v>14863</v>
      </c>
      <c r="Z4883" t="s">
        <v>18902</v>
      </c>
      <c r="AB4883" t="s">
        <v>24110</v>
      </c>
      <c r="AC4883">
        <v>2</v>
      </c>
      <c r="AD4883" t="s">
        <v>11479</v>
      </c>
      <c r="AE4883" t="s">
        <v>11459</v>
      </c>
      <c r="AF4883">
        <v>2</v>
      </c>
      <c r="AG4883">
        <v>1</v>
      </c>
      <c r="AH4883">
        <v>3</v>
      </c>
      <c r="AI4883">
        <v>45.44</v>
      </c>
      <c r="AL4883" t="s">
        <v>24632</v>
      </c>
      <c r="AM4883">
        <v>11700</v>
      </c>
      <c r="AS4883">
        <v>11.98</v>
      </c>
      <c r="AT4883" t="s">
        <v>473</v>
      </c>
      <c r="AU4883" t="s">
        <v>292</v>
      </c>
      <c r="AV4883" t="s">
        <v>25335</v>
      </c>
      <c r="AW4883" t="s">
        <v>11447</v>
      </c>
    </row>
    <row r="4884" spans="1:49">
      <c r="A4884" s="1">
        <f>HYPERLINK("https://lsnyc.legalserver.org/matter/dynamic-profile/view/1905431","19-1905431")</f>
        <v>0</v>
      </c>
      <c r="B4884" t="s">
        <v>147</v>
      </c>
      <c r="C4884" t="s">
        <v>520</v>
      </c>
      <c r="E4884" t="s">
        <v>3350</v>
      </c>
      <c r="F4884" t="s">
        <v>3769</v>
      </c>
      <c r="G4884" t="s">
        <v>10013</v>
      </c>
      <c r="H4884" t="s">
        <v>10744</v>
      </c>
      <c r="I4884" t="s">
        <v>11388</v>
      </c>
      <c r="J4884">
        <v>11385</v>
      </c>
      <c r="K4884" t="s">
        <v>11446</v>
      </c>
      <c r="L4884" t="s">
        <v>14372</v>
      </c>
      <c r="M4884" t="s">
        <v>14743</v>
      </c>
      <c r="N4884" t="s">
        <v>14781</v>
      </c>
      <c r="P4884" t="s">
        <v>14807</v>
      </c>
      <c r="Q4884" t="s">
        <v>11448</v>
      </c>
      <c r="S4884" t="s">
        <v>14827</v>
      </c>
      <c r="T4884" t="s">
        <v>14832</v>
      </c>
      <c r="U4884" t="s">
        <v>520</v>
      </c>
      <c r="V4884">
        <v>4000</v>
      </c>
      <c r="W4884" t="s">
        <v>14861</v>
      </c>
      <c r="X4884" t="s">
        <v>14863</v>
      </c>
      <c r="Z4884" t="s">
        <v>18903</v>
      </c>
      <c r="AB4884" t="s">
        <v>24111</v>
      </c>
      <c r="AC4884">
        <v>10</v>
      </c>
      <c r="AD4884" t="s">
        <v>11479</v>
      </c>
      <c r="AE4884" t="s">
        <v>11459</v>
      </c>
      <c r="AF4884">
        <v>1</v>
      </c>
      <c r="AG4884">
        <v>1</v>
      </c>
      <c r="AH4884">
        <v>0</v>
      </c>
      <c r="AI4884">
        <v>240.19</v>
      </c>
      <c r="AJ4884" t="s">
        <v>618</v>
      </c>
      <c r="AK4884" t="s">
        <v>24629</v>
      </c>
      <c r="AL4884" t="s">
        <v>5011</v>
      </c>
      <c r="AM4884">
        <v>30000</v>
      </c>
      <c r="AS4884">
        <v>17.47</v>
      </c>
      <c r="AT4884" t="s">
        <v>490</v>
      </c>
      <c r="AU4884" t="s">
        <v>292</v>
      </c>
      <c r="AV4884" t="s">
        <v>25335</v>
      </c>
      <c r="AW4884" t="s">
        <v>11447</v>
      </c>
    </row>
    <row r="4885" spans="1:49">
      <c r="A4885" s="1">
        <f>HYPERLINK("https://lsnyc.legalserver.org/matter/dynamic-profile/view/1903560","19-1903560")</f>
        <v>0</v>
      </c>
      <c r="B4885" t="s">
        <v>138</v>
      </c>
      <c r="C4885" t="s">
        <v>631</v>
      </c>
      <c r="E4885" t="s">
        <v>1462</v>
      </c>
      <c r="F4885" t="s">
        <v>6010</v>
      </c>
      <c r="G4885" t="s">
        <v>10014</v>
      </c>
      <c r="H4885" t="s">
        <v>10452</v>
      </c>
      <c r="I4885" t="s">
        <v>11387</v>
      </c>
      <c r="J4885">
        <v>11434</v>
      </c>
      <c r="K4885" t="s">
        <v>11446</v>
      </c>
      <c r="L4885" t="s">
        <v>14373</v>
      </c>
      <c r="M4885" t="s">
        <v>14744</v>
      </c>
      <c r="N4885" t="s">
        <v>14781</v>
      </c>
      <c r="P4885" t="s">
        <v>14807</v>
      </c>
      <c r="Q4885" t="s">
        <v>11448</v>
      </c>
      <c r="S4885" t="s">
        <v>14827</v>
      </c>
      <c r="T4885" t="s">
        <v>14832</v>
      </c>
      <c r="U4885" t="s">
        <v>496</v>
      </c>
      <c r="V4885">
        <v>741.6799999999999</v>
      </c>
      <c r="W4885" t="s">
        <v>14861</v>
      </c>
      <c r="X4885" t="s">
        <v>14863</v>
      </c>
      <c r="Z4885" t="s">
        <v>18904</v>
      </c>
      <c r="AB4885" t="s">
        <v>24112</v>
      </c>
      <c r="AC4885">
        <v>5860</v>
      </c>
      <c r="AD4885" t="s">
        <v>24601</v>
      </c>
      <c r="AE4885" t="s">
        <v>11459</v>
      </c>
      <c r="AF4885">
        <v>6</v>
      </c>
      <c r="AG4885">
        <v>1</v>
      </c>
      <c r="AH4885">
        <v>0</v>
      </c>
      <c r="AI4885">
        <v>115.29</v>
      </c>
      <c r="AL4885" t="s">
        <v>5011</v>
      </c>
      <c r="AM4885">
        <v>14400</v>
      </c>
      <c r="AO4885" t="s">
        <v>24937</v>
      </c>
      <c r="AP4885" t="s">
        <v>14755</v>
      </c>
      <c r="AQ4885" t="s">
        <v>24986</v>
      </c>
      <c r="AR4885" t="s">
        <v>25040</v>
      </c>
      <c r="AS4885">
        <v>5.96</v>
      </c>
      <c r="AT4885" t="s">
        <v>366</v>
      </c>
      <c r="AU4885" t="s">
        <v>99</v>
      </c>
      <c r="AV4885" t="s">
        <v>25335</v>
      </c>
      <c r="AW4885" t="s">
        <v>11447</v>
      </c>
    </row>
    <row r="4886" spans="1:49">
      <c r="A4886" s="1">
        <f>HYPERLINK("https://lsnyc.legalserver.org/matter/dynamic-profile/view/1905940","19-1905940")</f>
        <v>0</v>
      </c>
      <c r="B4886" t="s">
        <v>138</v>
      </c>
      <c r="C4886" t="s">
        <v>461</v>
      </c>
      <c r="E4886" t="s">
        <v>1554</v>
      </c>
      <c r="F4886" t="s">
        <v>5729</v>
      </c>
      <c r="G4886" t="s">
        <v>9995</v>
      </c>
      <c r="H4886" t="s">
        <v>10787</v>
      </c>
      <c r="I4886" t="s">
        <v>11387</v>
      </c>
      <c r="J4886">
        <v>11433</v>
      </c>
      <c r="K4886" t="s">
        <v>11446</v>
      </c>
      <c r="L4886" t="s">
        <v>14374</v>
      </c>
      <c r="M4886" t="s">
        <v>14744</v>
      </c>
      <c r="N4886" t="s">
        <v>14781</v>
      </c>
      <c r="P4886" t="s">
        <v>14807</v>
      </c>
      <c r="Q4886" t="s">
        <v>11448</v>
      </c>
      <c r="S4886" t="s">
        <v>14828</v>
      </c>
      <c r="T4886" t="s">
        <v>14837</v>
      </c>
      <c r="U4886" t="s">
        <v>461</v>
      </c>
      <c r="V4886">
        <v>245</v>
      </c>
      <c r="W4886" t="s">
        <v>14861</v>
      </c>
      <c r="X4886" t="s">
        <v>14868</v>
      </c>
      <c r="Z4886" t="s">
        <v>18905</v>
      </c>
      <c r="AB4886" t="s">
        <v>24113</v>
      </c>
      <c r="AC4886">
        <v>100</v>
      </c>
      <c r="AD4886" t="s">
        <v>24597</v>
      </c>
      <c r="AE4886" t="s">
        <v>11459</v>
      </c>
      <c r="AF4886">
        <v>2</v>
      </c>
      <c r="AG4886">
        <v>1</v>
      </c>
      <c r="AH4886">
        <v>1</v>
      </c>
      <c r="AI4886">
        <v>65.33</v>
      </c>
      <c r="AL4886" t="s">
        <v>5011</v>
      </c>
      <c r="AM4886">
        <v>11047.4</v>
      </c>
      <c r="AP4886" t="s">
        <v>24980</v>
      </c>
      <c r="AS4886">
        <v>13.3</v>
      </c>
      <c r="AT4886" t="s">
        <v>489</v>
      </c>
      <c r="AU4886" t="s">
        <v>292</v>
      </c>
      <c r="AV4886" t="s">
        <v>25335</v>
      </c>
      <c r="AW4886" t="s">
        <v>11447</v>
      </c>
    </row>
    <row r="4887" spans="1:49">
      <c r="A4887" s="1">
        <f>HYPERLINK("https://lsnyc.legalserver.org/matter/dynamic-profile/view/1903628","19-1903628")</f>
        <v>0</v>
      </c>
      <c r="B4887" t="s">
        <v>290</v>
      </c>
      <c r="C4887" t="s">
        <v>522</v>
      </c>
      <c r="E4887" t="s">
        <v>3132</v>
      </c>
      <c r="F4887" t="s">
        <v>1706</v>
      </c>
      <c r="G4887" t="s">
        <v>10015</v>
      </c>
      <c r="I4887" t="s">
        <v>11387</v>
      </c>
      <c r="J4887">
        <v>11433</v>
      </c>
      <c r="K4887" t="s">
        <v>11446</v>
      </c>
      <c r="L4887" t="s">
        <v>14375</v>
      </c>
      <c r="M4887" t="s">
        <v>14744</v>
      </c>
      <c r="N4887" t="s">
        <v>14781</v>
      </c>
      <c r="P4887" t="s">
        <v>14807</v>
      </c>
      <c r="Q4887" t="s">
        <v>11446</v>
      </c>
      <c r="S4887" t="s">
        <v>14828</v>
      </c>
      <c r="T4887" t="s">
        <v>14832</v>
      </c>
      <c r="U4887" t="s">
        <v>461</v>
      </c>
      <c r="V4887">
        <v>240</v>
      </c>
      <c r="W4887" t="s">
        <v>14861</v>
      </c>
      <c r="X4887" t="s">
        <v>14863</v>
      </c>
      <c r="Z4887" t="s">
        <v>18906</v>
      </c>
      <c r="AA4887">
        <v>5927801</v>
      </c>
      <c r="AB4887" t="s">
        <v>24114</v>
      </c>
      <c r="AC4887">
        <v>0</v>
      </c>
      <c r="AD4887" t="s">
        <v>24602</v>
      </c>
      <c r="AE4887" t="s">
        <v>11459</v>
      </c>
      <c r="AF4887">
        <v>2</v>
      </c>
      <c r="AG4887">
        <v>1</v>
      </c>
      <c r="AH4887">
        <v>1</v>
      </c>
      <c r="AI4887">
        <v>146.19</v>
      </c>
      <c r="AL4887" t="s">
        <v>5011</v>
      </c>
      <c r="AM4887">
        <v>24720</v>
      </c>
      <c r="AS4887">
        <v>13.7</v>
      </c>
      <c r="AT4887" t="s">
        <v>559</v>
      </c>
      <c r="AU4887" t="s">
        <v>25233</v>
      </c>
      <c r="AV4887" t="s">
        <v>25335</v>
      </c>
      <c r="AW4887" t="s">
        <v>11447</v>
      </c>
    </row>
    <row r="4888" spans="1:49">
      <c r="A4888" s="1">
        <f>HYPERLINK("https://lsnyc.legalserver.org/matter/dynamic-profile/view/1903634","19-1903634")</f>
        <v>0</v>
      </c>
      <c r="B4888" t="s">
        <v>144</v>
      </c>
      <c r="C4888" t="s">
        <v>522</v>
      </c>
      <c r="E4888" t="s">
        <v>1261</v>
      </c>
      <c r="F4888" t="s">
        <v>6011</v>
      </c>
      <c r="G4888" t="s">
        <v>10016</v>
      </c>
      <c r="H4888" t="s">
        <v>10575</v>
      </c>
      <c r="I4888" t="s">
        <v>11387</v>
      </c>
      <c r="J4888">
        <v>11433</v>
      </c>
      <c r="K4888" t="s">
        <v>11446</v>
      </c>
      <c r="L4888" t="s">
        <v>14376</v>
      </c>
      <c r="M4888" t="s">
        <v>14744</v>
      </c>
      <c r="N4888" t="s">
        <v>14781</v>
      </c>
      <c r="P4888" t="s">
        <v>14807</v>
      </c>
      <c r="Q4888" t="s">
        <v>11448</v>
      </c>
      <c r="S4888" t="s">
        <v>14828</v>
      </c>
      <c r="T4888" t="s">
        <v>14832</v>
      </c>
      <c r="U4888" t="s">
        <v>14841</v>
      </c>
      <c r="V4888">
        <v>980</v>
      </c>
      <c r="W4888" t="s">
        <v>14861</v>
      </c>
      <c r="X4888" t="s">
        <v>14863</v>
      </c>
      <c r="Z4888" t="s">
        <v>18907</v>
      </c>
      <c r="AB4888" t="s">
        <v>24115</v>
      </c>
      <c r="AC4888">
        <v>312</v>
      </c>
      <c r="AD4888" t="s">
        <v>24602</v>
      </c>
      <c r="AE4888" t="s">
        <v>11459</v>
      </c>
      <c r="AF4888">
        <v>2</v>
      </c>
      <c r="AG4888">
        <v>2</v>
      </c>
      <c r="AH4888">
        <v>0</v>
      </c>
      <c r="AI4888">
        <v>0</v>
      </c>
      <c r="AL4888" t="s">
        <v>5011</v>
      </c>
      <c r="AM4888">
        <v>0</v>
      </c>
      <c r="AS4888">
        <v>3.33</v>
      </c>
      <c r="AT4888" t="s">
        <v>478</v>
      </c>
      <c r="AU4888" t="s">
        <v>25233</v>
      </c>
      <c r="AV4888" t="s">
        <v>25335</v>
      </c>
      <c r="AW4888" t="s">
        <v>11447</v>
      </c>
    </row>
    <row r="4889" spans="1:49">
      <c r="A4889" s="1">
        <f>HYPERLINK("https://lsnyc.legalserver.org/matter/dynamic-profile/view/1888051","19-1888051")</f>
        <v>0</v>
      </c>
      <c r="B4889" t="s">
        <v>209</v>
      </c>
      <c r="C4889" t="s">
        <v>632</v>
      </c>
      <c r="E4889" t="s">
        <v>3351</v>
      </c>
      <c r="F4889" t="s">
        <v>6012</v>
      </c>
      <c r="G4889" t="s">
        <v>10014</v>
      </c>
      <c r="H4889" t="s">
        <v>11304</v>
      </c>
      <c r="I4889" t="s">
        <v>11387</v>
      </c>
      <c r="J4889">
        <v>11434</v>
      </c>
      <c r="K4889" t="s">
        <v>11446</v>
      </c>
      <c r="L4889" t="s">
        <v>14377</v>
      </c>
      <c r="M4889" t="s">
        <v>14744</v>
      </c>
      <c r="N4889" t="s">
        <v>14781</v>
      </c>
      <c r="P4889" t="s">
        <v>14807</v>
      </c>
      <c r="Q4889" t="s">
        <v>11448</v>
      </c>
      <c r="S4889" t="s">
        <v>14827</v>
      </c>
      <c r="U4889" t="s">
        <v>553</v>
      </c>
      <c r="V4889">
        <v>1223</v>
      </c>
      <c r="W4889" t="s">
        <v>14861</v>
      </c>
      <c r="X4889" t="s">
        <v>14865</v>
      </c>
      <c r="Z4889" t="s">
        <v>18908</v>
      </c>
      <c r="AB4889" t="s">
        <v>19344</v>
      </c>
      <c r="AC4889">
        <v>312</v>
      </c>
      <c r="AD4889" t="s">
        <v>24602</v>
      </c>
      <c r="AE4889" t="s">
        <v>11459</v>
      </c>
      <c r="AF4889">
        <v>-1</v>
      </c>
      <c r="AG4889">
        <v>2</v>
      </c>
      <c r="AH4889">
        <v>0</v>
      </c>
      <c r="AI4889">
        <v>0</v>
      </c>
      <c r="AL4889" t="s">
        <v>5011</v>
      </c>
      <c r="AM4889">
        <v>0</v>
      </c>
      <c r="AS4889">
        <v>18.95</v>
      </c>
      <c r="AT4889" t="s">
        <v>360</v>
      </c>
      <c r="AU4889" t="s">
        <v>292</v>
      </c>
      <c r="AW4889" t="s">
        <v>11446</v>
      </c>
    </row>
    <row r="4890" spans="1:49">
      <c r="A4890" s="1">
        <f>HYPERLINK("https://lsnyc.legalserver.org/matter/dynamic-profile/view/1895153","19-1895153")</f>
        <v>0</v>
      </c>
      <c r="B4890" t="s">
        <v>209</v>
      </c>
      <c r="C4890" t="s">
        <v>666</v>
      </c>
      <c r="E4890" t="s">
        <v>1243</v>
      </c>
      <c r="F4890" t="s">
        <v>4985</v>
      </c>
      <c r="G4890" t="s">
        <v>10017</v>
      </c>
      <c r="I4890" t="s">
        <v>11387</v>
      </c>
      <c r="J4890">
        <v>11434</v>
      </c>
      <c r="K4890" t="s">
        <v>11446</v>
      </c>
      <c r="L4890" t="s">
        <v>14378</v>
      </c>
      <c r="M4890" t="s">
        <v>14743</v>
      </c>
      <c r="N4890" t="s">
        <v>14781</v>
      </c>
      <c r="P4890" t="s">
        <v>14807</v>
      </c>
      <c r="Q4890" t="s">
        <v>11448</v>
      </c>
      <c r="S4890" t="s">
        <v>14827</v>
      </c>
      <c r="T4890" t="s">
        <v>14832</v>
      </c>
      <c r="U4890" t="s">
        <v>485</v>
      </c>
      <c r="V4890">
        <v>2700</v>
      </c>
      <c r="W4890" t="s">
        <v>14861</v>
      </c>
      <c r="X4890" t="s">
        <v>14865</v>
      </c>
      <c r="Z4890" t="s">
        <v>15877</v>
      </c>
      <c r="AA4890" t="s">
        <v>20056</v>
      </c>
      <c r="AB4890" t="s">
        <v>24116</v>
      </c>
      <c r="AC4890">
        <v>1</v>
      </c>
      <c r="AD4890" t="s">
        <v>24600</v>
      </c>
      <c r="AE4890" t="s">
        <v>11459</v>
      </c>
      <c r="AF4890">
        <v>1</v>
      </c>
      <c r="AG4890">
        <v>1</v>
      </c>
      <c r="AH4890">
        <v>2</v>
      </c>
      <c r="AI4890">
        <v>0</v>
      </c>
      <c r="AL4890" t="s">
        <v>5011</v>
      </c>
      <c r="AM4890">
        <v>0</v>
      </c>
      <c r="AS4890">
        <v>2.1</v>
      </c>
      <c r="AT4890" t="s">
        <v>370</v>
      </c>
      <c r="AU4890" t="s">
        <v>59</v>
      </c>
      <c r="AW4890" t="s">
        <v>11446</v>
      </c>
    </row>
    <row r="4891" spans="1:49">
      <c r="A4891" s="1">
        <f>HYPERLINK("https://lsnyc.legalserver.org/matter/dynamic-profile/view/1906493","19-1906493")</f>
        <v>0</v>
      </c>
      <c r="B4891" t="s">
        <v>124</v>
      </c>
      <c r="C4891" t="s">
        <v>380</v>
      </c>
      <c r="E4891" t="s">
        <v>1828</v>
      </c>
      <c r="F4891" t="s">
        <v>3727</v>
      </c>
      <c r="G4891" t="s">
        <v>10018</v>
      </c>
      <c r="H4891" t="s">
        <v>10646</v>
      </c>
      <c r="I4891" t="s">
        <v>11387</v>
      </c>
      <c r="J4891">
        <v>11434</v>
      </c>
      <c r="K4891" t="s">
        <v>11446</v>
      </c>
      <c r="L4891" t="s">
        <v>14379</v>
      </c>
      <c r="M4891" t="s">
        <v>14744</v>
      </c>
      <c r="N4891" t="s">
        <v>14778</v>
      </c>
      <c r="P4891" t="s">
        <v>14807</v>
      </c>
      <c r="Q4891" t="s">
        <v>11448</v>
      </c>
      <c r="S4891" t="s">
        <v>14827</v>
      </c>
      <c r="U4891" t="s">
        <v>380</v>
      </c>
      <c r="V4891">
        <v>1600</v>
      </c>
      <c r="W4891" t="s">
        <v>14861</v>
      </c>
      <c r="X4891" t="s">
        <v>14865</v>
      </c>
      <c r="Z4891" t="s">
        <v>18909</v>
      </c>
      <c r="AA4891" t="s">
        <v>20057</v>
      </c>
      <c r="AB4891" t="s">
        <v>24117</v>
      </c>
      <c r="AC4891">
        <v>2</v>
      </c>
      <c r="AD4891" t="s">
        <v>11479</v>
      </c>
      <c r="AE4891" t="s">
        <v>24610</v>
      </c>
      <c r="AF4891">
        <v>3</v>
      </c>
      <c r="AG4891">
        <v>1</v>
      </c>
      <c r="AH4891">
        <v>3</v>
      </c>
      <c r="AI4891">
        <v>74.56</v>
      </c>
      <c r="AL4891" t="s">
        <v>5011</v>
      </c>
      <c r="AM4891">
        <v>19200</v>
      </c>
      <c r="AS4891">
        <v>0.3</v>
      </c>
      <c r="AT4891" t="s">
        <v>368</v>
      </c>
      <c r="AU4891" t="s">
        <v>292</v>
      </c>
      <c r="AV4891" t="s">
        <v>25335</v>
      </c>
      <c r="AW4891" t="s">
        <v>11447</v>
      </c>
    </row>
    <row r="4892" spans="1:49">
      <c r="A4892" s="1">
        <f>HYPERLINK("https://lsnyc.legalserver.org/matter/dynamic-profile/view/1902817","19-1902817")</f>
        <v>0</v>
      </c>
      <c r="B4892" t="s">
        <v>248</v>
      </c>
      <c r="C4892" t="s">
        <v>527</v>
      </c>
      <c r="E4892" t="s">
        <v>3352</v>
      </c>
      <c r="F4892" t="s">
        <v>6013</v>
      </c>
      <c r="G4892" t="s">
        <v>10019</v>
      </c>
      <c r="H4892" t="s">
        <v>10705</v>
      </c>
      <c r="I4892" t="s">
        <v>11387</v>
      </c>
      <c r="J4892">
        <v>11434</v>
      </c>
      <c r="K4892" t="s">
        <v>11446</v>
      </c>
      <c r="L4892" t="s">
        <v>14380</v>
      </c>
      <c r="M4892" t="s">
        <v>14744</v>
      </c>
      <c r="N4892" t="s">
        <v>14781</v>
      </c>
      <c r="P4892" t="s">
        <v>14807</v>
      </c>
      <c r="S4892" t="s">
        <v>14827</v>
      </c>
      <c r="U4892" t="s">
        <v>564</v>
      </c>
      <c r="V4892">
        <v>2175</v>
      </c>
      <c r="W4892" t="s">
        <v>14861</v>
      </c>
      <c r="X4892" t="s">
        <v>14865</v>
      </c>
      <c r="Z4892" t="s">
        <v>15824</v>
      </c>
      <c r="AA4892" t="s">
        <v>20058</v>
      </c>
      <c r="AB4892" t="s">
        <v>24118</v>
      </c>
      <c r="AC4892">
        <v>2</v>
      </c>
      <c r="AD4892" t="s">
        <v>24600</v>
      </c>
      <c r="AE4892" t="s">
        <v>11459</v>
      </c>
      <c r="AF4892">
        <v>2</v>
      </c>
      <c r="AG4892">
        <v>3</v>
      </c>
      <c r="AH4892">
        <v>0</v>
      </c>
      <c r="AI4892">
        <v>56.26</v>
      </c>
      <c r="AL4892" t="s">
        <v>5011</v>
      </c>
      <c r="AM4892">
        <v>12000</v>
      </c>
      <c r="AS4892">
        <v>16.05</v>
      </c>
      <c r="AT4892" t="s">
        <v>516</v>
      </c>
      <c r="AU4892" t="s">
        <v>25233</v>
      </c>
      <c r="AV4892" t="s">
        <v>25335</v>
      </c>
      <c r="AW4892" t="s">
        <v>11447</v>
      </c>
    </row>
    <row r="4893" spans="1:49">
      <c r="A4893" s="1">
        <f>HYPERLINK("https://lsnyc.legalserver.org/matter/dynamic-profile/view/1906874","19-1906874")</f>
        <v>0</v>
      </c>
      <c r="B4893" t="s">
        <v>293</v>
      </c>
      <c r="C4893" t="s">
        <v>564</v>
      </c>
      <c r="E4893" t="s">
        <v>3353</v>
      </c>
      <c r="F4893" t="s">
        <v>6014</v>
      </c>
      <c r="G4893" t="s">
        <v>10020</v>
      </c>
      <c r="I4893" t="s">
        <v>11387</v>
      </c>
      <c r="J4893">
        <v>11433</v>
      </c>
      <c r="K4893" t="s">
        <v>11446</v>
      </c>
      <c r="L4893" t="s">
        <v>14381</v>
      </c>
      <c r="M4893" t="s">
        <v>14743</v>
      </c>
      <c r="N4893" t="s">
        <v>14781</v>
      </c>
      <c r="P4893" t="s">
        <v>14807</v>
      </c>
      <c r="Q4893" t="s">
        <v>11448</v>
      </c>
      <c r="S4893" t="s">
        <v>14827</v>
      </c>
      <c r="T4893" t="s">
        <v>14832</v>
      </c>
      <c r="U4893" t="s">
        <v>564</v>
      </c>
      <c r="V4893">
        <v>1200</v>
      </c>
      <c r="W4893" t="s">
        <v>14861</v>
      </c>
      <c r="X4893" t="s">
        <v>14863</v>
      </c>
      <c r="Z4893" t="s">
        <v>16263</v>
      </c>
      <c r="AB4893" t="s">
        <v>24119</v>
      </c>
      <c r="AC4893">
        <v>1</v>
      </c>
      <c r="AD4893" t="s">
        <v>24600</v>
      </c>
      <c r="AE4893" t="s">
        <v>11459</v>
      </c>
      <c r="AF4893">
        <v>10</v>
      </c>
      <c r="AG4893">
        <v>4</v>
      </c>
      <c r="AH4893">
        <v>0</v>
      </c>
      <c r="AI4893">
        <v>100.42</v>
      </c>
      <c r="AL4893" t="s">
        <v>5011</v>
      </c>
      <c r="AM4893">
        <v>25858.8</v>
      </c>
      <c r="AS4893">
        <v>20.1</v>
      </c>
      <c r="AT4893" t="s">
        <v>580</v>
      </c>
      <c r="AU4893" t="s">
        <v>202</v>
      </c>
      <c r="AV4893" t="s">
        <v>25335</v>
      </c>
      <c r="AW4893" t="s">
        <v>11447</v>
      </c>
    </row>
    <row r="4894" spans="1:49">
      <c r="A4894" s="1">
        <f>HYPERLINK("https://lsnyc.legalserver.org/matter/dynamic-profile/view/1904560","19-1904560")</f>
        <v>0</v>
      </c>
      <c r="B4894" t="s">
        <v>271</v>
      </c>
      <c r="C4894" t="s">
        <v>493</v>
      </c>
      <c r="E4894" t="s">
        <v>3354</v>
      </c>
      <c r="F4894" t="s">
        <v>4854</v>
      </c>
      <c r="G4894" t="s">
        <v>10021</v>
      </c>
      <c r="H4894" t="s">
        <v>10637</v>
      </c>
      <c r="I4894" t="s">
        <v>11387</v>
      </c>
      <c r="J4894">
        <v>11433</v>
      </c>
      <c r="K4894" t="s">
        <v>11446</v>
      </c>
      <c r="L4894" t="s">
        <v>14382</v>
      </c>
      <c r="M4894" t="s">
        <v>14743</v>
      </c>
      <c r="N4894" t="s">
        <v>14781</v>
      </c>
      <c r="P4894" t="s">
        <v>14807</v>
      </c>
      <c r="Q4894" t="s">
        <v>11448</v>
      </c>
      <c r="S4894" t="s">
        <v>14827</v>
      </c>
      <c r="T4894" t="s">
        <v>14832</v>
      </c>
      <c r="U4894" t="s">
        <v>626</v>
      </c>
      <c r="V4894">
        <v>1268</v>
      </c>
      <c r="W4894" t="s">
        <v>14861</v>
      </c>
      <c r="X4894" t="s">
        <v>14865</v>
      </c>
      <c r="Z4894" t="s">
        <v>18910</v>
      </c>
      <c r="AA4894" t="s">
        <v>20059</v>
      </c>
      <c r="AB4894" t="s">
        <v>24120</v>
      </c>
      <c r="AC4894">
        <v>3</v>
      </c>
      <c r="AD4894" t="s">
        <v>24600</v>
      </c>
      <c r="AE4894" t="s">
        <v>24616</v>
      </c>
      <c r="AF4894">
        <v>-1</v>
      </c>
      <c r="AG4894">
        <v>1</v>
      </c>
      <c r="AH4894">
        <v>1</v>
      </c>
      <c r="AI4894">
        <v>23.67</v>
      </c>
      <c r="AL4894" t="s">
        <v>24641</v>
      </c>
      <c r="AM4894">
        <v>4003.2</v>
      </c>
      <c r="AS4894">
        <v>23.45</v>
      </c>
      <c r="AT4894" t="s">
        <v>491</v>
      </c>
      <c r="AU4894" t="s">
        <v>25233</v>
      </c>
      <c r="AV4894" t="s">
        <v>25335</v>
      </c>
      <c r="AW4894" t="s">
        <v>11447</v>
      </c>
    </row>
    <row r="4895" spans="1:49">
      <c r="A4895" s="1">
        <f>HYPERLINK("https://lsnyc.legalserver.org/matter/dynamic-profile/view/1907003","19-1907003")</f>
        <v>0</v>
      </c>
      <c r="B4895" t="s">
        <v>293</v>
      </c>
      <c r="C4895" t="s">
        <v>626</v>
      </c>
      <c r="E4895" t="s">
        <v>1929</v>
      </c>
      <c r="F4895" t="s">
        <v>6015</v>
      </c>
      <c r="G4895" t="s">
        <v>10022</v>
      </c>
      <c r="H4895" t="s">
        <v>10509</v>
      </c>
      <c r="I4895" t="s">
        <v>11395</v>
      </c>
      <c r="J4895">
        <v>11373</v>
      </c>
      <c r="K4895" t="s">
        <v>11446</v>
      </c>
      <c r="L4895" t="s">
        <v>14383</v>
      </c>
      <c r="M4895" t="s">
        <v>14744</v>
      </c>
      <c r="N4895" t="s">
        <v>14781</v>
      </c>
      <c r="P4895" t="s">
        <v>14807</v>
      </c>
      <c r="Q4895" t="s">
        <v>11448</v>
      </c>
      <c r="S4895" t="s">
        <v>14827</v>
      </c>
      <c r="T4895" t="s">
        <v>14832</v>
      </c>
      <c r="U4895" t="s">
        <v>626</v>
      </c>
      <c r="V4895">
        <v>1530</v>
      </c>
      <c r="W4895" t="s">
        <v>14861</v>
      </c>
      <c r="X4895" t="s">
        <v>14863</v>
      </c>
      <c r="Z4895" t="s">
        <v>18911</v>
      </c>
      <c r="AB4895" t="s">
        <v>24121</v>
      </c>
      <c r="AC4895">
        <v>112</v>
      </c>
      <c r="AD4895" t="s">
        <v>24595</v>
      </c>
      <c r="AE4895" t="s">
        <v>11459</v>
      </c>
      <c r="AF4895">
        <v>28</v>
      </c>
      <c r="AG4895">
        <v>3</v>
      </c>
      <c r="AH4895">
        <v>0</v>
      </c>
      <c r="AI4895">
        <v>135.02</v>
      </c>
      <c r="AL4895" t="s">
        <v>24632</v>
      </c>
      <c r="AM4895">
        <v>28800</v>
      </c>
      <c r="AS4895">
        <v>20.45</v>
      </c>
      <c r="AT4895" t="s">
        <v>516</v>
      </c>
      <c r="AU4895" t="s">
        <v>25233</v>
      </c>
      <c r="AV4895" t="s">
        <v>25335</v>
      </c>
      <c r="AW4895" t="s">
        <v>11447</v>
      </c>
    </row>
    <row r="4896" spans="1:49">
      <c r="A4896" s="1">
        <f>HYPERLINK("https://lsnyc.legalserver.org/matter/dynamic-profile/view/1898898","19-1898898")</f>
        <v>0</v>
      </c>
      <c r="B4896" t="s">
        <v>179</v>
      </c>
      <c r="C4896" t="s">
        <v>349</v>
      </c>
      <c r="E4896" t="s">
        <v>1731</v>
      </c>
      <c r="F4896" t="s">
        <v>6016</v>
      </c>
      <c r="G4896" t="s">
        <v>10023</v>
      </c>
      <c r="H4896" t="s">
        <v>10513</v>
      </c>
      <c r="I4896" t="s">
        <v>11388</v>
      </c>
      <c r="J4896">
        <v>11385</v>
      </c>
      <c r="K4896" t="s">
        <v>11446</v>
      </c>
      <c r="L4896" t="s">
        <v>14384</v>
      </c>
      <c r="M4896" t="s">
        <v>14743</v>
      </c>
      <c r="N4896" t="s">
        <v>14781</v>
      </c>
      <c r="P4896" t="s">
        <v>14807</v>
      </c>
      <c r="Q4896" t="s">
        <v>11448</v>
      </c>
      <c r="S4896" t="s">
        <v>14827</v>
      </c>
      <c r="T4896" t="s">
        <v>14832</v>
      </c>
      <c r="U4896" t="s">
        <v>14856</v>
      </c>
      <c r="V4896">
        <v>944.8200000000001</v>
      </c>
      <c r="W4896" t="s">
        <v>14861</v>
      </c>
      <c r="X4896" t="s">
        <v>14873</v>
      </c>
      <c r="Z4896" t="s">
        <v>18912</v>
      </c>
      <c r="AA4896" t="s">
        <v>11465</v>
      </c>
      <c r="AB4896" t="s">
        <v>24122</v>
      </c>
      <c r="AC4896">
        <v>6</v>
      </c>
      <c r="AD4896" t="s">
        <v>24595</v>
      </c>
      <c r="AF4896">
        <v>11</v>
      </c>
      <c r="AG4896">
        <v>1</v>
      </c>
      <c r="AH4896">
        <v>0</v>
      </c>
      <c r="AI4896">
        <v>166.53</v>
      </c>
      <c r="AL4896" t="s">
        <v>24639</v>
      </c>
      <c r="AM4896">
        <v>20800</v>
      </c>
      <c r="AS4896">
        <v>24.42</v>
      </c>
      <c r="AT4896" t="s">
        <v>526</v>
      </c>
      <c r="AU4896" t="s">
        <v>179</v>
      </c>
      <c r="AV4896" t="s">
        <v>11459</v>
      </c>
      <c r="AW4896" t="s">
        <v>11448</v>
      </c>
    </row>
    <row r="4897" spans="1:49">
      <c r="A4897" s="1">
        <f>HYPERLINK("https://lsnyc.legalserver.org/matter/dynamic-profile/view/1907260","19-1907260")</f>
        <v>0</v>
      </c>
      <c r="B4897" t="s">
        <v>271</v>
      </c>
      <c r="C4897" t="s">
        <v>366</v>
      </c>
      <c r="E4897" t="s">
        <v>1264</v>
      </c>
      <c r="F4897" t="s">
        <v>2983</v>
      </c>
      <c r="G4897" t="s">
        <v>10024</v>
      </c>
      <c r="H4897" t="s">
        <v>10734</v>
      </c>
      <c r="I4897" t="s">
        <v>11395</v>
      </c>
      <c r="J4897">
        <v>11373</v>
      </c>
      <c r="K4897" t="s">
        <v>11446</v>
      </c>
      <c r="L4897" t="s">
        <v>14385</v>
      </c>
      <c r="M4897" t="s">
        <v>14744</v>
      </c>
      <c r="N4897" t="s">
        <v>14781</v>
      </c>
      <c r="P4897" t="s">
        <v>14807</v>
      </c>
      <c r="Q4897" t="s">
        <v>11448</v>
      </c>
      <c r="S4897" t="s">
        <v>14827</v>
      </c>
      <c r="T4897" t="s">
        <v>14832</v>
      </c>
      <c r="U4897" t="s">
        <v>366</v>
      </c>
      <c r="V4897">
        <v>1900</v>
      </c>
      <c r="W4897" t="s">
        <v>14861</v>
      </c>
      <c r="X4897" t="s">
        <v>14865</v>
      </c>
      <c r="Z4897" t="s">
        <v>18913</v>
      </c>
      <c r="AB4897" t="s">
        <v>24123</v>
      </c>
      <c r="AC4897">
        <v>63</v>
      </c>
      <c r="AD4897" t="s">
        <v>11479</v>
      </c>
      <c r="AE4897" t="s">
        <v>11459</v>
      </c>
      <c r="AF4897">
        <v>2</v>
      </c>
      <c r="AG4897">
        <v>1</v>
      </c>
      <c r="AH4897">
        <v>1</v>
      </c>
      <c r="AI4897">
        <v>0</v>
      </c>
      <c r="AL4897" t="s">
        <v>5011</v>
      </c>
      <c r="AM4897">
        <v>0</v>
      </c>
      <c r="AS4897">
        <v>41</v>
      </c>
      <c r="AT4897" t="s">
        <v>580</v>
      </c>
      <c r="AU4897" t="s">
        <v>292</v>
      </c>
      <c r="AV4897" t="s">
        <v>25335</v>
      </c>
      <c r="AW4897" t="s">
        <v>11447</v>
      </c>
    </row>
    <row r="4898" spans="1:49">
      <c r="A4898" s="1">
        <f>HYPERLINK("https://lsnyc.legalserver.org/matter/dynamic-profile/view/1906245","19-1906245")</f>
        <v>0</v>
      </c>
      <c r="B4898" t="s">
        <v>204</v>
      </c>
      <c r="C4898" t="s">
        <v>553</v>
      </c>
      <c r="E4898" t="s">
        <v>1594</v>
      </c>
      <c r="F4898" t="s">
        <v>3758</v>
      </c>
      <c r="G4898" t="s">
        <v>10025</v>
      </c>
      <c r="H4898" t="s">
        <v>11219</v>
      </c>
      <c r="I4898" t="s">
        <v>11395</v>
      </c>
      <c r="J4898">
        <v>11373</v>
      </c>
      <c r="K4898" t="s">
        <v>11446</v>
      </c>
      <c r="L4898" t="s">
        <v>14386</v>
      </c>
      <c r="M4898" t="s">
        <v>14744</v>
      </c>
      <c r="N4898" t="s">
        <v>14781</v>
      </c>
      <c r="P4898" t="s">
        <v>14807</v>
      </c>
      <c r="Q4898" t="s">
        <v>11446</v>
      </c>
      <c r="S4898" t="s">
        <v>14827</v>
      </c>
      <c r="T4898" t="s">
        <v>14834</v>
      </c>
      <c r="U4898" t="s">
        <v>366</v>
      </c>
      <c r="V4898">
        <v>1850</v>
      </c>
      <c r="W4898" t="s">
        <v>14861</v>
      </c>
      <c r="X4898" t="s">
        <v>14865</v>
      </c>
      <c r="Z4898" t="s">
        <v>18914</v>
      </c>
      <c r="AB4898" t="s">
        <v>24124</v>
      </c>
      <c r="AC4898">
        <v>164</v>
      </c>
      <c r="AD4898" t="s">
        <v>24595</v>
      </c>
      <c r="AE4898" t="s">
        <v>11459</v>
      </c>
      <c r="AF4898">
        <v>2</v>
      </c>
      <c r="AG4898">
        <v>2</v>
      </c>
      <c r="AH4898">
        <v>0</v>
      </c>
      <c r="AI4898">
        <v>129.15</v>
      </c>
      <c r="AL4898" t="s">
        <v>5011</v>
      </c>
      <c r="AM4898">
        <v>21840</v>
      </c>
      <c r="AS4898">
        <v>40.8</v>
      </c>
      <c r="AT4898" t="s">
        <v>516</v>
      </c>
      <c r="AU4898" t="s">
        <v>25233</v>
      </c>
      <c r="AV4898" t="s">
        <v>25335</v>
      </c>
      <c r="AW4898" t="s">
        <v>11447</v>
      </c>
    </row>
    <row r="4899" spans="1:49">
      <c r="A4899" s="1">
        <f>HYPERLINK("https://lsnyc.legalserver.org/matter/dynamic-profile/view/1907541","19-1907541")</f>
        <v>0</v>
      </c>
      <c r="B4899" t="s">
        <v>138</v>
      </c>
      <c r="C4899" t="s">
        <v>630</v>
      </c>
      <c r="E4899" t="s">
        <v>1025</v>
      </c>
      <c r="F4899" t="s">
        <v>3555</v>
      </c>
      <c r="G4899" t="s">
        <v>10026</v>
      </c>
      <c r="H4899" t="s">
        <v>10575</v>
      </c>
      <c r="I4899" t="s">
        <v>11387</v>
      </c>
      <c r="J4899">
        <v>11433</v>
      </c>
      <c r="K4899" t="s">
        <v>11446</v>
      </c>
      <c r="L4899" t="s">
        <v>14387</v>
      </c>
      <c r="M4899" t="s">
        <v>14744</v>
      </c>
      <c r="N4899" t="s">
        <v>14781</v>
      </c>
      <c r="P4899" t="s">
        <v>14807</v>
      </c>
      <c r="Q4899" t="s">
        <v>11448</v>
      </c>
      <c r="S4899" t="s">
        <v>14828</v>
      </c>
      <c r="T4899" t="s">
        <v>14832</v>
      </c>
      <c r="U4899" t="s">
        <v>630</v>
      </c>
      <c r="V4899">
        <v>954.6</v>
      </c>
      <c r="W4899" t="s">
        <v>14861</v>
      </c>
      <c r="X4899" t="s">
        <v>14863</v>
      </c>
      <c r="Z4899" t="s">
        <v>18869</v>
      </c>
      <c r="AB4899" t="s">
        <v>24125</v>
      </c>
      <c r="AC4899">
        <v>60</v>
      </c>
      <c r="AD4899" t="s">
        <v>24597</v>
      </c>
      <c r="AE4899" t="s">
        <v>11459</v>
      </c>
      <c r="AF4899">
        <v>30</v>
      </c>
      <c r="AG4899">
        <v>5</v>
      </c>
      <c r="AH4899">
        <v>2</v>
      </c>
      <c r="AI4899">
        <v>106.19</v>
      </c>
      <c r="AL4899" t="s">
        <v>5011</v>
      </c>
      <c r="AM4899">
        <v>41424</v>
      </c>
      <c r="AS4899">
        <v>1.38</v>
      </c>
      <c r="AT4899" t="s">
        <v>644</v>
      </c>
      <c r="AU4899" t="s">
        <v>292</v>
      </c>
      <c r="AV4899" t="s">
        <v>25335</v>
      </c>
      <c r="AW4899" t="s">
        <v>11447</v>
      </c>
    </row>
    <row r="4900" spans="1:49">
      <c r="A4900" s="1">
        <f>HYPERLINK("https://lsnyc.legalserver.org/matter/dynamic-profile/view/1907598","19-1907598")</f>
        <v>0</v>
      </c>
      <c r="B4900" t="s">
        <v>138</v>
      </c>
      <c r="C4900" t="s">
        <v>630</v>
      </c>
      <c r="E4900" t="s">
        <v>1359</v>
      </c>
      <c r="F4900" t="s">
        <v>6017</v>
      </c>
      <c r="G4900" t="s">
        <v>10027</v>
      </c>
      <c r="H4900" t="s">
        <v>10467</v>
      </c>
      <c r="I4900" t="s">
        <v>11387</v>
      </c>
      <c r="J4900">
        <v>11433</v>
      </c>
      <c r="K4900" t="s">
        <v>11446</v>
      </c>
      <c r="L4900" t="s">
        <v>14388</v>
      </c>
      <c r="M4900" t="s">
        <v>14744</v>
      </c>
      <c r="N4900" t="s">
        <v>14781</v>
      </c>
      <c r="P4900" t="s">
        <v>14807</v>
      </c>
      <c r="Q4900" t="s">
        <v>11448</v>
      </c>
      <c r="S4900" t="s">
        <v>14828</v>
      </c>
      <c r="T4900" t="s">
        <v>14832</v>
      </c>
      <c r="U4900" t="s">
        <v>630</v>
      </c>
      <c r="V4900">
        <v>756</v>
      </c>
      <c r="W4900" t="s">
        <v>14861</v>
      </c>
      <c r="X4900" t="s">
        <v>14863</v>
      </c>
      <c r="Z4900" t="s">
        <v>18915</v>
      </c>
      <c r="AB4900" t="s">
        <v>24126</v>
      </c>
      <c r="AC4900">
        <v>48</v>
      </c>
      <c r="AD4900" t="s">
        <v>24597</v>
      </c>
      <c r="AE4900" t="s">
        <v>11459</v>
      </c>
      <c r="AF4900">
        <v>3</v>
      </c>
      <c r="AG4900">
        <v>1</v>
      </c>
      <c r="AH4900">
        <v>1</v>
      </c>
      <c r="AI4900">
        <v>176.82</v>
      </c>
      <c r="AL4900" t="s">
        <v>5011</v>
      </c>
      <c r="AM4900">
        <v>29900</v>
      </c>
      <c r="AS4900">
        <v>2.1</v>
      </c>
      <c r="AT4900" t="s">
        <v>644</v>
      </c>
      <c r="AU4900" t="s">
        <v>292</v>
      </c>
      <c r="AV4900" t="s">
        <v>25335</v>
      </c>
      <c r="AW4900" t="s">
        <v>11447</v>
      </c>
    </row>
    <row r="4901" spans="1:49">
      <c r="A4901" s="1">
        <f>HYPERLINK("https://lsnyc.legalserver.org/matter/dynamic-profile/view/1907612","19-1907612")</f>
        <v>0</v>
      </c>
      <c r="B4901" t="s">
        <v>138</v>
      </c>
      <c r="C4901" t="s">
        <v>630</v>
      </c>
      <c r="E4901" t="s">
        <v>3355</v>
      </c>
      <c r="F4901" t="s">
        <v>4777</v>
      </c>
      <c r="G4901" t="s">
        <v>10028</v>
      </c>
      <c r="H4901" t="s">
        <v>10598</v>
      </c>
      <c r="I4901" t="s">
        <v>11387</v>
      </c>
      <c r="J4901">
        <v>11433</v>
      </c>
      <c r="K4901" t="s">
        <v>11446</v>
      </c>
      <c r="L4901" t="s">
        <v>14389</v>
      </c>
      <c r="M4901" t="s">
        <v>14743</v>
      </c>
      <c r="N4901" t="s">
        <v>14781</v>
      </c>
      <c r="P4901" t="s">
        <v>14807</v>
      </c>
      <c r="Q4901" t="s">
        <v>11448</v>
      </c>
      <c r="S4901" t="s">
        <v>14828</v>
      </c>
      <c r="T4901" t="s">
        <v>14837</v>
      </c>
      <c r="U4901" t="s">
        <v>630</v>
      </c>
      <c r="V4901">
        <v>0</v>
      </c>
      <c r="W4901" t="s">
        <v>14861</v>
      </c>
      <c r="X4901" t="s">
        <v>14863</v>
      </c>
      <c r="Z4901" t="s">
        <v>18916</v>
      </c>
      <c r="AB4901" t="s">
        <v>19344</v>
      </c>
      <c r="AC4901">
        <v>330</v>
      </c>
      <c r="AD4901" t="s">
        <v>24597</v>
      </c>
      <c r="AE4901" t="s">
        <v>11459</v>
      </c>
      <c r="AF4901">
        <v>12</v>
      </c>
      <c r="AG4901">
        <v>2</v>
      </c>
      <c r="AH4901">
        <v>1</v>
      </c>
      <c r="AI4901">
        <v>206.28</v>
      </c>
      <c r="AL4901" t="s">
        <v>5011</v>
      </c>
      <c r="AM4901">
        <v>44000</v>
      </c>
      <c r="AS4901">
        <v>3.28</v>
      </c>
      <c r="AT4901" t="s">
        <v>533</v>
      </c>
      <c r="AU4901" t="s">
        <v>292</v>
      </c>
      <c r="AV4901" t="s">
        <v>25335</v>
      </c>
      <c r="AW4901" t="s">
        <v>11447</v>
      </c>
    </row>
    <row r="4902" spans="1:49">
      <c r="A4902" s="1">
        <f>HYPERLINK("https://lsnyc.legalserver.org/matter/dynamic-profile/view/1907656","19-1907656")</f>
        <v>0</v>
      </c>
      <c r="B4902" t="s">
        <v>147</v>
      </c>
      <c r="C4902" t="s">
        <v>633</v>
      </c>
      <c r="E4902" t="s">
        <v>3356</v>
      </c>
      <c r="F4902" t="s">
        <v>6018</v>
      </c>
      <c r="G4902" t="s">
        <v>10029</v>
      </c>
      <c r="H4902" t="s">
        <v>11181</v>
      </c>
      <c r="I4902" t="s">
        <v>11387</v>
      </c>
      <c r="J4902">
        <v>11433</v>
      </c>
      <c r="K4902" t="s">
        <v>11446</v>
      </c>
      <c r="L4902" t="s">
        <v>14390</v>
      </c>
      <c r="M4902" t="s">
        <v>14744</v>
      </c>
      <c r="N4902" t="s">
        <v>14781</v>
      </c>
      <c r="P4902" t="s">
        <v>14807</v>
      </c>
      <c r="Q4902" t="s">
        <v>11448</v>
      </c>
      <c r="S4902" t="s">
        <v>14828</v>
      </c>
      <c r="T4902" t="s">
        <v>14832</v>
      </c>
      <c r="U4902" t="s">
        <v>633</v>
      </c>
      <c r="V4902">
        <v>1167</v>
      </c>
      <c r="W4902" t="s">
        <v>14861</v>
      </c>
      <c r="X4902" t="s">
        <v>14863</v>
      </c>
      <c r="Z4902" t="s">
        <v>18917</v>
      </c>
      <c r="AB4902" t="s">
        <v>19344</v>
      </c>
      <c r="AC4902">
        <v>9</v>
      </c>
      <c r="AD4902" t="s">
        <v>24597</v>
      </c>
      <c r="AE4902" t="s">
        <v>11459</v>
      </c>
      <c r="AF4902">
        <v>4</v>
      </c>
      <c r="AG4902">
        <v>3</v>
      </c>
      <c r="AH4902">
        <v>1</v>
      </c>
      <c r="AI4902">
        <v>0</v>
      </c>
      <c r="AL4902" t="s">
        <v>5011</v>
      </c>
      <c r="AM4902">
        <v>0</v>
      </c>
      <c r="AS4902">
        <v>18.3</v>
      </c>
      <c r="AT4902" t="s">
        <v>491</v>
      </c>
      <c r="AU4902" t="s">
        <v>292</v>
      </c>
      <c r="AV4902" t="s">
        <v>25335</v>
      </c>
      <c r="AW4902" t="s">
        <v>11447</v>
      </c>
    </row>
    <row r="4903" spans="1:49">
      <c r="A4903" s="1">
        <f>HYPERLINK("https://lsnyc.legalserver.org/matter/dynamic-profile/view/1907891","19-1907891")</f>
        <v>0</v>
      </c>
      <c r="B4903" t="s">
        <v>138</v>
      </c>
      <c r="C4903" t="s">
        <v>524</v>
      </c>
      <c r="E4903" t="s">
        <v>1653</v>
      </c>
      <c r="F4903" t="s">
        <v>6019</v>
      </c>
      <c r="G4903" t="s">
        <v>10030</v>
      </c>
      <c r="H4903" t="s">
        <v>10918</v>
      </c>
      <c r="I4903" t="s">
        <v>11387</v>
      </c>
      <c r="J4903">
        <v>11433</v>
      </c>
      <c r="K4903" t="s">
        <v>11446</v>
      </c>
      <c r="L4903" t="s">
        <v>14391</v>
      </c>
      <c r="M4903" t="s">
        <v>14743</v>
      </c>
      <c r="N4903" t="s">
        <v>14781</v>
      </c>
      <c r="P4903" t="s">
        <v>14807</v>
      </c>
      <c r="Q4903" t="s">
        <v>11448</v>
      </c>
      <c r="S4903" t="s">
        <v>14827</v>
      </c>
      <c r="U4903" t="s">
        <v>524</v>
      </c>
      <c r="V4903">
        <v>1600</v>
      </c>
      <c r="W4903" t="s">
        <v>14861</v>
      </c>
      <c r="X4903" t="s">
        <v>14868</v>
      </c>
      <c r="Z4903" t="s">
        <v>18918</v>
      </c>
      <c r="AB4903" t="s">
        <v>24127</v>
      </c>
      <c r="AC4903">
        <v>460</v>
      </c>
      <c r="AD4903" t="s">
        <v>11479</v>
      </c>
      <c r="AE4903" t="s">
        <v>24610</v>
      </c>
      <c r="AF4903">
        <v>8</v>
      </c>
      <c r="AG4903">
        <v>1</v>
      </c>
      <c r="AH4903">
        <v>1</v>
      </c>
      <c r="AI4903">
        <v>30.75</v>
      </c>
      <c r="AL4903" t="s">
        <v>5011</v>
      </c>
      <c r="AM4903">
        <v>5200</v>
      </c>
      <c r="AS4903">
        <v>10.6</v>
      </c>
      <c r="AT4903" t="s">
        <v>526</v>
      </c>
      <c r="AU4903" t="s">
        <v>292</v>
      </c>
      <c r="AV4903" t="s">
        <v>25335</v>
      </c>
      <c r="AW4903" t="s">
        <v>11447</v>
      </c>
    </row>
    <row r="4904" spans="1:49">
      <c r="A4904" s="1">
        <f>HYPERLINK("https://lsnyc.legalserver.org/matter/dynamic-profile/view/1907023","19-1907023")</f>
        <v>0</v>
      </c>
      <c r="B4904" t="s">
        <v>59</v>
      </c>
      <c r="C4904" t="s">
        <v>626</v>
      </c>
      <c r="E4904" t="s">
        <v>1330</v>
      </c>
      <c r="F4904" t="s">
        <v>6020</v>
      </c>
      <c r="G4904" t="s">
        <v>10031</v>
      </c>
      <c r="H4904">
        <v>1</v>
      </c>
      <c r="I4904" t="s">
        <v>11388</v>
      </c>
      <c r="J4904">
        <v>11385</v>
      </c>
      <c r="K4904" t="s">
        <v>11446</v>
      </c>
      <c r="L4904" t="s">
        <v>14392</v>
      </c>
      <c r="M4904" t="s">
        <v>14743</v>
      </c>
      <c r="N4904" t="s">
        <v>14781</v>
      </c>
      <c r="P4904" t="s">
        <v>14807</v>
      </c>
      <c r="Q4904" t="s">
        <v>11448</v>
      </c>
      <c r="S4904" t="s">
        <v>14827</v>
      </c>
      <c r="T4904" t="s">
        <v>14832</v>
      </c>
      <c r="U4904" t="s">
        <v>524</v>
      </c>
      <c r="V4904">
        <v>1100</v>
      </c>
      <c r="W4904" t="s">
        <v>14861</v>
      </c>
      <c r="X4904" t="s">
        <v>14863</v>
      </c>
      <c r="Z4904" t="s">
        <v>18919</v>
      </c>
      <c r="AA4904" t="s">
        <v>20060</v>
      </c>
      <c r="AB4904" t="s">
        <v>24128</v>
      </c>
      <c r="AC4904">
        <v>3</v>
      </c>
      <c r="AD4904" t="s">
        <v>24600</v>
      </c>
      <c r="AF4904">
        <v>11</v>
      </c>
      <c r="AG4904">
        <v>2</v>
      </c>
      <c r="AH4904">
        <v>0</v>
      </c>
      <c r="AI4904">
        <v>147.84</v>
      </c>
      <c r="AL4904" t="s">
        <v>24632</v>
      </c>
      <c r="AM4904">
        <v>25000</v>
      </c>
      <c r="AS4904">
        <v>4.81</v>
      </c>
      <c r="AT4904" t="s">
        <v>539</v>
      </c>
      <c r="AU4904" t="s">
        <v>25233</v>
      </c>
      <c r="AV4904" t="s">
        <v>25335</v>
      </c>
      <c r="AW4904" t="s">
        <v>11447</v>
      </c>
    </row>
    <row r="4905" spans="1:49">
      <c r="A4905" s="1">
        <f>HYPERLINK("https://lsnyc.legalserver.org/matter/dynamic-profile/view/1907034","19-1907034")</f>
        <v>0</v>
      </c>
      <c r="B4905" t="s">
        <v>59</v>
      </c>
      <c r="C4905" t="s">
        <v>626</v>
      </c>
      <c r="E4905" t="s">
        <v>2007</v>
      </c>
      <c r="F4905" t="s">
        <v>3730</v>
      </c>
      <c r="G4905" t="s">
        <v>10032</v>
      </c>
      <c r="H4905" t="s">
        <v>10486</v>
      </c>
      <c r="I4905" t="s">
        <v>11388</v>
      </c>
      <c r="J4905">
        <v>11385</v>
      </c>
      <c r="K4905" t="s">
        <v>11446</v>
      </c>
      <c r="L4905" t="s">
        <v>14393</v>
      </c>
      <c r="M4905" t="s">
        <v>14743</v>
      </c>
      <c r="N4905" t="s">
        <v>14781</v>
      </c>
      <c r="P4905" t="s">
        <v>14807</v>
      </c>
      <c r="Q4905" t="s">
        <v>11448</v>
      </c>
      <c r="S4905" t="s">
        <v>14827</v>
      </c>
      <c r="T4905" t="s">
        <v>14832</v>
      </c>
      <c r="U4905" t="s">
        <v>458</v>
      </c>
      <c r="V4905">
        <v>1750</v>
      </c>
      <c r="W4905" t="s">
        <v>14861</v>
      </c>
      <c r="X4905" t="s">
        <v>14863</v>
      </c>
      <c r="Z4905" t="s">
        <v>18920</v>
      </c>
      <c r="AA4905" t="s">
        <v>11459</v>
      </c>
      <c r="AB4905" t="s">
        <v>24129</v>
      </c>
      <c r="AC4905">
        <v>3</v>
      </c>
      <c r="AD4905" t="s">
        <v>24600</v>
      </c>
      <c r="AE4905" t="s">
        <v>24610</v>
      </c>
      <c r="AF4905">
        <v>13</v>
      </c>
      <c r="AG4905">
        <v>2</v>
      </c>
      <c r="AH4905">
        <v>1</v>
      </c>
      <c r="AI4905">
        <v>140.65</v>
      </c>
      <c r="AL4905" t="s">
        <v>5011</v>
      </c>
      <c r="AM4905">
        <v>30000</v>
      </c>
      <c r="AO4905" t="s">
        <v>24930</v>
      </c>
      <c r="AP4905" t="s">
        <v>14755</v>
      </c>
      <c r="AQ4905" t="s">
        <v>24987</v>
      </c>
      <c r="AR4905" t="s">
        <v>25023</v>
      </c>
      <c r="AS4905">
        <v>9.51</v>
      </c>
      <c r="AT4905" t="s">
        <v>470</v>
      </c>
      <c r="AU4905" t="s">
        <v>25233</v>
      </c>
      <c r="AV4905" t="s">
        <v>25335</v>
      </c>
      <c r="AW4905" t="s">
        <v>11447</v>
      </c>
    </row>
    <row r="4906" spans="1:49">
      <c r="A4906" s="1">
        <f>HYPERLINK("https://lsnyc.legalserver.org/matter/dynamic-profile/view/1908238","19-1908238")</f>
        <v>0</v>
      </c>
      <c r="B4906" t="s">
        <v>138</v>
      </c>
      <c r="C4906" t="s">
        <v>375</v>
      </c>
      <c r="E4906" t="s">
        <v>3357</v>
      </c>
      <c r="F4906" t="s">
        <v>6021</v>
      </c>
      <c r="G4906" t="s">
        <v>10033</v>
      </c>
      <c r="H4906" t="s">
        <v>10646</v>
      </c>
      <c r="I4906" t="s">
        <v>11387</v>
      </c>
      <c r="J4906">
        <v>11433</v>
      </c>
      <c r="K4906" t="s">
        <v>11446</v>
      </c>
      <c r="L4906" t="s">
        <v>14394</v>
      </c>
      <c r="M4906" t="s">
        <v>14764</v>
      </c>
      <c r="N4906" t="s">
        <v>14781</v>
      </c>
      <c r="P4906" t="s">
        <v>14807</v>
      </c>
      <c r="Q4906" t="s">
        <v>11448</v>
      </c>
      <c r="S4906" t="s">
        <v>14827</v>
      </c>
      <c r="T4906" t="s">
        <v>14832</v>
      </c>
      <c r="U4906" t="s">
        <v>375</v>
      </c>
      <c r="V4906">
        <v>650</v>
      </c>
      <c r="W4906" t="s">
        <v>14861</v>
      </c>
      <c r="X4906" t="s">
        <v>14865</v>
      </c>
      <c r="Z4906" t="s">
        <v>18921</v>
      </c>
      <c r="AB4906" t="s">
        <v>24130</v>
      </c>
      <c r="AC4906">
        <v>2</v>
      </c>
      <c r="AD4906" t="s">
        <v>24600</v>
      </c>
      <c r="AE4906" t="s">
        <v>11459</v>
      </c>
      <c r="AF4906">
        <v>1</v>
      </c>
      <c r="AG4906">
        <v>1</v>
      </c>
      <c r="AH4906">
        <v>0</v>
      </c>
      <c r="AI4906">
        <v>0</v>
      </c>
      <c r="AL4906" t="s">
        <v>5011</v>
      </c>
      <c r="AM4906">
        <v>0</v>
      </c>
      <c r="AP4906" t="s">
        <v>14755</v>
      </c>
      <c r="AQ4906" t="s">
        <v>24987</v>
      </c>
      <c r="AR4906" t="s">
        <v>24994</v>
      </c>
      <c r="AS4906">
        <v>4.55</v>
      </c>
      <c r="AT4906" t="s">
        <v>488</v>
      </c>
      <c r="AU4906" t="s">
        <v>292</v>
      </c>
      <c r="AV4906" t="s">
        <v>25335</v>
      </c>
      <c r="AW4906" t="s">
        <v>11447</v>
      </c>
    </row>
    <row r="4907" spans="1:49">
      <c r="A4907" s="1">
        <f>HYPERLINK("https://lsnyc.legalserver.org/matter/dynamic-profile/view/1908400","19-1908400")</f>
        <v>0</v>
      </c>
      <c r="B4907" t="s">
        <v>227</v>
      </c>
      <c r="C4907" t="s">
        <v>464</v>
      </c>
      <c r="E4907" t="s">
        <v>3358</v>
      </c>
      <c r="F4907" t="s">
        <v>3856</v>
      </c>
      <c r="G4907" t="s">
        <v>10034</v>
      </c>
      <c r="H4907" t="s">
        <v>10486</v>
      </c>
      <c r="I4907" t="s">
        <v>11387</v>
      </c>
      <c r="J4907">
        <v>11433</v>
      </c>
      <c r="K4907" t="s">
        <v>11446</v>
      </c>
      <c r="L4907" t="s">
        <v>14395</v>
      </c>
      <c r="M4907" t="s">
        <v>14743</v>
      </c>
      <c r="N4907" t="s">
        <v>14781</v>
      </c>
      <c r="P4907" t="s">
        <v>14807</v>
      </c>
      <c r="Q4907" t="s">
        <v>11448</v>
      </c>
      <c r="S4907" t="s">
        <v>14827</v>
      </c>
      <c r="T4907" t="s">
        <v>14832</v>
      </c>
      <c r="U4907" t="s">
        <v>464</v>
      </c>
      <c r="V4907">
        <v>1956</v>
      </c>
      <c r="W4907" t="s">
        <v>14861</v>
      </c>
      <c r="X4907" t="s">
        <v>14863</v>
      </c>
      <c r="Z4907" t="s">
        <v>18922</v>
      </c>
      <c r="AA4907">
        <v>9181731</v>
      </c>
      <c r="AB4907" t="s">
        <v>24131</v>
      </c>
      <c r="AC4907">
        <v>3</v>
      </c>
      <c r="AD4907" t="s">
        <v>24600</v>
      </c>
      <c r="AE4907" t="s">
        <v>24616</v>
      </c>
      <c r="AF4907">
        <v>1</v>
      </c>
      <c r="AG4907">
        <v>1</v>
      </c>
      <c r="AH4907">
        <v>5</v>
      </c>
      <c r="AI4907">
        <v>43.75</v>
      </c>
      <c r="AL4907" t="s">
        <v>5011</v>
      </c>
      <c r="AM4907">
        <v>15132</v>
      </c>
      <c r="AS4907">
        <v>34.73</v>
      </c>
      <c r="AT4907" t="s">
        <v>509</v>
      </c>
      <c r="AU4907" t="s">
        <v>25233</v>
      </c>
      <c r="AV4907" t="s">
        <v>25335</v>
      </c>
      <c r="AW4907" t="s">
        <v>11447</v>
      </c>
    </row>
    <row r="4908" spans="1:49">
      <c r="A4908" s="1">
        <f>HYPERLINK("https://lsnyc.legalserver.org/matter/dynamic-profile/view/1908433","19-1908433")</f>
        <v>0</v>
      </c>
      <c r="B4908" t="s">
        <v>122</v>
      </c>
      <c r="C4908" t="s">
        <v>464</v>
      </c>
      <c r="E4908" t="s">
        <v>1839</v>
      </c>
      <c r="F4908" t="s">
        <v>6022</v>
      </c>
      <c r="G4908" t="s">
        <v>10035</v>
      </c>
      <c r="I4908" t="s">
        <v>11387</v>
      </c>
      <c r="J4908">
        <v>11434</v>
      </c>
      <c r="K4908" t="s">
        <v>11446</v>
      </c>
      <c r="L4908" t="s">
        <v>14396</v>
      </c>
      <c r="M4908" t="s">
        <v>14743</v>
      </c>
      <c r="N4908" t="s">
        <v>14781</v>
      </c>
      <c r="P4908" t="s">
        <v>14807</v>
      </c>
      <c r="Q4908" t="s">
        <v>11448</v>
      </c>
      <c r="S4908" t="s">
        <v>14827</v>
      </c>
      <c r="T4908" t="s">
        <v>14832</v>
      </c>
      <c r="U4908" t="s">
        <v>464</v>
      </c>
      <c r="V4908">
        <v>825</v>
      </c>
      <c r="W4908" t="s">
        <v>14861</v>
      </c>
      <c r="X4908" t="s">
        <v>14863</v>
      </c>
      <c r="Z4908" t="s">
        <v>18011</v>
      </c>
      <c r="AB4908" t="s">
        <v>24132</v>
      </c>
      <c r="AC4908">
        <v>1</v>
      </c>
      <c r="AD4908" t="s">
        <v>11479</v>
      </c>
      <c r="AE4908" t="s">
        <v>11459</v>
      </c>
      <c r="AF4908">
        <v>-1</v>
      </c>
      <c r="AG4908">
        <v>1</v>
      </c>
      <c r="AH4908">
        <v>0</v>
      </c>
      <c r="AI4908">
        <v>56.04</v>
      </c>
      <c r="AL4908" t="s">
        <v>5011</v>
      </c>
      <c r="AM4908">
        <v>7000</v>
      </c>
      <c r="AO4908" t="s">
        <v>24930</v>
      </c>
      <c r="AP4908" t="s">
        <v>14755</v>
      </c>
      <c r="AQ4908" t="s">
        <v>24987</v>
      </c>
      <c r="AR4908" t="s">
        <v>25098</v>
      </c>
      <c r="AS4908">
        <v>6</v>
      </c>
      <c r="AT4908" t="s">
        <v>604</v>
      </c>
      <c r="AU4908" t="s">
        <v>292</v>
      </c>
      <c r="AV4908" t="s">
        <v>25335</v>
      </c>
      <c r="AW4908" t="s">
        <v>11447</v>
      </c>
    </row>
    <row r="4909" spans="1:49">
      <c r="A4909" s="1">
        <f>HYPERLINK("https://lsnyc.legalserver.org/matter/dynamic-profile/view/1908437","19-1908437")</f>
        <v>0</v>
      </c>
      <c r="B4909" t="s">
        <v>291</v>
      </c>
      <c r="C4909" t="s">
        <v>464</v>
      </c>
      <c r="E4909" t="s">
        <v>1206</v>
      </c>
      <c r="F4909" t="s">
        <v>3968</v>
      </c>
      <c r="G4909" t="s">
        <v>10036</v>
      </c>
      <c r="H4909" t="s">
        <v>10638</v>
      </c>
      <c r="I4909" t="s">
        <v>11388</v>
      </c>
      <c r="J4909">
        <v>11385</v>
      </c>
      <c r="K4909" t="s">
        <v>11446</v>
      </c>
      <c r="L4909" t="s">
        <v>14397</v>
      </c>
      <c r="M4909" t="s">
        <v>14743</v>
      </c>
      <c r="N4909" t="s">
        <v>14781</v>
      </c>
      <c r="P4909" t="s">
        <v>14807</v>
      </c>
      <c r="Q4909" t="s">
        <v>11448</v>
      </c>
      <c r="S4909" t="s">
        <v>14827</v>
      </c>
      <c r="T4909" t="s">
        <v>14833</v>
      </c>
      <c r="U4909" t="s">
        <v>464</v>
      </c>
      <c r="V4909">
        <v>1310</v>
      </c>
      <c r="W4909" t="s">
        <v>14861</v>
      </c>
      <c r="X4909" t="s">
        <v>14863</v>
      </c>
      <c r="Z4909" t="s">
        <v>18923</v>
      </c>
      <c r="AB4909" t="s">
        <v>24133</v>
      </c>
      <c r="AC4909">
        <v>5</v>
      </c>
      <c r="AD4909" t="s">
        <v>24595</v>
      </c>
      <c r="AE4909" t="s">
        <v>11459</v>
      </c>
      <c r="AF4909">
        <v>7</v>
      </c>
      <c r="AG4909">
        <v>1</v>
      </c>
      <c r="AH4909">
        <v>2</v>
      </c>
      <c r="AI4909">
        <v>76.89</v>
      </c>
      <c r="AL4909" t="s">
        <v>24632</v>
      </c>
      <c r="AM4909">
        <v>16400</v>
      </c>
      <c r="AS4909">
        <v>36.5</v>
      </c>
      <c r="AT4909" t="s">
        <v>495</v>
      </c>
      <c r="AU4909" t="s">
        <v>292</v>
      </c>
      <c r="AV4909" t="s">
        <v>25335</v>
      </c>
      <c r="AW4909" t="s">
        <v>11447</v>
      </c>
    </row>
    <row r="4910" spans="1:49">
      <c r="A4910" s="1">
        <f>HYPERLINK("https://lsnyc.legalserver.org/matter/dynamic-profile/view/1908421","19-1908421")</f>
        <v>0</v>
      </c>
      <c r="B4910" t="s">
        <v>271</v>
      </c>
      <c r="C4910" t="s">
        <v>464</v>
      </c>
      <c r="E4910" t="s">
        <v>3359</v>
      </c>
      <c r="F4910" t="s">
        <v>6023</v>
      </c>
      <c r="G4910" t="s">
        <v>10037</v>
      </c>
      <c r="H4910" t="s">
        <v>11309</v>
      </c>
      <c r="I4910" t="s">
        <v>11388</v>
      </c>
      <c r="J4910">
        <v>11385</v>
      </c>
      <c r="K4910" t="s">
        <v>11446</v>
      </c>
      <c r="L4910" t="s">
        <v>14398</v>
      </c>
      <c r="M4910" t="s">
        <v>14743</v>
      </c>
      <c r="N4910" t="s">
        <v>14781</v>
      </c>
      <c r="P4910" t="s">
        <v>14807</v>
      </c>
      <c r="Q4910" t="s">
        <v>11448</v>
      </c>
      <c r="S4910" t="s">
        <v>14827</v>
      </c>
      <c r="T4910" t="s">
        <v>14832</v>
      </c>
      <c r="U4910" t="s">
        <v>464</v>
      </c>
      <c r="V4910">
        <v>825</v>
      </c>
      <c r="W4910" t="s">
        <v>14861</v>
      </c>
      <c r="X4910" t="s">
        <v>14863</v>
      </c>
      <c r="Z4910" t="s">
        <v>16612</v>
      </c>
      <c r="AA4910" t="s">
        <v>11459</v>
      </c>
      <c r="AB4910" t="s">
        <v>24134</v>
      </c>
      <c r="AC4910">
        <v>2</v>
      </c>
      <c r="AD4910" t="s">
        <v>24600</v>
      </c>
      <c r="AE4910" t="s">
        <v>11459</v>
      </c>
      <c r="AF4910">
        <v>1</v>
      </c>
      <c r="AG4910">
        <v>1</v>
      </c>
      <c r="AH4910">
        <v>0</v>
      </c>
      <c r="AI4910">
        <v>192.15</v>
      </c>
      <c r="AL4910" t="s">
        <v>24639</v>
      </c>
      <c r="AM4910">
        <v>24000</v>
      </c>
      <c r="AS4910">
        <v>7.13</v>
      </c>
      <c r="AT4910" t="s">
        <v>516</v>
      </c>
      <c r="AU4910" t="s">
        <v>25233</v>
      </c>
      <c r="AV4910" t="s">
        <v>25335</v>
      </c>
      <c r="AW4910" t="s">
        <v>11447</v>
      </c>
    </row>
    <row r="4911" spans="1:49">
      <c r="A4911" s="1">
        <f>HYPERLINK("https://lsnyc.legalserver.org/matter/dynamic-profile/view/1908546","19-1908546")</f>
        <v>0</v>
      </c>
      <c r="B4911" t="s">
        <v>291</v>
      </c>
      <c r="C4911" t="s">
        <v>466</v>
      </c>
      <c r="E4911" t="s">
        <v>1417</v>
      </c>
      <c r="F4911" t="s">
        <v>6024</v>
      </c>
      <c r="G4911" t="s">
        <v>10038</v>
      </c>
      <c r="H4911" t="s">
        <v>10646</v>
      </c>
      <c r="I4911" t="s">
        <v>11387</v>
      </c>
      <c r="J4911">
        <v>11434</v>
      </c>
      <c r="K4911" t="s">
        <v>11446</v>
      </c>
      <c r="L4911" t="s">
        <v>14399</v>
      </c>
      <c r="M4911" t="s">
        <v>14743</v>
      </c>
      <c r="N4911" t="s">
        <v>14781</v>
      </c>
      <c r="P4911" t="s">
        <v>14807</v>
      </c>
      <c r="Q4911" t="s">
        <v>11448</v>
      </c>
      <c r="S4911" t="s">
        <v>14827</v>
      </c>
      <c r="U4911" t="s">
        <v>466</v>
      </c>
      <c r="V4911">
        <v>1213</v>
      </c>
      <c r="W4911" t="s">
        <v>14861</v>
      </c>
      <c r="X4911" t="s">
        <v>14863</v>
      </c>
      <c r="Z4911" t="s">
        <v>18924</v>
      </c>
      <c r="AB4911" t="s">
        <v>19344</v>
      </c>
      <c r="AC4911">
        <v>2</v>
      </c>
      <c r="AD4911" t="s">
        <v>11479</v>
      </c>
      <c r="AE4911" t="s">
        <v>24612</v>
      </c>
      <c r="AF4911">
        <v>2</v>
      </c>
      <c r="AG4911">
        <v>1</v>
      </c>
      <c r="AH4911">
        <v>0</v>
      </c>
      <c r="AI4911">
        <v>0</v>
      </c>
      <c r="AL4911" t="s">
        <v>5011</v>
      </c>
      <c r="AM4911">
        <v>0</v>
      </c>
      <c r="AS4911">
        <v>47</v>
      </c>
      <c r="AT4911" t="s">
        <v>645</v>
      </c>
      <c r="AU4911" t="s">
        <v>292</v>
      </c>
      <c r="AV4911" t="s">
        <v>25335</v>
      </c>
      <c r="AW4911" t="s">
        <v>11447</v>
      </c>
    </row>
    <row r="4912" spans="1:49">
      <c r="A4912" s="1">
        <f>HYPERLINK("https://lsnyc.legalserver.org/matter/dynamic-profile/view/1908555","19-1908555")</f>
        <v>0</v>
      </c>
      <c r="B4912" t="s">
        <v>271</v>
      </c>
      <c r="C4912" t="s">
        <v>466</v>
      </c>
      <c r="E4912" t="s">
        <v>3360</v>
      </c>
      <c r="F4912" t="s">
        <v>6025</v>
      </c>
      <c r="G4912" t="s">
        <v>10039</v>
      </c>
      <c r="H4912" t="s">
        <v>10677</v>
      </c>
      <c r="I4912" t="s">
        <v>11395</v>
      </c>
      <c r="J4912">
        <v>11373</v>
      </c>
      <c r="K4912" t="s">
        <v>11446</v>
      </c>
      <c r="L4912" t="s">
        <v>14400</v>
      </c>
      <c r="M4912" t="s">
        <v>14744</v>
      </c>
      <c r="N4912" t="s">
        <v>14781</v>
      </c>
      <c r="P4912" t="s">
        <v>14807</v>
      </c>
      <c r="Q4912" t="s">
        <v>11448</v>
      </c>
      <c r="S4912" t="s">
        <v>14827</v>
      </c>
      <c r="T4912" t="s">
        <v>14832</v>
      </c>
      <c r="U4912" t="s">
        <v>466</v>
      </c>
      <c r="V4912">
        <v>802.47</v>
      </c>
      <c r="W4912" t="s">
        <v>14861</v>
      </c>
      <c r="X4912" t="s">
        <v>14863</v>
      </c>
      <c r="Z4912" t="s">
        <v>18925</v>
      </c>
      <c r="AB4912" t="s">
        <v>19344</v>
      </c>
      <c r="AC4912">
        <v>70</v>
      </c>
      <c r="AD4912" t="s">
        <v>24595</v>
      </c>
      <c r="AE4912" t="s">
        <v>11459</v>
      </c>
      <c r="AF4912">
        <v>41</v>
      </c>
      <c r="AG4912">
        <v>2</v>
      </c>
      <c r="AH4912">
        <v>2</v>
      </c>
      <c r="AI4912">
        <v>79.22</v>
      </c>
      <c r="AL4912" t="s">
        <v>5011</v>
      </c>
      <c r="AM4912">
        <v>20400</v>
      </c>
      <c r="AS4912">
        <v>11.2</v>
      </c>
      <c r="AT4912" t="s">
        <v>505</v>
      </c>
      <c r="AU4912" t="s">
        <v>292</v>
      </c>
      <c r="AV4912" t="s">
        <v>25335</v>
      </c>
      <c r="AW4912" t="s">
        <v>11447</v>
      </c>
    </row>
    <row r="4913" spans="1:49">
      <c r="A4913" s="1">
        <f>HYPERLINK("https://lsnyc.legalserver.org/matter/dynamic-profile/view/1908551","19-1908551")</f>
        <v>0</v>
      </c>
      <c r="B4913" t="s">
        <v>248</v>
      </c>
      <c r="C4913" t="s">
        <v>466</v>
      </c>
      <c r="E4913" t="s">
        <v>2375</v>
      </c>
      <c r="F4913" t="s">
        <v>6026</v>
      </c>
      <c r="G4913" t="s">
        <v>10040</v>
      </c>
      <c r="H4913" t="s">
        <v>10522</v>
      </c>
      <c r="I4913" t="s">
        <v>11395</v>
      </c>
      <c r="J4913">
        <v>11373</v>
      </c>
      <c r="K4913" t="s">
        <v>11446</v>
      </c>
      <c r="L4913" t="s">
        <v>14401</v>
      </c>
      <c r="M4913" t="s">
        <v>14743</v>
      </c>
      <c r="N4913" t="s">
        <v>14781</v>
      </c>
      <c r="P4913" t="s">
        <v>14807</v>
      </c>
      <c r="Q4913" t="s">
        <v>11448</v>
      </c>
      <c r="S4913" t="s">
        <v>14827</v>
      </c>
      <c r="T4913" t="s">
        <v>14832</v>
      </c>
      <c r="U4913" t="s">
        <v>466</v>
      </c>
      <c r="V4913">
        <v>1950</v>
      </c>
      <c r="W4913" t="s">
        <v>14861</v>
      </c>
      <c r="X4913" t="s">
        <v>14863</v>
      </c>
      <c r="Z4913" t="s">
        <v>18926</v>
      </c>
      <c r="AB4913" t="s">
        <v>24135</v>
      </c>
      <c r="AC4913">
        <v>0</v>
      </c>
      <c r="AF4913">
        <v>8</v>
      </c>
      <c r="AG4913">
        <v>2</v>
      </c>
      <c r="AH4913">
        <v>1</v>
      </c>
      <c r="AI4913">
        <v>92.64</v>
      </c>
      <c r="AL4913" t="s">
        <v>5011</v>
      </c>
      <c r="AM4913">
        <v>19760</v>
      </c>
      <c r="AO4913" t="s">
        <v>24932</v>
      </c>
      <c r="AP4913" t="s">
        <v>24943</v>
      </c>
      <c r="AQ4913" t="s">
        <v>24987</v>
      </c>
      <c r="AR4913" t="s">
        <v>25024</v>
      </c>
      <c r="AS4913">
        <v>6.1</v>
      </c>
      <c r="AT4913" t="s">
        <v>551</v>
      </c>
      <c r="AU4913" t="s">
        <v>25233</v>
      </c>
      <c r="AV4913" t="s">
        <v>25335</v>
      </c>
      <c r="AW4913" t="s">
        <v>11447</v>
      </c>
    </row>
    <row r="4914" spans="1:49">
      <c r="A4914" s="1">
        <f>HYPERLINK("https://lsnyc.legalserver.org/matter/dynamic-profile/view/1908543","19-1908543")</f>
        <v>0</v>
      </c>
      <c r="B4914" t="s">
        <v>147</v>
      </c>
      <c r="C4914" t="s">
        <v>466</v>
      </c>
      <c r="E4914" t="s">
        <v>1444</v>
      </c>
      <c r="F4914" t="s">
        <v>6027</v>
      </c>
      <c r="G4914" t="s">
        <v>10041</v>
      </c>
      <c r="H4914" t="s">
        <v>10610</v>
      </c>
      <c r="I4914" t="s">
        <v>11400</v>
      </c>
      <c r="J4914">
        <v>11385</v>
      </c>
      <c r="K4914" t="s">
        <v>11446</v>
      </c>
      <c r="L4914" t="s">
        <v>14402</v>
      </c>
      <c r="M4914" t="s">
        <v>14743</v>
      </c>
      <c r="N4914" t="s">
        <v>14781</v>
      </c>
      <c r="P4914" t="s">
        <v>14807</v>
      </c>
      <c r="Q4914" t="s">
        <v>11448</v>
      </c>
      <c r="S4914" t="s">
        <v>14827</v>
      </c>
      <c r="U4914" t="s">
        <v>466</v>
      </c>
      <c r="V4914">
        <v>800</v>
      </c>
      <c r="W4914" t="s">
        <v>14861</v>
      </c>
      <c r="X4914" t="s">
        <v>14863</v>
      </c>
      <c r="Z4914" t="s">
        <v>18927</v>
      </c>
      <c r="AB4914" t="s">
        <v>24136</v>
      </c>
      <c r="AC4914">
        <v>4</v>
      </c>
      <c r="AD4914" t="s">
        <v>11479</v>
      </c>
      <c r="AE4914" t="s">
        <v>11459</v>
      </c>
      <c r="AF4914">
        <v>1</v>
      </c>
      <c r="AG4914">
        <v>2</v>
      </c>
      <c r="AH4914">
        <v>0</v>
      </c>
      <c r="AI4914">
        <v>106.45</v>
      </c>
      <c r="AL4914" t="s">
        <v>24663</v>
      </c>
      <c r="AM4914">
        <v>18000</v>
      </c>
      <c r="AS4914">
        <v>5.8</v>
      </c>
      <c r="AT4914" t="s">
        <v>578</v>
      </c>
      <c r="AU4914" t="s">
        <v>292</v>
      </c>
      <c r="AV4914" t="s">
        <v>25335</v>
      </c>
      <c r="AW4914" t="s">
        <v>11447</v>
      </c>
    </row>
    <row r="4915" spans="1:49">
      <c r="A4915" s="1">
        <f>HYPERLINK("https://lsnyc.legalserver.org/matter/dynamic-profile/view/1908600","19-1908600")</f>
        <v>0</v>
      </c>
      <c r="B4915" t="s">
        <v>138</v>
      </c>
      <c r="C4915" t="s">
        <v>497</v>
      </c>
      <c r="E4915" t="s">
        <v>1241</v>
      </c>
      <c r="F4915" t="s">
        <v>6028</v>
      </c>
      <c r="G4915" t="s">
        <v>10042</v>
      </c>
      <c r="H4915" t="s">
        <v>10506</v>
      </c>
      <c r="I4915" t="s">
        <v>11388</v>
      </c>
      <c r="J4915">
        <v>11385</v>
      </c>
      <c r="K4915" t="s">
        <v>11446</v>
      </c>
      <c r="L4915" t="s">
        <v>14403</v>
      </c>
      <c r="M4915" t="s">
        <v>14743</v>
      </c>
      <c r="N4915" t="s">
        <v>14781</v>
      </c>
      <c r="P4915" t="s">
        <v>14807</v>
      </c>
      <c r="Q4915" t="s">
        <v>11448</v>
      </c>
      <c r="S4915" t="s">
        <v>14827</v>
      </c>
      <c r="T4915" t="s">
        <v>14832</v>
      </c>
      <c r="U4915" t="s">
        <v>497</v>
      </c>
      <c r="V4915">
        <v>873</v>
      </c>
      <c r="W4915" t="s">
        <v>14861</v>
      </c>
      <c r="X4915" t="s">
        <v>14868</v>
      </c>
      <c r="Z4915" t="s">
        <v>18928</v>
      </c>
      <c r="AB4915" t="s">
        <v>24137</v>
      </c>
      <c r="AC4915">
        <v>6</v>
      </c>
      <c r="AD4915" t="s">
        <v>24595</v>
      </c>
      <c r="AE4915" t="s">
        <v>11459</v>
      </c>
      <c r="AF4915">
        <v>31</v>
      </c>
      <c r="AG4915">
        <v>2</v>
      </c>
      <c r="AH4915">
        <v>0</v>
      </c>
      <c r="AI4915">
        <v>0</v>
      </c>
      <c r="AL4915" t="s">
        <v>5011</v>
      </c>
      <c r="AM4915">
        <v>0</v>
      </c>
      <c r="AS4915">
        <v>13.5</v>
      </c>
      <c r="AT4915" t="s">
        <v>515</v>
      </c>
      <c r="AU4915" t="s">
        <v>292</v>
      </c>
      <c r="AV4915" t="s">
        <v>25335</v>
      </c>
      <c r="AW4915" t="s">
        <v>11447</v>
      </c>
    </row>
    <row r="4916" spans="1:49">
      <c r="A4916" s="1">
        <f>HYPERLINK("https://lsnyc.legalserver.org/matter/dynamic-profile/view/1902180","19-1902180")</f>
        <v>0</v>
      </c>
      <c r="B4916" t="s">
        <v>290</v>
      </c>
      <c r="C4916" t="s">
        <v>538</v>
      </c>
      <c r="E4916" t="s">
        <v>1610</v>
      </c>
      <c r="F4916" t="s">
        <v>3000</v>
      </c>
      <c r="G4916" t="s">
        <v>10043</v>
      </c>
      <c r="I4916" t="s">
        <v>11387</v>
      </c>
      <c r="J4916">
        <v>11434</v>
      </c>
      <c r="K4916" t="s">
        <v>11446</v>
      </c>
      <c r="L4916" t="s">
        <v>14404</v>
      </c>
      <c r="M4916" t="s">
        <v>14743</v>
      </c>
      <c r="N4916" t="s">
        <v>14781</v>
      </c>
      <c r="P4916" t="s">
        <v>14807</v>
      </c>
      <c r="Q4916" t="s">
        <v>11448</v>
      </c>
      <c r="S4916" t="s">
        <v>14827</v>
      </c>
      <c r="T4916" t="s">
        <v>14832</v>
      </c>
      <c r="U4916" t="s">
        <v>410</v>
      </c>
      <c r="V4916">
        <v>1600</v>
      </c>
      <c r="W4916" t="s">
        <v>14861</v>
      </c>
      <c r="X4916" t="s">
        <v>14863</v>
      </c>
      <c r="Z4916" t="s">
        <v>17357</v>
      </c>
      <c r="AB4916" t="s">
        <v>24138</v>
      </c>
      <c r="AC4916">
        <v>2</v>
      </c>
      <c r="AD4916" t="s">
        <v>24600</v>
      </c>
      <c r="AE4916" t="s">
        <v>11459</v>
      </c>
      <c r="AF4916">
        <v>5</v>
      </c>
      <c r="AG4916">
        <v>1</v>
      </c>
      <c r="AH4916">
        <v>0</v>
      </c>
      <c r="AI4916">
        <v>177.74</v>
      </c>
      <c r="AL4916" t="s">
        <v>5011</v>
      </c>
      <c r="AM4916">
        <v>22200</v>
      </c>
      <c r="AS4916">
        <v>14.1</v>
      </c>
      <c r="AT4916" t="s">
        <v>495</v>
      </c>
      <c r="AU4916" t="s">
        <v>25229</v>
      </c>
      <c r="AV4916" t="s">
        <v>25335</v>
      </c>
      <c r="AW4916" t="s">
        <v>11447</v>
      </c>
    </row>
    <row r="4917" spans="1:49">
      <c r="A4917" s="1">
        <f>HYPERLINK("https://lsnyc.legalserver.org/matter/dynamic-profile/view/1908810","19-1908810")</f>
        <v>0</v>
      </c>
      <c r="B4917" t="s">
        <v>147</v>
      </c>
      <c r="C4917" t="s">
        <v>585</v>
      </c>
      <c r="E4917" t="s">
        <v>1210</v>
      </c>
      <c r="F4917" t="s">
        <v>4728</v>
      </c>
      <c r="G4917" t="s">
        <v>10044</v>
      </c>
      <c r="I4917" t="s">
        <v>11395</v>
      </c>
      <c r="J4917">
        <v>11373</v>
      </c>
      <c r="K4917" t="s">
        <v>11446</v>
      </c>
      <c r="L4917" t="s">
        <v>14405</v>
      </c>
      <c r="M4917" t="s">
        <v>14744</v>
      </c>
      <c r="N4917" t="s">
        <v>14781</v>
      </c>
      <c r="P4917" t="s">
        <v>14807</v>
      </c>
      <c r="Q4917" t="s">
        <v>11448</v>
      </c>
      <c r="S4917" t="s">
        <v>14827</v>
      </c>
      <c r="U4917" t="s">
        <v>585</v>
      </c>
      <c r="V4917">
        <v>934.1799999999999</v>
      </c>
      <c r="W4917" t="s">
        <v>14861</v>
      </c>
      <c r="X4917" t="s">
        <v>14863</v>
      </c>
      <c r="Z4917" t="s">
        <v>17977</v>
      </c>
      <c r="AB4917" t="s">
        <v>24139</v>
      </c>
      <c r="AC4917">
        <v>72</v>
      </c>
      <c r="AD4917" t="s">
        <v>24595</v>
      </c>
      <c r="AE4917" t="s">
        <v>11459</v>
      </c>
      <c r="AF4917">
        <v>26</v>
      </c>
      <c r="AG4917">
        <v>2</v>
      </c>
      <c r="AH4917">
        <v>0</v>
      </c>
      <c r="AI4917">
        <v>81.61</v>
      </c>
      <c r="AL4917" t="s">
        <v>24632</v>
      </c>
      <c r="AM4917">
        <v>13800</v>
      </c>
      <c r="AS4917">
        <v>22</v>
      </c>
      <c r="AT4917" t="s">
        <v>516</v>
      </c>
      <c r="AU4917" t="s">
        <v>292</v>
      </c>
      <c r="AV4917" t="s">
        <v>25335</v>
      </c>
      <c r="AW4917" t="s">
        <v>11447</v>
      </c>
    </row>
    <row r="4918" spans="1:49">
      <c r="A4918" s="1">
        <f>HYPERLINK("https://lsnyc.legalserver.org/matter/dynamic-profile/view/1908800","19-1908800")</f>
        <v>0</v>
      </c>
      <c r="B4918" t="s">
        <v>147</v>
      </c>
      <c r="C4918" t="s">
        <v>585</v>
      </c>
      <c r="E4918" t="s">
        <v>3361</v>
      </c>
      <c r="F4918" t="s">
        <v>6029</v>
      </c>
      <c r="G4918" t="s">
        <v>10045</v>
      </c>
      <c r="H4918" t="s">
        <v>10542</v>
      </c>
      <c r="I4918" t="s">
        <v>11395</v>
      </c>
      <c r="J4918">
        <v>11373</v>
      </c>
      <c r="K4918" t="s">
        <v>11446</v>
      </c>
      <c r="L4918" t="s">
        <v>14406</v>
      </c>
      <c r="M4918" t="s">
        <v>14744</v>
      </c>
      <c r="N4918" t="s">
        <v>14781</v>
      </c>
      <c r="P4918" t="s">
        <v>14807</v>
      </c>
      <c r="Q4918" t="s">
        <v>11448</v>
      </c>
      <c r="S4918" t="s">
        <v>14827</v>
      </c>
      <c r="U4918" t="s">
        <v>585</v>
      </c>
      <c r="V4918">
        <v>1147</v>
      </c>
      <c r="W4918" t="s">
        <v>14861</v>
      </c>
      <c r="X4918" t="s">
        <v>14868</v>
      </c>
      <c r="Z4918" t="s">
        <v>18929</v>
      </c>
      <c r="AA4918" t="s">
        <v>20061</v>
      </c>
      <c r="AB4918" t="s">
        <v>24140</v>
      </c>
      <c r="AC4918">
        <v>20</v>
      </c>
      <c r="AD4918" t="s">
        <v>24595</v>
      </c>
      <c r="AE4918" t="s">
        <v>11459</v>
      </c>
      <c r="AF4918">
        <v>15</v>
      </c>
      <c r="AG4918">
        <v>1</v>
      </c>
      <c r="AH4918">
        <v>1</v>
      </c>
      <c r="AI4918">
        <v>97.58</v>
      </c>
      <c r="AL4918" t="s">
        <v>24632</v>
      </c>
      <c r="AM4918">
        <v>16500</v>
      </c>
      <c r="AS4918">
        <v>22.95</v>
      </c>
      <c r="AT4918" t="s">
        <v>592</v>
      </c>
      <c r="AU4918" t="s">
        <v>292</v>
      </c>
      <c r="AV4918" t="s">
        <v>25335</v>
      </c>
      <c r="AW4918" t="s">
        <v>11447</v>
      </c>
    </row>
    <row r="4919" spans="1:49">
      <c r="A4919" s="1">
        <f>HYPERLINK("https://lsnyc.legalserver.org/matter/dynamic-profile/view/1902138","19-1902138")</f>
        <v>0</v>
      </c>
      <c r="B4919" t="s">
        <v>248</v>
      </c>
      <c r="C4919" t="s">
        <v>538</v>
      </c>
      <c r="E4919" t="s">
        <v>1181</v>
      </c>
      <c r="F4919" t="s">
        <v>4368</v>
      </c>
      <c r="G4919" t="s">
        <v>10046</v>
      </c>
      <c r="H4919" t="s">
        <v>10509</v>
      </c>
      <c r="I4919" t="s">
        <v>11387</v>
      </c>
      <c r="J4919">
        <v>11433</v>
      </c>
      <c r="K4919" t="s">
        <v>11446</v>
      </c>
      <c r="L4919" t="s">
        <v>14407</v>
      </c>
      <c r="M4919" t="s">
        <v>14744</v>
      </c>
      <c r="N4919" t="s">
        <v>14781</v>
      </c>
      <c r="P4919" t="s">
        <v>14807</v>
      </c>
      <c r="S4919" t="s">
        <v>14828</v>
      </c>
      <c r="U4919" t="s">
        <v>585</v>
      </c>
      <c r="V4919">
        <v>491</v>
      </c>
      <c r="W4919" t="s">
        <v>14861</v>
      </c>
      <c r="X4919" t="s">
        <v>14863</v>
      </c>
      <c r="Z4919" t="s">
        <v>18930</v>
      </c>
      <c r="AA4919" t="s">
        <v>11459</v>
      </c>
      <c r="AC4919">
        <v>0</v>
      </c>
      <c r="AD4919" t="s">
        <v>24597</v>
      </c>
      <c r="AE4919" t="s">
        <v>11459</v>
      </c>
      <c r="AF4919">
        <v>0</v>
      </c>
      <c r="AG4919">
        <v>2</v>
      </c>
      <c r="AH4919">
        <v>2</v>
      </c>
      <c r="AI4919">
        <v>116.5</v>
      </c>
      <c r="AL4919" t="s">
        <v>5011</v>
      </c>
      <c r="AM4919">
        <v>30000</v>
      </c>
      <c r="AS4919">
        <v>9.35</v>
      </c>
      <c r="AT4919" t="s">
        <v>574</v>
      </c>
      <c r="AU4919" t="s">
        <v>25233</v>
      </c>
      <c r="AV4919" t="s">
        <v>25335</v>
      </c>
      <c r="AW4919" t="s">
        <v>11447</v>
      </c>
    </row>
    <row r="4920" spans="1:49">
      <c r="A4920" s="1">
        <f>HYPERLINK("https://lsnyc.legalserver.org/matter/dynamic-profile/view/1908984","19-1908984")</f>
        <v>0</v>
      </c>
      <c r="B4920" t="s">
        <v>271</v>
      </c>
      <c r="C4920" t="s">
        <v>640</v>
      </c>
      <c r="E4920" t="s">
        <v>3362</v>
      </c>
      <c r="F4920" t="s">
        <v>6030</v>
      </c>
      <c r="G4920" t="s">
        <v>9995</v>
      </c>
      <c r="H4920" t="s">
        <v>10559</v>
      </c>
      <c r="I4920" t="s">
        <v>11387</v>
      </c>
      <c r="J4920">
        <v>11434</v>
      </c>
      <c r="K4920" t="s">
        <v>11446</v>
      </c>
      <c r="L4920" t="s">
        <v>14408</v>
      </c>
      <c r="M4920" t="s">
        <v>14744</v>
      </c>
      <c r="N4920" t="s">
        <v>14778</v>
      </c>
      <c r="P4920" t="s">
        <v>14807</v>
      </c>
      <c r="Q4920" t="s">
        <v>11448</v>
      </c>
      <c r="S4920" t="s">
        <v>14828</v>
      </c>
      <c r="U4920" t="s">
        <v>640</v>
      </c>
      <c r="V4920">
        <v>253</v>
      </c>
      <c r="W4920" t="s">
        <v>14861</v>
      </c>
      <c r="X4920" t="s">
        <v>14865</v>
      </c>
      <c r="Z4920" t="s">
        <v>18931</v>
      </c>
      <c r="AB4920" t="s">
        <v>24141</v>
      </c>
      <c r="AC4920">
        <v>49</v>
      </c>
      <c r="AD4920" t="s">
        <v>24597</v>
      </c>
      <c r="AE4920" t="s">
        <v>11459</v>
      </c>
      <c r="AF4920">
        <v>14</v>
      </c>
      <c r="AG4920">
        <v>1</v>
      </c>
      <c r="AH4920">
        <v>2</v>
      </c>
      <c r="AI4920">
        <v>0</v>
      </c>
      <c r="AL4920" t="s">
        <v>5011</v>
      </c>
      <c r="AM4920">
        <v>0</v>
      </c>
      <c r="AS4920">
        <v>2.65</v>
      </c>
      <c r="AT4920" t="s">
        <v>586</v>
      </c>
      <c r="AU4920" t="s">
        <v>292</v>
      </c>
      <c r="AV4920" t="s">
        <v>25335</v>
      </c>
      <c r="AW4920" t="s">
        <v>11447</v>
      </c>
    </row>
    <row r="4921" spans="1:49">
      <c r="A4921" s="1">
        <f>HYPERLINK("https://lsnyc.legalserver.org/matter/dynamic-profile/view/1908944","19-1908944")</f>
        <v>0</v>
      </c>
      <c r="B4921" t="s">
        <v>179</v>
      </c>
      <c r="C4921" t="s">
        <v>640</v>
      </c>
      <c r="E4921" t="s">
        <v>3363</v>
      </c>
      <c r="F4921" t="s">
        <v>3972</v>
      </c>
      <c r="G4921" t="s">
        <v>8602</v>
      </c>
      <c r="H4921" t="s">
        <v>10665</v>
      </c>
      <c r="I4921" t="s">
        <v>11387</v>
      </c>
      <c r="J4921">
        <v>11434</v>
      </c>
      <c r="K4921" t="s">
        <v>11446</v>
      </c>
      <c r="L4921" t="s">
        <v>14409</v>
      </c>
      <c r="M4921" t="s">
        <v>14744</v>
      </c>
      <c r="N4921" t="s">
        <v>14781</v>
      </c>
      <c r="P4921" t="s">
        <v>14807</v>
      </c>
      <c r="Q4921" t="s">
        <v>11448</v>
      </c>
      <c r="S4921" t="s">
        <v>14828</v>
      </c>
      <c r="U4921" t="s">
        <v>640</v>
      </c>
      <c r="V4921">
        <v>742</v>
      </c>
      <c r="W4921" t="s">
        <v>14861</v>
      </c>
      <c r="X4921" t="s">
        <v>14863</v>
      </c>
      <c r="Z4921" t="s">
        <v>18932</v>
      </c>
      <c r="AB4921" t="s">
        <v>24142</v>
      </c>
      <c r="AC4921">
        <v>0</v>
      </c>
      <c r="AD4921" t="s">
        <v>24597</v>
      </c>
      <c r="AE4921" t="s">
        <v>11459</v>
      </c>
      <c r="AF4921">
        <v>8</v>
      </c>
      <c r="AG4921">
        <v>1</v>
      </c>
      <c r="AH4921">
        <v>1</v>
      </c>
      <c r="AI4921">
        <v>212.45</v>
      </c>
      <c r="AJ4921" t="s">
        <v>519</v>
      </c>
      <c r="AK4921" t="s">
        <v>24629</v>
      </c>
      <c r="AL4921" t="s">
        <v>5011</v>
      </c>
      <c r="AM4921">
        <v>35925</v>
      </c>
      <c r="AS4921">
        <v>9.5</v>
      </c>
      <c r="AT4921" t="s">
        <v>592</v>
      </c>
      <c r="AU4921" t="s">
        <v>292</v>
      </c>
      <c r="AV4921" t="s">
        <v>25335</v>
      </c>
      <c r="AW4921" t="s">
        <v>11447</v>
      </c>
    </row>
    <row r="4922" spans="1:49">
      <c r="A4922" s="1">
        <f>HYPERLINK("https://lsnyc.legalserver.org/matter/dynamic-profile/view/1901047","19-1901047")</f>
        <v>0</v>
      </c>
      <c r="B4922" t="s">
        <v>138</v>
      </c>
      <c r="C4922" t="s">
        <v>530</v>
      </c>
      <c r="E4922" t="s">
        <v>1552</v>
      </c>
      <c r="F4922" t="s">
        <v>6031</v>
      </c>
      <c r="G4922" t="s">
        <v>10047</v>
      </c>
      <c r="H4922" t="s">
        <v>11310</v>
      </c>
      <c r="I4922" t="s">
        <v>11387</v>
      </c>
      <c r="J4922">
        <v>11434</v>
      </c>
      <c r="K4922" t="s">
        <v>11446</v>
      </c>
      <c r="L4922" t="s">
        <v>14410</v>
      </c>
      <c r="M4922" t="s">
        <v>14743</v>
      </c>
      <c r="N4922" t="s">
        <v>14781</v>
      </c>
      <c r="P4922" t="s">
        <v>14807</v>
      </c>
      <c r="Q4922" t="s">
        <v>11448</v>
      </c>
      <c r="S4922" t="s">
        <v>14827</v>
      </c>
      <c r="T4922" t="s">
        <v>14832</v>
      </c>
      <c r="U4922" t="s">
        <v>462</v>
      </c>
      <c r="V4922">
        <v>1400</v>
      </c>
      <c r="W4922" t="s">
        <v>14861</v>
      </c>
      <c r="X4922" t="s">
        <v>14865</v>
      </c>
      <c r="Z4922" t="s">
        <v>18933</v>
      </c>
      <c r="AB4922" t="s">
        <v>24143</v>
      </c>
      <c r="AC4922">
        <v>2</v>
      </c>
      <c r="AD4922" t="s">
        <v>24600</v>
      </c>
      <c r="AE4922" t="s">
        <v>11459</v>
      </c>
      <c r="AF4922">
        <v>1</v>
      </c>
      <c r="AG4922">
        <v>2</v>
      </c>
      <c r="AH4922">
        <v>0</v>
      </c>
      <c r="AI4922">
        <v>0</v>
      </c>
      <c r="AL4922" t="s">
        <v>5011</v>
      </c>
      <c r="AM4922">
        <v>0</v>
      </c>
      <c r="AS4922">
        <v>48.05</v>
      </c>
      <c r="AT4922" t="s">
        <v>468</v>
      </c>
      <c r="AU4922" t="s">
        <v>99</v>
      </c>
      <c r="AV4922" t="s">
        <v>25335</v>
      </c>
      <c r="AW4922" t="s">
        <v>11447</v>
      </c>
    </row>
    <row r="4923" spans="1:49">
      <c r="A4923" s="1">
        <f>HYPERLINK("https://lsnyc.legalserver.org/matter/dynamic-profile/view/1906783","19-1906783")</f>
        <v>0</v>
      </c>
      <c r="B4923" t="s">
        <v>271</v>
      </c>
      <c r="C4923" t="s">
        <v>620</v>
      </c>
      <c r="E4923" t="s">
        <v>1247</v>
      </c>
      <c r="F4923" t="s">
        <v>3709</v>
      </c>
      <c r="G4923" t="s">
        <v>10048</v>
      </c>
      <c r="I4923" t="s">
        <v>11387</v>
      </c>
      <c r="J4923">
        <v>11433</v>
      </c>
      <c r="K4923" t="s">
        <v>11448</v>
      </c>
      <c r="L4923" t="s">
        <v>14411</v>
      </c>
      <c r="M4923" t="s">
        <v>14743</v>
      </c>
      <c r="N4923" t="s">
        <v>14781</v>
      </c>
      <c r="P4923" t="s">
        <v>14807</v>
      </c>
      <c r="Q4923" t="s">
        <v>11448</v>
      </c>
      <c r="S4923" t="s">
        <v>14827</v>
      </c>
      <c r="T4923" t="s">
        <v>14832</v>
      </c>
      <c r="U4923" t="s">
        <v>412</v>
      </c>
      <c r="V4923">
        <v>0</v>
      </c>
      <c r="W4923" t="s">
        <v>14861</v>
      </c>
      <c r="X4923" t="s">
        <v>14867</v>
      </c>
      <c r="Z4923" t="s">
        <v>15248</v>
      </c>
      <c r="AB4923" t="s">
        <v>24144</v>
      </c>
      <c r="AC4923">
        <v>2</v>
      </c>
      <c r="AD4923" t="s">
        <v>24600</v>
      </c>
      <c r="AE4923" t="s">
        <v>11459</v>
      </c>
      <c r="AF4923">
        <v>11</v>
      </c>
      <c r="AG4923">
        <v>1</v>
      </c>
      <c r="AH4923">
        <v>0</v>
      </c>
      <c r="AI4923">
        <v>124.9</v>
      </c>
      <c r="AL4923" t="s">
        <v>5011</v>
      </c>
      <c r="AM4923">
        <v>15600</v>
      </c>
      <c r="AS4923">
        <v>16.4</v>
      </c>
      <c r="AT4923" t="s">
        <v>516</v>
      </c>
      <c r="AU4923" t="s">
        <v>25229</v>
      </c>
      <c r="AV4923" t="s">
        <v>25335</v>
      </c>
      <c r="AW4923" t="s">
        <v>11447</v>
      </c>
    </row>
    <row r="4924" spans="1:49">
      <c r="A4924" s="1">
        <f>HYPERLINK("https://lsnyc.legalserver.org/matter/dynamic-profile/view/1909528","19-1909528")</f>
        <v>0</v>
      </c>
      <c r="B4924" t="s">
        <v>248</v>
      </c>
      <c r="C4924" t="s">
        <v>488</v>
      </c>
      <c r="E4924" t="s">
        <v>1330</v>
      </c>
      <c r="F4924" t="s">
        <v>3823</v>
      </c>
      <c r="G4924" t="s">
        <v>10049</v>
      </c>
      <c r="H4924">
        <v>2</v>
      </c>
      <c r="I4924" t="s">
        <v>11387</v>
      </c>
      <c r="J4924">
        <v>11433</v>
      </c>
      <c r="K4924" t="s">
        <v>11446</v>
      </c>
      <c r="L4924" t="s">
        <v>14412</v>
      </c>
      <c r="M4924" t="s">
        <v>14743</v>
      </c>
      <c r="N4924" t="s">
        <v>14781</v>
      </c>
      <c r="P4924" t="s">
        <v>14807</v>
      </c>
      <c r="S4924" t="s">
        <v>14827</v>
      </c>
      <c r="T4924" t="s">
        <v>14832</v>
      </c>
      <c r="U4924" t="s">
        <v>488</v>
      </c>
      <c r="V4924">
        <v>1250</v>
      </c>
      <c r="W4924" t="s">
        <v>14861</v>
      </c>
      <c r="X4924" t="s">
        <v>14865</v>
      </c>
      <c r="Z4924" t="s">
        <v>18934</v>
      </c>
      <c r="AB4924" t="s">
        <v>24145</v>
      </c>
      <c r="AC4924">
        <v>2</v>
      </c>
      <c r="AD4924" t="s">
        <v>24600</v>
      </c>
      <c r="AE4924" t="s">
        <v>11459</v>
      </c>
      <c r="AF4924">
        <v>9</v>
      </c>
      <c r="AG4924">
        <v>1</v>
      </c>
      <c r="AH4924">
        <v>0</v>
      </c>
      <c r="AI4924">
        <v>80.7</v>
      </c>
      <c r="AL4924" t="s">
        <v>5011</v>
      </c>
      <c r="AM4924">
        <v>10080</v>
      </c>
      <c r="AS4924">
        <v>8.949999999999999</v>
      </c>
      <c r="AT4924" t="s">
        <v>592</v>
      </c>
      <c r="AU4924" t="s">
        <v>99</v>
      </c>
      <c r="AV4924" t="s">
        <v>25335</v>
      </c>
      <c r="AW4924" t="s">
        <v>11447</v>
      </c>
    </row>
    <row r="4925" spans="1:49">
      <c r="A4925" s="1">
        <f>HYPERLINK("https://lsnyc.legalserver.org/matter/dynamic-profile/view/1909906","19-1909906")</f>
        <v>0</v>
      </c>
      <c r="B4925" t="s">
        <v>293</v>
      </c>
      <c r="C4925" t="s">
        <v>468</v>
      </c>
      <c r="E4925" t="s">
        <v>3364</v>
      </c>
      <c r="F4925" t="s">
        <v>3758</v>
      </c>
      <c r="G4925" t="s">
        <v>10050</v>
      </c>
      <c r="I4925" t="s">
        <v>11387</v>
      </c>
      <c r="J4925">
        <v>11434</v>
      </c>
      <c r="K4925" t="s">
        <v>11446</v>
      </c>
      <c r="L4925" t="s">
        <v>14413</v>
      </c>
      <c r="M4925" t="s">
        <v>14743</v>
      </c>
      <c r="N4925" t="s">
        <v>14781</v>
      </c>
      <c r="P4925" t="s">
        <v>14807</v>
      </c>
      <c r="Q4925" t="s">
        <v>11448</v>
      </c>
      <c r="S4925" t="s">
        <v>14827</v>
      </c>
      <c r="T4925" t="s">
        <v>14837</v>
      </c>
      <c r="U4925" t="s">
        <v>468</v>
      </c>
      <c r="V4925">
        <v>1450</v>
      </c>
      <c r="W4925" t="s">
        <v>14861</v>
      </c>
      <c r="X4925" t="s">
        <v>14863</v>
      </c>
      <c r="Z4925" t="s">
        <v>18935</v>
      </c>
      <c r="AB4925" t="s">
        <v>24146</v>
      </c>
      <c r="AC4925">
        <v>5</v>
      </c>
      <c r="AD4925" t="s">
        <v>24600</v>
      </c>
      <c r="AE4925" t="s">
        <v>11459</v>
      </c>
      <c r="AF4925">
        <v>10</v>
      </c>
      <c r="AG4925">
        <v>3</v>
      </c>
      <c r="AH4925">
        <v>0</v>
      </c>
      <c r="AI4925">
        <v>0</v>
      </c>
      <c r="AL4925" t="s">
        <v>5011</v>
      </c>
      <c r="AM4925">
        <v>0</v>
      </c>
      <c r="AS4925">
        <v>15.67</v>
      </c>
      <c r="AT4925" t="s">
        <v>490</v>
      </c>
      <c r="AU4925" t="s">
        <v>292</v>
      </c>
      <c r="AV4925" t="s">
        <v>25335</v>
      </c>
      <c r="AW4925" t="s">
        <v>11447</v>
      </c>
    </row>
    <row r="4926" spans="1:49">
      <c r="A4926" s="1">
        <f>HYPERLINK("https://lsnyc.legalserver.org/matter/dynamic-profile/view/1910132","19-1910132")</f>
        <v>0</v>
      </c>
      <c r="B4926" t="s">
        <v>291</v>
      </c>
      <c r="C4926" t="s">
        <v>471</v>
      </c>
      <c r="E4926" t="s">
        <v>3365</v>
      </c>
      <c r="F4926" t="s">
        <v>6032</v>
      </c>
      <c r="G4926" t="s">
        <v>10051</v>
      </c>
      <c r="H4926" t="s">
        <v>10485</v>
      </c>
      <c r="I4926" t="s">
        <v>11400</v>
      </c>
      <c r="J4926">
        <v>11385</v>
      </c>
      <c r="K4926" t="s">
        <v>11446</v>
      </c>
      <c r="L4926" t="s">
        <v>14414</v>
      </c>
      <c r="M4926" t="s">
        <v>14744</v>
      </c>
      <c r="N4926" t="s">
        <v>14781</v>
      </c>
      <c r="P4926" t="s">
        <v>14807</v>
      </c>
      <c r="Q4926" t="s">
        <v>11446</v>
      </c>
      <c r="S4926" t="s">
        <v>14827</v>
      </c>
      <c r="U4926" t="s">
        <v>468</v>
      </c>
      <c r="V4926">
        <v>1375</v>
      </c>
      <c r="W4926" t="s">
        <v>14861</v>
      </c>
      <c r="X4926" t="s">
        <v>14863</v>
      </c>
      <c r="Z4926" t="s">
        <v>18936</v>
      </c>
      <c r="AB4926" t="s">
        <v>24147</v>
      </c>
      <c r="AC4926">
        <v>12</v>
      </c>
      <c r="AD4926" t="s">
        <v>24595</v>
      </c>
      <c r="AE4926" t="s">
        <v>11459</v>
      </c>
      <c r="AF4926">
        <v>22</v>
      </c>
      <c r="AG4926">
        <v>6</v>
      </c>
      <c r="AH4926">
        <v>0</v>
      </c>
      <c r="AI4926">
        <v>75.17</v>
      </c>
      <c r="AL4926" t="s">
        <v>5011</v>
      </c>
      <c r="AM4926">
        <v>26000</v>
      </c>
      <c r="AS4926">
        <v>18.82</v>
      </c>
      <c r="AT4926" t="s">
        <v>654</v>
      </c>
      <c r="AU4926" t="s">
        <v>25233</v>
      </c>
      <c r="AV4926" t="s">
        <v>25335</v>
      </c>
      <c r="AW4926" t="s">
        <v>11447</v>
      </c>
    </row>
    <row r="4927" spans="1:49">
      <c r="A4927" s="1">
        <f>HYPERLINK("https://lsnyc.legalserver.org/matter/dynamic-profile/view/1910049","19-1910049")</f>
        <v>0</v>
      </c>
      <c r="B4927" t="s">
        <v>227</v>
      </c>
      <c r="C4927" t="s">
        <v>471</v>
      </c>
      <c r="E4927" t="s">
        <v>3366</v>
      </c>
      <c r="F4927" t="s">
        <v>3986</v>
      </c>
      <c r="G4927" t="s">
        <v>10052</v>
      </c>
      <c r="I4927" t="s">
        <v>11400</v>
      </c>
      <c r="J4927">
        <v>11385</v>
      </c>
      <c r="K4927" t="s">
        <v>11446</v>
      </c>
      <c r="L4927" t="s">
        <v>14415</v>
      </c>
      <c r="M4927" t="s">
        <v>14744</v>
      </c>
      <c r="N4927" t="s">
        <v>14781</v>
      </c>
      <c r="P4927" t="s">
        <v>14807</v>
      </c>
      <c r="Q4927" t="s">
        <v>11448</v>
      </c>
      <c r="S4927" t="s">
        <v>14827</v>
      </c>
      <c r="T4927" t="s">
        <v>14832</v>
      </c>
      <c r="U4927" t="s">
        <v>468</v>
      </c>
      <c r="V4927">
        <v>1500</v>
      </c>
      <c r="W4927" t="s">
        <v>14861</v>
      </c>
      <c r="X4927" t="s">
        <v>14863</v>
      </c>
      <c r="Z4927" t="s">
        <v>18937</v>
      </c>
      <c r="AB4927" t="s">
        <v>24148</v>
      </c>
      <c r="AC4927">
        <v>0</v>
      </c>
      <c r="AE4927" t="s">
        <v>11459</v>
      </c>
      <c r="AF4927">
        <v>1</v>
      </c>
      <c r="AG4927">
        <v>1</v>
      </c>
      <c r="AH4927">
        <v>0</v>
      </c>
      <c r="AI4927">
        <v>105.68</v>
      </c>
      <c r="AL4927" t="s">
        <v>5011</v>
      </c>
      <c r="AM4927">
        <v>13200</v>
      </c>
      <c r="AS4927">
        <v>17.7</v>
      </c>
      <c r="AT4927" t="s">
        <v>495</v>
      </c>
      <c r="AU4927" t="s">
        <v>25233</v>
      </c>
      <c r="AV4927" t="s">
        <v>25335</v>
      </c>
      <c r="AW4927" t="s">
        <v>11447</v>
      </c>
    </row>
    <row r="4928" spans="1:49">
      <c r="A4928" s="1">
        <f>HYPERLINK("https://lsnyc.legalserver.org/matter/dynamic-profile/view/1909938","19-1909938")</f>
        <v>0</v>
      </c>
      <c r="B4928" t="s">
        <v>271</v>
      </c>
      <c r="C4928" t="s">
        <v>468</v>
      </c>
      <c r="E4928" t="s">
        <v>2230</v>
      </c>
      <c r="F4928" t="s">
        <v>1254</v>
      </c>
      <c r="G4928" t="s">
        <v>10053</v>
      </c>
      <c r="I4928" t="s">
        <v>11387</v>
      </c>
      <c r="J4928">
        <v>11434</v>
      </c>
      <c r="K4928" t="s">
        <v>11446</v>
      </c>
      <c r="L4928" t="s">
        <v>14416</v>
      </c>
      <c r="M4928" t="s">
        <v>14743</v>
      </c>
      <c r="N4928" t="s">
        <v>14781</v>
      </c>
      <c r="P4928" t="s">
        <v>14807</v>
      </c>
      <c r="Q4928" t="s">
        <v>11448</v>
      </c>
      <c r="S4928" t="s">
        <v>14827</v>
      </c>
      <c r="T4928" t="s">
        <v>14832</v>
      </c>
      <c r="U4928" t="s">
        <v>468</v>
      </c>
      <c r="V4928">
        <v>800</v>
      </c>
      <c r="W4928" t="s">
        <v>14861</v>
      </c>
      <c r="X4928" t="s">
        <v>14863</v>
      </c>
      <c r="Z4928" t="s">
        <v>17300</v>
      </c>
      <c r="AB4928" t="s">
        <v>24149</v>
      </c>
      <c r="AC4928">
        <v>2</v>
      </c>
      <c r="AD4928" t="s">
        <v>24600</v>
      </c>
      <c r="AE4928" t="s">
        <v>11459</v>
      </c>
      <c r="AF4928">
        <v>1</v>
      </c>
      <c r="AG4928">
        <v>1</v>
      </c>
      <c r="AH4928">
        <v>0</v>
      </c>
      <c r="AI4928">
        <v>153.72</v>
      </c>
      <c r="AL4928" t="s">
        <v>5011</v>
      </c>
      <c r="AM4928">
        <v>19200</v>
      </c>
      <c r="AS4928">
        <v>7.05</v>
      </c>
      <c r="AT4928" t="s">
        <v>515</v>
      </c>
      <c r="AU4928" t="s">
        <v>292</v>
      </c>
      <c r="AV4928" t="s">
        <v>25335</v>
      </c>
      <c r="AW4928" t="s">
        <v>11447</v>
      </c>
    </row>
    <row r="4929" spans="1:49">
      <c r="A4929" s="1">
        <f>HYPERLINK("https://lsnyc.legalserver.org/matter/dynamic-profile/view/1909900","19-1909900")</f>
        <v>0</v>
      </c>
      <c r="B4929" t="s">
        <v>204</v>
      </c>
      <c r="C4929" t="s">
        <v>468</v>
      </c>
      <c r="E4929" t="s">
        <v>3367</v>
      </c>
      <c r="F4929" t="s">
        <v>4828</v>
      </c>
      <c r="G4929" t="s">
        <v>10054</v>
      </c>
      <c r="I4929" t="s">
        <v>11387</v>
      </c>
      <c r="J4929">
        <v>11434</v>
      </c>
      <c r="K4929" t="s">
        <v>11446</v>
      </c>
      <c r="L4929" t="s">
        <v>14417</v>
      </c>
      <c r="M4929" t="s">
        <v>14743</v>
      </c>
      <c r="N4929" t="s">
        <v>14781</v>
      </c>
      <c r="P4929" t="s">
        <v>14807</v>
      </c>
      <c r="Q4929" t="s">
        <v>11448</v>
      </c>
      <c r="S4929" t="s">
        <v>14827</v>
      </c>
      <c r="U4929" t="s">
        <v>468</v>
      </c>
      <c r="V4929">
        <v>1100</v>
      </c>
      <c r="W4929" t="s">
        <v>14861</v>
      </c>
      <c r="X4929" t="s">
        <v>14863</v>
      </c>
      <c r="Z4929" t="s">
        <v>18938</v>
      </c>
      <c r="AB4929" t="s">
        <v>24150</v>
      </c>
      <c r="AC4929">
        <v>1</v>
      </c>
      <c r="AD4929" t="s">
        <v>11479</v>
      </c>
      <c r="AE4929" t="s">
        <v>11459</v>
      </c>
      <c r="AF4929">
        <v>3</v>
      </c>
      <c r="AG4929">
        <v>1</v>
      </c>
      <c r="AH4929">
        <v>2</v>
      </c>
      <c r="AI4929">
        <v>154.71</v>
      </c>
      <c r="AL4929" t="s">
        <v>5011</v>
      </c>
      <c r="AM4929">
        <v>33000</v>
      </c>
      <c r="AS4929">
        <v>11.8</v>
      </c>
      <c r="AT4929" t="s">
        <v>537</v>
      </c>
      <c r="AU4929" t="s">
        <v>292</v>
      </c>
      <c r="AV4929" t="s">
        <v>25335</v>
      </c>
      <c r="AW4929" t="s">
        <v>11447</v>
      </c>
    </row>
    <row r="4930" spans="1:49">
      <c r="A4930" s="1">
        <f>HYPERLINK("https://lsnyc.legalserver.org/matter/dynamic-profile/view/1910033","19-1910033")</f>
        <v>0</v>
      </c>
      <c r="B4930" t="s">
        <v>294</v>
      </c>
      <c r="C4930" t="s">
        <v>471</v>
      </c>
      <c r="E4930" t="s">
        <v>3368</v>
      </c>
      <c r="F4930" t="s">
        <v>6033</v>
      </c>
      <c r="G4930" t="s">
        <v>10055</v>
      </c>
      <c r="H4930" t="s">
        <v>10575</v>
      </c>
      <c r="I4930" t="s">
        <v>11387</v>
      </c>
      <c r="J4930">
        <v>11433</v>
      </c>
      <c r="K4930" t="s">
        <v>11446</v>
      </c>
      <c r="L4930" t="s">
        <v>14418</v>
      </c>
      <c r="M4930" t="s">
        <v>14744</v>
      </c>
      <c r="N4930" t="s">
        <v>14781</v>
      </c>
      <c r="P4930" t="s">
        <v>14807</v>
      </c>
      <c r="Q4930" t="s">
        <v>11448</v>
      </c>
      <c r="S4930" t="s">
        <v>14828</v>
      </c>
      <c r="T4930" t="s">
        <v>14832</v>
      </c>
      <c r="U4930" t="s">
        <v>471</v>
      </c>
      <c r="V4930">
        <v>1001</v>
      </c>
      <c r="W4930" t="s">
        <v>14861</v>
      </c>
      <c r="X4930" t="s">
        <v>14863</v>
      </c>
      <c r="Z4930" t="s">
        <v>18939</v>
      </c>
      <c r="AB4930" t="s">
        <v>24151</v>
      </c>
      <c r="AC4930">
        <v>12</v>
      </c>
      <c r="AD4930" t="s">
        <v>24602</v>
      </c>
      <c r="AF4930">
        <v>4</v>
      </c>
      <c r="AG4930">
        <v>1</v>
      </c>
      <c r="AH4930">
        <v>2</v>
      </c>
      <c r="AI4930">
        <v>38.87</v>
      </c>
      <c r="AL4930" t="s">
        <v>5011</v>
      </c>
      <c r="AM4930">
        <v>8292</v>
      </c>
      <c r="AP4930" t="s">
        <v>24942</v>
      </c>
      <c r="AQ4930" t="s">
        <v>24986</v>
      </c>
      <c r="AR4930" t="s">
        <v>25064</v>
      </c>
      <c r="AS4930">
        <v>4.8</v>
      </c>
      <c r="AT4930" t="s">
        <v>559</v>
      </c>
      <c r="AU4930" t="s">
        <v>25233</v>
      </c>
      <c r="AV4930" t="s">
        <v>25335</v>
      </c>
      <c r="AW4930" t="s">
        <v>11447</v>
      </c>
    </row>
    <row r="4931" spans="1:49">
      <c r="A4931" s="1">
        <f>HYPERLINK("https://lsnyc.legalserver.org/matter/dynamic-profile/view/1910066","19-1910066")</f>
        <v>0</v>
      </c>
      <c r="B4931" t="s">
        <v>122</v>
      </c>
      <c r="C4931" t="s">
        <v>471</v>
      </c>
      <c r="E4931" t="s">
        <v>1067</v>
      </c>
      <c r="F4931" t="s">
        <v>6034</v>
      </c>
      <c r="G4931" t="s">
        <v>10056</v>
      </c>
      <c r="I4931" t="s">
        <v>11395</v>
      </c>
      <c r="J4931">
        <v>11373</v>
      </c>
      <c r="K4931" t="s">
        <v>11446</v>
      </c>
      <c r="L4931" t="s">
        <v>14419</v>
      </c>
      <c r="M4931" t="s">
        <v>14743</v>
      </c>
      <c r="N4931" t="s">
        <v>14781</v>
      </c>
      <c r="P4931" t="s">
        <v>14807</v>
      </c>
      <c r="Q4931" t="s">
        <v>11448</v>
      </c>
      <c r="S4931" t="s">
        <v>14827</v>
      </c>
      <c r="T4931" t="s">
        <v>14832</v>
      </c>
      <c r="U4931" t="s">
        <v>471</v>
      </c>
      <c r="V4931">
        <v>900</v>
      </c>
      <c r="W4931" t="s">
        <v>14861</v>
      </c>
      <c r="X4931" t="s">
        <v>14865</v>
      </c>
      <c r="Z4931" t="s">
        <v>15021</v>
      </c>
      <c r="AA4931" t="s">
        <v>20062</v>
      </c>
      <c r="AB4931" t="s">
        <v>24152</v>
      </c>
      <c r="AC4931">
        <v>2</v>
      </c>
      <c r="AD4931" t="s">
        <v>11479</v>
      </c>
      <c r="AE4931" t="s">
        <v>11459</v>
      </c>
      <c r="AF4931">
        <v>27</v>
      </c>
      <c r="AG4931">
        <v>1</v>
      </c>
      <c r="AH4931">
        <v>1</v>
      </c>
      <c r="AI4931">
        <v>60.32</v>
      </c>
      <c r="AL4931" t="s">
        <v>5011</v>
      </c>
      <c r="AM4931">
        <v>10200</v>
      </c>
      <c r="AS4931">
        <v>7.8</v>
      </c>
      <c r="AT4931" t="s">
        <v>478</v>
      </c>
      <c r="AU4931" t="s">
        <v>292</v>
      </c>
      <c r="AV4931" t="s">
        <v>25335</v>
      </c>
      <c r="AW4931" t="s">
        <v>11447</v>
      </c>
    </row>
    <row r="4932" spans="1:49">
      <c r="A4932" s="1">
        <f>HYPERLINK("https://lsnyc.legalserver.org/matter/dynamic-profile/view/1910117","19-1910117")</f>
        <v>0</v>
      </c>
      <c r="B4932" t="s">
        <v>204</v>
      </c>
      <c r="C4932" t="s">
        <v>471</v>
      </c>
      <c r="E4932" t="s">
        <v>3369</v>
      </c>
      <c r="F4932" t="s">
        <v>4157</v>
      </c>
      <c r="G4932" t="s">
        <v>10057</v>
      </c>
      <c r="H4932" t="s">
        <v>10626</v>
      </c>
      <c r="I4932" t="s">
        <v>11387</v>
      </c>
      <c r="J4932">
        <v>11434</v>
      </c>
      <c r="K4932" t="s">
        <v>11446</v>
      </c>
      <c r="L4932" t="s">
        <v>14420</v>
      </c>
      <c r="M4932" t="s">
        <v>14744</v>
      </c>
      <c r="N4932" t="s">
        <v>14781</v>
      </c>
      <c r="P4932" t="s">
        <v>14807</v>
      </c>
      <c r="Q4932" t="s">
        <v>11448</v>
      </c>
      <c r="S4932" t="s">
        <v>14827</v>
      </c>
      <c r="U4932" t="s">
        <v>471</v>
      </c>
      <c r="V4932">
        <v>517</v>
      </c>
      <c r="W4932" t="s">
        <v>14861</v>
      </c>
      <c r="X4932" t="s">
        <v>14863</v>
      </c>
      <c r="Z4932" t="s">
        <v>18940</v>
      </c>
      <c r="AB4932" t="s">
        <v>19344</v>
      </c>
      <c r="AC4932">
        <v>0</v>
      </c>
      <c r="AD4932" t="s">
        <v>11479</v>
      </c>
      <c r="AE4932" t="s">
        <v>11459</v>
      </c>
      <c r="AF4932">
        <v>42</v>
      </c>
      <c r="AG4932">
        <v>1</v>
      </c>
      <c r="AH4932">
        <v>0</v>
      </c>
      <c r="AI4932">
        <v>60.53</v>
      </c>
      <c r="AL4932" t="s">
        <v>5011</v>
      </c>
      <c r="AM4932">
        <v>7560</v>
      </c>
      <c r="AS4932">
        <v>3.2</v>
      </c>
      <c r="AT4932" t="s">
        <v>476</v>
      </c>
      <c r="AU4932" t="s">
        <v>292</v>
      </c>
      <c r="AV4932" t="s">
        <v>25335</v>
      </c>
      <c r="AW4932" t="s">
        <v>11447</v>
      </c>
    </row>
    <row r="4933" spans="1:49">
      <c r="A4933" s="1">
        <f>HYPERLINK("https://lsnyc.legalserver.org/matter/dynamic-profile/view/1910111","19-1910111")</f>
        <v>0</v>
      </c>
      <c r="B4933" t="s">
        <v>291</v>
      </c>
      <c r="C4933" t="s">
        <v>471</v>
      </c>
      <c r="E4933" t="s">
        <v>2468</v>
      </c>
      <c r="F4933" t="s">
        <v>6035</v>
      </c>
      <c r="G4933" t="s">
        <v>10058</v>
      </c>
      <c r="H4933" t="s">
        <v>10705</v>
      </c>
      <c r="I4933" t="s">
        <v>11387</v>
      </c>
      <c r="J4933">
        <v>11434</v>
      </c>
      <c r="K4933" t="s">
        <v>11446</v>
      </c>
      <c r="L4933" t="s">
        <v>14421</v>
      </c>
      <c r="M4933" t="s">
        <v>14743</v>
      </c>
      <c r="N4933" t="s">
        <v>14781</v>
      </c>
      <c r="P4933" t="s">
        <v>14807</v>
      </c>
      <c r="Q4933" t="s">
        <v>11448</v>
      </c>
      <c r="S4933" t="s">
        <v>14827</v>
      </c>
      <c r="U4933" t="s">
        <v>471</v>
      </c>
      <c r="V4933">
        <v>2300</v>
      </c>
      <c r="W4933" t="s">
        <v>14861</v>
      </c>
      <c r="X4933" t="s">
        <v>14863</v>
      </c>
      <c r="Z4933" t="s">
        <v>18941</v>
      </c>
      <c r="AB4933" t="s">
        <v>24153</v>
      </c>
      <c r="AC4933">
        <v>2</v>
      </c>
      <c r="AD4933" t="s">
        <v>11479</v>
      </c>
      <c r="AE4933" t="s">
        <v>24610</v>
      </c>
      <c r="AF4933">
        <v>2</v>
      </c>
      <c r="AG4933">
        <v>3</v>
      </c>
      <c r="AH4933">
        <v>1</v>
      </c>
      <c r="AI4933">
        <v>80.78</v>
      </c>
      <c r="AL4933" t="s">
        <v>5011</v>
      </c>
      <c r="AM4933">
        <v>20800</v>
      </c>
      <c r="AS4933">
        <v>22.5</v>
      </c>
      <c r="AT4933" t="s">
        <v>592</v>
      </c>
      <c r="AU4933" t="s">
        <v>292</v>
      </c>
      <c r="AV4933" t="s">
        <v>25335</v>
      </c>
      <c r="AW4933" t="s">
        <v>11447</v>
      </c>
    </row>
    <row r="4934" spans="1:49">
      <c r="A4934" s="1">
        <f>HYPERLINK("https://lsnyc.legalserver.org/matter/dynamic-profile/view/1908497","19-1908497")</f>
        <v>0</v>
      </c>
      <c r="B4934" t="s">
        <v>204</v>
      </c>
      <c r="C4934" t="s">
        <v>466</v>
      </c>
      <c r="E4934" t="s">
        <v>3370</v>
      </c>
      <c r="F4934" t="s">
        <v>6036</v>
      </c>
      <c r="G4934" t="s">
        <v>10059</v>
      </c>
      <c r="H4934" t="s">
        <v>11311</v>
      </c>
      <c r="I4934" t="s">
        <v>11387</v>
      </c>
      <c r="J4934">
        <v>11434</v>
      </c>
      <c r="K4934" t="s">
        <v>11446</v>
      </c>
      <c r="L4934" t="s">
        <v>14422</v>
      </c>
      <c r="M4934" t="s">
        <v>14744</v>
      </c>
      <c r="N4934" t="s">
        <v>14778</v>
      </c>
      <c r="P4934" t="s">
        <v>14807</v>
      </c>
      <c r="Q4934" t="s">
        <v>11448</v>
      </c>
      <c r="S4934" t="s">
        <v>14827</v>
      </c>
      <c r="T4934" t="s">
        <v>14834</v>
      </c>
      <c r="U4934" t="s">
        <v>471</v>
      </c>
      <c r="V4934">
        <v>0</v>
      </c>
      <c r="W4934" t="s">
        <v>14861</v>
      </c>
      <c r="X4934" t="s">
        <v>14863</v>
      </c>
      <c r="Z4934" t="s">
        <v>18942</v>
      </c>
      <c r="AB4934" t="s">
        <v>24154</v>
      </c>
      <c r="AC4934">
        <v>148</v>
      </c>
      <c r="AD4934" t="s">
        <v>24605</v>
      </c>
      <c r="AE4934" t="s">
        <v>11459</v>
      </c>
      <c r="AF4934">
        <v>20</v>
      </c>
      <c r="AG4934">
        <v>3</v>
      </c>
      <c r="AH4934">
        <v>2</v>
      </c>
      <c r="AI4934">
        <v>151.14</v>
      </c>
      <c r="AL4934" t="s">
        <v>5011</v>
      </c>
      <c r="AM4934">
        <v>45600</v>
      </c>
      <c r="AS4934">
        <v>2.33</v>
      </c>
      <c r="AT4934" t="s">
        <v>601</v>
      </c>
      <c r="AU4934" t="s">
        <v>25233</v>
      </c>
      <c r="AV4934" t="s">
        <v>25335</v>
      </c>
      <c r="AW4934" t="s">
        <v>11447</v>
      </c>
    </row>
    <row r="4935" spans="1:49">
      <c r="A4935" s="1">
        <f>HYPERLINK("https://lsnyc.legalserver.org/matter/dynamic-profile/view/1910027","19-1910027")</f>
        <v>0</v>
      </c>
      <c r="B4935" t="s">
        <v>294</v>
      </c>
      <c r="C4935" t="s">
        <v>471</v>
      </c>
      <c r="E4935" t="s">
        <v>1279</v>
      </c>
      <c r="F4935" t="s">
        <v>5836</v>
      </c>
      <c r="G4935" t="s">
        <v>9981</v>
      </c>
      <c r="H4935" t="s">
        <v>10557</v>
      </c>
      <c r="I4935" t="s">
        <v>11387</v>
      </c>
      <c r="J4935">
        <v>11434</v>
      </c>
      <c r="K4935" t="s">
        <v>11446</v>
      </c>
      <c r="L4935" t="s">
        <v>14423</v>
      </c>
      <c r="M4935" t="s">
        <v>14744</v>
      </c>
      <c r="N4935" t="s">
        <v>14781</v>
      </c>
      <c r="P4935" t="s">
        <v>14807</v>
      </c>
      <c r="Q4935" t="s">
        <v>11448</v>
      </c>
      <c r="S4935" t="s">
        <v>14827</v>
      </c>
      <c r="T4935" t="s">
        <v>14832</v>
      </c>
      <c r="U4935" t="s">
        <v>471</v>
      </c>
      <c r="V4935">
        <v>1483.11</v>
      </c>
      <c r="W4935" t="s">
        <v>14861</v>
      </c>
      <c r="X4935" t="s">
        <v>14863</v>
      </c>
      <c r="Z4935" t="s">
        <v>18943</v>
      </c>
      <c r="AB4935" t="s">
        <v>24155</v>
      </c>
      <c r="AC4935">
        <v>300</v>
      </c>
      <c r="AD4935" t="s">
        <v>24601</v>
      </c>
      <c r="AE4935" t="s">
        <v>11459</v>
      </c>
      <c r="AF4935">
        <v>23</v>
      </c>
      <c r="AG4935">
        <v>1</v>
      </c>
      <c r="AH4935">
        <v>0</v>
      </c>
      <c r="AI4935">
        <v>226.84</v>
      </c>
      <c r="AL4935" t="s">
        <v>5011</v>
      </c>
      <c r="AM4935">
        <v>28332</v>
      </c>
      <c r="AS4935">
        <v>16.93</v>
      </c>
      <c r="AT4935" t="s">
        <v>515</v>
      </c>
      <c r="AU4935" t="s">
        <v>25233</v>
      </c>
      <c r="AV4935" t="s">
        <v>25335</v>
      </c>
      <c r="AW4935" t="s">
        <v>11447</v>
      </c>
    </row>
    <row r="4936" spans="1:49">
      <c r="A4936" s="1">
        <f>HYPERLINK("https://lsnyc.legalserver.org/matter/dynamic-profile/view/1909973","19-1909973")</f>
        <v>0</v>
      </c>
      <c r="B4936" t="s">
        <v>227</v>
      </c>
      <c r="C4936" t="s">
        <v>468</v>
      </c>
      <c r="E4936" t="s">
        <v>3371</v>
      </c>
      <c r="F4936" t="s">
        <v>3901</v>
      </c>
      <c r="G4936" t="s">
        <v>10060</v>
      </c>
      <c r="H4936" t="s">
        <v>10679</v>
      </c>
      <c r="I4936" t="s">
        <v>11387</v>
      </c>
      <c r="J4936">
        <v>11434</v>
      </c>
      <c r="K4936" t="s">
        <v>11446</v>
      </c>
      <c r="L4936" t="s">
        <v>14424</v>
      </c>
      <c r="M4936" t="s">
        <v>14744</v>
      </c>
      <c r="N4936" t="s">
        <v>14781</v>
      </c>
      <c r="P4936" t="s">
        <v>14807</v>
      </c>
      <c r="Q4936" t="s">
        <v>11448</v>
      </c>
      <c r="S4936" t="s">
        <v>14827</v>
      </c>
      <c r="U4936" t="s">
        <v>528</v>
      </c>
      <c r="V4936">
        <v>1100</v>
      </c>
      <c r="W4936" t="s">
        <v>14861</v>
      </c>
      <c r="Z4936" t="s">
        <v>18944</v>
      </c>
      <c r="AB4936" t="s">
        <v>24156</v>
      </c>
      <c r="AC4936">
        <v>0</v>
      </c>
      <c r="AD4936" t="s">
        <v>24601</v>
      </c>
      <c r="AF4936">
        <v>20</v>
      </c>
      <c r="AG4936">
        <v>3</v>
      </c>
      <c r="AH4936">
        <v>0</v>
      </c>
      <c r="AI4936">
        <v>295.36</v>
      </c>
      <c r="AJ4936" t="s">
        <v>645</v>
      </c>
      <c r="AK4936" t="s">
        <v>24629</v>
      </c>
      <c r="AL4936" t="s">
        <v>5011</v>
      </c>
      <c r="AM4936">
        <v>63000</v>
      </c>
      <c r="AS4936">
        <v>8.75</v>
      </c>
      <c r="AT4936" t="s">
        <v>521</v>
      </c>
      <c r="AU4936" t="s">
        <v>202</v>
      </c>
      <c r="AW4936" t="s">
        <v>11447</v>
      </c>
    </row>
    <row r="4937" spans="1:49">
      <c r="A4937" s="1">
        <f>HYPERLINK("https://lsnyc.legalserver.org/matter/dynamic-profile/view/1910476","19-1910476")</f>
        <v>0</v>
      </c>
      <c r="B4937" t="s">
        <v>291</v>
      </c>
      <c r="C4937" t="s">
        <v>508</v>
      </c>
      <c r="E4937" t="s">
        <v>2116</v>
      </c>
      <c r="F4937" t="s">
        <v>3772</v>
      </c>
      <c r="G4937" t="s">
        <v>10061</v>
      </c>
      <c r="H4937" t="s">
        <v>10486</v>
      </c>
      <c r="I4937" t="s">
        <v>11400</v>
      </c>
      <c r="J4937">
        <v>11385</v>
      </c>
      <c r="K4937" t="s">
        <v>11446</v>
      </c>
      <c r="L4937" t="s">
        <v>14425</v>
      </c>
      <c r="M4937" t="s">
        <v>14743</v>
      </c>
      <c r="N4937" t="s">
        <v>14781</v>
      </c>
      <c r="P4937" t="s">
        <v>14807</v>
      </c>
      <c r="Q4937" t="s">
        <v>11448</v>
      </c>
      <c r="S4937" t="s">
        <v>14827</v>
      </c>
      <c r="T4937" t="s">
        <v>14832</v>
      </c>
      <c r="U4937" t="s">
        <v>508</v>
      </c>
      <c r="V4937">
        <v>1350</v>
      </c>
      <c r="W4937" t="s">
        <v>14861</v>
      </c>
      <c r="X4937" t="s">
        <v>14865</v>
      </c>
      <c r="Z4937" t="s">
        <v>18945</v>
      </c>
      <c r="AA4937" t="s">
        <v>20063</v>
      </c>
      <c r="AB4937" t="s">
        <v>24157</v>
      </c>
      <c r="AC4937">
        <v>2</v>
      </c>
      <c r="AD4937" t="s">
        <v>24600</v>
      </c>
      <c r="AE4937" t="s">
        <v>11459</v>
      </c>
      <c r="AF4937">
        <v>16</v>
      </c>
      <c r="AG4937">
        <v>4</v>
      </c>
      <c r="AH4937">
        <v>2</v>
      </c>
      <c r="AI4937">
        <v>49.15</v>
      </c>
      <c r="AL4937" t="s">
        <v>24632</v>
      </c>
      <c r="AM4937">
        <v>17000</v>
      </c>
      <c r="AS4937">
        <v>27.6</v>
      </c>
      <c r="AT4937" t="s">
        <v>654</v>
      </c>
      <c r="AU4937" t="s">
        <v>25233</v>
      </c>
      <c r="AV4937" t="s">
        <v>25335</v>
      </c>
      <c r="AW4937" t="s">
        <v>11447</v>
      </c>
    </row>
    <row r="4938" spans="1:49">
      <c r="A4938" s="1">
        <f>HYPERLINK("https://lsnyc.legalserver.org/matter/dynamic-profile/view/1910457","19-1910457")</f>
        <v>0</v>
      </c>
      <c r="B4938" t="s">
        <v>59</v>
      </c>
      <c r="C4938" t="s">
        <v>508</v>
      </c>
      <c r="E4938" t="s">
        <v>3372</v>
      </c>
      <c r="F4938" t="s">
        <v>4218</v>
      </c>
      <c r="G4938" t="s">
        <v>10062</v>
      </c>
      <c r="H4938" t="s">
        <v>10541</v>
      </c>
      <c r="I4938" t="s">
        <v>11395</v>
      </c>
      <c r="J4938">
        <v>11373</v>
      </c>
      <c r="K4938" t="s">
        <v>11446</v>
      </c>
      <c r="L4938" t="s">
        <v>14426</v>
      </c>
      <c r="M4938" t="s">
        <v>14744</v>
      </c>
      <c r="N4938" t="s">
        <v>14781</v>
      </c>
      <c r="P4938" t="s">
        <v>14807</v>
      </c>
      <c r="Q4938" t="s">
        <v>11448</v>
      </c>
      <c r="S4938" t="s">
        <v>14827</v>
      </c>
      <c r="T4938" t="s">
        <v>14832</v>
      </c>
      <c r="U4938" t="s">
        <v>508</v>
      </c>
      <c r="V4938">
        <v>1373</v>
      </c>
      <c r="W4938" t="s">
        <v>14861</v>
      </c>
      <c r="X4938" t="s">
        <v>14865</v>
      </c>
      <c r="Z4938" t="s">
        <v>18946</v>
      </c>
      <c r="AA4938" t="s">
        <v>20064</v>
      </c>
      <c r="AB4938" t="s">
        <v>24158</v>
      </c>
      <c r="AC4938">
        <v>52</v>
      </c>
      <c r="AD4938" t="s">
        <v>24595</v>
      </c>
      <c r="AE4938" t="s">
        <v>11459</v>
      </c>
      <c r="AF4938">
        <v>7</v>
      </c>
      <c r="AG4938">
        <v>2</v>
      </c>
      <c r="AH4938">
        <v>2</v>
      </c>
      <c r="AI4938">
        <v>69.90000000000001</v>
      </c>
      <c r="AL4938" t="s">
        <v>5011</v>
      </c>
      <c r="AM4938">
        <v>18000</v>
      </c>
      <c r="AS4938">
        <v>6.6</v>
      </c>
      <c r="AT4938" t="s">
        <v>495</v>
      </c>
      <c r="AU4938" t="s">
        <v>292</v>
      </c>
      <c r="AV4938" t="s">
        <v>25335</v>
      </c>
      <c r="AW4938" t="s">
        <v>11447</v>
      </c>
    </row>
    <row r="4939" spans="1:49">
      <c r="A4939" s="1">
        <f>HYPERLINK("https://lsnyc.legalserver.org/matter/dynamic-profile/view/1896156","19-1896156")</f>
        <v>0</v>
      </c>
      <c r="B4939" t="s">
        <v>248</v>
      </c>
      <c r="C4939" t="s">
        <v>660</v>
      </c>
      <c r="E4939" t="s">
        <v>3373</v>
      </c>
      <c r="F4939" t="s">
        <v>4911</v>
      </c>
      <c r="G4939" t="s">
        <v>8595</v>
      </c>
      <c r="H4939" t="s">
        <v>10569</v>
      </c>
      <c r="I4939" t="s">
        <v>11387</v>
      </c>
      <c r="J4939">
        <v>11433</v>
      </c>
      <c r="K4939" t="s">
        <v>11446</v>
      </c>
      <c r="L4939" t="s">
        <v>14427</v>
      </c>
      <c r="M4939" t="s">
        <v>14743</v>
      </c>
      <c r="N4939" t="s">
        <v>14781</v>
      </c>
      <c r="P4939" t="s">
        <v>14807</v>
      </c>
      <c r="Q4939" t="s">
        <v>11448</v>
      </c>
      <c r="S4939" t="s">
        <v>14827</v>
      </c>
      <c r="U4939" t="s">
        <v>508</v>
      </c>
      <c r="V4939">
        <v>865</v>
      </c>
      <c r="W4939" t="s">
        <v>14861</v>
      </c>
      <c r="X4939" t="s">
        <v>14863</v>
      </c>
      <c r="Z4939" t="s">
        <v>18947</v>
      </c>
      <c r="AB4939" t="s">
        <v>24159</v>
      </c>
      <c r="AC4939">
        <v>0</v>
      </c>
      <c r="AD4939" t="s">
        <v>24595</v>
      </c>
      <c r="AE4939" t="s">
        <v>11459</v>
      </c>
      <c r="AF4939">
        <v>3</v>
      </c>
      <c r="AG4939">
        <v>1</v>
      </c>
      <c r="AH4939">
        <v>0</v>
      </c>
      <c r="AI4939">
        <v>92.23</v>
      </c>
      <c r="AL4939" t="s">
        <v>5011</v>
      </c>
      <c r="AM4939">
        <v>11520</v>
      </c>
      <c r="AS4939">
        <v>38.65</v>
      </c>
      <c r="AT4939" t="s">
        <v>516</v>
      </c>
      <c r="AU4939" t="s">
        <v>292</v>
      </c>
      <c r="AV4939" t="s">
        <v>25335</v>
      </c>
      <c r="AW4939" t="s">
        <v>11446</v>
      </c>
    </row>
    <row r="4940" spans="1:49">
      <c r="A4940" s="1">
        <f>HYPERLINK("https://lsnyc.legalserver.org/matter/dynamic-profile/view/1896133","19-1896133")</f>
        <v>0</v>
      </c>
      <c r="B4940" t="s">
        <v>122</v>
      </c>
      <c r="C4940" t="s">
        <v>660</v>
      </c>
      <c r="E4940" t="s">
        <v>3374</v>
      </c>
      <c r="F4940" t="s">
        <v>6037</v>
      </c>
      <c r="G4940" t="s">
        <v>10063</v>
      </c>
      <c r="H4940" t="s">
        <v>10506</v>
      </c>
      <c r="I4940" t="s">
        <v>11388</v>
      </c>
      <c r="J4940">
        <v>11385</v>
      </c>
      <c r="K4940" t="s">
        <v>11446</v>
      </c>
      <c r="L4940" t="s">
        <v>14428</v>
      </c>
      <c r="M4940" t="s">
        <v>14743</v>
      </c>
      <c r="N4940" t="s">
        <v>14781</v>
      </c>
      <c r="P4940" t="s">
        <v>14807</v>
      </c>
      <c r="Q4940" t="s">
        <v>11448</v>
      </c>
      <c r="S4940" t="s">
        <v>14827</v>
      </c>
      <c r="T4940" t="s">
        <v>14832</v>
      </c>
      <c r="U4940" t="s">
        <v>508</v>
      </c>
      <c r="V4940">
        <v>1200</v>
      </c>
      <c r="W4940" t="s">
        <v>14861</v>
      </c>
      <c r="X4940" t="s">
        <v>14863</v>
      </c>
      <c r="Z4940" t="s">
        <v>16061</v>
      </c>
      <c r="AB4940" t="s">
        <v>24160</v>
      </c>
      <c r="AC4940">
        <v>5</v>
      </c>
      <c r="AD4940" t="s">
        <v>24600</v>
      </c>
      <c r="AE4940" t="s">
        <v>11459</v>
      </c>
      <c r="AF4940">
        <v>26</v>
      </c>
      <c r="AG4940">
        <v>2</v>
      </c>
      <c r="AH4940">
        <v>0</v>
      </c>
      <c r="AI4940">
        <v>149.62</v>
      </c>
      <c r="AL4940" t="s">
        <v>5011</v>
      </c>
      <c r="AM4940">
        <v>25300</v>
      </c>
      <c r="AS4940">
        <v>48.35</v>
      </c>
      <c r="AT4940" t="s">
        <v>495</v>
      </c>
      <c r="AU4940" t="s">
        <v>292</v>
      </c>
      <c r="AV4940" t="s">
        <v>25335</v>
      </c>
      <c r="AW4940" t="s">
        <v>11446</v>
      </c>
    </row>
    <row r="4941" spans="1:49">
      <c r="A4941" s="1">
        <f>HYPERLINK("https://lsnyc.legalserver.org/matter/dynamic-profile/view/1910524","19-1910524")</f>
        <v>0</v>
      </c>
      <c r="B4941" t="s">
        <v>271</v>
      </c>
      <c r="C4941" t="s">
        <v>602</v>
      </c>
      <c r="E4941" t="s">
        <v>3375</v>
      </c>
      <c r="F4941" t="s">
        <v>6038</v>
      </c>
      <c r="G4941" t="s">
        <v>10064</v>
      </c>
      <c r="H4941" t="s">
        <v>10705</v>
      </c>
      <c r="I4941" t="s">
        <v>11387</v>
      </c>
      <c r="J4941">
        <v>11433</v>
      </c>
      <c r="K4941" t="s">
        <v>11446</v>
      </c>
      <c r="L4941" t="s">
        <v>14429</v>
      </c>
      <c r="M4941" t="s">
        <v>14743</v>
      </c>
      <c r="N4941" t="s">
        <v>14781</v>
      </c>
      <c r="P4941" t="s">
        <v>14807</v>
      </c>
      <c r="Q4941" t="s">
        <v>11448</v>
      </c>
      <c r="S4941" t="s">
        <v>14827</v>
      </c>
      <c r="U4941" t="s">
        <v>602</v>
      </c>
      <c r="V4941">
        <v>1100</v>
      </c>
      <c r="W4941" t="s">
        <v>14861</v>
      </c>
      <c r="X4941" t="s">
        <v>14863</v>
      </c>
      <c r="Z4941" t="s">
        <v>18948</v>
      </c>
      <c r="AB4941" t="s">
        <v>24161</v>
      </c>
      <c r="AC4941">
        <v>0</v>
      </c>
      <c r="AD4941" t="s">
        <v>11479</v>
      </c>
      <c r="AE4941" t="s">
        <v>11459</v>
      </c>
      <c r="AF4941">
        <v>4</v>
      </c>
      <c r="AG4941">
        <v>1</v>
      </c>
      <c r="AH4941">
        <v>1</v>
      </c>
      <c r="AI4941">
        <v>88.7</v>
      </c>
      <c r="AL4941" t="s">
        <v>5011</v>
      </c>
      <c r="AM4941">
        <v>15000</v>
      </c>
      <c r="AS4941">
        <v>8.880000000000001</v>
      </c>
      <c r="AT4941" t="s">
        <v>537</v>
      </c>
      <c r="AU4941" t="s">
        <v>292</v>
      </c>
      <c r="AV4941" t="s">
        <v>25335</v>
      </c>
      <c r="AW4941" t="s">
        <v>11447</v>
      </c>
    </row>
    <row r="4942" spans="1:49">
      <c r="A4942" s="1">
        <f>HYPERLINK("https://lsnyc.legalserver.org/matter/dynamic-profile/view/1910681","19-1910681")</f>
        <v>0</v>
      </c>
      <c r="B4942" t="s">
        <v>271</v>
      </c>
      <c r="C4942" t="s">
        <v>644</v>
      </c>
      <c r="E4942" t="s">
        <v>3000</v>
      </c>
      <c r="F4942" t="s">
        <v>3342</v>
      </c>
      <c r="G4942" t="s">
        <v>10065</v>
      </c>
      <c r="I4942" t="s">
        <v>11387</v>
      </c>
      <c r="J4942">
        <v>11434</v>
      </c>
      <c r="K4942" t="s">
        <v>11446</v>
      </c>
      <c r="L4942" t="s">
        <v>14430</v>
      </c>
      <c r="M4942" t="s">
        <v>14743</v>
      </c>
      <c r="N4942" t="s">
        <v>14781</v>
      </c>
      <c r="P4942" t="s">
        <v>14807</v>
      </c>
      <c r="Q4942" t="s">
        <v>11448</v>
      </c>
      <c r="S4942" t="s">
        <v>14827</v>
      </c>
      <c r="U4942" t="s">
        <v>644</v>
      </c>
      <c r="V4942">
        <v>0</v>
      </c>
      <c r="W4942" t="s">
        <v>14861</v>
      </c>
      <c r="X4942" t="s">
        <v>14865</v>
      </c>
      <c r="Z4942" t="s">
        <v>18949</v>
      </c>
      <c r="AB4942" t="s">
        <v>24162</v>
      </c>
      <c r="AC4942">
        <v>2</v>
      </c>
      <c r="AD4942" t="s">
        <v>11479</v>
      </c>
      <c r="AE4942" t="s">
        <v>24611</v>
      </c>
      <c r="AF4942">
        <v>5</v>
      </c>
      <c r="AG4942">
        <v>1</v>
      </c>
      <c r="AH4942">
        <v>0</v>
      </c>
      <c r="AI4942">
        <v>39.14</v>
      </c>
      <c r="AL4942" t="s">
        <v>5011</v>
      </c>
      <c r="AM4942">
        <v>4888</v>
      </c>
      <c r="AS4942">
        <v>3.55</v>
      </c>
      <c r="AT4942" t="s">
        <v>516</v>
      </c>
      <c r="AU4942" t="s">
        <v>25233</v>
      </c>
      <c r="AV4942" t="s">
        <v>25335</v>
      </c>
      <c r="AW4942" t="s">
        <v>11447</v>
      </c>
    </row>
    <row r="4943" spans="1:49">
      <c r="A4943" s="1">
        <f>HYPERLINK("https://lsnyc.legalserver.org/matter/dynamic-profile/view/1908489","19-1908489")</f>
        <v>0</v>
      </c>
      <c r="B4943" t="s">
        <v>204</v>
      </c>
      <c r="C4943" t="s">
        <v>466</v>
      </c>
      <c r="E4943" t="s">
        <v>3376</v>
      </c>
      <c r="F4943" t="s">
        <v>3276</v>
      </c>
      <c r="G4943" t="s">
        <v>10066</v>
      </c>
      <c r="H4943" t="s">
        <v>10756</v>
      </c>
      <c r="I4943" t="s">
        <v>11395</v>
      </c>
      <c r="J4943">
        <v>11373</v>
      </c>
      <c r="K4943" t="s">
        <v>11446</v>
      </c>
      <c r="L4943" t="s">
        <v>14431</v>
      </c>
      <c r="M4943" t="s">
        <v>14743</v>
      </c>
      <c r="N4943" t="s">
        <v>14781</v>
      </c>
      <c r="P4943" t="s">
        <v>14807</v>
      </c>
      <c r="Q4943" t="s">
        <v>11448</v>
      </c>
      <c r="S4943" t="s">
        <v>14827</v>
      </c>
      <c r="T4943" t="s">
        <v>14832</v>
      </c>
      <c r="U4943" t="s">
        <v>663</v>
      </c>
      <c r="V4943">
        <v>1697</v>
      </c>
      <c r="W4943" t="s">
        <v>14861</v>
      </c>
      <c r="X4943" t="s">
        <v>14863</v>
      </c>
      <c r="Z4943" t="s">
        <v>18950</v>
      </c>
      <c r="AB4943" t="s">
        <v>24163</v>
      </c>
      <c r="AC4943">
        <v>164</v>
      </c>
      <c r="AD4943" t="s">
        <v>24595</v>
      </c>
      <c r="AE4943" t="s">
        <v>11459</v>
      </c>
      <c r="AF4943">
        <v>2</v>
      </c>
      <c r="AG4943">
        <v>2</v>
      </c>
      <c r="AH4943">
        <v>2</v>
      </c>
      <c r="AI4943">
        <v>121.17</v>
      </c>
      <c r="AL4943" t="s">
        <v>5011</v>
      </c>
      <c r="AM4943">
        <v>31200</v>
      </c>
      <c r="AS4943">
        <v>16.33</v>
      </c>
      <c r="AT4943" t="s">
        <v>586</v>
      </c>
      <c r="AU4943" t="s">
        <v>25233</v>
      </c>
      <c r="AV4943" t="s">
        <v>25335</v>
      </c>
      <c r="AW4943" t="s">
        <v>11447</v>
      </c>
    </row>
    <row r="4944" spans="1:49">
      <c r="A4944" s="1">
        <f>HYPERLINK("https://lsnyc.legalserver.org/matter/dynamic-profile/view/1910796","19-1910796")</f>
        <v>0</v>
      </c>
      <c r="B4944" t="s">
        <v>167</v>
      </c>
      <c r="C4944" t="s">
        <v>601</v>
      </c>
      <c r="E4944" t="s">
        <v>3377</v>
      </c>
      <c r="F4944" t="s">
        <v>6039</v>
      </c>
      <c r="G4944" t="s">
        <v>10067</v>
      </c>
      <c r="H4944" t="s">
        <v>10465</v>
      </c>
      <c r="I4944" t="s">
        <v>11395</v>
      </c>
      <c r="J4944">
        <v>11373</v>
      </c>
      <c r="K4944" t="s">
        <v>11446</v>
      </c>
      <c r="L4944" t="s">
        <v>14432</v>
      </c>
      <c r="M4944" t="s">
        <v>14744</v>
      </c>
      <c r="N4944" t="s">
        <v>14781</v>
      </c>
      <c r="P4944" t="s">
        <v>14807</v>
      </c>
      <c r="Q4944" t="s">
        <v>11448</v>
      </c>
      <c r="S4944" t="s">
        <v>14827</v>
      </c>
      <c r="T4944" t="s">
        <v>14834</v>
      </c>
      <c r="U4944" t="s">
        <v>601</v>
      </c>
      <c r="V4944">
        <v>1400</v>
      </c>
      <c r="W4944" t="s">
        <v>14861</v>
      </c>
      <c r="X4944" t="s">
        <v>14871</v>
      </c>
      <c r="Z4944" t="s">
        <v>18951</v>
      </c>
      <c r="AB4944" t="s">
        <v>24164</v>
      </c>
      <c r="AC4944">
        <v>0</v>
      </c>
      <c r="AD4944" t="s">
        <v>24595</v>
      </c>
      <c r="AF4944">
        <v>9</v>
      </c>
      <c r="AG4944">
        <v>1</v>
      </c>
      <c r="AH4944">
        <v>4</v>
      </c>
      <c r="AI4944">
        <v>24.13</v>
      </c>
      <c r="AL4944" t="s">
        <v>5011</v>
      </c>
      <c r="AM4944">
        <v>7280</v>
      </c>
      <c r="AS4944">
        <v>21.85</v>
      </c>
      <c r="AT4944" t="s">
        <v>509</v>
      </c>
      <c r="AU4944" t="s">
        <v>167</v>
      </c>
      <c r="AW4944" t="s">
        <v>11447</v>
      </c>
    </row>
    <row r="4945" spans="1:49">
      <c r="A4945" s="1">
        <f>HYPERLINK("https://lsnyc.legalserver.org/matter/dynamic-profile/view/1901058","19-1901058")</f>
        <v>0</v>
      </c>
      <c r="B4945" t="s">
        <v>290</v>
      </c>
      <c r="C4945" t="s">
        <v>530</v>
      </c>
      <c r="E4945" t="s">
        <v>3378</v>
      </c>
      <c r="F4945" t="s">
        <v>3797</v>
      </c>
      <c r="G4945" t="s">
        <v>10068</v>
      </c>
      <c r="H4945" t="s">
        <v>10848</v>
      </c>
      <c r="I4945" t="s">
        <v>11387</v>
      </c>
      <c r="J4945">
        <v>11433</v>
      </c>
      <c r="K4945" t="s">
        <v>11446</v>
      </c>
      <c r="L4945" t="s">
        <v>14433</v>
      </c>
      <c r="M4945" t="s">
        <v>14743</v>
      </c>
      <c r="N4945" t="s">
        <v>14781</v>
      </c>
      <c r="P4945" t="s">
        <v>14807</v>
      </c>
      <c r="Q4945" t="s">
        <v>11448</v>
      </c>
      <c r="S4945" t="s">
        <v>14827</v>
      </c>
      <c r="T4945" t="s">
        <v>14832</v>
      </c>
      <c r="U4945" t="s">
        <v>604</v>
      </c>
      <c r="V4945">
        <v>1000</v>
      </c>
      <c r="W4945" t="s">
        <v>14861</v>
      </c>
      <c r="X4945" t="s">
        <v>14865</v>
      </c>
      <c r="Z4945" t="s">
        <v>18952</v>
      </c>
      <c r="AA4945" t="s">
        <v>11459</v>
      </c>
      <c r="AB4945" t="s">
        <v>24165</v>
      </c>
      <c r="AC4945">
        <v>2</v>
      </c>
      <c r="AD4945" t="s">
        <v>24600</v>
      </c>
      <c r="AE4945" t="s">
        <v>11459</v>
      </c>
      <c r="AF4945">
        <v>9</v>
      </c>
      <c r="AG4945">
        <v>3</v>
      </c>
      <c r="AH4945">
        <v>3</v>
      </c>
      <c r="AI4945">
        <v>153.22</v>
      </c>
      <c r="AL4945" t="s">
        <v>5011</v>
      </c>
      <c r="AM4945">
        <v>53000</v>
      </c>
      <c r="AS4945">
        <v>16.55</v>
      </c>
      <c r="AT4945" t="s">
        <v>484</v>
      </c>
      <c r="AU4945" t="s">
        <v>99</v>
      </c>
      <c r="AV4945" t="s">
        <v>25335</v>
      </c>
      <c r="AW4945" t="s">
        <v>11447</v>
      </c>
    </row>
    <row r="4946" spans="1:49">
      <c r="A4946" s="1">
        <f>HYPERLINK("https://lsnyc.legalserver.org/matter/dynamic-profile/view/1903523","19-1903523")</f>
        <v>0</v>
      </c>
      <c r="B4946" t="s">
        <v>290</v>
      </c>
      <c r="C4946" t="s">
        <v>631</v>
      </c>
      <c r="E4946" t="s">
        <v>1902</v>
      </c>
      <c r="F4946" t="s">
        <v>6040</v>
      </c>
      <c r="G4946" t="s">
        <v>10069</v>
      </c>
      <c r="I4946" t="s">
        <v>11387</v>
      </c>
      <c r="J4946">
        <v>11433</v>
      </c>
      <c r="K4946" t="s">
        <v>11446</v>
      </c>
      <c r="L4946" t="s">
        <v>14434</v>
      </c>
      <c r="M4946" t="s">
        <v>14743</v>
      </c>
      <c r="N4946" t="s">
        <v>14781</v>
      </c>
      <c r="P4946" t="s">
        <v>14807</v>
      </c>
      <c r="Q4946" t="s">
        <v>11446</v>
      </c>
      <c r="S4946" t="s">
        <v>14827</v>
      </c>
      <c r="T4946" t="s">
        <v>14832</v>
      </c>
      <c r="U4946" t="s">
        <v>475</v>
      </c>
      <c r="V4946">
        <v>700</v>
      </c>
      <c r="W4946" t="s">
        <v>14861</v>
      </c>
      <c r="X4946" t="s">
        <v>14863</v>
      </c>
      <c r="Z4946" t="s">
        <v>17755</v>
      </c>
      <c r="AB4946" t="s">
        <v>24166</v>
      </c>
      <c r="AC4946">
        <v>7</v>
      </c>
      <c r="AD4946" t="s">
        <v>24600</v>
      </c>
      <c r="AE4946" t="s">
        <v>11459</v>
      </c>
      <c r="AF4946">
        <v>-1</v>
      </c>
      <c r="AG4946">
        <v>1</v>
      </c>
      <c r="AH4946">
        <v>0</v>
      </c>
      <c r="AI4946">
        <v>139.47</v>
      </c>
      <c r="AL4946" t="s">
        <v>5011</v>
      </c>
      <c r="AM4946">
        <v>17420</v>
      </c>
      <c r="AS4946">
        <v>12.45</v>
      </c>
      <c r="AT4946" t="s">
        <v>490</v>
      </c>
      <c r="AU4946" t="s">
        <v>25233</v>
      </c>
      <c r="AV4946" t="s">
        <v>25335</v>
      </c>
      <c r="AW4946" t="s">
        <v>11447</v>
      </c>
    </row>
    <row r="4947" spans="1:49">
      <c r="A4947" s="1">
        <f>HYPERLINK("https://lsnyc.legalserver.org/matter/dynamic-profile/view/1910021","19-1910021")</f>
        <v>0</v>
      </c>
      <c r="B4947" t="s">
        <v>227</v>
      </c>
      <c r="C4947" t="s">
        <v>471</v>
      </c>
      <c r="E4947" t="s">
        <v>3379</v>
      </c>
      <c r="F4947" t="s">
        <v>6041</v>
      </c>
      <c r="G4947" t="s">
        <v>10070</v>
      </c>
      <c r="H4947" t="s">
        <v>10486</v>
      </c>
      <c r="I4947" t="s">
        <v>11387</v>
      </c>
      <c r="J4947">
        <v>11434</v>
      </c>
      <c r="K4947" t="s">
        <v>11446</v>
      </c>
      <c r="L4947" t="s">
        <v>14435</v>
      </c>
      <c r="M4947" t="s">
        <v>14743</v>
      </c>
      <c r="N4947" t="s">
        <v>14781</v>
      </c>
      <c r="P4947" t="s">
        <v>14807</v>
      </c>
      <c r="Q4947" t="s">
        <v>11448</v>
      </c>
      <c r="S4947" t="s">
        <v>14827</v>
      </c>
      <c r="U4947" t="s">
        <v>475</v>
      </c>
      <c r="V4947">
        <v>1480</v>
      </c>
      <c r="W4947" t="s">
        <v>14861</v>
      </c>
      <c r="X4947" t="s">
        <v>14863</v>
      </c>
      <c r="Z4947" t="s">
        <v>15336</v>
      </c>
      <c r="AA4947" t="s">
        <v>20065</v>
      </c>
      <c r="AB4947" t="s">
        <v>24167</v>
      </c>
      <c r="AC4947">
        <v>3</v>
      </c>
      <c r="AD4947" t="s">
        <v>24596</v>
      </c>
      <c r="AE4947" t="s">
        <v>24610</v>
      </c>
      <c r="AF4947">
        <v>12</v>
      </c>
      <c r="AG4947">
        <v>2</v>
      </c>
      <c r="AH4947">
        <v>0</v>
      </c>
      <c r="AI4947">
        <v>141.93</v>
      </c>
      <c r="AL4947" t="s">
        <v>5011</v>
      </c>
      <c r="AM4947">
        <v>24000</v>
      </c>
      <c r="AS4947">
        <v>24.2</v>
      </c>
      <c r="AT4947" t="s">
        <v>516</v>
      </c>
      <c r="AU4947" t="s">
        <v>25233</v>
      </c>
      <c r="AV4947" t="s">
        <v>25335</v>
      </c>
      <c r="AW4947" t="s">
        <v>11447</v>
      </c>
    </row>
    <row r="4948" spans="1:49">
      <c r="A4948" s="1">
        <f>HYPERLINK("https://lsnyc.legalserver.org/matter/dynamic-profile/view/1911300","19-1911300")</f>
        <v>0</v>
      </c>
      <c r="B4948" t="s">
        <v>179</v>
      </c>
      <c r="C4948" t="s">
        <v>511</v>
      </c>
      <c r="E4948" t="s">
        <v>1269</v>
      </c>
      <c r="F4948" t="s">
        <v>3797</v>
      </c>
      <c r="G4948" t="s">
        <v>10028</v>
      </c>
      <c r="H4948" t="s">
        <v>11312</v>
      </c>
      <c r="I4948" t="s">
        <v>11387</v>
      </c>
      <c r="J4948">
        <v>11433</v>
      </c>
      <c r="K4948" t="s">
        <v>11446</v>
      </c>
      <c r="L4948" t="s">
        <v>14436</v>
      </c>
      <c r="M4948" t="s">
        <v>14744</v>
      </c>
      <c r="N4948" t="s">
        <v>14781</v>
      </c>
      <c r="P4948" t="s">
        <v>14807</v>
      </c>
      <c r="Q4948" t="s">
        <v>11448</v>
      </c>
      <c r="S4948" t="s">
        <v>14827</v>
      </c>
      <c r="U4948" t="s">
        <v>511</v>
      </c>
      <c r="V4948">
        <v>780</v>
      </c>
      <c r="W4948" t="s">
        <v>14861</v>
      </c>
      <c r="X4948" t="s">
        <v>14863</v>
      </c>
      <c r="Z4948" t="s">
        <v>17847</v>
      </c>
      <c r="AB4948" t="s">
        <v>19344</v>
      </c>
      <c r="AC4948">
        <v>0</v>
      </c>
      <c r="AD4948" t="s">
        <v>24597</v>
      </c>
      <c r="AE4948" t="s">
        <v>24610</v>
      </c>
      <c r="AF4948">
        <v>8</v>
      </c>
      <c r="AG4948">
        <v>2</v>
      </c>
      <c r="AH4948">
        <v>2</v>
      </c>
      <c r="AI4948">
        <v>123.5</v>
      </c>
      <c r="AL4948" t="s">
        <v>5011</v>
      </c>
      <c r="AM4948">
        <v>31800</v>
      </c>
      <c r="AS4948">
        <v>1</v>
      </c>
      <c r="AT4948" t="s">
        <v>533</v>
      </c>
      <c r="AU4948" t="s">
        <v>292</v>
      </c>
      <c r="AV4948" t="s">
        <v>25335</v>
      </c>
      <c r="AW4948" t="s">
        <v>11447</v>
      </c>
    </row>
    <row r="4949" spans="1:49">
      <c r="A4949" s="1">
        <f>HYPERLINK("https://lsnyc.legalserver.org/matter/dynamic-profile/view/1909307","19-1909307")</f>
        <v>0</v>
      </c>
      <c r="B4949" t="s">
        <v>227</v>
      </c>
      <c r="C4949" t="s">
        <v>589</v>
      </c>
      <c r="E4949" t="s">
        <v>1691</v>
      </c>
      <c r="F4949" t="s">
        <v>6042</v>
      </c>
      <c r="G4949" t="s">
        <v>10071</v>
      </c>
      <c r="H4949" t="s">
        <v>10473</v>
      </c>
      <c r="I4949" t="s">
        <v>11395</v>
      </c>
      <c r="J4949">
        <v>11373</v>
      </c>
      <c r="K4949" t="s">
        <v>11446</v>
      </c>
      <c r="L4949" t="s">
        <v>14437</v>
      </c>
      <c r="M4949" t="s">
        <v>14744</v>
      </c>
      <c r="N4949" t="s">
        <v>14781</v>
      </c>
      <c r="P4949" t="s">
        <v>14807</v>
      </c>
      <c r="Q4949" t="s">
        <v>11448</v>
      </c>
      <c r="S4949" t="s">
        <v>14827</v>
      </c>
      <c r="T4949" t="s">
        <v>14833</v>
      </c>
      <c r="U4949" t="s">
        <v>467</v>
      </c>
      <c r="V4949">
        <v>1925</v>
      </c>
      <c r="W4949" t="s">
        <v>14861</v>
      </c>
      <c r="X4949" t="s">
        <v>14868</v>
      </c>
      <c r="Z4949" t="s">
        <v>18953</v>
      </c>
      <c r="AB4949" t="s">
        <v>24168</v>
      </c>
      <c r="AC4949">
        <v>40</v>
      </c>
      <c r="AD4949" t="s">
        <v>11479</v>
      </c>
      <c r="AE4949" t="s">
        <v>11459</v>
      </c>
      <c r="AF4949">
        <v>14</v>
      </c>
      <c r="AG4949">
        <v>2</v>
      </c>
      <c r="AH4949">
        <v>1</v>
      </c>
      <c r="AI4949">
        <v>122.83</v>
      </c>
      <c r="AL4949" t="s">
        <v>24632</v>
      </c>
      <c r="AM4949">
        <v>26200</v>
      </c>
      <c r="AS4949">
        <v>19.9</v>
      </c>
      <c r="AT4949" t="s">
        <v>539</v>
      </c>
      <c r="AU4949" t="s">
        <v>292</v>
      </c>
      <c r="AV4949" t="s">
        <v>25335</v>
      </c>
      <c r="AW4949" t="s">
        <v>11447</v>
      </c>
    </row>
    <row r="4950" spans="1:49">
      <c r="A4950" s="1">
        <f>HYPERLINK("https://lsnyc.legalserver.org/matter/dynamic-profile/view/1911463","19-1911463")</f>
        <v>0</v>
      </c>
      <c r="B4950" t="s">
        <v>122</v>
      </c>
      <c r="C4950" t="s">
        <v>486</v>
      </c>
      <c r="E4950" t="s">
        <v>3380</v>
      </c>
      <c r="F4950" t="s">
        <v>6043</v>
      </c>
      <c r="G4950" t="s">
        <v>10072</v>
      </c>
      <c r="I4950" t="s">
        <v>11387</v>
      </c>
      <c r="J4950">
        <v>11434</v>
      </c>
      <c r="K4950" t="s">
        <v>11446</v>
      </c>
      <c r="L4950" t="s">
        <v>14438</v>
      </c>
      <c r="M4950" t="s">
        <v>14743</v>
      </c>
      <c r="N4950" t="s">
        <v>14782</v>
      </c>
      <c r="P4950" t="s">
        <v>14807</v>
      </c>
      <c r="Q4950" t="s">
        <v>11448</v>
      </c>
      <c r="S4950" t="s">
        <v>14827</v>
      </c>
      <c r="U4950" t="s">
        <v>486</v>
      </c>
      <c r="V4950">
        <v>950</v>
      </c>
      <c r="W4950" t="s">
        <v>14861</v>
      </c>
      <c r="X4950" t="s">
        <v>14865</v>
      </c>
      <c r="Z4950" t="s">
        <v>18954</v>
      </c>
      <c r="AA4950" t="s">
        <v>20066</v>
      </c>
      <c r="AB4950" t="s">
        <v>24169</v>
      </c>
      <c r="AC4950">
        <v>2</v>
      </c>
      <c r="AD4950" t="s">
        <v>11479</v>
      </c>
      <c r="AE4950" t="s">
        <v>11459</v>
      </c>
      <c r="AF4950">
        <v>5</v>
      </c>
      <c r="AG4950">
        <v>1</v>
      </c>
      <c r="AH4950">
        <v>0</v>
      </c>
      <c r="AI4950">
        <v>72.86</v>
      </c>
      <c r="AL4950" t="s">
        <v>5011</v>
      </c>
      <c r="AM4950">
        <v>9100</v>
      </c>
      <c r="AS4950">
        <v>16.9</v>
      </c>
      <c r="AT4950" t="s">
        <v>539</v>
      </c>
      <c r="AU4950" t="s">
        <v>292</v>
      </c>
      <c r="AV4950" t="s">
        <v>25335</v>
      </c>
      <c r="AW4950" t="s">
        <v>11447</v>
      </c>
    </row>
    <row r="4951" spans="1:49">
      <c r="A4951" s="1">
        <f>HYPERLINK("https://lsnyc.legalserver.org/matter/dynamic-profile/view/1911565","19-1911565")</f>
        <v>0</v>
      </c>
      <c r="B4951" t="s">
        <v>138</v>
      </c>
      <c r="C4951" t="s">
        <v>526</v>
      </c>
      <c r="E4951" t="s">
        <v>1657</v>
      </c>
      <c r="F4951" t="s">
        <v>4284</v>
      </c>
      <c r="G4951" t="s">
        <v>10073</v>
      </c>
      <c r="H4951" t="s">
        <v>10705</v>
      </c>
      <c r="I4951" t="s">
        <v>11387</v>
      </c>
      <c r="J4951">
        <v>11433</v>
      </c>
      <c r="K4951" t="s">
        <v>11446</v>
      </c>
      <c r="L4951" t="s">
        <v>14439</v>
      </c>
      <c r="M4951" t="s">
        <v>14743</v>
      </c>
      <c r="N4951" t="s">
        <v>14781</v>
      </c>
      <c r="P4951" t="s">
        <v>14807</v>
      </c>
      <c r="Q4951" t="s">
        <v>11448</v>
      </c>
      <c r="S4951" t="s">
        <v>14828</v>
      </c>
      <c r="U4951" t="s">
        <v>526</v>
      </c>
      <c r="V4951">
        <v>1111.66</v>
      </c>
      <c r="W4951" t="s">
        <v>14861</v>
      </c>
      <c r="X4951" t="s">
        <v>14863</v>
      </c>
      <c r="Z4951" t="s">
        <v>526</v>
      </c>
      <c r="AB4951" t="s">
        <v>24170</v>
      </c>
      <c r="AC4951">
        <v>2</v>
      </c>
      <c r="AD4951" t="s">
        <v>11479</v>
      </c>
      <c r="AE4951" t="s">
        <v>11459</v>
      </c>
      <c r="AF4951">
        <v>17</v>
      </c>
      <c r="AG4951">
        <v>1</v>
      </c>
      <c r="AH4951">
        <v>0</v>
      </c>
      <c r="AI4951">
        <v>68.02</v>
      </c>
      <c r="AL4951" t="s">
        <v>5011</v>
      </c>
      <c r="AM4951">
        <v>8496</v>
      </c>
      <c r="AS4951">
        <v>2.6</v>
      </c>
      <c r="AT4951" t="s">
        <v>537</v>
      </c>
      <c r="AU4951" t="s">
        <v>292</v>
      </c>
      <c r="AV4951" t="s">
        <v>25335</v>
      </c>
      <c r="AW4951" t="s">
        <v>11447</v>
      </c>
    </row>
    <row r="4952" spans="1:49">
      <c r="A4952" s="1">
        <f>HYPERLINK("https://lsnyc.legalserver.org/matter/dynamic-profile/view/1910211","19-1910211")</f>
        <v>0</v>
      </c>
      <c r="B4952" t="s">
        <v>59</v>
      </c>
      <c r="C4952" t="s">
        <v>528</v>
      </c>
      <c r="E4952" t="s">
        <v>3381</v>
      </c>
      <c r="F4952" t="s">
        <v>6044</v>
      </c>
      <c r="G4952" t="s">
        <v>10074</v>
      </c>
      <c r="H4952" t="s">
        <v>10506</v>
      </c>
      <c r="I4952" t="s">
        <v>11387</v>
      </c>
      <c r="J4952">
        <v>11434</v>
      </c>
      <c r="K4952" t="s">
        <v>11448</v>
      </c>
      <c r="L4952" t="s">
        <v>14440</v>
      </c>
      <c r="M4952" t="s">
        <v>14743</v>
      </c>
      <c r="N4952" t="s">
        <v>14781</v>
      </c>
      <c r="P4952" t="s">
        <v>14807</v>
      </c>
      <c r="Q4952" t="s">
        <v>11448</v>
      </c>
      <c r="S4952" t="s">
        <v>14827</v>
      </c>
      <c r="T4952" t="s">
        <v>14832</v>
      </c>
      <c r="U4952" t="s">
        <v>526</v>
      </c>
      <c r="V4952">
        <v>1325</v>
      </c>
      <c r="W4952" t="s">
        <v>14861</v>
      </c>
      <c r="X4952" t="s">
        <v>14863</v>
      </c>
      <c r="Z4952" t="s">
        <v>18955</v>
      </c>
      <c r="AC4952">
        <v>2</v>
      </c>
      <c r="AD4952" t="s">
        <v>24600</v>
      </c>
      <c r="AE4952" t="s">
        <v>24610</v>
      </c>
      <c r="AF4952">
        <v>5</v>
      </c>
      <c r="AG4952">
        <v>1</v>
      </c>
      <c r="AH4952">
        <v>1</v>
      </c>
      <c r="AI4952">
        <v>94.62</v>
      </c>
      <c r="AL4952" t="s">
        <v>5011</v>
      </c>
      <c r="AM4952">
        <v>16000</v>
      </c>
      <c r="AS4952">
        <v>16.12</v>
      </c>
      <c r="AT4952" t="s">
        <v>495</v>
      </c>
      <c r="AU4952" t="s">
        <v>25233</v>
      </c>
      <c r="AV4952" t="s">
        <v>25335</v>
      </c>
      <c r="AW4952" t="s">
        <v>11447</v>
      </c>
    </row>
    <row r="4953" spans="1:49">
      <c r="A4953" s="1">
        <f>HYPERLINK("https://lsnyc.legalserver.org/matter/dynamic-profile/view/1911567","19-1911567")</f>
        <v>0</v>
      </c>
      <c r="B4953" t="s">
        <v>291</v>
      </c>
      <c r="C4953" t="s">
        <v>526</v>
      </c>
      <c r="E4953" t="s">
        <v>1598</v>
      </c>
      <c r="F4953" t="s">
        <v>3799</v>
      </c>
      <c r="G4953" t="s">
        <v>8322</v>
      </c>
      <c r="H4953">
        <v>402</v>
      </c>
      <c r="I4953" t="s">
        <v>11387</v>
      </c>
      <c r="J4953">
        <v>11433</v>
      </c>
      <c r="K4953" t="s">
        <v>11446</v>
      </c>
      <c r="L4953" t="s">
        <v>14441</v>
      </c>
      <c r="M4953" t="s">
        <v>14744</v>
      </c>
      <c r="N4953" t="s">
        <v>14781</v>
      </c>
      <c r="P4953" t="s">
        <v>14807</v>
      </c>
      <c r="Q4953" t="s">
        <v>11448</v>
      </c>
      <c r="S4953" t="s">
        <v>14827</v>
      </c>
      <c r="U4953" t="s">
        <v>526</v>
      </c>
      <c r="V4953">
        <v>1733.06</v>
      </c>
      <c r="W4953" t="s">
        <v>14861</v>
      </c>
      <c r="X4953" t="s">
        <v>14863</v>
      </c>
      <c r="Z4953" t="s">
        <v>18956</v>
      </c>
      <c r="AA4953" t="s">
        <v>20067</v>
      </c>
      <c r="AB4953" t="s">
        <v>24171</v>
      </c>
      <c r="AC4953">
        <v>48</v>
      </c>
      <c r="AD4953" t="s">
        <v>11479</v>
      </c>
      <c r="AE4953" t="s">
        <v>24610</v>
      </c>
      <c r="AF4953">
        <v>13</v>
      </c>
      <c r="AG4953">
        <v>3</v>
      </c>
      <c r="AH4953">
        <v>3</v>
      </c>
      <c r="AI4953">
        <v>105.19</v>
      </c>
      <c r="AL4953" t="s">
        <v>5011</v>
      </c>
      <c r="AM4953">
        <v>36384</v>
      </c>
      <c r="AS4953">
        <v>14.95</v>
      </c>
      <c r="AT4953" t="s">
        <v>509</v>
      </c>
      <c r="AU4953" t="s">
        <v>292</v>
      </c>
      <c r="AV4953" t="s">
        <v>25335</v>
      </c>
      <c r="AW4953" t="s">
        <v>11447</v>
      </c>
    </row>
    <row r="4954" spans="1:49">
      <c r="A4954" s="1">
        <f>HYPERLINK("https://lsnyc.legalserver.org/matter/dynamic-profile/view/1911729","19-1911729")</f>
        <v>0</v>
      </c>
      <c r="B4954" t="s">
        <v>294</v>
      </c>
      <c r="C4954" t="s">
        <v>505</v>
      </c>
      <c r="E4954" t="s">
        <v>2431</v>
      </c>
      <c r="F4954" t="s">
        <v>3738</v>
      </c>
      <c r="G4954" t="s">
        <v>10075</v>
      </c>
      <c r="H4954" t="s">
        <v>10471</v>
      </c>
      <c r="I4954" t="s">
        <v>11387</v>
      </c>
      <c r="J4954">
        <v>11434</v>
      </c>
      <c r="K4954" t="s">
        <v>11446</v>
      </c>
      <c r="L4954" t="s">
        <v>14442</v>
      </c>
      <c r="M4954" t="s">
        <v>14744</v>
      </c>
      <c r="N4954" t="s">
        <v>14781</v>
      </c>
      <c r="P4954" t="s">
        <v>14807</v>
      </c>
      <c r="Q4954" t="s">
        <v>11448</v>
      </c>
      <c r="S4954" t="s">
        <v>14827</v>
      </c>
      <c r="U4954" t="s">
        <v>505</v>
      </c>
      <c r="V4954">
        <v>1051.62</v>
      </c>
      <c r="W4954" t="s">
        <v>14861</v>
      </c>
      <c r="X4954" t="s">
        <v>14863</v>
      </c>
      <c r="Z4954" t="s">
        <v>18957</v>
      </c>
      <c r="AB4954" t="s">
        <v>24172</v>
      </c>
      <c r="AC4954">
        <v>50</v>
      </c>
      <c r="AD4954" t="s">
        <v>11479</v>
      </c>
      <c r="AE4954" t="s">
        <v>24615</v>
      </c>
      <c r="AF4954">
        <v>3</v>
      </c>
      <c r="AG4954">
        <v>1</v>
      </c>
      <c r="AH4954">
        <v>3</v>
      </c>
      <c r="AI4954">
        <v>0</v>
      </c>
      <c r="AL4954" t="s">
        <v>5011</v>
      </c>
      <c r="AM4954">
        <v>0</v>
      </c>
      <c r="AS4954">
        <v>3.2</v>
      </c>
      <c r="AT4954" t="s">
        <v>509</v>
      </c>
      <c r="AU4954" t="s">
        <v>292</v>
      </c>
      <c r="AV4954" t="s">
        <v>25335</v>
      </c>
      <c r="AW4954" t="s">
        <v>11447</v>
      </c>
    </row>
    <row r="4955" spans="1:49">
      <c r="A4955" s="1">
        <f>HYPERLINK("https://lsnyc.legalserver.org/matter/dynamic-profile/view/1911709","19-1911709")</f>
        <v>0</v>
      </c>
      <c r="B4955" t="s">
        <v>248</v>
      </c>
      <c r="C4955" t="s">
        <v>505</v>
      </c>
      <c r="E4955" t="s">
        <v>3259</v>
      </c>
      <c r="F4955" t="s">
        <v>6045</v>
      </c>
      <c r="G4955" t="s">
        <v>10076</v>
      </c>
      <c r="H4955" t="s">
        <v>10705</v>
      </c>
      <c r="I4955" t="s">
        <v>11387</v>
      </c>
      <c r="J4955">
        <v>11433</v>
      </c>
      <c r="K4955" t="s">
        <v>11446</v>
      </c>
      <c r="L4955" t="s">
        <v>14443</v>
      </c>
      <c r="M4955" t="s">
        <v>14743</v>
      </c>
      <c r="N4955" t="s">
        <v>14779</v>
      </c>
      <c r="P4955" t="s">
        <v>14807</v>
      </c>
      <c r="Q4955" t="s">
        <v>11448</v>
      </c>
      <c r="S4955" t="s">
        <v>14827</v>
      </c>
      <c r="T4955" t="s">
        <v>14832</v>
      </c>
      <c r="U4955" t="s">
        <v>505</v>
      </c>
      <c r="V4955">
        <v>1400</v>
      </c>
      <c r="W4955" t="s">
        <v>14861</v>
      </c>
      <c r="X4955" t="s">
        <v>14865</v>
      </c>
      <c r="Z4955" t="s">
        <v>15478</v>
      </c>
      <c r="AA4955" t="s">
        <v>20068</v>
      </c>
      <c r="AB4955" t="s">
        <v>24173</v>
      </c>
      <c r="AC4955">
        <v>2</v>
      </c>
      <c r="AD4955" t="s">
        <v>11479</v>
      </c>
      <c r="AE4955" t="s">
        <v>11459</v>
      </c>
      <c r="AF4955">
        <v>2</v>
      </c>
      <c r="AG4955">
        <v>1</v>
      </c>
      <c r="AH4955">
        <v>2</v>
      </c>
      <c r="AI4955">
        <v>78.76000000000001</v>
      </c>
      <c r="AL4955" t="s">
        <v>5011</v>
      </c>
      <c r="AM4955">
        <v>16800</v>
      </c>
      <c r="AS4955">
        <v>2.15</v>
      </c>
      <c r="AT4955" t="s">
        <v>603</v>
      </c>
      <c r="AU4955" t="s">
        <v>292</v>
      </c>
      <c r="AV4955" t="s">
        <v>25335</v>
      </c>
      <c r="AW4955" t="s">
        <v>11447</v>
      </c>
    </row>
    <row r="4956" spans="1:49">
      <c r="A4956" s="1">
        <f>HYPERLINK("https://lsnyc.legalserver.org/matter/dynamic-profile/view/1911738","19-1911738")</f>
        <v>0</v>
      </c>
      <c r="B4956" t="s">
        <v>191</v>
      </c>
      <c r="C4956" t="s">
        <v>505</v>
      </c>
      <c r="E4956" t="s">
        <v>3382</v>
      </c>
      <c r="F4956" t="s">
        <v>1635</v>
      </c>
      <c r="G4956" t="s">
        <v>10077</v>
      </c>
      <c r="H4956" t="s">
        <v>10646</v>
      </c>
      <c r="I4956" t="s">
        <v>11400</v>
      </c>
      <c r="J4956">
        <v>11385</v>
      </c>
      <c r="K4956" t="s">
        <v>11446</v>
      </c>
      <c r="L4956" t="s">
        <v>14444</v>
      </c>
      <c r="M4956" t="s">
        <v>14743</v>
      </c>
      <c r="N4956" t="s">
        <v>14781</v>
      </c>
      <c r="P4956" t="s">
        <v>14807</v>
      </c>
      <c r="Q4956" t="s">
        <v>11448</v>
      </c>
      <c r="S4956" t="s">
        <v>14827</v>
      </c>
      <c r="T4956" t="s">
        <v>14832</v>
      </c>
      <c r="U4956" t="s">
        <v>505</v>
      </c>
      <c r="V4956">
        <v>1400</v>
      </c>
      <c r="W4956" t="s">
        <v>14861</v>
      </c>
      <c r="X4956" t="s">
        <v>14863</v>
      </c>
      <c r="Z4956" t="s">
        <v>18958</v>
      </c>
      <c r="AB4956" t="s">
        <v>24174</v>
      </c>
      <c r="AC4956">
        <v>3</v>
      </c>
      <c r="AD4956" t="s">
        <v>24600</v>
      </c>
      <c r="AE4956" t="s">
        <v>11459</v>
      </c>
      <c r="AF4956">
        <v>3</v>
      </c>
      <c r="AG4956">
        <v>1</v>
      </c>
      <c r="AH4956">
        <v>3</v>
      </c>
      <c r="AI4956">
        <v>80.78</v>
      </c>
      <c r="AL4956" t="s">
        <v>5011</v>
      </c>
      <c r="AM4956">
        <v>20800</v>
      </c>
      <c r="AS4956">
        <v>1.05</v>
      </c>
      <c r="AT4956" t="s">
        <v>516</v>
      </c>
      <c r="AU4956" t="s">
        <v>292</v>
      </c>
      <c r="AV4956" t="s">
        <v>25335</v>
      </c>
      <c r="AW4956" t="s">
        <v>11447</v>
      </c>
    </row>
    <row r="4957" spans="1:49">
      <c r="A4957" s="1">
        <f>HYPERLINK("https://lsnyc.legalserver.org/matter/dynamic-profile/view/1911725","19-1911725")</f>
        <v>0</v>
      </c>
      <c r="B4957" t="s">
        <v>294</v>
      </c>
      <c r="C4957" t="s">
        <v>505</v>
      </c>
      <c r="E4957" t="s">
        <v>1337</v>
      </c>
      <c r="F4957" t="s">
        <v>6046</v>
      </c>
      <c r="G4957" t="s">
        <v>10078</v>
      </c>
      <c r="I4957" t="s">
        <v>11387</v>
      </c>
      <c r="J4957">
        <v>11433</v>
      </c>
      <c r="K4957" t="s">
        <v>11446</v>
      </c>
      <c r="L4957" t="s">
        <v>14445</v>
      </c>
      <c r="M4957" t="s">
        <v>14743</v>
      </c>
      <c r="N4957" t="s">
        <v>14781</v>
      </c>
      <c r="P4957" t="s">
        <v>14807</v>
      </c>
      <c r="Q4957" t="s">
        <v>11448</v>
      </c>
      <c r="S4957" t="s">
        <v>14827</v>
      </c>
      <c r="U4957" t="s">
        <v>505</v>
      </c>
      <c r="V4957">
        <v>1860</v>
      </c>
      <c r="W4957" t="s">
        <v>14861</v>
      </c>
      <c r="X4957" t="s">
        <v>14863</v>
      </c>
      <c r="Z4957" t="s">
        <v>18959</v>
      </c>
      <c r="AB4957" t="s">
        <v>24175</v>
      </c>
      <c r="AC4957">
        <v>3</v>
      </c>
      <c r="AD4957" t="s">
        <v>11479</v>
      </c>
      <c r="AE4957" t="s">
        <v>24610</v>
      </c>
      <c r="AF4957">
        <v>20</v>
      </c>
      <c r="AG4957">
        <v>3</v>
      </c>
      <c r="AH4957">
        <v>2</v>
      </c>
      <c r="AI4957">
        <v>149.71</v>
      </c>
      <c r="AL4957" t="s">
        <v>5011</v>
      </c>
      <c r="AM4957">
        <v>45168</v>
      </c>
      <c r="AS4957">
        <v>2.9</v>
      </c>
      <c r="AT4957" t="s">
        <v>537</v>
      </c>
      <c r="AU4957" t="s">
        <v>292</v>
      </c>
      <c r="AV4957" t="s">
        <v>25335</v>
      </c>
      <c r="AW4957" t="s">
        <v>11447</v>
      </c>
    </row>
    <row r="4958" spans="1:49">
      <c r="A4958" s="1">
        <f>HYPERLINK("https://lsnyc.legalserver.org/matter/dynamic-profile/view/1905133","19-1905133")</f>
        <v>0</v>
      </c>
      <c r="B4958" t="s">
        <v>227</v>
      </c>
      <c r="C4958" t="s">
        <v>456</v>
      </c>
      <c r="E4958" t="s">
        <v>1361</v>
      </c>
      <c r="F4958" t="s">
        <v>3696</v>
      </c>
      <c r="G4958" t="s">
        <v>10079</v>
      </c>
      <c r="H4958" t="s">
        <v>10569</v>
      </c>
      <c r="I4958" t="s">
        <v>11400</v>
      </c>
      <c r="J4958">
        <v>11385</v>
      </c>
      <c r="K4958" t="s">
        <v>11446</v>
      </c>
      <c r="L4958" t="s">
        <v>14446</v>
      </c>
      <c r="M4958" t="s">
        <v>14743</v>
      </c>
      <c r="N4958" t="s">
        <v>14781</v>
      </c>
      <c r="P4958" t="s">
        <v>14807</v>
      </c>
      <c r="Q4958" t="s">
        <v>11448</v>
      </c>
      <c r="S4958" t="s">
        <v>14827</v>
      </c>
      <c r="T4958" t="s">
        <v>14832</v>
      </c>
      <c r="U4958" t="s">
        <v>505</v>
      </c>
      <c r="V4958">
        <v>0</v>
      </c>
      <c r="W4958" t="s">
        <v>14861</v>
      </c>
      <c r="X4958" t="s">
        <v>14863</v>
      </c>
      <c r="Z4958" t="s">
        <v>17364</v>
      </c>
      <c r="AB4958" t="s">
        <v>24176</v>
      </c>
      <c r="AC4958">
        <v>75</v>
      </c>
      <c r="AD4958" t="s">
        <v>24595</v>
      </c>
      <c r="AE4958" t="s">
        <v>11459</v>
      </c>
      <c r="AF4958">
        <v>2</v>
      </c>
      <c r="AG4958">
        <v>2</v>
      </c>
      <c r="AH4958">
        <v>3</v>
      </c>
      <c r="AI4958">
        <v>150.29</v>
      </c>
      <c r="AL4958" t="s">
        <v>24632</v>
      </c>
      <c r="AM4958">
        <v>45344</v>
      </c>
      <c r="AS4958">
        <v>19.15</v>
      </c>
      <c r="AT4958" t="s">
        <v>495</v>
      </c>
      <c r="AU4958" t="s">
        <v>83</v>
      </c>
      <c r="AV4958" t="s">
        <v>25335</v>
      </c>
      <c r="AW4958" t="s">
        <v>11447</v>
      </c>
    </row>
    <row r="4959" spans="1:49">
      <c r="A4959" s="1">
        <f>HYPERLINK("https://lsnyc.legalserver.org/matter/dynamic-profile/view/1911872","19-1911872")</f>
        <v>0</v>
      </c>
      <c r="B4959" t="s">
        <v>191</v>
      </c>
      <c r="C4959" t="s">
        <v>645</v>
      </c>
      <c r="E4959" t="s">
        <v>2451</v>
      </c>
      <c r="F4959" t="s">
        <v>6047</v>
      </c>
      <c r="G4959" t="s">
        <v>10080</v>
      </c>
      <c r="H4959" t="s">
        <v>10908</v>
      </c>
      <c r="I4959" t="s">
        <v>11387</v>
      </c>
      <c r="J4959">
        <v>11433</v>
      </c>
      <c r="K4959" t="s">
        <v>11446</v>
      </c>
      <c r="L4959" t="s">
        <v>14447</v>
      </c>
      <c r="M4959" t="s">
        <v>14743</v>
      </c>
      <c r="N4959" t="s">
        <v>14781</v>
      </c>
      <c r="P4959" t="s">
        <v>14807</v>
      </c>
      <c r="Q4959" t="s">
        <v>11448</v>
      </c>
      <c r="S4959" t="s">
        <v>14827</v>
      </c>
      <c r="U4959" t="s">
        <v>645</v>
      </c>
      <c r="V4959">
        <v>800</v>
      </c>
      <c r="W4959" t="s">
        <v>14861</v>
      </c>
      <c r="X4959" t="s">
        <v>14863</v>
      </c>
      <c r="Z4959" t="s">
        <v>18960</v>
      </c>
      <c r="AB4959" t="s">
        <v>24177</v>
      </c>
      <c r="AC4959">
        <v>3</v>
      </c>
      <c r="AD4959" t="s">
        <v>11479</v>
      </c>
      <c r="AE4959" t="s">
        <v>11459</v>
      </c>
      <c r="AF4959">
        <v>0</v>
      </c>
      <c r="AG4959">
        <v>2</v>
      </c>
      <c r="AH4959">
        <v>0</v>
      </c>
      <c r="AI4959">
        <v>153.76</v>
      </c>
      <c r="AL4959" t="s">
        <v>5011</v>
      </c>
      <c r="AM4959">
        <v>26000</v>
      </c>
      <c r="AS4959">
        <v>3.5</v>
      </c>
      <c r="AT4959" t="s">
        <v>509</v>
      </c>
      <c r="AU4959" t="s">
        <v>292</v>
      </c>
      <c r="AV4959" t="s">
        <v>25335</v>
      </c>
      <c r="AW4959" t="s">
        <v>11447</v>
      </c>
    </row>
    <row r="4960" spans="1:49">
      <c r="A4960" s="1">
        <f>HYPERLINK("https://lsnyc.legalserver.org/matter/dynamic-profile/view/1911870","19-1911870")</f>
        <v>0</v>
      </c>
      <c r="B4960" t="s">
        <v>204</v>
      </c>
      <c r="C4960" t="s">
        <v>645</v>
      </c>
      <c r="E4960" t="s">
        <v>2792</v>
      </c>
      <c r="F4960" t="s">
        <v>6048</v>
      </c>
      <c r="G4960" t="s">
        <v>8322</v>
      </c>
      <c r="H4960">
        <v>216</v>
      </c>
      <c r="I4960" t="s">
        <v>11387</v>
      </c>
      <c r="J4960">
        <v>11433</v>
      </c>
      <c r="K4960" t="s">
        <v>11446</v>
      </c>
      <c r="L4960" t="s">
        <v>14448</v>
      </c>
      <c r="M4960" t="s">
        <v>14744</v>
      </c>
      <c r="N4960" t="s">
        <v>14781</v>
      </c>
      <c r="P4960" t="s">
        <v>14807</v>
      </c>
      <c r="Q4960" t="s">
        <v>11448</v>
      </c>
      <c r="S4960" t="s">
        <v>14827</v>
      </c>
      <c r="T4960" t="s">
        <v>14832</v>
      </c>
      <c r="U4960" t="s">
        <v>645</v>
      </c>
      <c r="V4960">
        <v>925.39</v>
      </c>
      <c r="W4960" t="s">
        <v>14861</v>
      </c>
      <c r="X4960" t="s">
        <v>14863</v>
      </c>
      <c r="Z4960" t="s">
        <v>18961</v>
      </c>
      <c r="AB4960" t="s">
        <v>24178</v>
      </c>
      <c r="AC4960">
        <v>54</v>
      </c>
      <c r="AD4960" t="s">
        <v>24595</v>
      </c>
      <c r="AE4960" t="s">
        <v>11459</v>
      </c>
      <c r="AF4960">
        <v>11</v>
      </c>
      <c r="AG4960">
        <v>1</v>
      </c>
      <c r="AH4960">
        <v>1</v>
      </c>
      <c r="AI4960">
        <v>242.46</v>
      </c>
      <c r="AJ4960" t="s">
        <v>537</v>
      </c>
      <c r="AK4960" t="s">
        <v>24629</v>
      </c>
      <c r="AL4960" t="s">
        <v>5011</v>
      </c>
      <c r="AM4960">
        <v>41000</v>
      </c>
      <c r="AS4960">
        <v>7.18</v>
      </c>
      <c r="AT4960" t="s">
        <v>537</v>
      </c>
      <c r="AU4960" t="s">
        <v>292</v>
      </c>
      <c r="AV4960" t="s">
        <v>25335</v>
      </c>
      <c r="AW4960" t="s">
        <v>11447</v>
      </c>
    </row>
    <row r="4961" spans="1:49">
      <c r="A4961" s="1">
        <f>HYPERLINK("https://lsnyc.legalserver.org/matter/dynamic-profile/view/1911878","19-1911878")</f>
        <v>0</v>
      </c>
      <c r="B4961" t="s">
        <v>59</v>
      </c>
      <c r="C4961" t="s">
        <v>645</v>
      </c>
      <c r="E4961" t="s">
        <v>3383</v>
      </c>
      <c r="F4961" t="s">
        <v>4460</v>
      </c>
      <c r="G4961" t="s">
        <v>10081</v>
      </c>
      <c r="I4961" t="s">
        <v>11387</v>
      </c>
      <c r="J4961">
        <v>11433</v>
      </c>
      <c r="K4961" t="s">
        <v>11446</v>
      </c>
      <c r="L4961" t="s">
        <v>14449</v>
      </c>
      <c r="M4961" t="s">
        <v>14744</v>
      </c>
      <c r="N4961" t="s">
        <v>14781</v>
      </c>
      <c r="P4961" t="s">
        <v>14807</v>
      </c>
      <c r="Q4961" t="s">
        <v>11448</v>
      </c>
      <c r="S4961" t="s">
        <v>14827</v>
      </c>
      <c r="T4961" t="s">
        <v>14832</v>
      </c>
      <c r="U4961" t="s">
        <v>645</v>
      </c>
      <c r="V4961">
        <v>963</v>
      </c>
      <c r="W4961" t="s">
        <v>14861</v>
      </c>
      <c r="X4961" t="s">
        <v>14863</v>
      </c>
      <c r="Z4961" t="s">
        <v>18962</v>
      </c>
      <c r="AA4961" t="s">
        <v>20069</v>
      </c>
      <c r="AB4961" t="s">
        <v>24179</v>
      </c>
      <c r="AC4961">
        <v>48</v>
      </c>
      <c r="AD4961" t="s">
        <v>24595</v>
      </c>
      <c r="AE4961" t="s">
        <v>11459</v>
      </c>
      <c r="AF4961">
        <v>2</v>
      </c>
      <c r="AG4961">
        <v>1</v>
      </c>
      <c r="AH4961">
        <v>0</v>
      </c>
      <c r="AI4961">
        <v>242.47</v>
      </c>
      <c r="AJ4961" t="s">
        <v>489</v>
      </c>
      <c r="AK4961" t="s">
        <v>24629</v>
      </c>
      <c r="AL4961" t="s">
        <v>5011</v>
      </c>
      <c r="AM4961">
        <v>30284</v>
      </c>
      <c r="AS4961">
        <v>5.7</v>
      </c>
      <c r="AT4961" t="s">
        <v>509</v>
      </c>
      <c r="AU4961" t="s">
        <v>292</v>
      </c>
      <c r="AV4961" t="s">
        <v>25335</v>
      </c>
      <c r="AW4961" t="s">
        <v>11447</v>
      </c>
    </row>
    <row r="4962" spans="1:49">
      <c r="A4962" s="1">
        <f>HYPERLINK("https://lsnyc.legalserver.org/matter/dynamic-profile/view/1911930","19-1911930")</f>
        <v>0</v>
      </c>
      <c r="B4962" t="s">
        <v>248</v>
      </c>
      <c r="C4962" t="s">
        <v>586</v>
      </c>
      <c r="E4962" t="s">
        <v>3384</v>
      </c>
      <c r="F4962" t="s">
        <v>6049</v>
      </c>
      <c r="G4962" t="s">
        <v>10082</v>
      </c>
      <c r="H4962" t="s">
        <v>11034</v>
      </c>
      <c r="I4962" t="s">
        <v>11387</v>
      </c>
      <c r="J4962">
        <v>11434</v>
      </c>
      <c r="K4962" t="s">
        <v>11446</v>
      </c>
      <c r="L4962" t="s">
        <v>14450</v>
      </c>
      <c r="M4962" t="s">
        <v>14743</v>
      </c>
      <c r="N4962" t="s">
        <v>14781</v>
      </c>
      <c r="P4962" t="s">
        <v>14807</v>
      </c>
      <c r="Q4962" t="s">
        <v>11448</v>
      </c>
      <c r="S4962" t="s">
        <v>14827</v>
      </c>
      <c r="U4962" t="s">
        <v>586</v>
      </c>
      <c r="V4962">
        <v>1600</v>
      </c>
      <c r="W4962" t="s">
        <v>14861</v>
      </c>
      <c r="X4962" t="s">
        <v>14863</v>
      </c>
      <c r="Z4962" t="s">
        <v>18963</v>
      </c>
      <c r="AB4962" t="s">
        <v>24180</v>
      </c>
      <c r="AC4962">
        <v>5</v>
      </c>
      <c r="AD4962" t="s">
        <v>24600</v>
      </c>
      <c r="AE4962" t="s">
        <v>11459</v>
      </c>
      <c r="AF4962">
        <v>4</v>
      </c>
      <c r="AG4962">
        <v>1</v>
      </c>
      <c r="AH4962">
        <v>0</v>
      </c>
      <c r="AI4962">
        <v>0</v>
      </c>
      <c r="AL4962" t="s">
        <v>5011</v>
      </c>
      <c r="AM4962">
        <v>0</v>
      </c>
      <c r="AS4962">
        <v>4.7</v>
      </c>
      <c r="AT4962" t="s">
        <v>516</v>
      </c>
      <c r="AU4962" t="s">
        <v>292</v>
      </c>
      <c r="AV4962" t="s">
        <v>25335</v>
      </c>
      <c r="AW4962" t="s">
        <v>11447</v>
      </c>
    </row>
    <row r="4963" spans="1:49">
      <c r="A4963" s="1">
        <f>HYPERLINK("https://lsnyc.legalserver.org/matter/dynamic-profile/view/1911921","19-1911921")</f>
        <v>0</v>
      </c>
      <c r="B4963" t="s">
        <v>59</v>
      </c>
      <c r="C4963" t="s">
        <v>586</v>
      </c>
      <c r="E4963" t="s">
        <v>1181</v>
      </c>
      <c r="F4963" t="s">
        <v>3501</v>
      </c>
      <c r="G4963" t="s">
        <v>10082</v>
      </c>
      <c r="H4963" t="s">
        <v>10646</v>
      </c>
      <c r="I4963" t="s">
        <v>11387</v>
      </c>
      <c r="J4963">
        <v>11434</v>
      </c>
      <c r="K4963" t="s">
        <v>11446</v>
      </c>
      <c r="L4963" t="s">
        <v>14451</v>
      </c>
      <c r="M4963" t="s">
        <v>14743</v>
      </c>
      <c r="N4963" t="s">
        <v>14781</v>
      </c>
      <c r="P4963" t="s">
        <v>14807</v>
      </c>
      <c r="Q4963" t="s">
        <v>11448</v>
      </c>
      <c r="S4963" t="s">
        <v>14827</v>
      </c>
      <c r="T4963" t="s">
        <v>14832</v>
      </c>
      <c r="U4963" t="s">
        <v>586</v>
      </c>
      <c r="V4963">
        <v>500</v>
      </c>
      <c r="W4963" t="s">
        <v>14861</v>
      </c>
      <c r="X4963" t="s">
        <v>14863</v>
      </c>
      <c r="Z4963" t="s">
        <v>17958</v>
      </c>
      <c r="AB4963" t="s">
        <v>24181</v>
      </c>
      <c r="AC4963">
        <v>4</v>
      </c>
      <c r="AD4963" t="s">
        <v>24600</v>
      </c>
      <c r="AE4963" t="s">
        <v>11459</v>
      </c>
      <c r="AF4963">
        <v>6</v>
      </c>
      <c r="AG4963">
        <v>1</v>
      </c>
      <c r="AH4963">
        <v>0</v>
      </c>
      <c r="AI4963">
        <v>28.82</v>
      </c>
      <c r="AL4963" t="s">
        <v>5011</v>
      </c>
      <c r="AM4963">
        <v>3600</v>
      </c>
      <c r="AS4963">
        <v>4.4</v>
      </c>
      <c r="AT4963" t="s">
        <v>537</v>
      </c>
      <c r="AU4963" t="s">
        <v>292</v>
      </c>
      <c r="AV4963" t="s">
        <v>25335</v>
      </c>
      <c r="AW4963" t="s">
        <v>11447</v>
      </c>
    </row>
    <row r="4964" spans="1:49">
      <c r="A4964" s="1">
        <f>HYPERLINK("https://lsnyc.legalserver.org/matter/dynamic-profile/view/1911926","19-1911926")</f>
        <v>0</v>
      </c>
      <c r="B4964" t="s">
        <v>225</v>
      </c>
      <c r="C4964" t="s">
        <v>586</v>
      </c>
      <c r="E4964" t="s">
        <v>1330</v>
      </c>
      <c r="F4964" t="s">
        <v>6050</v>
      </c>
      <c r="G4964" t="s">
        <v>10083</v>
      </c>
      <c r="I4964" t="s">
        <v>11388</v>
      </c>
      <c r="J4964">
        <v>11385</v>
      </c>
      <c r="K4964" t="s">
        <v>11446</v>
      </c>
      <c r="L4964" t="s">
        <v>14452</v>
      </c>
      <c r="M4964" t="s">
        <v>14743</v>
      </c>
      <c r="N4964" t="s">
        <v>14781</v>
      </c>
      <c r="P4964" t="s">
        <v>14807</v>
      </c>
      <c r="Q4964" t="s">
        <v>11448</v>
      </c>
      <c r="S4964" t="s">
        <v>14827</v>
      </c>
      <c r="U4964" t="s">
        <v>586</v>
      </c>
      <c r="V4964">
        <v>1500</v>
      </c>
      <c r="W4964" t="s">
        <v>14861</v>
      </c>
      <c r="X4964" t="s">
        <v>14863</v>
      </c>
      <c r="Z4964" t="s">
        <v>18964</v>
      </c>
      <c r="AB4964" t="s">
        <v>24182</v>
      </c>
      <c r="AC4964">
        <v>4</v>
      </c>
      <c r="AD4964" t="s">
        <v>24600</v>
      </c>
      <c r="AE4964" t="s">
        <v>11459</v>
      </c>
      <c r="AF4964">
        <v>7</v>
      </c>
      <c r="AG4964">
        <v>2</v>
      </c>
      <c r="AH4964">
        <v>1</v>
      </c>
      <c r="AI4964">
        <v>112.52</v>
      </c>
      <c r="AL4964" t="s">
        <v>24632</v>
      </c>
      <c r="AM4964">
        <v>24000</v>
      </c>
      <c r="AS4964">
        <v>17.05</v>
      </c>
      <c r="AT4964" t="s">
        <v>495</v>
      </c>
      <c r="AU4964" t="s">
        <v>292</v>
      </c>
      <c r="AV4964" t="s">
        <v>25335</v>
      </c>
      <c r="AW4964" t="s">
        <v>11447</v>
      </c>
    </row>
    <row r="4965" spans="1:49">
      <c r="A4965" s="1">
        <f>HYPERLINK("https://lsnyc.legalserver.org/matter/dynamic-profile/view/1912545","19-1912545")</f>
        <v>0</v>
      </c>
      <c r="B4965" t="s">
        <v>248</v>
      </c>
      <c r="C4965" t="s">
        <v>472</v>
      </c>
      <c r="E4965" t="s">
        <v>2003</v>
      </c>
      <c r="F4965" t="s">
        <v>4741</v>
      </c>
      <c r="G4965" t="s">
        <v>10084</v>
      </c>
      <c r="H4965" t="s">
        <v>11313</v>
      </c>
      <c r="I4965" t="s">
        <v>11395</v>
      </c>
      <c r="J4965">
        <v>11373</v>
      </c>
      <c r="K4965" t="s">
        <v>11446</v>
      </c>
      <c r="L4965" t="s">
        <v>14453</v>
      </c>
      <c r="M4965" t="s">
        <v>14744</v>
      </c>
      <c r="N4965" t="s">
        <v>14781</v>
      </c>
      <c r="P4965" t="s">
        <v>14807</v>
      </c>
      <c r="Q4965" t="s">
        <v>11448</v>
      </c>
      <c r="S4965" t="s">
        <v>14827</v>
      </c>
      <c r="T4965" t="s">
        <v>14832</v>
      </c>
      <c r="U4965" t="s">
        <v>472</v>
      </c>
      <c r="V4965">
        <v>1765</v>
      </c>
      <c r="W4965" t="s">
        <v>14861</v>
      </c>
      <c r="X4965" t="s">
        <v>14865</v>
      </c>
      <c r="Z4965" t="s">
        <v>18965</v>
      </c>
      <c r="AB4965" t="s">
        <v>24183</v>
      </c>
      <c r="AC4965">
        <v>84</v>
      </c>
      <c r="AD4965" t="s">
        <v>24595</v>
      </c>
      <c r="AE4965" t="s">
        <v>11459</v>
      </c>
      <c r="AF4965">
        <v>23</v>
      </c>
      <c r="AG4965">
        <v>4</v>
      </c>
      <c r="AH4965">
        <v>3</v>
      </c>
      <c r="AI4965">
        <v>73.31</v>
      </c>
      <c r="AL4965" t="s">
        <v>24632</v>
      </c>
      <c r="AM4965">
        <v>28600</v>
      </c>
      <c r="AS4965">
        <v>2.25</v>
      </c>
      <c r="AT4965" t="s">
        <v>484</v>
      </c>
      <c r="AU4965" t="s">
        <v>292</v>
      </c>
      <c r="AV4965" t="s">
        <v>25335</v>
      </c>
      <c r="AW4965" t="s">
        <v>11447</v>
      </c>
    </row>
    <row r="4966" spans="1:49">
      <c r="A4966" s="1">
        <f>HYPERLINK("https://lsnyc.legalserver.org/matter/dynamic-profile/view/1912601","19-1912601")</f>
        <v>0</v>
      </c>
      <c r="B4966" t="s">
        <v>293</v>
      </c>
      <c r="C4966" t="s">
        <v>472</v>
      </c>
      <c r="E4966" t="s">
        <v>1369</v>
      </c>
      <c r="F4966" t="s">
        <v>1636</v>
      </c>
      <c r="G4966" t="s">
        <v>6684</v>
      </c>
      <c r="H4966" t="s">
        <v>10637</v>
      </c>
      <c r="I4966" t="s">
        <v>11387</v>
      </c>
      <c r="J4966">
        <v>11433</v>
      </c>
      <c r="K4966" t="s">
        <v>11446</v>
      </c>
      <c r="L4966" t="s">
        <v>11566</v>
      </c>
      <c r="M4966" t="s">
        <v>14744</v>
      </c>
      <c r="N4966" t="s">
        <v>14781</v>
      </c>
      <c r="P4966" t="s">
        <v>14807</v>
      </c>
      <c r="Q4966" t="s">
        <v>11448</v>
      </c>
      <c r="S4966" t="s">
        <v>14827</v>
      </c>
      <c r="T4966" t="s">
        <v>14837</v>
      </c>
      <c r="U4966" t="s">
        <v>578</v>
      </c>
      <c r="V4966">
        <v>1590</v>
      </c>
      <c r="W4966" t="s">
        <v>14861</v>
      </c>
      <c r="X4966" t="s">
        <v>14865</v>
      </c>
      <c r="Z4966" t="s">
        <v>15312</v>
      </c>
      <c r="AB4966" t="s">
        <v>20460</v>
      </c>
      <c r="AC4966">
        <v>3</v>
      </c>
      <c r="AD4966" t="s">
        <v>11479</v>
      </c>
      <c r="AE4966" t="s">
        <v>24610</v>
      </c>
      <c r="AF4966">
        <v>6</v>
      </c>
      <c r="AG4966">
        <v>1</v>
      </c>
      <c r="AH4966">
        <v>3</v>
      </c>
      <c r="AI4966">
        <v>149.83</v>
      </c>
      <c r="AL4966" t="s">
        <v>5011</v>
      </c>
      <c r="AM4966">
        <v>38580</v>
      </c>
      <c r="AS4966">
        <v>21.9</v>
      </c>
      <c r="AT4966" t="s">
        <v>521</v>
      </c>
      <c r="AU4966" t="s">
        <v>25233</v>
      </c>
      <c r="AV4966" t="s">
        <v>25335</v>
      </c>
      <c r="AW4966" t="s">
        <v>11447</v>
      </c>
    </row>
    <row r="4967" spans="1:49">
      <c r="A4967" s="1">
        <f>HYPERLINK("https://lsnyc.legalserver.org/matter/dynamic-profile/view/1912868","19-1912868")</f>
        <v>0</v>
      </c>
      <c r="B4967" t="s">
        <v>291</v>
      </c>
      <c r="C4967" t="s">
        <v>470</v>
      </c>
      <c r="E4967" t="s">
        <v>3385</v>
      </c>
      <c r="F4967" t="s">
        <v>5263</v>
      </c>
      <c r="G4967" t="s">
        <v>10085</v>
      </c>
      <c r="H4967" t="s">
        <v>10637</v>
      </c>
      <c r="I4967" t="s">
        <v>11387</v>
      </c>
      <c r="J4967">
        <v>11434</v>
      </c>
      <c r="K4967" t="s">
        <v>11446</v>
      </c>
      <c r="L4967" t="s">
        <v>14454</v>
      </c>
      <c r="M4967" t="s">
        <v>14743</v>
      </c>
      <c r="N4967" t="s">
        <v>14781</v>
      </c>
      <c r="P4967" t="s">
        <v>14807</v>
      </c>
      <c r="Q4967" t="s">
        <v>11448</v>
      </c>
      <c r="S4967" t="s">
        <v>14827</v>
      </c>
      <c r="T4967" t="s">
        <v>14832</v>
      </c>
      <c r="U4967" t="s">
        <v>470</v>
      </c>
      <c r="V4967">
        <v>950</v>
      </c>
      <c r="W4967" t="s">
        <v>14861</v>
      </c>
      <c r="X4967" t="s">
        <v>14865</v>
      </c>
      <c r="Z4967" t="s">
        <v>18966</v>
      </c>
      <c r="AB4967" t="s">
        <v>24184</v>
      </c>
      <c r="AC4967">
        <v>1</v>
      </c>
      <c r="AE4967" t="s">
        <v>11459</v>
      </c>
      <c r="AF4967">
        <v>4</v>
      </c>
      <c r="AG4967">
        <v>1</v>
      </c>
      <c r="AH4967">
        <v>0</v>
      </c>
      <c r="AI4967">
        <v>0</v>
      </c>
      <c r="AL4967" t="s">
        <v>5011</v>
      </c>
      <c r="AM4967">
        <v>0</v>
      </c>
      <c r="AS4967">
        <v>12.63</v>
      </c>
      <c r="AT4967" t="s">
        <v>495</v>
      </c>
      <c r="AU4967" t="s">
        <v>25233</v>
      </c>
      <c r="AV4967" t="s">
        <v>25335</v>
      </c>
      <c r="AW4967" t="s">
        <v>11447</v>
      </c>
    </row>
    <row r="4968" spans="1:49">
      <c r="A4968" s="1">
        <f>HYPERLINK("https://lsnyc.legalserver.org/matter/dynamic-profile/view/1912961","19-1912961")</f>
        <v>0</v>
      </c>
      <c r="B4968" t="s">
        <v>138</v>
      </c>
      <c r="C4968" t="s">
        <v>574</v>
      </c>
      <c r="E4968" t="s">
        <v>2563</v>
      </c>
      <c r="F4968" t="s">
        <v>3614</v>
      </c>
      <c r="G4968" t="s">
        <v>10086</v>
      </c>
      <c r="H4968" t="s">
        <v>10648</v>
      </c>
      <c r="I4968" t="s">
        <v>11395</v>
      </c>
      <c r="J4968">
        <v>11373</v>
      </c>
      <c r="K4968" t="s">
        <v>11446</v>
      </c>
      <c r="L4968" t="s">
        <v>14455</v>
      </c>
      <c r="M4968" t="s">
        <v>14743</v>
      </c>
      <c r="N4968" t="s">
        <v>14778</v>
      </c>
      <c r="P4968" t="s">
        <v>14807</v>
      </c>
      <c r="Q4968" t="s">
        <v>11448</v>
      </c>
      <c r="S4968" t="s">
        <v>14827</v>
      </c>
      <c r="T4968" t="s">
        <v>14832</v>
      </c>
      <c r="U4968" t="s">
        <v>603</v>
      </c>
      <c r="V4968">
        <v>500</v>
      </c>
      <c r="W4968" t="s">
        <v>14861</v>
      </c>
      <c r="X4968" t="s">
        <v>14865</v>
      </c>
      <c r="Z4968" t="s">
        <v>18967</v>
      </c>
      <c r="AB4968" t="s">
        <v>24185</v>
      </c>
      <c r="AC4968">
        <v>2</v>
      </c>
      <c r="AD4968" t="s">
        <v>24600</v>
      </c>
      <c r="AE4968" t="s">
        <v>11459</v>
      </c>
      <c r="AF4968">
        <v>4</v>
      </c>
      <c r="AG4968">
        <v>2</v>
      </c>
      <c r="AH4968">
        <v>0</v>
      </c>
      <c r="AI4968">
        <v>121.77</v>
      </c>
      <c r="AL4968" t="s">
        <v>5011</v>
      </c>
      <c r="AM4968">
        <v>20592</v>
      </c>
      <c r="AS4968">
        <v>1.33</v>
      </c>
      <c r="AT4968" t="s">
        <v>574</v>
      </c>
      <c r="AU4968" t="s">
        <v>25233</v>
      </c>
      <c r="AV4968" t="s">
        <v>25335</v>
      </c>
      <c r="AW4968" t="s">
        <v>11447</v>
      </c>
    </row>
    <row r="4969" spans="1:49">
      <c r="A4969" s="1">
        <f>HYPERLINK("https://lsnyc.legalserver.org/matter/dynamic-profile/view/1911747","19-1911747")</f>
        <v>0</v>
      </c>
      <c r="B4969" t="s">
        <v>294</v>
      </c>
      <c r="C4969" t="s">
        <v>505</v>
      </c>
      <c r="E4969" t="s">
        <v>1236</v>
      </c>
      <c r="F4969" t="s">
        <v>2946</v>
      </c>
      <c r="G4969" t="s">
        <v>10087</v>
      </c>
      <c r="H4969" t="s">
        <v>11314</v>
      </c>
      <c r="I4969" t="s">
        <v>11387</v>
      </c>
      <c r="J4969">
        <v>11434</v>
      </c>
      <c r="K4969" t="s">
        <v>11446</v>
      </c>
      <c r="L4969" t="s">
        <v>14456</v>
      </c>
      <c r="M4969" t="s">
        <v>14744</v>
      </c>
      <c r="N4969" t="s">
        <v>14781</v>
      </c>
      <c r="P4969" t="s">
        <v>14807</v>
      </c>
      <c r="Q4969" t="s">
        <v>11448</v>
      </c>
      <c r="S4969" t="s">
        <v>14827</v>
      </c>
      <c r="T4969" t="s">
        <v>14832</v>
      </c>
      <c r="U4969" t="s">
        <v>571</v>
      </c>
      <c r="V4969">
        <v>2100</v>
      </c>
      <c r="W4969" t="s">
        <v>14861</v>
      </c>
      <c r="X4969" t="s">
        <v>14865</v>
      </c>
      <c r="Z4969" t="s">
        <v>18968</v>
      </c>
      <c r="AB4969" t="s">
        <v>24186</v>
      </c>
      <c r="AC4969">
        <v>45</v>
      </c>
      <c r="AD4969" t="s">
        <v>24596</v>
      </c>
      <c r="AE4969" t="s">
        <v>24610</v>
      </c>
      <c r="AF4969">
        <v>25</v>
      </c>
      <c r="AG4969">
        <v>2</v>
      </c>
      <c r="AH4969">
        <v>1</v>
      </c>
      <c r="AI4969">
        <v>131.27</v>
      </c>
      <c r="AL4969" t="s">
        <v>5011</v>
      </c>
      <c r="AM4969">
        <v>28000</v>
      </c>
      <c r="AS4969">
        <v>13.43</v>
      </c>
      <c r="AT4969" t="s">
        <v>592</v>
      </c>
      <c r="AU4969" t="s">
        <v>25233</v>
      </c>
      <c r="AV4969" t="s">
        <v>25335</v>
      </c>
      <c r="AW4969" t="s">
        <v>11447</v>
      </c>
    </row>
    <row r="4970" spans="1:49">
      <c r="A4970" s="1">
        <f>HYPERLINK("https://lsnyc.legalserver.org/matter/dynamic-profile/view/1913264","19-1913264")</f>
        <v>0</v>
      </c>
      <c r="B4970" t="s">
        <v>204</v>
      </c>
      <c r="C4970" t="s">
        <v>515</v>
      </c>
      <c r="E4970" t="s">
        <v>1334</v>
      </c>
      <c r="F4970" t="s">
        <v>6051</v>
      </c>
      <c r="G4970" t="s">
        <v>10088</v>
      </c>
      <c r="H4970">
        <v>313</v>
      </c>
      <c r="I4970" t="s">
        <v>11387</v>
      </c>
      <c r="J4970">
        <v>11433</v>
      </c>
      <c r="K4970" t="s">
        <v>11446</v>
      </c>
      <c r="L4970" t="s">
        <v>14457</v>
      </c>
      <c r="M4970" t="s">
        <v>14744</v>
      </c>
      <c r="N4970" t="s">
        <v>14781</v>
      </c>
      <c r="P4970" t="s">
        <v>14807</v>
      </c>
      <c r="Q4970" t="s">
        <v>11448</v>
      </c>
      <c r="S4970" t="s">
        <v>14827</v>
      </c>
      <c r="U4970" t="s">
        <v>515</v>
      </c>
      <c r="V4970">
        <v>1097</v>
      </c>
      <c r="W4970" t="s">
        <v>14861</v>
      </c>
      <c r="X4970" t="s">
        <v>14863</v>
      </c>
      <c r="Z4970" t="s">
        <v>18969</v>
      </c>
      <c r="AB4970" t="s">
        <v>24187</v>
      </c>
      <c r="AC4970">
        <v>0</v>
      </c>
      <c r="AD4970" t="s">
        <v>24595</v>
      </c>
      <c r="AE4970" t="s">
        <v>24616</v>
      </c>
      <c r="AF4970">
        <v>6</v>
      </c>
      <c r="AG4970">
        <v>2</v>
      </c>
      <c r="AH4970">
        <v>0</v>
      </c>
      <c r="AI4970">
        <v>0</v>
      </c>
      <c r="AL4970" t="s">
        <v>5011</v>
      </c>
      <c r="AM4970">
        <v>0</v>
      </c>
      <c r="AS4970">
        <v>7.17</v>
      </c>
      <c r="AT4970" t="s">
        <v>509</v>
      </c>
      <c r="AU4970" t="s">
        <v>292</v>
      </c>
      <c r="AV4970" t="s">
        <v>25335</v>
      </c>
      <c r="AW4970" t="s">
        <v>11447</v>
      </c>
    </row>
    <row r="4971" spans="1:49">
      <c r="A4971" s="1">
        <f>HYPERLINK("https://lsnyc.legalserver.org/matter/dynamic-profile/view/1913261","19-1913261")</f>
        <v>0</v>
      </c>
      <c r="B4971" t="s">
        <v>122</v>
      </c>
      <c r="C4971" t="s">
        <v>515</v>
      </c>
      <c r="E4971" t="s">
        <v>3386</v>
      </c>
      <c r="F4971" t="s">
        <v>6052</v>
      </c>
      <c r="G4971" t="s">
        <v>8511</v>
      </c>
      <c r="I4971" t="s">
        <v>11387</v>
      </c>
      <c r="J4971">
        <v>11433</v>
      </c>
      <c r="K4971" t="s">
        <v>11448</v>
      </c>
      <c r="L4971" t="s">
        <v>14458</v>
      </c>
      <c r="M4971" t="s">
        <v>14743</v>
      </c>
      <c r="N4971" t="s">
        <v>14781</v>
      </c>
      <c r="P4971" t="s">
        <v>14807</v>
      </c>
      <c r="Q4971" t="s">
        <v>11448</v>
      </c>
      <c r="S4971" t="s">
        <v>14827</v>
      </c>
      <c r="T4971" t="s">
        <v>14832</v>
      </c>
      <c r="U4971" t="s">
        <v>515</v>
      </c>
      <c r="V4971">
        <v>0</v>
      </c>
      <c r="W4971" t="s">
        <v>14861</v>
      </c>
      <c r="X4971" t="s">
        <v>14863</v>
      </c>
      <c r="Z4971" t="s">
        <v>18970</v>
      </c>
      <c r="AB4971" t="s">
        <v>24188</v>
      </c>
      <c r="AC4971">
        <v>5</v>
      </c>
      <c r="AD4971" t="s">
        <v>24595</v>
      </c>
      <c r="AF4971">
        <v>28</v>
      </c>
      <c r="AG4971">
        <v>1</v>
      </c>
      <c r="AH4971">
        <v>0</v>
      </c>
      <c r="AI4971">
        <v>57.65</v>
      </c>
      <c r="AL4971" t="s">
        <v>5011</v>
      </c>
      <c r="AM4971">
        <v>7200</v>
      </c>
      <c r="AS4971">
        <v>8.23</v>
      </c>
      <c r="AT4971" t="s">
        <v>521</v>
      </c>
      <c r="AU4971" t="s">
        <v>25233</v>
      </c>
      <c r="AV4971" t="s">
        <v>25335</v>
      </c>
      <c r="AW4971" t="s">
        <v>11447</v>
      </c>
    </row>
    <row r="4972" spans="1:49">
      <c r="A4972" s="1">
        <f>HYPERLINK("https://lsnyc.legalserver.org/matter/dynamic-profile/view/1913272","19-1913272")</f>
        <v>0</v>
      </c>
      <c r="B4972" t="s">
        <v>191</v>
      </c>
      <c r="C4972" t="s">
        <v>515</v>
      </c>
      <c r="E4972" t="s">
        <v>1168</v>
      </c>
      <c r="F4972" t="s">
        <v>6053</v>
      </c>
      <c r="G4972" t="s">
        <v>10089</v>
      </c>
      <c r="H4972" t="s">
        <v>10493</v>
      </c>
      <c r="I4972" t="s">
        <v>11388</v>
      </c>
      <c r="J4972">
        <v>11385</v>
      </c>
      <c r="K4972" t="s">
        <v>11446</v>
      </c>
      <c r="L4972" t="s">
        <v>14459</v>
      </c>
      <c r="M4972" t="s">
        <v>14744</v>
      </c>
      <c r="N4972" t="s">
        <v>14781</v>
      </c>
      <c r="P4972" t="s">
        <v>14807</v>
      </c>
      <c r="Q4972" t="s">
        <v>11448</v>
      </c>
      <c r="S4972" t="s">
        <v>14827</v>
      </c>
      <c r="U4972" t="s">
        <v>515</v>
      </c>
      <c r="V4972">
        <v>1600</v>
      </c>
      <c r="W4972" t="s">
        <v>14861</v>
      </c>
      <c r="X4972" t="s">
        <v>14863</v>
      </c>
      <c r="Z4972" t="s">
        <v>18971</v>
      </c>
      <c r="AB4972" t="s">
        <v>24189</v>
      </c>
      <c r="AC4972">
        <v>6</v>
      </c>
      <c r="AD4972" t="s">
        <v>11479</v>
      </c>
      <c r="AE4972" t="s">
        <v>11459</v>
      </c>
      <c r="AF4972">
        <v>19</v>
      </c>
      <c r="AG4972">
        <v>3</v>
      </c>
      <c r="AH4972">
        <v>0</v>
      </c>
      <c r="AI4972">
        <v>77.92</v>
      </c>
      <c r="AL4972" t="s">
        <v>5011</v>
      </c>
      <c r="AM4972">
        <v>16620</v>
      </c>
      <c r="AS4972">
        <v>11.8</v>
      </c>
      <c r="AT4972" t="s">
        <v>495</v>
      </c>
      <c r="AU4972" t="s">
        <v>292</v>
      </c>
      <c r="AV4972" t="s">
        <v>25335</v>
      </c>
      <c r="AW4972" t="s">
        <v>11447</v>
      </c>
    </row>
    <row r="4973" spans="1:49">
      <c r="A4973" s="1">
        <f>HYPERLINK("https://lsnyc.legalserver.org/matter/dynamic-profile/view/1913290","19-1913290")</f>
        <v>0</v>
      </c>
      <c r="B4973" t="s">
        <v>271</v>
      </c>
      <c r="C4973" t="s">
        <v>515</v>
      </c>
      <c r="E4973" t="s">
        <v>1134</v>
      </c>
      <c r="F4973" t="s">
        <v>3685</v>
      </c>
      <c r="G4973" t="s">
        <v>10090</v>
      </c>
      <c r="H4973">
        <v>218</v>
      </c>
      <c r="I4973" t="s">
        <v>11395</v>
      </c>
      <c r="J4973">
        <v>11373</v>
      </c>
      <c r="K4973" t="s">
        <v>11446</v>
      </c>
      <c r="L4973" t="s">
        <v>14460</v>
      </c>
      <c r="M4973" t="s">
        <v>14744</v>
      </c>
      <c r="N4973" t="s">
        <v>14781</v>
      </c>
      <c r="P4973" t="s">
        <v>14807</v>
      </c>
      <c r="Q4973" t="s">
        <v>11448</v>
      </c>
      <c r="S4973" t="s">
        <v>14827</v>
      </c>
      <c r="U4973" t="s">
        <v>515</v>
      </c>
      <c r="V4973">
        <v>1450</v>
      </c>
      <c r="W4973" t="s">
        <v>14861</v>
      </c>
      <c r="X4973" t="s">
        <v>14863</v>
      </c>
      <c r="Z4973" t="s">
        <v>18972</v>
      </c>
      <c r="AB4973" t="s">
        <v>24190</v>
      </c>
      <c r="AC4973">
        <v>190</v>
      </c>
      <c r="AD4973" t="s">
        <v>11479</v>
      </c>
      <c r="AE4973" t="s">
        <v>11459</v>
      </c>
      <c r="AF4973">
        <v>-1</v>
      </c>
      <c r="AG4973">
        <v>1</v>
      </c>
      <c r="AH4973">
        <v>1</v>
      </c>
      <c r="AI4973">
        <v>106.45</v>
      </c>
      <c r="AL4973" t="s">
        <v>5011</v>
      </c>
      <c r="AM4973">
        <v>18000</v>
      </c>
      <c r="AS4973">
        <v>4.45</v>
      </c>
      <c r="AT4973" t="s">
        <v>654</v>
      </c>
      <c r="AU4973" t="s">
        <v>292</v>
      </c>
      <c r="AV4973" t="s">
        <v>25335</v>
      </c>
      <c r="AW4973" t="s">
        <v>11447</v>
      </c>
    </row>
    <row r="4974" spans="1:49">
      <c r="A4974" s="1">
        <f>HYPERLINK("https://lsnyc.legalserver.org/matter/dynamic-profile/view/1913287","19-1913287")</f>
        <v>0</v>
      </c>
      <c r="B4974" t="s">
        <v>271</v>
      </c>
      <c r="C4974" t="s">
        <v>515</v>
      </c>
      <c r="E4974" t="s">
        <v>3000</v>
      </c>
      <c r="F4974" t="s">
        <v>3685</v>
      </c>
      <c r="G4974" t="s">
        <v>10090</v>
      </c>
      <c r="H4974">
        <v>425</v>
      </c>
      <c r="I4974" t="s">
        <v>11395</v>
      </c>
      <c r="J4974">
        <v>11373</v>
      </c>
      <c r="K4974" t="s">
        <v>11446</v>
      </c>
      <c r="L4974" t="s">
        <v>14461</v>
      </c>
      <c r="M4974" t="s">
        <v>14744</v>
      </c>
      <c r="N4974" t="s">
        <v>14781</v>
      </c>
      <c r="P4974" t="s">
        <v>14807</v>
      </c>
      <c r="Q4974" t="s">
        <v>11448</v>
      </c>
      <c r="S4974" t="s">
        <v>14827</v>
      </c>
      <c r="T4974" t="s">
        <v>14832</v>
      </c>
      <c r="U4974" t="s">
        <v>515</v>
      </c>
      <c r="V4974">
        <v>1311.71</v>
      </c>
      <c r="W4974" t="s">
        <v>14861</v>
      </c>
      <c r="X4974" t="s">
        <v>14863</v>
      </c>
      <c r="Z4974" t="s">
        <v>16860</v>
      </c>
      <c r="AB4974" t="s">
        <v>24191</v>
      </c>
      <c r="AC4974">
        <v>190</v>
      </c>
      <c r="AD4974" t="s">
        <v>11479</v>
      </c>
      <c r="AE4974" t="s">
        <v>11459</v>
      </c>
      <c r="AF4974">
        <v>21</v>
      </c>
      <c r="AG4974">
        <v>2</v>
      </c>
      <c r="AH4974">
        <v>2</v>
      </c>
      <c r="AI4974">
        <v>139.81</v>
      </c>
      <c r="AL4974" t="s">
        <v>5011</v>
      </c>
      <c r="AM4974">
        <v>36000</v>
      </c>
      <c r="AS4974">
        <v>2.92</v>
      </c>
      <c r="AT4974" t="s">
        <v>495</v>
      </c>
      <c r="AU4974" t="s">
        <v>292</v>
      </c>
      <c r="AV4974" t="s">
        <v>25335</v>
      </c>
      <c r="AW4974" t="s">
        <v>11447</v>
      </c>
    </row>
    <row r="4975" spans="1:49">
      <c r="A4975" s="1">
        <f>HYPERLINK("https://lsnyc.legalserver.org/matter/dynamic-profile/view/1913274","19-1913274")</f>
        <v>0</v>
      </c>
      <c r="B4975" t="s">
        <v>248</v>
      </c>
      <c r="C4975" t="s">
        <v>515</v>
      </c>
      <c r="E4975" t="s">
        <v>3387</v>
      </c>
      <c r="F4975" t="s">
        <v>6054</v>
      </c>
      <c r="G4975" t="s">
        <v>10091</v>
      </c>
      <c r="H4975" t="s">
        <v>10506</v>
      </c>
      <c r="I4975" t="s">
        <v>11388</v>
      </c>
      <c r="J4975">
        <v>11385</v>
      </c>
      <c r="K4975" t="s">
        <v>11446</v>
      </c>
      <c r="L4975" t="s">
        <v>14462</v>
      </c>
      <c r="M4975" t="s">
        <v>14743</v>
      </c>
      <c r="N4975" t="s">
        <v>14781</v>
      </c>
      <c r="P4975" t="s">
        <v>14807</v>
      </c>
      <c r="Q4975" t="s">
        <v>11448</v>
      </c>
      <c r="S4975" t="s">
        <v>14827</v>
      </c>
      <c r="T4975" t="s">
        <v>14832</v>
      </c>
      <c r="U4975" t="s">
        <v>515</v>
      </c>
      <c r="V4975">
        <v>1600</v>
      </c>
      <c r="W4975" t="s">
        <v>14861</v>
      </c>
      <c r="X4975" t="s">
        <v>14863</v>
      </c>
      <c r="Z4975" t="s">
        <v>520</v>
      </c>
      <c r="AB4975" t="s">
        <v>24192</v>
      </c>
      <c r="AC4975">
        <v>4</v>
      </c>
      <c r="AF4975">
        <v>10</v>
      </c>
      <c r="AG4975">
        <v>1</v>
      </c>
      <c r="AH4975">
        <v>4</v>
      </c>
      <c r="AI4975">
        <v>149.15</v>
      </c>
      <c r="AL4975" t="s">
        <v>5011</v>
      </c>
      <c r="AM4975">
        <v>45000</v>
      </c>
      <c r="AS4975">
        <v>11.07</v>
      </c>
      <c r="AT4975" t="s">
        <v>509</v>
      </c>
      <c r="AU4975" t="s">
        <v>25233</v>
      </c>
      <c r="AV4975" t="s">
        <v>25335</v>
      </c>
      <c r="AW4975" t="s">
        <v>11447</v>
      </c>
    </row>
    <row r="4976" spans="1:49">
      <c r="A4976" s="1">
        <f>HYPERLINK("https://lsnyc.legalserver.org/matter/dynamic-profile/view/1913270","19-1913270")</f>
        <v>0</v>
      </c>
      <c r="B4976" t="s">
        <v>74</v>
      </c>
      <c r="C4976" t="s">
        <v>515</v>
      </c>
      <c r="E4976" t="s">
        <v>1462</v>
      </c>
      <c r="F4976" t="s">
        <v>6010</v>
      </c>
      <c r="G4976" t="s">
        <v>10014</v>
      </c>
      <c r="H4976" t="s">
        <v>10452</v>
      </c>
      <c r="I4976" t="s">
        <v>11387</v>
      </c>
      <c r="J4976">
        <v>11434</v>
      </c>
      <c r="K4976" t="s">
        <v>11446</v>
      </c>
      <c r="L4976" t="s">
        <v>14463</v>
      </c>
      <c r="M4976" t="s">
        <v>14743</v>
      </c>
      <c r="N4976" t="s">
        <v>14781</v>
      </c>
      <c r="P4976" t="s">
        <v>14807</v>
      </c>
      <c r="Q4976" t="s">
        <v>11448</v>
      </c>
      <c r="S4976" t="s">
        <v>14828</v>
      </c>
      <c r="U4976" t="s">
        <v>515</v>
      </c>
      <c r="V4976">
        <v>741.64</v>
      </c>
      <c r="W4976" t="s">
        <v>14861</v>
      </c>
      <c r="X4976" t="s">
        <v>14863</v>
      </c>
      <c r="Z4976" t="s">
        <v>18904</v>
      </c>
      <c r="AB4976" t="s">
        <v>24112</v>
      </c>
      <c r="AC4976">
        <v>390</v>
      </c>
      <c r="AD4976" t="s">
        <v>24602</v>
      </c>
      <c r="AE4976" t="s">
        <v>11459</v>
      </c>
      <c r="AF4976">
        <v>6</v>
      </c>
      <c r="AG4976">
        <v>1</v>
      </c>
      <c r="AH4976">
        <v>0</v>
      </c>
      <c r="AI4976">
        <v>153.72</v>
      </c>
      <c r="AL4976" t="s">
        <v>5011</v>
      </c>
      <c r="AM4976">
        <v>19200</v>
      </c>
      <c r="AS4976">
        <v>7</v>
      </c>
      <c r="AT4976" t="s">
        <v>495</v>
      </c>
      <c r="AU4976" t="s">
        <v>292</v>
      </c>
      <c r="AV4976" t="s">
        <v>25335</v>
      </c>
      <c r="AW4976" t="s">
        <v>11447</v>
      </c>
    </row>
    <row r="4977" spans="1:49">
      <c r="A4977" s="1">
        <f>HYPERLINK("https://lsnyc.legalserver.org/matter/dynamic-profile/view/1913229","19-1913229")</f>
        <v>0</v>
      </c>
      <c r="B4977" t="s">
        <v>179</v>
      </c>
      <c r="C4977" t="s">
        <v>515</v>
      </c>
      <c r="E4977" t="s">
        <v>1084</v>
      </c>
      <c r="F4977" t="s">
        <v>4180</v>
      </c>
      <c r="G4977" t="s">
        <v>10092</v>
      </c>
      <c r="H4977" t="s">
        <v>11111</v>
      </c>
      <c r="I4977" t="s">
        <v>11387</v>
      </c>
      <c r="J4977">
        <v>11434</v>
      </c>
      <c r="K4977" t="s">
        <v>11446</v>
      </c>
      <c r="L4977" t="s">
        <v>14464</v>
      </c>
      <c r="M4977" t="s">
        <v>14743</v>
      </c>
      <c r="N4977" t="s">
        <v>14781</v>
      </c>
      <c r="P4977" t="s">
        <v>14807</v>
      </c>
      <c r="Q4977" t="s">
        <v>11448</v>
      </c>
      <c r="S4977" t="s">
        <v>14828</v>
      </c>
      <c r="U4977" t="s">
        <v>515</v>
      </c>
      <c r="V4977">
        <v>820</v>
      </c>
      <c r="W4977" t="s">
        <v>14861</v>
      </c>
      <c r="X4977" t="s">
        <v>14863</v>
      </c>
      <c r="Z4977" t="s">
        <v>16723</v>
      </c>
      <c r="AB4977" t="s">
        <v>24193</v>
      </c>
      <c r="AC4977">
        <v>390</v>
      </c>
      <c r="AD4977" t="s">
        <v>24602</v>
      </c>
      <c r="AE4977" t="s">
        <v>11459</v>
      </c>
      <c r="AF4977">
        <v>7</v>
      </c>
      <c r="AG4977">
        <v>1</v>
      </c>
      <c r="AH4977">
        <v>0</v>
      </c>
      <c r="AI4977">
        <v>192.15</v>
      </c>
      <c r="AL4977" t="s">
        <v>5011</v>
      </c>
      <c r="AM4977">
        <v>24000</v>
      </c>
      <c r="AS4977">
        <v>0.65</v>
      </c>
      <c r="AT4977" t="s">
        <v>580</v>
      </c>
      <c r="AU4977" t="s">
        <v>292</v>
      </c>
      <c r="AV4977" t="s">
        <v>25335</v>
      </c>
      <c r="AW4977" t="s">
        <v>11447</v>
      </c>
    </row>
    <row r="4978" spans="1:49">
      <c r="A4978" s="1">
        <f>HYPERLINK("https://lsnyc.legalserver.org/matter/dynamic-profile/view/1913205","19-1913205")</f>
        <v>0</v>
      </c>
      <c r="B4978" t="s">
        <v>294</v>
      </c>
      <c r="C4978" t="s">
        <v>515</v>
      </c>
      <c r="E4978" t="s">
        <v>3388</v>
      </c>
      <c r="F4978" t="s">
        <v>6055</v>
      </c>
      <c r="G4978" t="s">
        <v>10093</v>
      </c>
      <c r="H4978" t="s">
        <v>10527</v>
      </c>
      <c r="I4978" t="s">
        <v>11387</v>
      </c>
      <c r="J4978">
        <v>11434</v>
      </c>
      <c r="K4978" t="s">
        <v>11446</v>
      </c>
      <c r="L4978" t="s">
        <v>14465</v>
      </c>
      <c r="M4978" t="s">
        <v>14744</v>
      </c>
      <c r="N4978" t="s">
        <v>14781</v>
      </c>
      <c r="P4978" t="s">
        <v>14807</v>
      </c>
      <c r="Q4978" t="s">
        <v>11448</v>
      </c>
      <c r="S4978" t="s">
        <v>14828</v>
      </c>
      <c r="U4978" t="s">
        <v>515</v>
      </c>
      <c r="V4978">
        <v>1100</v>
      </c>
      <c r="W4978" t="s">
        <v>14861</v>
      </c>
      <c r="X4978" t="s">
        <v>14863</v>
      </c>
      <c r="Z4978" t="s">
        <v>18973</v>
      </c>
      <c r="AB4978" t="s">
        <v>24194</v>
      </c>
      <c r="AC4978">
        <v>0</v>
      </c>
      <c r="AD4978" t="s">
        <v>24601</v>
      </c>
      <c r="AE4978" t="s">
        <v>11459</v>
      </c>
      <c r="AF4978">
        <v>8</v>
      </c>
      <c r="AG4978">
        <v>2</v>
      </c>
      <c r="AH4978">
        <v>0</v>
      </c>
      <c r="AI4978">
        <v>326.43</v>
      </c>
      <c r="AL4978" t="s">
        <v>24641</v>
      </c>
      <c r="AM4978">
        <v>55200</v>
      </c>
      <c r="AS4978">
        <v>20.3</v>
      </c>
      <c r="AT4978" t="s">
        <v>495</v>
      </c>
      <c r="AU4978" t="s">
        <v>292</v>
      </c>
      <c r="AV4978" t="s">
        <v>25335</v>
      </c>
      <c r="AW4978" t="s">
        <v>11447</v>
      </c>
    </row>
    <row r="4979" spans="1:49">
      <c r="A4979" s="1">
        <f>HYPERLINK("https://lsnyc.legalserver.org/matter/dynamic-profile/view/1913575","19-1913575")</f>
        <v>0</v>
      </c>
      <c r="B4979" t="s">
        <v>59</v>
      </c>
      <c r="C4979" t="s">
        <v>477</v>
      </c>
      <c r="E4979" t="s">
        <v>3389</v>
      </c>
      <c r="F4979" t="s">
        <v>3649</v>
      </c>
      <c r="G4979" t="s">
        <v>8605</v>
      </c>
      <c r="H4979" t="s">
        <v>11315</v>
      </c>
      <c r="I4979" t="s">
        <v>11387</v>
      </c>
      <c r="J4979">
        <v>11436</v>
      </c>
      <c r="K4979" t="s">
        <v>11446</v>
      </c>
      <c r="L4979" t="s">
        <v>14466</v>
      </c>
      <c r="M4979" t="s">
        <v>14744</v>
      </c>
      <c r="N4979" t="s">
        <v>14781</v>
      </c>
      <c r="P4979" t="s">
        <v>14807</v>
      </c>
      <c r="Q4979" t="s">
        <v>11448</v>
      </c>
      <c r="S4979" t="s">
        <v>14827</v>
      </c>
      <c r="T4979" t="s">
        <v>14832</v>
      </c>
      <c r="U4979" t="s">
        <v>477</v>
      </c>
      <c r="V4979">
        <v>173</v>
      </c>
      <c r="W4979" t="s">
        <v>14861</v>
      </c>
      <c r="X4979" t="s">
        <v>14863</v>
      </c>
      <c r="Z4979" t="s">
        <v>18974</v>
      </c>
      <c r="AA4979" t="s">
        <v>20070</v>
      </c>
      <c r="AB4979" t="s">
        <v>24195</v>
      </c>
      <c r="AC4979">
        <v>57</v>
      </c>
      <c r="AD4979" t="s">
        <v>24602</v>
      </c>
      <c r="AF4979">
        <v>7</v>
      </c>
      <c r="AG4979">
        <v>2</v>
      </c>
      <c r="AH4979">
        <v>1</v>
      </c>
      <c r="AI4979">
        <v>0</v>
      </c>
      <c r="AL4979" t="s">
        <v>5011</v>
      </c>
      <c r="AM4979">
        <v>0</v>
      </c>
      <c r="AS4979">
        <v>3.1</v>
      </c>
      <c r="AT4979" t="s">
        <v>654</v>
      </c>
      <c r="AU4979" t="s">
        <v>292</v>
      </c>
      <c r="AV4979" t="s">
        <v>25335</v>
      </c>
      <c r="AW4979" t="s">
        <v>11447</v>
      </c>
    </row>
    <row r="4980" spans="1:49">
      <c r="A4980" s="1">
        <f>HYPERLINK("https://lsnyc.legalserver.org/matter/dynamic-profile/view/1913580","19-1913580")</f>
        <v>0</v>
      </c>
      <c r="B4980" t="s">
        <v>59</v>
      </c>
      <c r="C4980" t="s">
        <v>477</v>
      </c>
      <c r="E4980" t="s">
        <v>3390</v>
      </c>
      <c r="F4980" t="s">
        <v>3561</v>
      </c>
      <c r="G4980" t="s">
        <v>10094</v>
      </c>
      <c r="I4980" t="s">
        <v>11387</v>
      </c>
      <c r="J4980">
        <v>11433</v>
      </c>
      <c r="K4980" t="s">
        <v>11446</v>
      </c>
      <c r="L4980" t="s">
        <v>14467</v>
      </c>
      <c r="M4980" t="s">
        <v>14743</v>
      </c>
      <c r="N4980" t="s">
        <v>14781</v>
      </c>
      <c r="P4980" t="s">
        <v>14807</v>
      </c>
      <c r="Q4980" t="s">
        <v>11448</v>
      </c>
      <c r="S4980" t="s">
        <v>14827</v>
      </c>
      <c r="T4980" t="s">
        <v>14832</v>
      </c>
      <c r="U4980" t="s">
        <v>477</v>
      </c>
      <c r="V4980">
        <v>2940</v>
      </c>
      <c r="W4980" t="s">
        <v>14861</v>
      </c>
      <c r="X4980" t="s">
        <v>14863</v>
      </c>
      <c r="Z4980" t="s">
        <v>18975</v>
      </c>
      <c r="AB4980" t="s">
        <v>24196</v>
      </c>
      <c r="AC4980">
        <v>1</v>
      </c>
      <c r="AD4980" t="s">
        <v>24600</v>
      </c>
      <c r="AE4980" t="s">
        <v>24620</v>
      </c>
      <c r="AF4980">
        <v>1</v>
      </c>
      <c r="AG4980">
        <v>2</v>
      </c>
      <c r="AH4980">
        <v>6</v>
      </c>
      <c r="AI4980">
        <v>21.3</v>
      </c>
      <c r="AL4980" t="s">
        <v>5011</v>
      </c>
      <c r="AM4980">
        <v>9252</v>
      </c>
      <c r="AO4980" t="s">
        <v>24930</v>
      </c>
      <c r="AP4980" t="s">
        <v>24942</v>
      </c>
      <c r="AQ4980" t="s">
        <v>24987</v>
      </c>
      <c r="AR4980" t="s">
        <v>25101</v>
      </c>
      <c r="AS4980">
        <v>5.3</v>
      </c>
      <c r="AT4980" t="s">
        <v>537</v>
      </c>
      <c r="AU4980" t="s">
        <v>292</v>
      </c>
      <c r="AV4980" t="s">
        <v>25335</v>
      </c>
      <c r="AW4980" t="s">
        <v>11447</v>
      </c>
    </row>
    <row r="4981" spans="1:49">
      <c r="A4981" s="1">
        <f>HYPERLINK("https://lsnyc.legalserver.org/matter/dynamic-profile/view/1913404","19-1913404")</f>
        <v>0</v>
      </c>
      <c r="B4981" t="s">
        <v>227</v>
      </c>
      <c r="C4981" t="s">
        <v>483</v>
      </c>
      <c r="E4981" t="s">
        <v>2155</v>
      </c>
      <c r="F4981" t="s">
        <v>3783</v>
      </c>
      <c r="G4981" t="s">
        <v>10095</v>
      </c>
      <c r="I4981" t="s">
        <v>11387</v>
      </c>
      <c r="J4981">
        <v>11434</v>
      </c>
      <c r="K4981" t="s">
        <v>11446</v>
      </c>
      <c r="L4981" t="s">
        <v>14468</v>
      </c>
      <c r="M4981" t="s">
        <v>14743</v>
      </c>
      <c r="N4981" t="s">
        <v>14781</v>
      </c>
      <c r="P4981" t="s">
        <v>14807</v>
      </c>
      <c r="Q4981" t="s">
        <v>11448</v>
      </c>
      <c r="S4981" t="s">
        <v>14827</v>
      </c>
      <c r="U4981" t="s">
        <v>477</v>
      </c>
      <c r="V4981">
        <v>0</v>
      </c>
      <c r="W4981" t="s">
        <v>14861</v>
      </c>
      <c r="X4981" t="s">
        <v>14865</v>
      </c>
      <c r="Z4981" t="s">
        <v>18976</v>
      </c>
      <c r="AB4981" t="s">
        <v>24197</v>
      </c>
      <c r="AC4981">
        <v>1</v>
      </c>
      <c r="AD4981" t="s">
        <v>24600</v>
      </c>
      <c r="AE4981" t="s">
        <v>11459</v>
      </c>
      <c r="AF4981">
        <v>41</v>
      </c>
      <c r="AG4981">
        <v>2</v>
      </c>
      <c r="AH4981">
        <v>0</v>
      </c>
      <c r="AI4981">
        <v>170.31</v>
      </c>
      <c r="AL4981" t="s">
        <v>5011</v>
      </c>
      <c r="AM4981">
        <v>28800</v>
      </c>
      <c r="AS4981">
        <v>10.73</v>
      </c>
      <c r="AT4981" t="s">
        <v>509</v>
      </c>
      <c r="AU4981" t="s">
        <v>25233</v>
      </c>
      <c r="AV4981" t="s">
        <v>25335</v>
      </c>
      <c r="AW4981" t="s">
        <v>11447</v>
      </c>
    </row>
    <row r="4982" spans="1:49">
      <c r="A4982" s="1">
        <f>HYPERLINK("https://lsnyc.legalserver.org/matter/dynamic-profile/view/1913621","19-1913621")</f>
        <v>0</v>
      </c>
      <c r="B4982" t="s">
        <v>191</v>
      </c>
      <c r="C4982" t="s">
        <v>477</v>
      </c>
      <c r="E4982" t="s">
        <v>3391</v>
      </c>
      <c r="F4982" t="s">
        <v>3797</v>
      </c>
      <c r="G4982" t="s">
        <v>10096</v>
      </c>
      <c r="H4982" t="s">
        <v>10520</v>
      </c>
      <c r="I4982" t="s">
        <v>11387</v>
      </c>
      <c r="J4982">
        <v>11433</v>
      </c>
      <c r="K4982" t="s">
        <v>11446</v>
      </c>
      <c r="L4982" t="s">
        <v>14469</v>
      </c>
      <c r="M4982" t="s">
        <v>14744</v>
      </c>
      <c r="N4982" t="s">
        <v>14781</v>
      </c>
      <c r="P4982" t="s">
        <v>14807</v>
      </c>
      <c r="Q4982" t="s">
        <v>11448</v>
      </c>
      <c r="S4982" t="s">
        <v>14827</v>
      </c>
      <c r="U4982" t="s">
        <v>477</v>
      </c>
      <c r="V4982">
        <v>847</v>
      </c>
      <c r="W4982" t="s">
        <v>14861</v>
      </c>
      <c r="X4982" t="s">
        <v>14863</v>
      </c>
      <c r="Z4982" t="s">
        <v>18466</v>
      </c>
      <c r="AB4982" t="s">
        <v>24198</v>
      </c>
      <c r="AC4982">
        <v>88</v>
      </c>
      <c r="AD4982" t="s">
        <v>11479</v>
      </c>
      <c r="AE4982" t="s">
        <v>11459</v>
      </c>
      <c r="AF4982">
        <v>1</v>
      </c>
      <c r="AG4982">
        <v>1</v>
      </c>
      <c r="AH4982">
        <v>1</v>
      </c>
      <c r="AI4982">
        <v>189.24</v>
      </c>
      <c r="AL4982" t="s">
        <v>5011</v>
      </c>
      <c r="AM4982">
        <v>32000</v>
      </c>
      <c r="AS4982">
        <v>4.6</v>
      </c>
      <c r="AT4982" t="s">
        <v>495</v>
      </c>
      <c r="AU4982" t="s">
        <v>292</v>
      </c>
      <c r="AV4982" t="s">
        <v>25335</v>
      </c>
      <c r="AW4982" t="s">
        <v>11447</v>
      </c>
    </row>
    <row r="4983" spans="1:49">
      <c r="A4983" s="1">
        <f>HYPERLINK("https://lsnyc.legalserver.org/matter/dynamic-profile/view/1913618","19-1913618")</f>
        <v>0</v>
      </c>
      <c r="B4983" t="s">
        <v>147</v>
      </c>
      <c r="C4983" t="s">
        <v>477</v>
      </c>
      <c r="E4983" t="s">
        <v>1025</v>
      </c>
      <c r="F4983" t="s">
        <v>4219</v>
      </c>
      <c r="G4983" t="s">
        <v>10097</v>
      </c>
      <c r="H4983" t="s">
        <v>11316</v>
      </c>
      <c r="I4983" t="s">
        <v>11395</v>
      </c>
      <c r="J4983">
        <v>11373</v>
      </c>
      <c r="K4983" t="s">
        <v>11446</v>
      </c>
      <c r="L4983" t="s">
        <v>14470</v>
      </c>
      <c r="M4983" t="s">
        <v>14743</v>
      </c>
      <c r="N4983" t="s">
        <v>14781</v>
      </c>
      <c r="P4983" t="s">
        <v>14807</v>
      </c>
      <c r="Q4983" t="s">
        <v>11448</v>
      </c>
      <c r="S4983" t="s">
        <v>14827</v>
      </c>
      <c r="U4983" t="s">
        <v>477</v>
      </c>
      <c r="V4983">
        <v>1900</v>
      </c>
      <c r="W4983" t="s">
        <v>14861</v>
      </c>
      <c r="X4983" t="s">
        <v>14863</v>
      </c>
      <c r="Z4983" t="s">
        <v>18977</v>
      </c>
      <c r="AB4983" t="s">
        <v>19344</v>
      </c>
      <c r="AC4983">
        <v>0</v>
      </c>
      <c r="AD4983" t="s">
        <v>11479</v>
      </c>
      <c r="AE4983" t="s">
        <v>11459</v>
      </c>
      <c r="AF4983">
        <v>7</v>
      </c>
      <c r="AG4983">
        <v>2</v>
      </c>
      <c r="AH4983">
        <v>3</v>
      </c>
      <c r="AI4983">
        <v>198.87</v>
      </c>
      <c r="AL4983" t="s">
        <v>24632</v>
      </c>
      <c r="AM4983">
        <v>60000</v>
      </c>
      <c r="AS4983">
        <v>10.4</v>
      </c>
      <c r="AT4983" t="s">
        <v>495</v>
      </c>
      <c r="AU4983" t="s">
        <v>292</v>
      </c>
      <c r="AV4983" t="s">
        <v>25335</v>
      </c>
      <c r="AW4983" t="s">
        <v>11447</v>
      </c>
    </row>
    <row r="4984" spans="1:49">
      <c r="A4984" s="1">
        <f>HYPERLINK("https://lsnyc.legalserver.org/matter/dynamic-profile/view/1913642","19-1913642")</f>
        <v>0</v>
      </c>
      <c r="B4984" t="s">
        <v>138</v>
      </c>
      <c r="C4984" t="s">
        <v>477</v>
      </c>
      <c r="E4984" t="s">
        <v>3347</v>
      </c>
      <c r="F4984" t="s">
        <v>4890</v>
      </c>
      <c r="G4984" t="s">
        <v>10007</v>
      </c>
      <c r="I4984" t="s">
        <v>11387</v>
      </c>
      <c r="J4984">
        <v>11434</v>
      </c>
      <c r="K4984" t="s">
        <v>11446</v>
      </c>
      <c r="N4984" t="s">
        <v>14781</v>
      </c>
      <c r="P4984" t="s">
        <v>14807</v>
      </c>
      <c r="Q4984" t="s">
        <v>11448</v>
      </c>
      <c r="S4984" t="s">
        <v>14827</v>
      </c>
      <c r="U4984" t="s">
        <v>477</v>
      </c>
      <c r="V4984">
        <v>0</v>
      </c>
      <c r="W4984" t="s">
        <v>14861</v>
      </c>
      <c r="X4984" t="s">
        <v>14868</v>
      </c>
      <c r="Z4984" t="s">
        <v>18897</v>
      </c>
      <c r="AB4984" t="s">
        <v>24106</v>
      </c>
      <c r="AC4984">
        <v>3</v>
      </c>
      <c r="AD4984" t="s">
        <v>24600</v>
      </c>
      <c r="AE4984" t="s">
        <v>11459</v>
      </c>
      <c r="AF4984">
        <v>29</v>
      </c>
      <c r="AG4984">
        <v>8</v>
      </c>
      <c r="AH4984">
        <v>0</v>
      </c>
      <c r="AI4984">
        <v>353.67</v>
      </c>
      <c r="AL4984" t="s">
        <v>5011</v>
      </c>
      <c r="AM4984">
        <v>153600</v>
      </c>
      <c r="AS4984">
        <v>1.4</v>
      </c>
      <c r="AT4984" t="s">
        <v>477</v>
      </c>
      <c r="AU4984" t="s">
        <v>292</v>
      </c>
      <c r="AV4984" t="s">
        <v>25335</v>
      </c>
      <c r="AW4984" t="s">
        <v>11447</v>
      </c>
    </row>
    <row r="4985" spans="1:49">
      <c r="A4985" s="1">
        <f>HYPERLINK("https://lsnyc.legalserver.org/matter/dynamic-profile/view/1913990","19-1913990")</f>
        <v>0</v>
      </c>
      <c r="B4985" t="s">
        <v>59</v>
      </c>
      <c r="C4985" t="s">
        <v>490</v>
      </c>
      <c r="E4985" t="s">
        <v>1233</v>
      </c>
      <c r="F4985" t="s">
        <v>6056</v>
      </c>
      <c r="G4985" t="s">
        <v>10098</v>
      </c>
      <c r="I4985" t="s">
        <v>11387</v>
      </c>
      <c r="J4985">
        <v>11433</v>
      </c>
      <c r="K4985" t="s">
        <v>11446</v>
      </c>
      <c r="L4985" t="s">
        <v>14471</v>
      </c>
      <c r="M4985" t="s">
        <v>14743</v>
      </c>
      <c r="N4985" t="s">
        <v>14781</v>
      </c>
      <c r="P4985" t="s">
        <v>14807</v>
      </c>
      <c r="Q4985" t="s">
        <v>11448</v>
      </c>
      <c r="S4985" t="s">
        <v>14827</v>
      </c>
      <c r="T4985" t="s">
        <v>14832</v>
      </c>
      <c r="U4985" t="s">
        <v>580</v>
      </c>
      <c r="V4985">
        <v>0</v>
      </c>
      <c r="W4985" t="s">
        <v>14861</v>
      </c>
      <c r="X4985" t="s">
        <v>14865</v>
      </c>
      <c r="Z4985" t="s">
        <v>18685</v>
      </c>
      <c r="AA4985" t="s">
        <v>19635</v>
      </c>
      <c r="AB4985" t="s">
        <v>24199</v>
      </c>
      <c r="AC4985">
        <v>2</v>
      </c>
      <c r="AD4985" t="s">
        <v>24600</v>
      </c>
      <c r="AE4985" t="s">
        <v>11459</v>
      </c>
      <c r="AF4985">
        <v>43</v>
      </c>
      <c r="AG4985">
        <v>2</v>
      </c>
      <c r="AH4985">
        <v>0</v>
      </c>
      <c r="AI4985">
        <v>53.22</v>
      </c>
      <c r="AL4985" t="s">
        <v>5011</v>
      </c>
      <c r="AM4985">
        <v>9000</v>
      </c>
      <c r="AS4985">
        <v>15.6</v>
      </c>
      <c r="AT4985" t="s">
        <v>495</v>
      </c>
      <c r="AU4985" t="s">
        <v>25233</v>
      </c>
      <c r="AV4985" t="s">
        <v>25335</v>
      </c>
      <c r="AW4985" t="s">
        <v>11447</v>
      </c>
    </row>
    <row r="4986" spans="1:49">
      <c r="A4986" s="1">
        <f>HYPERLINK("https://lsnyc.legalserver.org/matter/dynamic-profile/view/1914088","19-1914088")</f>
        <v>0</v>
      </c>
      <c r="B4986" t="s">
        <v>248</v>
      </c>
      <c r="C4986" t="s">
        <v>580</v>
      </c>
      <c r="E4986" t="s">
        <v>1132</v>
      </c>
      <c r="F4986" t="s">
        <v>3972</v>
      </c>
      <c r="G4986" t="s">
        <v>10099</v>
      </c>
      <c r="H4986" t="s">
        <v>10646</v>
      </c>
      <c r="I4986" t="s">
        <v>11387</v>
      </c>
      <c r="J4986">
        <v>11433</v>
      </c>
      <c r="K4986" t="s">
        <v>11446</v>
      </c>
      <c r="L4986" t="s">
        <v>14472</v>
      </c>
      <c r="M4986" t="s">
        <v>14743</v>
      </c>
      <c r="N4986" t="s">
        <v>14782</v>
      </c>
      <c r="P4986" t="s">
        <v>14807</v>
      </c>
      <c r="Q4986" t="s">
        <v>11448</v>
      </c>
      <c r="S4986" t="s">
        <v>14827</v>
      </c>
      <c r="U4986" t="s">
        <v>580</v>
      </c>
      <c r="V4986">
        <v>1800</v>
      </c>
      <c r="W4986" t="s">
        <v>14861</v>
      </c>
      <c r="X4986" t="s">
        <v>14865</v>
      </c>
      <c r="Z4986" t="s">
        <v>17794</v>
      </c>
      <c r="AB4986" t="s">
        <v>24200</v>
      </c>
      <c r="AC4986">
        <v>1</v>
      </c>
      <c r="AD4986" t="s">
        <v>11479</v>
      </c>
      <c r="AE4986" t="s">
        <v>11459</v>
      </c>
      <c r="AF4986">
        <v>2</v>
      </c>
      <c r="AG4986">
        <v>2</v>
      </c>
      <c r="AH4986">
        <v>2</v>
      </c>
      <c r="AI4986">
        <v>163.11</v>
      </c>
      <c r="AL4986" t="s">
        <v>5011</v>
      </c>
      <c r="AM4986">
        <v>42000</v>
      </c>
      <c r="AS4986">
        <v>0.8</v>
      </c>
      <c r="AT4986" t="s">
        <v>580</v>
      </c>
      <c r="AU4986" t="s">
        <v>292</v>
      </c>
      <c r="AV4986" t="s">
        <v>25335</v>
      </c>
      <c r="AW4986" t="s">
        <v>11447</v>
      </c>
    </row>
    <row r="4987" spans="1:49">
      <c r="A4987" s="1">
        <f>HYPERLINK("https://lsnyc.legalserver.org/matter/dynamic-profile/view/1914385","19-1914385")</f>
        <v>0</v>
      </c>
      <c r="B4987" t="s">
        <v>124</v>
      </c>
      <c r="C4987" t="s">
        <v>506</v>
      </c>
      <c r="E4987" t="s">
        <v>1359</v>
      </c>
      <c r="F4987" t="s">
        <v>6057</v>
      </c>
      <c r="G4987" t="s">
        <v>10100</v>
      </c>
      <c r="I4987" t="s">
        <v>11422</v>
      </c>
      <c r="J4987">
        <v>11413</v>
      </c>
      <c r="K4987" t="s">
        <v>11446</v>
      </c>
      <c r="L4987" t="s">
        <v>14473</v>
      </c>
      <c r="M4987" t="s">
        <v>14744</v>
      </c>
      <c r="N4987" t="s">
        <v>14782</v>
      </c>
      <c r="P4987" t="s">
        <v>14807</v>
      </c>
      <c r="Q4987" t="s">
        <v>11448</v>
      </c>
      <c r="S4987" t="s">
        <v>14827</v>
      </c>
      <c r="U4987" t="s">
        <v>506</v>
      </c>
      <c r="V4987">
        <v>1336</v>
      </c>
      <c r="W4987" t="s">
        <v>14861</v>
      </c>
      <c r="X4987" t="s">
        <v>14865</v>
      </c>
      <c r="Z4987" t="s">
        <v>18978</v>
      </c>
      <c r="AB4987" t="s">
        <v>24201</v>
      </c>
      <c r="AC4987">
        <v>2</v>
      </c>
      <c r="AD4987" t="s">
        <v>24595</v>
      </c>
      <c r="AE4987" t="s">
        <v>11459</v>
      </c>
      <c r="AF4987">
        <v>10</v>
      </c>
      <c r="AG4987">
        <v>2</v>
      </c>
      <c r="AH4987">
        <v>0</v>
      </c>
      <c r="AI4987">
        <v>0</v>
      </c>
      <c r="AL4987" t="s">
        <v>5011</v>
      </c>
      <c r="AM4987">
        <v>0</v>
      </c>
      <c r="AS4987">
        <v>0.4</v>
      </c>
      <c r="AT4987" t="s">
        <v>506</v>
      </c>
      <c r="AU4987" t="s">
        <v>292</v>
      </c>
      <c r="AV4987" t="s">
        <v>25335</v>
      </c>
      <c r="AW4987" t="s">
        <v>11447</v>
      </c>
    </row>
    <row r="4988" spans="1:49">
      <c r="A4988" s="1">
        <f>HYPERLINK("https://lsnyc.legalserver.org/matter/dynamic-profile/view/1914367","19-1914367")</f>
        <v>0</v>
      </c>
      <c r="B4988" t="s">
        <v>191</v>
      </c>
      <c r="C4988" t="s">
        <v>506</v>
      </c>
      <c r="E4988" t="s">
        <v>1354</v>
      </c>
      <c r="F4988" t="s">
        <v>4487</v>
      </c>
      <c r="G4988" t="s">
        <v>10101</v>
      </c>
      <c r="H4988">
        <v>2</v>
      </c>
      <c r="I4988" t="s">
        <v>11387</v>
      </c>
      <c r="J4988">
        <v>11433</v>
      </c>
      <c r="K4988" t="s">
        <v>11446</v>
      </c>
      <c r="L4988" t="s">
        <v>14474</v>
      </c>
      <c r="M4988" t="s">
        <v>14744</v>
      </c>
      <c r="N4988" t="s">
        <v>14782</v>
      </c>
      <c r="P4988" t="s">
        <v>14807</v>
      </c>
      <c r="Q4988" t="s">
        <v>11448</v>
      </c>
      <c r="S4988" t="s">
        <v>14827</v>
      </c>
      <c r="U4988" t="s">
        <v>506</v>
      </c>
      <c r="V4988">
        <v>249</v>
      </c>
      <c r="W4988" t="s">
        <v>14861</v>
      </c>
      <c r="X4988" t="s">
        <v>14865</v>
      </c>
      <c r="Z4988" t="s">
        <v>18979</v>
      </c>
      <c r="AA4988" t="s">
        <v>20071</v>
      </c>
      <c r="AB4988" t="s">
        <v>24202</v>
      </c>
      <c r="AC4988">
        <v>3</v>
      </c>
      <c r="AD4988" t="s">
        <v>11479</v>
      </c>
      <c r="AE4988" t="s">
        <v>11459</v>
      </c>
      <c r="AF4988">
        <v>3</v>
      </c>
      <c r="AG4988">
        <v>1</v>
      </c>
      <c r="AH4988">
        <v>0</v>
      </c>
      <c r="AI4988">
        <v>76</v>
      </c>
      <c r="AL4988" t="s">
        <v>5011</v>
      </c>
      <c r="AM4988">
        <v>9492</v>
      </c>
      <c r="AS4988">
        <v>1.8</v>
      </c>
      <c r="AT4988" t="s">
        <v>495</v>
      </c>
      <c r="AU4988" t="s">
        <v>292</v>
      </c>
      <c r="AV4988" t="s">
        <v>25335</v>
      </c>
      <c r="AW4988" t="s">
        <v>11447</v>
      </c>
    </row>
    <row r="4989" spans="1:49">
      <c r="A4989" s="1">
        <f>HYPERLINK("https://lsnyc.legalserver.org/matter/dynamic-profile/view/1903545","19-1903545")</f>
        <v>0</v>
      </c>
      <c r="B4989" t="s">
        <v>144</v>
      </c>
      <c r="C4989" t="s">
        <v>631</v>
      </c>
      <c r="E4989" t="s">
        <v>1828</v>
      </c>
      <c r="F4989" t="s">
        <v>4095</v>
      </c>
      <c r="G4989" t="s">
        <v>10102</v>
      </c>
      <c r="H4989" t="s">
        <v>10638</v>
      </c>
      <c r="I4989" t="s">
        <v>11388</v>
      </c>
      <c r="J4989">
        <v>11385</v>
      </c>
      <c r="K4989" t="s">
        <v>11446</v>
      </c>
      <c r="L4989" t="s">
        <v>14475</v>
      </c>
      <c r="M4989" t="s">
        <v>14744</v>
      </c>
      <c r="N4989" t="s">
        <v>14781</v>
      </c>
      <c r="P4989" t="s">
        <v>14807</v>
      </c>
      <c r="Q4989" t="s">
        <v>11448</v>
      </c>
      <c r="S4989" t="s">
        <v>14827</v>
      </c>
      <c r="T4989" t="s">
        <v>14832</v>
      </c>
      <c r="U4989" t="s">
        <v>478</v>
      </c>
      <c r="V4989">
        <v>1948</v>
      </c>
      <c r="W4989" t="s">
        <v>14861</v>
      </c>
      <c r="X4989" t="s">
        <v>14865</v>
      </c>
      <c r="Z4989" t="s">
        <v>18980</v>
      </c>
      <c r="AC4989">
        <v>6</v>
      </c>
      <c r="AD4989" t="s">
        <v>24595</v>
      </c>
      <c r="AE4989" t="s">
        <v>11459</v>
      </c>
      <c r="AF4989">
        <v>4</v>
      </c>
      <c r="AG4989">
        <v>1</v>
      </c>
      <c r="AH4989">
        <v>2</v>
      </c>
      <c r="AI4989">
        <v>178.15</v>
      </c>
      <c r="AL4989" t="s">
        <v>24632</v>
      </c>
      <c r="AM4989">
        <v>38000</v>
      </c>
      <c r="AS4989">
        <v>11.67</v>
      </c>
      <c r="AT4989" t="s">
        <v>478</v>
      </c>
      <c r="AU4989" t="s">
        <v>25233</v>
      </c>
      <c r="AV4989" t="s">
        <v>25335</v>
      </c>
      <c r="AW4989" t="s">
        <v>11447</v>
      </c>
    </row>
    <row r="4990" spans="1:49">
      <c r="A4990" s="1">
        <f>HYPERLINK("https://lsnyc.legalserver.org/matter/dynamic-profile/view/1913289","19-1913289")</f>
        <v>0</v>
      </c>
      <c r="B4990" t="s">
        <v>68</v>
      </c>
      <c r="C4990" t="s">
        <v>515</v>
      </c>
      <c r="E4990" t="s">
        <v>3392</v>
      </c>
      <c r="F4990" t="s">
        <v>6058</v>
      </c>
      <c r="G4990" t="s">
        <v>10103</v>
      </c>
      <c r="H4990" t="s">
        <v>10475</v>
      </c>
      <c r="I4990" t="s">
        <v>11387</v>
      </c>
      <c r="J4990">
        <v>11433</v>
      </c>
      <c r="K4990" t="s">
        <v>11446</v>
      </c>
      <c r="L4990" t="s">
        <v>14476</v>
      </c>
      <c r="M4990" t="s">
        <v>14743</v>
      </c>
      <c r="N4990" t="s">
        <v>14781</v>
      </c>
      <c r="P4990" t="s">
        <v>14807</v>
      </c>
      <c r="Q4990" t="s">
        <v>11448</v>
      </c>
      <c r="S4990" t="s">
        <v>14827</v>
      </c>
      <c r="T4990" t="s">
        <v>14832</v>
      </c>
      <c r="U4990" t="s">
        <v>491</v>
      </c>
      <c r="V4990">
        <v>1300</v>
      </c>
      <c r="W4990" t="s">
        <v>14861</v>
      </c>
      <c r="X4990" t="s">
        <v>14863</v>
      </c>
      <c r="Z4990" t="s">
        <v>17890</v>
      </c>
      <c r="AB4990" t="s">
        <v>24203</v>
      </c>
      <c r="AC4990">
        <v>3</v>
      </c>
      <c r="AD4990" t="s">
        <v>24600</v>
      </c>
      <c r="AF4990">
        <v>2</v>
      </c>
      <c r="AG4990">
        <v>1</v>
      </c>
      <c r="AH4990">
        <v>1</v>
      </c>
      <c r="AI4990">
        <v>212.89</v>
      </c>
      <c r="AL4990" t="s">
        <v>5011</v>
      </c>
      <c r="AM4990">
        <v>36000</v>
      </c>
      <c r="AS4990">
        <v>9.42</v>
      </c>
      <c r="AT4990" t="s">
        <v>516</v>
      </c>
      <c r="AU4990" t="s">
        <v>25233</v>
      </c>
      <c r="AV4990" t="s">
        <v>25335</v>
      </c>
      <c r="AW4990" t="s">
        <v>11447</v>
      </c>
    </row>
    <row r="4991" spans="1:49">
      <c r="A4991" s="1">
        <f>HYPERLINK("https://lsnyc.legalserver.org/matter/dynamic-profile/view/1914722","19-1914722")</f>
        <v>0</v>
      </c>
      <c r="B4991" t="s">
        <v>124</v>
      </c>
      <c r="C4991" t="s">
        <v>592</v>
      </c>
      <c r="E4991" t="s">
        <v>2455</v>
      </c>
      <c r="F4991" t="s">
        <v>6059</v>
      </c>
      <c r="G4991" t="s">
        <v>10104</v>
      </c>
      <c r="H4991" t="s">
        <v>10448</v>
      </c>
      <c r="I4991" t="s">
        <v>11387</v>
      </c>
      <c r="J4991">
        <v>11433</v>
      </c>
      <c r="K4991" t="s">
        <v>11446</v>
      </c>
      <c r="L4991" t="s">
        <v>14477</v>
      </c>
      <c r="M4991" t="s">
        <v>14747</v>
      </c>
      <c r="N4991" t="s">
        <v>14782</v>
      </c>
      <c r="P4991" t="s">
        <v>14807</v>
      </c>
      <c r="Q4991" t="s">
        <v>11448</v>
      </c>
      <c r="S4991" t="s">
        <v>14828</v>
      </c>
      <c r="U4991" t="s">
        <v>592</v>
      </c>
      <c r="V4991">
        <v>266</v>
      </c>
      <c r="W4991" t="s">
        <v>14861</v>
      </c>
      <c r="X4991" t="s">
        <v>14755</v>
      </c>
      <c r="Z4991" t="s">
        <v>18981</v>
      </c>
      <c r="AB4991" t="s">
        <v>24204</v>
      </c>
      <c r="AC4991">
        <v>0</v>
      </c>
      <c r="AD4991" t="s">
        <v>24602</v>
      </c>
      <c r="AE4991" t="s">
        <v>11459</v>
      </c>
      <c r="AF4991">
        <v>20</v>
      </c>
      <c r="AG4991">
        <v>1</v>
      </c>
      <c r="AH4991">
        <v>0</v>
      </c>
      <c r="AI4991">
        <v>86.47</v>
      </c>
      <c r="AL4991" t="s">
        <v>5011</v>
      </c>
      <c r="AM4991">
        <v>10800</v>
      </c>
      <c r="AS4991">
        <v>0.6</v>
      </c>
      <c r="AT4991" t="s">
        <v>592</v>
      </c>
      <c r="AU4991" t="s">
        <v>292</v>
      </c>
      <c r="AV4991" t="s">
        <v>25335</v>
      </c>
      <c r="AW4991" t="s">
        <v>11447</v>
      </c>
    </row>
    <row r="4992" spans="1:49">
      <c r="A4992" s="1">
        <f>HYPERLINK("https://lsnyc.legalserver.org/matter/dynamic-profile/view/1914935","19-1914935")</f>
        <v>0</v>
      </c>
      <c r="B4992" t="s">
        <v>59</v>
      </c>
      <c r="C4992" t="s">
        <v>537</v>
      </c>
      <c r="E4992" t="s">
        <v>1233</v>
      </c>
      <c r="F4992" t="s">
        <v>6056</v>
      </c>
      <c r="G4992" t="s">
        <v>10098</v>
      </c>
      <c r="I4992" t="s">
        <v>11387</v>
      </c>
      <c r="J4992">
        <v>11433</v>
      </c>
      <c r="K4992" t="s">
        <v>11446</v>
      </c>
      <c r="L4992" t="s">
        <v>14478</v>
      </c>
      <c r="M4992" t="s">
        <v>14743</v>
      </c>
      <c r="N4992" t="s">
        <v>14781</v>
      </c>
      <c r="P4992" t="s">
        <v>14807</v>
      </c>
      <c r="Q4992" t="s">
        <v>11448</v>
      </c>
      <c r="S4992" t="s">
        <v>14827</v>
      </c>
      <c r="T4992" t="s">
        <v>14832</v>
      </c>
      <c r="U4992" t="s">
        <v>537</v>
      </c>
      <c r="V4992">
        <v>0</v>
      </c>
      <c r="W4992" t="s">
        <v>14861</v>
      </c>
      <c r="X4992" t="s">
        <v>14865</v>
      </c>
      <c r="Z4992" t="s">
        <v>18685</v>
      </c>
      <c r="AA4992" t="s">
        <v>19635</v>
      </c>
      <c r="AB4992" t="s">
        <v>24199</v>
      </c>
      <c r="AC4992">
        <v>2</v>
      </c>
      <c r="AD4992" t="s">
        <v>24600</v>
      </c>
      <c r="AE4992" t="s">
        <v>11459</v>
      </c>
      <c r="AF4992">
        <v>43</v>
      </c>
      <c r="AG4992">
        <v>2</v>
      </c>
      <c r="AH4992">
        <v>0</v>
      </c>
      <c r="AI4992">
        <v>66.98999999999999</v>
      </c>
      <c r="AL4992" t="s">
        <v>5011</v>
      </c>
      <c r="AM4992">
        <v>11328</v>
      </c>
      <c r="AS4992">
        <v>0.2</v>
      </c>
      <c r="AT4992" t="s">
        <v>537</v>
      </c>
      <c r="AU4992" t="s">
        <v>59</v>
      </c>
      <c r="AV4992" t="s">
        <v>25335</v>
      </c>
      <c r="AW4992" t="s">
        <v>11447</v>
      </c>
    </row>
    <row r="4993" spans="1:49">
      <c r="A4993" s="1">
        <f>HYPERLINK("https://lsnyc.legalserver.org/matter/dynamic-profile/view/1914938","19-1914938")</f>
        <v>0</v>
      </c>
      <c r="B4993" t="s">
        <v>59</v>
      </c>
      <c r="C4993" t="s">
        <v>537</v>
      </c>
      <c r="E4993" t="s">
        <v>1233</v>
      </c>
      <c r="F4993" t="s">
        <v>6056</v>
      </c>
      <c r="G4993" t="s">
        <v>10098</v>
      </c>
      <c r="I4993" t="s">
        <v>11387</v>
      </c>
      <c r="J4993">
        <v>11433</v>
      </c>
      <c r="K4993" t="s">
        <v>11446</v>
      </c>
      <c r="L4993" t="s">
        <v>14479</v>
      </c>
      <c r="M4993" t="s">
        <v>14743</v>
      </c>
      <c r="N4993" t="s">
        <v>14781</v>
      </c>
      <c r="P4993" t="s">
        <v>14807</v>
      </c>
      <c r="Q4993" t="s">
        <v>11448</v>
      </c>
      <c r="S4993" t="s">
        <v>14827</v>
      </c>
      <c r="T4993" t="s">
        <v>14832</v>
      </c>
      <c r="U4993" t="s">
        <v>537</v>
      </c>
      <c r="V4993">
        <v>0</v>
      </c>
      <c r="W4993" t="s">
        <v>14861</v>
      </c>
      <c r="X4993" t="s">
        <v>14865</v>
      </c>
      <c r="Z4993" t="s">
        <v>18685</v>
      </c>
      <c r="AA4993" t="s">
        <v>19635</v>
      </c>
      <c r="AB4993" t="s">
        <v>24199</v>
      </c>
      <c r="AC4993">
        <v>2</v>
      </c>
      <c r="AD4993" t="s">
        <v>24600</v>
      </c>
      <c r="AE4993" t="s">
        <v>11459</v>
      </c>
      <c r="AF4993">
        <v>43</v>
      </c>
      <c r="AG4993">
        <v>2</v>
      </c>
      <c r="AH4993">
        <v>0</v>
      </c>
      <c r="AI4993">
        <v>66.98999999999999</v>
      </c>
      <c r="AL4993" t="s">
        <v>5011</v>
      </c>
      <c r="AM4993">
        <v>11328</v>
      </c>
      <c r="AS4993">
        <v>0.2</v>
      </c>
      <c r="AT4993" t="s">
        <v>537</v>
      </c>
      <c r="AU4993" t="s">
        <v>59</v>
      </c>
      <c r="AV4993" t="s">
        <v>25335</v>
      </c>
      <c r="AW4993" t="s">
        <v>11447</v>
      </c>
    </row>
    <row r="4994" spans="1:49">
      <c r="A4994" s="1">
        <f>HYPERLINK("https://lsnyc.legalserver.org/matter/dynamic-profile/view/1914869","19-1914869")</f>
        <v>0</v>
      </c>
      <c r="B4994" t="s">
        <v>293</v>
      </c>
      <c r="C4994" t="s">
        <v>537</v>
      </c>
      <c r="E4994" t="s">
        <v>1181</v>
      </c>
      <c r="F4994" t="s">
        <v>5829</v>
      </c>
      <c r="G4994" t="s">
        <v>10105</v>
      </c>
      <c r="H4994" t="s">
        <v>10705</v>
      </c>
      <c r="I4994" t="s">
        <v>11388</v>
      </c>
      <c r="J4994">
        <v>11385</v>
      </c>
      <c r="K4994" t="s">
        <v>11446</v>
      </c>
      <c r="L4994" t="s">
        <v>14480</v>
      </c>
      <c r="M4994" t="s">
        <v>14744</v>
      </c>
      <c r="N4994" t="s">
        <v>14781</v>
      </c>
      <c r="P4994" t="s">
        <v>14807</v>
      </c>
      <c r="Q4994" t="s">
        <v>11448</v>
      </c>
      <c r="S4994" t="s">
        <v>14827</v>
      </c>
      <c r="U4994" t="s">
        <v>537</v>
      </c>
      <c r="V4994">
        <v>1800</v>
      </c>
      <c r="W4994" t="s">
        <v>14861</v>
      </c>
      <c r="X4994" t="s">
        <v>14865</v>
      </c>
      <c r="Z4994" t="s">
        <v>18982</v>
      </c>
      <c r="AB4994" t="s">
        <v>24205</v>
      </c>
      <c r="AC4994">
        <v>3</v>
      </c>
      <c r="AD4994" t="s">
        <v>11479</v>
      </c>
      <c r="AE4994" t="s">
        <v>11459</v>
      </c>
      <c r="AF4994">
        <v>-1</v>
      </c>
      <c r="AG4994">
        <v>2</v>
      </c>
      <c r="AH4994">
        <v>1</v>
      </c>
      <c r="AI4994">
        <v>93.76000000000001</v>
      </c>
      <c r="AL4994" t="s">
        <v>5011</v>
      </c>
      <c r="AM4994">
        <v>20000</v>
      </c>
      <c r="AS4994">
        <v>0.67</v>
      </c>
      <c r="AT4994" t="s">
        <v>516</v>
      </c>
      <c r="AU4994" t="s">
        <v>292</v>
      </c>
      <c r="AV4994" t="s">
        <v>25335</v>
      </c>
      <c r="AW4994" t="s">
        <v>11447</v>
      </c>
    </row>
    <row r="4995" spans="1:49">
      <c r="A4995" s="1">
        <f>HYPERLINK("https://lsnyc.legalserver.org/matter/dynamic-profile/view/1914875","19-1914875")</f>
        <v>0</v>
      </c>
      <c r="B4995" t="s">
        <v>147</v>
      </c>
      <c r="C4995" t="s">
        <v>537</v>
      </c>
      <c r="E4995" t="s">
        <v>1151</v>
      </c>
      <c r="F4995" t="s">
        <v>2002</v>
      </c>
      <c r="G4995" t="s">
        <v>10106</v>
      </c>
      <c r="H4995">
        <v>502</v>
      </c>
      <c r="I4995" t="s">
        <v>11395</v>
      </c>
      <c r="J4995">
        <v>11373</v>
      </c>
      <c r="K4995" t="s">
        <v>11446</v>
      </c>
      <c r="L4995" t="s">
        <v>14481</v>
      </c>
      <c r="M4995" t="s">
        <v>14744</v>
      </c>
      <c r="N4995" t="s">
        <v>14781</v>
      </c>
      <c r="P4995" t="s">
        <v>14807</v>
      </c>
      <c r="Q4995" t="s">
        <v>11448</v>
      </c>
      <c r="S4995" t="s">
        <v>14827</v>
      </c>
      <c r="U4995" t="s">
        <v>537</v>
      </c>
      <c r="V4995">
        <v>1078</v>
      </c>
      <c r="W4995" t="s">
        <v>14861</v>
      </c>
      <c r="X4995" t="s">
        <v>14865</v>
      </c>
      <c r="Z4995" t="s">
        <v>15871</v>
      </c>
      <c r="AB4995" t="s">
        <v>24206</v>
      </c>
      <c r="AC4995">
        <v>48</v>
      </c>
      <c r="AD4995" t="s">
        <v>11479</v>
      </c>
      <c r="AE4995" t="s">
        <v>11459</v>
      </c>
      <c r="AF4995">
        <v>28</v>
      </c>
      <c r="AG4995">
        <v>1</v>
      </c>
      <c r="AH4995">
        <v>0</v>
      </c>
      <c r="AI4995">
        <v>203.75</v>
      </c>
      <c r="AL4995" t="s">
        <v>24632</v>
      </c>
      <c r="AM4995">
        <v>25448</v>
      </c>
      <c r="AS4995">
        <v>1</v>
      </c>
      <c r="AT4995" t="s">
        <v>537</v>
      </c>
      <c r="AU4995" t="s">
        <v>292</v>
      </c>
      <c r="AV4995" t="s">
        <v>25335</v>
      </c>
      <c r="AW4995" t="s">
        <v>11447</v>
      </c>
    </row>
    <row r="4996" spans="1:49">
      <c r="A4996" s="1">
        <f>HYPERLINK("https://lsnyc.legalserver.org/matter/dynamic-profile/view/1914968","19-1914968")</f>
        <v>0</v>
      </c>
      <c r="B4996" t="s">
        <v>227</v>
      </c>
      <c r="C4996" t="s">
        <v>521</v>
      </c>
      <c r="E4996" t="s">
        <v>3393</v>
      </c>
      <c r="F4996" t="s">
        <v>6060</v>
      </c>
      <c r="G4996" t="s">
        <v>10107</v>
      </c>
      <c r="I4996" t="s">
        <v>11387</v>
      </c>
      <c r="J4996">
        <v>11434</v>
      </c>
      <c r="K4996" t="s">
        <v>11446</v>
      </c>
      <c r="L4996" t="s">
        <v>14482</v>
      </c>
      <c r="M4996" t="s">
        <v>14743</v>
      </c>
      <c r="N4996" t="s">
        <v>14782</v>
      </c>
      <c r="P4996" t="s">
        <v>14807</v>
      </c>
      <c r="Q4996" t="s">
        <v>11448</v>
      </c>
      <c r="S4996" t="s">
        <v>14827</v>
      </c>
      <c r="T4996" t="s">
        <v>14832</v>
      </c>
      <c r="U4996" t="s">
        <v>537</v>
      </c>
      <c r="V4996">
        <v>2000</v>
      </c>
      <c r="W4996" t="s">
        <v>14861</v>
      </c>
      <c r="X4996" t="s">
        <v>14863</v>
      </c>
      <c r="Z4996" t="s">
        <v>18983</v>
      </c>
      <c r="AB4996" t="s">
        <v>24207</v>
      </c>
      <c r="AC4996">
        <v>2</v>
      </c>
      <c r="AE4996" t="s">
        <v>24619</v>
      </c>
      <c r="AF4996">
        <v>1</v>
      </c>
      <c r="AG4996">
        <v>3</v>
      </c>
      <c r="AH4996">
        <v>1</v>
      </c>
      <c r="AI4996">
        <v>252.43</v>
      </c>
      <c r="AL4996" t="s">
        <v>5011</v>
      </c>
      <c r="AM4996">
        <v>65000</v>
      </c>
      <c r="AS4996">
        <v>1.83</v>
      </c>
      <c r="AT4996" t="s">
        <v>654</v>
      </c>
      <c r="AU4996" t="s">
        <v>25233</v>
      </c>
      <c r="AV4996" t="s">
        <v>25335</v>
      </c>
      <c r="AW4996" t="s">
        <v>11447</v>
      </c>
    </row>
    <row r="4997" spans="1:49">
      <c r="A4997" s="1">
        <f>HYPERLINK("https://lsnyc.legalserver.org/matter/dynamic-profile/view/1915089","19-1915089")</f>
        <v>0</v>
      </c>
      <c r="B4997" t="s">
        <v>291</v>
      </c>
      <c r="C4997" t="s">
        <v>521</v>
      </c>
      <c r="E4997" t="s">
        <v>1137</v>
      </c>
      <c r="F4997" t="s">
        <v>6061</v>
      </c>
      <c r="G4997" t="s">
        <v>10108</v>
      </c>
      <c r="H4997" t="s">
        <v>10817</v>
      </c>
      <c r="I4997" t="s">
        <v>11395</v>
      </c>
      <c r="J4997">
        <v>11373</v>
      </c>
      <c r="K4997" t="s">
        <v>11446</v>
      </c>
      <c r="L4997" t="s">
        <v>14483</v>
      </c>
      <c r="M4997" t="s">
        <v>14744</v>
      </c>
      <c r="N4997" t="s">
        <v>14781</v>
      </c>
      <c r="P4997" t="s">
        <v>14807</v>
      </c>
      <c r="Q4997" t="s">
        <v>11448</v>
      </c>
      <c r="S4997" t="s">
        <v>14827</v>
      </c>
      <c r="U4997" t="s">
        <v>521</v>
      </c>
      <c r="V4997">
        <v>1154.67</v>
      </c>
      <c r="W4997" t="s">
        <v>14861</v>
      </c>
      <c r="X4997" t="s">
        <v>14863</v>
      </c>
      <c r="Z4997" t="s">
        <v>18984</v>
      </c>
      <c r="AB4997" t="s">
        <v>24208</v>
      </c>
      <c r="AC4997">
        <v>20</v>
      </c>
      <c r="AE4997" t="s">
        <v>11459</v>
      </c>
      <c r="AF4997">
        <v>22</v>
      </c>
      <c r="AG4997">
        <v>1</v>
      </c>
      <c r="AH4997">
        <v>0</v>
      </c>
      <c r="AI4997">
        <v>11.53</v>
      </c>
      <c r="AL4997" t="s">
        <v>5011</v>
      </c>
      <c r="AM4997">
        <v>1440</v>
      </c>
      <c r="AS4997">
        <v>0.1</v>
      </c>
      <c r="AT4997" t="s">
        <v>509</v>
      </c>
      <c r="AU4997" t="s">
        <v>292</v>
      </c>
      <c r="AV4997" t="s">
        <v>25335</v>
      </c>
      <c r="AW4997" t="s">
        <v>11447</v>
      </c>
    </row>
    <row r="4998" spans="1:49">
      <c r="A4998" s="1">
        <f>HYPERLINK("https://lsnyc.legalserver.org/matter/dynamic-profile/view/1915083","19-1915083")</f>
        <v>0</v>
      </c>
      <c r="B4998" t="s">
        <v>291</v>
      </c>
      <c r="C4998" t="s">
        <v>521</v>
      </c>
      <c r="E4998" t="s">
        <v>2636</v>
      </c>
      <c r="F4998" t="s">
        <v>1983</v>
      </c>
      <c r="G4998" t="s">
        <v>10059</v>
      </c>
      <c r="I4998" t="s">
        <v>11387</v>
      </c>
      <c r="J4998">
        <v>11434</v>
      </c>
      <c r="K4998" t="s">
        <v>11446</v>
      </c>
      <c r="L4998" t="s">
        <v>14484</v>
      </c>
      <c r="M4998" t="s">
        <v>14744</v>
      </c>
      <c r="N4998" t="s">
        <v>14782</v>
      </c>
      <c r="P4998" t="s">
        <v>14807</v>
      </c>
      <c r="Q4998" t="s">
        <v>11448</v>
      </c>
      <c r="S4998" t="s">
        <v>14827</v>
      </c>
      <c r="U4998" t="s">
        <v>521</v>
      </c>
      <c r="V4998">
        <v>201</v>
      </c>
      <c r="W4998" t="s">
        <v>14861</v>
      </c>
      <c r="X4998" t="s">
        <v>14863</v>
      </c>
      <c r="Z4998" t="s">
        <v>17496</v>
      </c>
      <c r="AB4998" t="s">
        <v>22563</v>
      </c>
      <c r="AC4998">
        <v>0</v>
      </c>
      <c r="AD4998" t="s">
        <v>11479</v>
      </c>
      <c r="AE4998" t="s">
        <v>24610</v>
      </c>
      <c r="AF4998">
        <v>22</v>
      </c>
      <c r="AG4998">
        <v>1</v>
      </c>
      <c r="AH4998">
        <v>1</v>
      </c>
      <c r="AI4998">
        <v>59.14</v>
      </c>
      <c r="AL4998" t="s">
        <v>5011</v>
      </c>
      <c r="AM4998">
        <v>10000</v>
      </c>
      <c r="AS4998">
        <v>0.87</v>
      </c>
      <c r="AT4998" t="s">
        <v>654</v>
      </c>
      <c r="AU4998" t="s">
        <v>292</v>
      </c>
      <c r="AV4998" t="s">
        <v>25335</v>
      </c>
      <c r="AW4998" t="s">
        <v>11447</v>
      </c>
    </row>
    <row r="4999" spans="1:49">
      <c r="A4999" s="1">
        <f>HYPERLINK("https://lsnyc.legalserver.org/matter/dynamic-profile/view/1915074","19-1915074")</f>
        <v>0</v>
      </c>
      <c r="B4999" t="s">
        <v>291</v>
      </c>
      <c r="C4999" t="s">
        <v>521</v>
      </c>
      <c r="E4999" t="s">
        <v>1411</v>
      </c>
      <c r="F4999" t="s">
        <v>6062</v>
      </c>
      <c r="G4999" t="s">
        <v>10109</v>
      </c>
      <c r="H4999" t="s">
        <v>11317</v>
      </c>
      <c r="I4999" t="s">
        <v>11387</v>
      </c>
      <c r="J4999">
        <v>11433</v>
      </c>
      <c r="K4999" t="s">
        <v>11446</v>
      </c>
      <c r="L4999" t="s">
        <v>14485</v>
      </c>
      <c r="M4999" t="s">
        <v>14743</v>
      </c>
      <c r="N4999" t="s">
        <v>14782</v>
      </c>
      <c r="P4999" t="s">
        <v>14807</v>
      </c>
      <c r="Q4999" t="s">
        <v>11448</v>
      </c>
      <c r="S4999" t="s">
        <v>14827</v>
      </c>
      <c r="U4999" t="s">
        <v>521</v>
      </c>
      <c r="V4999">
        <v>800</v>
      </c>
      <c r="W4999" t="s">
        <v>14861</v>
      </c>
      <c r="X4999" t="s">
        <v>14863</v>
      </c>
      <c r="Z4999" t="s">
        <v>18985</v>
      </c>
      <c r="AB4999" t="s">
        <v>24209</v>
      </c>
      <c r="AC4999">
        <v>0</v>
      </c>
      <c r="AD4999" t="s">
        <v>11479</v>
      </c>
      <c r="AE4999" t="s">
        <v>14755</v>
      </c>
      <c r="AF4999">
        <v>1</v>
      </c>
      <c r="AG4999">
        <v>1</v>
      </c>
      <c r="AH4999">
        <v>0</v>
      </c>
      <c r="AI4999">
        <v>76.86</v>
      </c>
      <c r="AL4999" t="s">
        <v>5011</v>
      </c>
      <c r="AM4999">
        <v>9600</v>
      </c>
      <c r="AS4999">
        <v>0.9</v>
      </c>
      <c r="AT4999" t="s">
        <v>509</v>
      </c>
      <c r="AU4999" t="s">
        <v>292</v>
      </c>
      <c r="AV4999" t="s">
        <v>25335</v>
      </c>
      <c r="AW4999" t="s">
        <v>11447</v>
      </c>
    </row>
    <row r="5000" spans="1:49">
      <c r="A5000" s="1">
        <f>HYPERLINK("https://lsnyc.legalserver.org/matter/dynamic-profile/view/1915086","19-1915086")</f>
        <v>0</v>
      </c>
      <c r="B5000" t="s">
        <v>291</v>
      </c>
      <c r="C5000" t="s">
        <v>521</v>
      </c>
      <c r="E5000" t="s">
        <v>1272</v>
      </c>
      <c r="F5000" t="s">
        <v>3758</v>
      </c>
      <c r="G5000" t="s">
        <v>10110</v>
      </c>
      <c r="H5000" t="s">
        <v>10698</v>
      </c>
      <c r="I5000" t="s">
        <v>11387</v>
      </c>
      <c r="J5000">
        <v>11434</v>
      </c>
      <c r="K5000" t="s">
        <v>11446</v>
      </c>
      <c r="L5000" t="s">
        <v>14486</v>
      </c>
      <c r="M5000" t="s">
        <v>14743</v>
      </c>
      <c r="N5000" t="s">
        <v>14782</v>
      </c>
      <c r="P5000" t="s">
        <v>14807</v>
      </c>
      <c r="Q5000" t="s">
        <v>11448</v>
      </c>
      <c r="S5000" t="s">
        <v>14827</v>
      </c>
      <c r="U5000" t="s">
        <v>521</v>
      </c>
      <c r="V5000">
        <v>0</v>
      </c>
      <c r="W5000" t="s">
        <v>14861</v>
      </c>
      <c r="X5000" t="s">
        <v>14863</v>
      </c>
      <c r="Z5000" t="s">
        <v>18986</v>
      </c>
      <c r="AB5000" t="s">
        <v>24210</v>
      </c>
      <c r="AC5000">
        <v>3</v>
      </c>
      <c r="AD5000" t="s">
        <v>11479</v>
      </c>
      <c r="AE5000" t="s">
        <v>11459</v>
      </c>
      <c r="AF5000">
        <v>7</v>
      </c>
      <c r="AG5000">
        <v>3</v>
      </c>
      <c r="AH5000">
        <v>0</v>
      </c>
      <c r="AI5000">
        <v>78.76000000000001</v>
      </c>
      <c r="AL5000" t="s">
        <v>5011</v>
      </c>
      <c r="AM5000">
        <v>16800</v>
      </c>
      <c r="AS5000">
        <v>0.5</v>
      </c>
      <c r="AT5000" t="s">
        <v>521</v>
      </c>
      <c r="AU5000" t="s">
        <v>292</v>
      </c>
      <c r="AV5000" t="s">
        <v>25335</v>
      </c>
      <c r="AW5000" t="s">
        <v>11447</v>
      </c>
    </row>
    <row r="5001" spans="1:49">
      <c r="A5001" s="1">
        <f>HYPERLINK("https://lsnyc.legalserver.org/matter/dynamic-profile/view/1915069","19-1915069")</f>
        <v>0</v>
      </c>
      <c r="B5001" t="s">
        <v>147</v>
      </c>
      <c r="C5001" t="s">
        <v>521</v>
      </c>
      <c r="E5001" t="s">
        <v>3394</v>
      </c>
      <c r="F5001" t="s">
        <v>3415</v>
      </c>
      <c r="G5001" t="s">
        <v>10084</v>
      </c>
      <c r="H5001" t="s">
        <v>11318</v>
      </c>
      <c r="I5001" t="s">
        <v>11395</v>
      </c>
      <c r="J5001">
        <v>11373</v>
      </c>
      <c r="K5001" t="s">
        <v>11446</v>
      </c>
      <c r="L5001" t="s">
        <v>14487</v>
      </c>
      <c r="M5001" t="s">
        <v>14744</v>
      </c>
      <c r="N5001" t="s">
        <v>14781</v>
      </c>
      <c r="P5001" t="s">
        <v>14807</v>
      </c>
      <c r="Q5001" t="s">
        <v>11448</v>
      </c>
      <c r="S5001" t="s">
        <v>14827</v>
      </c>
      <c r="U5001" t="s">
        <v>521</v>
      </c>
      <c r="V5001">
        <v>2060</v>
      </c>
      <c r="W5001" t="s">
        <v>14861</v>
      </c>
      <c r="X5001" t="s">
        <v>14865</v>
      </c>
      <c r="Z5001" t="s">
        <v>18987</v>
      </c>
      <c r="AB5001" t="s">
        <v>24211</v>
      </c>
      <c r="AC5001">
        <v>50</v>
      </c>
      <c r="AD5001" t="s">
        <v>11479</v>
      </c>
      <c r="AE5001" t="s">
        <v>11459</v>
      </c>
      <c r="AF5001">
        <v>10</v>
      </c>
      <c r="AG5001">
        <v>2</v>
      </c>
      <c r="AH5001">
        <v>1</v>
      </c>
      <c r="AI5001">
        <v>94.7</v>
      </c>
      <c r="AL5001" t="s">
        <v>5011</v>
      </c>
      <c r="AM5001">
        <v>20200</v>
      </c>
      <c r="AS5001">
        <v>1</v>
      </c>
      <c r="AT5001" t="s">
        <v>521</v>
      </c>
      <c r="AU5001" t="s">
        <v>292</v>
      </c>
      <c r="AV5001" t="s">
        <v>25335</v>
      </c>
      <c r="AW5001" t="s">
        <v>11447</v>
      </c>
    </row>
    <row r="5002" spans="1:49">
      <c r="A5002" s="1">
        <f>HYPERLINK("https://lsnyc.legalserver.org/matter/dynamic-profile/view/1915400","19-1915400")</f>
        <v>0</v>
      </c>
      <c r="B5002" t="s">
        <v>204</v>
      </c>
      <c r="C5002" t="s">
        <v>495</v>
      </c>
      <c r="E5002" t="s">
        <v>3395</v>
      </c>
      <c r="F5002" t="s">
        <v>1648</v>
      </c>
      <c r="G5002" t="s">
        <v>10111</v>
      </c>
      <c r="H5002" t="s">
        <v>10482</v>
      </c>
      <c r="I5002" t="s">
        <v>11395</v>
      </c>
      <c r="J5002">
        <v>11373</v>
      </c>
      <c r="K5002" t="s">
        <v>11446</v>
      </c>
      <c r="L5002" t="s">
        <v>14488</v>
      </c>
      <c r="M5002" t="s">
        <v>14743</v>
      </c>
      <c r="N5002" t="s">
        <v>14782</v>
      </c>
      <c r="P5002" t="s">
        <v>14807</v>
      </c>
      <c r="Q5002" t="s">
        <v>11448</v>
      </c>
      <c r="S5002" t="s">
        <v>14827</v>
      </c>
      <c r="U5002" t="s">
        <v>495</v>
      </c>
      <c r="V5002">
        <v>1100</v>
      </c>
      <c r="W5002" t="s">
        <v>14861</v>
      </c>
      <c r="X5002" t="s">
        <v>14865</v>
      </c>
      <c r="Z5002" t="s">
        <v>18988</v>
      </c>
      <c r="AA5002" t="s">
        <v>20072</v>
      </c>
      <c r="AB5002" t="s">
        <v>24212</v>
      </c>
      <c r="AC5002">
        <v>42</v>
      </c>
      <c r="AD5002" t="s">
        <v>11479</v>
      </c>
      <c r="AE5002" t="s">
        <v>11459</v>
      </c>
      <c r="AF5002">
        <v>14</v>
      </c>
      <c r="AG5002">
        <v>2</v>
      </c>
      <c r="AH5002">
        <v>0</v>
      </c>
      <c r="AI5002">
        <v>56.77</v>
      </c>
      <c r="AL5002" t="s">
        <v>24664</v>
      </c>
      <c r="AM5002">
        <v>9600</v>
      </c>
      <c r="AS5002">
        <v>1.4</v>
      </c>
      <c r="AT5002" t="s">
        <v>495</v>
      </c>
      <c r="AU5002" t="s">
        <v>292</v>
      </c>
      <c r="AV5002" t="s">
        <v>25335</v>
      </c>
      <c r="AW5002" t="s">
        <v>11447</v>
      </c>
    </row>
    <row r="5003" spans="1:49">
      <c r="A5003" s="1">
        <f>HYPERLINK("https://lsnyc.legalserver.org/matter/dynamic-profile/view/1897277","19-1897277")</f>
        <v>0</v>
      </c>
      <c r="B5003" t="s">
        <v>293</v>
      </c>
      <c r="C5003" t="s">
        <v>611</v>
      </c>
      <c r="E5003" t="s">
        <v>1281</v>
      </c>
      <c r="F5003" t="s">
        <v>4541</v>
      </c>
      <c r="G5003" t="s">
        <v>10112</v>
      </c>
      <c r="H5003" t="s">
        <v>10555</v>
      </c>
      <c r="I5003" t="s">
        <v>11387</v>
      </c>
      <c r="J5003">
        <v>11434</v>
      </c>
      <c r="K5003" t="s">
        <v>11446</v>
      </c>
      <c r="L5003" t="s">
        <v>14489</v>
      </c>
      <c r="M5003" t="s">
        <v>14743</v>
      </c>
      <c r="N5003" t="s">
        <v>14781</v>
      </c>
      <c r="P5003" t="s">
        <v>14807</v>
      </c>
      <c r="Q5003" t="s">
        <v>11448</v>
      </c>
      <c r="S5003" t="s">
        <v>14827</v>
      </c>
      <c r="T5003" t="s">
        <v>14832</v>
      </c>
      <c r="V5003">
        <v>1268</v>
      </c>
      <c r="W5003" t="s">
        <v>14861</v>
      </c>
      <c r="X5003" t="s">
        <v>14863</v>
      </c>
      <c r="Z5003" t="s">
        <v>18989</v>
      </c>
      <c r="AB5003" t="s">
        <v>24213</v>
      </c>
      <c r="AC5003">
        <v>85</v>
      </c>
      <c r="AD5003" t="s">
        <v>24595</v>
      </c>
      <c r="AE5003" t="s">
        <v>24615</v>
      </c>
      <c r="AF5003">
        <v>1</v>
      </c>
      <c r="AG5003">
        <v>1</v>
      </c>
      <c r="AH5003">
        <v>1</v>
      </c>
      <c r="AI5003">
        <v>0</v>
      </c>
      <c r="AL5003" t="s">
        <v>5011</v>
      </c>
      <c r="AM5003">
        <v>0</v>
      </c>
      <c r="AS5003">
        <v>20</v>
      </c>
      <c r="AT5003" t="s">
        <v>580</v>
      </c>
      <c r="AU5003" t="s">
        <v>202</v>
      </c>
      <c r="AW5003" t="s">
        <v>11446</v>
      </c>
    </row>
    <row r="5004" spans="1:49">
      <c r="A5004" s="1">
        <f>HYPERLINK("https://lsnyc.legalserver.org/matter/dynamic-profile/view/1902224","19-1902224")</f>
        <v>0</v>
      </c>
      <c r="B5004" t="s">
        <v>122</v>
      </c>
      <c r="C5004" t="s">
        <v>538</v>
      </c>
      <c r="E5004" t="s">
        <v>1906</v>
      </c>
      <c r="F5004" t="s">
        <v>5292</v>
      </c>
      <c r="G5004" t="s">
        <v>10113</v>
      </c>
      <c r="H5004" t="s">
        <v>10501</v>
      </c>
      <c r="I5004" t="s">
        <v>11387</v>
      </c>
      <c r="J5004">
        <v>11434</v>
      </c>
      <c r="K5004" t="s">
        <v>11446</v>
      </c>
      <c r="L5004" t="s">
        <v>14490</v>
      </c>
      <c r="M5004" t="s">
        <v>14743</v>
      </c>
      <c r="N5004" t="s">
        <v>14781</v>
      </c>
      <c r="P5004" t="s">
        <v>14807</v>
      </c>
      <c r="Q5004" t="s">
        <v>11446</v>
      </c>
      <c r="S5004" t="s">
        <v>14827</v>
      </c>
      <c r="T5004" t="s">
        <v>14832</v>
      </c>
      <c r="V5004">
        <v>0</v>
      </c>
      <c r="W5004" t="s">
        <v>14861</v>
      </c>
      <c r="X5004" t="s">
        <v>14863</v>
      </c>
      <c r="Z5004" t="s">
        <v>18990</v>
      </c>
      <c r="AA5004" t="s">
        <v>11459</v>
      </c>
      <c r="AB5004" t="s">
        <v>24214</v>
      </c>
      <c r="AC5004">
        <v>1</v>
      </c>
      <c r="AD5004" t="s">
        <v>24600</v>
      </c>
      <c r="AE5004" t="s">
        <v>11459</v>
      </c>
      <c r="AF5004">
        <v>48</v>
      </c>
      <c r="AG5004">
        <v>3</v>
      </c>
      <c r="AH5004">
        <v>0</v>
      </c>
      <c r="AI5004">
        <v>0</v>
      </c>
      <c r="AL5004" t="s">
        <v>5011</v>
      </c>
      <c r="AM5004">
        <v>0</v>
      </c>
      <c r="AS5004">
        <v>29.83</v>
      </c>
      <c r="AT5004" t="s">
        <v>460</v>
      </c>
      <c r="AU5004" t="s">
        <v>25233</v>
      </c>
      <c r="AV5004" t="s">
        <v>25335</v>
      </c>
      <c r="AW5004" t="s">
        <v>11447</v>
      </c>
    </row>
    <row r="5005" spans="1:49">
      <c r="A5005" s="1">
        <f>HYPERLINK("https://lsnyc.legalserver.org/matter/dynamic-profile/view/1908473","19-1908473")</f>
        <v>0</v>
      </c>
      <c r="B5005" t="s">
        <v>227</v>
      </c>
      <c r="C5005" t="s">
        <v>466</v>
      </c>
      <c r="E5005" t="s">
        <v>2724</v>
      </c>
      <c r="F5005" t="s">
        <v>1903</v>
      </c>
      <c r="G5005" t="s">
        <v>10114</v>
      </c>
      <c r="H5005">
        <v>1</v>
      </c>
      <c r="I5005" t="s">
        <v>11387</v>
      </c>
      <c r="J5005">
        <v>11434</v>
      </c>
      <c r="K5005" t="s">
        <v>11446</v>
      </c>
      <c r="L5005" t="s">
        <v>14491</v>
      </c>
      <c r="M5005" t="s">
        <v>14743</v>
      </c>
      <c r="N5005" t="s">
        <v>14778</v>
      </c>
      <c r="P5005" t="s">
        <v>14807</v>
      </c>
      <c r="Q5005" t="s">
        <v>11448</v>
      </c>
      <c r="S5005" t="s">
        <v>14827</v>
      </c>
      <c r="V5005">
        <v>800</v>
      </c>
      <c r="W5005" t="s">
        <v>14861</v>
      </c>
      <c r="X5005" t="s">
        <v>14863</v>
      </c>
      <c r="Z5005" t="s">
        <v>18991</v>
      </c>
      <c r="AC5005">
        <v>8</v>
      </c>
      <c r="AE5005" t="s">
        <v>24610</v>
      </c>
      <c r="AF5005">
        <v>2</v>
      </c>
      <c r="AG5005">
        <v>1</v>
      </c>
      <c r="AH5005">
        <v>0</v>
      </c>
      <c r="AI5005">
        <v>0</v>
      </c>
      <c r="AL5005" t="s">
        <v>5011</v>
      </c>
      <c r="AM5005">
        <v>0</v>
      </c>
      <c r="AS5005">
        <v>4.01</v>
      </c>
      <c r="AT5005" t="s">
        <v>508</v>
      </c>
      <c r="AU5005" t="s">
        <v>25233</v>
      </c>
      <c r="AV5005" t="s">
        <v>25335</v>
      </c>
      <c r="AW5005" t="s">
        <v>11447</v>
      </c>
    </row>
    <row r="5006" spans="1:49">
      <c r="A5006" s="1">
        <f>HYPERLINK("https://lsnyc.legalserver.org/matter/dynamic-profile/view/1913898","19-1913898")</f>
        <v>0</v>
      </c>
      <c r="B5006" t="s">
        <v>74</v>
      </c>
      <c r="C5006" t="s">
        <v>533</v>
      </c>
      <c r="E5006" t="s">
        <v>1391</v>
      </c>
      <c r="F5006" t="s">
        <v>5355</v>
      </c>
      <c r="G5006" t="s">
        <v>10115</v>
      </c>
      <c r="H5006" t="s">
        <v>10498</v>
      </c>
      <c r="I5006" t="s">
        <v>11387</v>
      </c>
      <c r="J5006">
        <v>11434</v>
      </c>
      <c r="K5006" t="s">
        <v>11446</v>
      </c>
      <c r="L5006" t="s">
        <v>14492</v>
      </c>
      <c r="M5006" t="s">
        <v>14743</v>
      </c>
      <c r="N5006" t="s">
        <v>14782</v>
      </c>
      <c r="P5006" t="s">
        <v>14807</v>
      </c>
      <c r="Q5006" t="s">
        <v>11448</v>
      </c>
      <c r="S5006" t="s">
        <v>14828</v>
      </c>
      <c r="V5006">
        <v>501</v>
      </c>
      <c r="W5006" t="s">
        <v>14861</v>
      </c>
      <c r="X5006" t="s">
        <v>14865</v>
      </c>
      <c r="Z5006" t="s">
        <v>18992</v>
      </c>
      <c r="AA5006" t="s">
        <v>20073</v>
      </c>
      <c r="AB5006" t="s">
        <v>24215</v>
      </c>
      <c r="AC5006">
        <v>0</v>
      </c>
      <c r="AD5006" t="s">
        <v>24602</v>
      </c>
      <c r="AE5006" t="s">
        <v>11459</v>
      </c>
      <c r="AF5006">
        <v>3</v>
      </c>
      <c r="AG5006">
        <v>1</v>
      </c>
      <c r="AH5006">
        <v>0</v>
      </c>
      <c r="AI5006">
        <v>0</v>
      </c>
      <c r="AL5006" t="s">
        <v>5011</v>
      </c>
      <c r="AM5006">
        <v>0</v>
      </c>
      <c r="AS5006">
        <v>0.33</v>
      </c>
      <c r="AT5006" t="s">
        <v>533</v>
      </c>
      <c r="AU5006" t="s">
        <v>25233</v>
      </c>
      <c r="AV5006" t="s">
        <v>25335</v>
      </c>
      <c r="AW5006" t="s">
        <v>11447</v>
      </c>
    </row>
    <row r="5007" spans="1:49">
      <c r="A5007" s="1">
        <f>HYPERLINK("https://lsnyc.legalserver.org/matter/dynamic-profile/view/1914981","19-1914981")</f>
        <v>0</v>
      </c>
      <c r="B5007" t="s">
        <v>124</v>
      </c>
      <c r="C5007" t="s">
        <v>521</v>
      </c>
      <c r="E5007" t="s">
        <v>1084</v>
      </c>
      <c r="F5007" t="s">
        <v>3580</v>
      </c>
      <c r="G5007" t="s">
        <v>10059</v>
      </c>
      <c r="H5007" t="s">
        <v>11319</v>
      </c>
      <c r="I5007" t="s">
        <v>11387</v>
      </c>
      <c r="J5007">
        <v>11434</v>
      </c>
      <c r="K5007" t="s">
        <v>11446</v>
      </c>
      <c r="L5007" t="s">
        <v>14493</v>
      </c>
      <c r="M5007" t="s">
        <v>14743</v>
      </c>
      <c r="N5007" t="s">
        <v>14782</v>
      </c>
      <c r="P5007" t="s">
        <v>14807</v>
      </c>
      <c r="Q5007" t="s">
        <v>11448</v>
      </c>
      <c r="S5007" t="s">
        <v>14827</v>
      </c>
      <c r="V5007">
        <v>1541</v>
      </c>
      <c r="W5007" t="s">
        <v>14861</v>
      </c>
      <c r="X5007" t="s">
        <v>14863</v>
      </c>
      <c r="Z5007" t="s">
        <v>18993</v>
      </c>
      <c r="AB5007" t="s">
        <v>24216</v>
      </c>
      <c r="AC5007">
        <v>0</v>
      </c>
      <c r="AD5007" t="s">
        <v>24605</v>
      </c>
      <c r="AE5007" t="s">
        <v>11459</v>
      </c>
      <c r="AF5007">
        <v>28</v>
      </c>
      <c r="AG5007">
        <v>1</v>
      </c>
      <c r="AH5007">
        <v>0</v>
      </c>
      <c r="AI5007">
        <v>0</v>
      </c>
      <c r="AL5007" t="s">
        <v>24652</v>
      </c>
      <c r="AM5007">
        <v>0</v>
      </c>
      <c r="AS5007">
        <v>0.25</v>
      </c>
      <c r="AT5007" t="s">
        <v>521</v>
      </c>
      <c r="AU5007" t="s">
        <v>25233</v>
      </c>
      <c r="AV5007" t="s">
        <v>25335</v>
      </c>
      <c r="AW5007" t="s">
        <v>11447</v>
      </c>
    </row>
    <row r="5008" spans="1:49">
      <c r="A5008" s="1">
        <f>HYPERLINK("https://lsnyc.legalserver.org/matter/dynamic-profile/view/1914988","19-1914988")</f>
        <v>0</v>
      </c>
      <c r="B5008" t="s">
        <v>124</v>
      </c>
      <c r="C5008" t="s">
        <v>521</v>
      </c>
      <c r="E5008" t="s">
        <v>3396</v>
      </c>
      <c r="F5008" t="s">
        <v>6063</v>
      </c>
      <c r="G5008" t="s">
        <v>10116</v>
      </c>
      <c r="I5008" t="s">
        <v>11387</v>
      </c>
      <c r="J5008">
        <v>11434</v>
      </c>
      <c r="K5008" t="s">
        <v>11446</v>
      </c>
      <c r="L5008" t="s">
        <v>14494</v>
      </c>
      <c r="M5008" t="s">
        <v>14743</v>
      </c>
      <c r="N5008" t="s">
        <v>14782</v>
      </c>
      <c r="P5008" t="s">
        <v>14807</v>
      </c>
      <c r="Q5008" t="s">
        <v>11448</v>
      </c>
      <c r="S5008" t="s">
        <v>14827</v>
      </c>
      <c r="V5008">
        <v>0</v>
      </c>
      <c r="W5008" t="s">
        <v>14861</v>
      </c>
      <c r="X5008" t="s">
        <v>14863</v>
      </c>
      <c r="Z5008" t="s">
        <v>18994</v>
      </c>
      <c r="AA5008">
        <v>3593447</v>
      </c>
      <c r="AB5008" t="s">
        <v>24217</v>
      </c>
      <c r="AC5008">
        <v>0</v>
      </c>
      <c r="AD5008" t="s">
        <v>24600</v>
      </c>
      <c r="AE5008" t="s">
        <v>11459</v>
      </c>
      <c r="AF5008">
        <v>1</v>
      </c>
      <c r="AG5008">
        <v>1</v>
      </c>
      <c r="AH5008">
        <v>1</v>
      </c>
      <c r="AI5008">
        <v>0</v>
      </c>
      <c r="AL5008" t="s">
        <v>5011</v>
      </c>
      <c r="AM5008">
        <v>0</v>
      </c>
      <c r="AS5008">
        <v>0.25</v>
      </c>
      <c r="AT5008" t="s">
        <v>521</v>
      </c>
      <c r="AU5008" t="s">
        <v>25233</v>
      </c>
      <c r="AV5008" t="s">
        <v>25335</v>
      </c>
      <c r="AW5008" t="s">
        <v>11447</v>
      </c>
    </row>
    <row r="5009" spans="1:49">
      <c r="A5009" s="1">
        <f>HYPERLINK("https://lsnyc.legalserver.org/matter/dynamic-profile/view/1901735","19-1901735")</f>
        <v>0</v>
      </c>
      <c r="B5009" t="s">
        <v>138</v>
      </c>
      <c r="C5009" t="s">
        <v>487</v>
      </c>
      <c r="E5009" t="s">
        <v>3397</v>
      </c>
      <c r="F5009" t="s">
        <v>6064</v>
      </c>
      <c r="G5009" t="s">
        <v>10117</v>
      </c>
      <c r="H5009" t="s">
        <v>10790</v>
      </c>
      <c r="I5009" t="s">
        <v>11387</v>
      </c>
      <c r="J5009">
        <v>11434</v>
      </c>
      <c r="K5009" t="s">
        <v>11446</v>
      </c>
      <c r="L5009" t="s">
        <v>14495</v>
      </c>
      <c r="M5009" t="s">
        <v>14744</v>
      </c>
      <c r="N5009" t="s">
        <v>14781</v>
      </c>
      <c r="P5009" t="s">
        <v>14807</v>
      </c>
      <c r="Q5009" t="s">
        <v>11446</v>
      </c>
      <c r="S5009" t="s">
        <v>14827</v>
      </c>
      <c r="T5009" t="s">
        <v>14832</v>
      </c>
      <c r="V5009">
        <v>743</v>
      </c>
      <c r="W5009" t="s">
        <v>14861</v>
      </c>
      <c r="X5009" t="s">
        <v>14868</v>
      </c>
      <c r="Z5009" t="s">
        <v>18995</v>
      </c>
      <c r="AA5009" t="s">
        <v>11459</v>
      </c>
      <c r="AB5009" t="s">
        <v>24218</v>
      </c>
      <c r="AC5009">
        <v>5860</v>
      </c>
      <c r="AD5009" t="s">
        <v>11479</v>
      </c>
      <c r="AE5009" t="s">
        <v>11459</v>
      </c>
      <c r="AF5009">
        <v>14</v>
      </c>
      <c r="AG5009">
        <v>1</v>
      </c>
      <c r="AH5009">
        <v>0</v>
      </c>
      <c r="AI5009">
        <v>0</v>
      </c>
      <c r="AL5009" t="s">
        <v>5011</v>
      </c>
      <c r="AM5009">
        <v>0</v>
      </c>
      <c r="AO5009" t="s">
        <v>24937</v>
      </c>
      <c r="AP5009" t="s">
        <v>24942</v>
      </c>
      <c r="AQ5009" t="s">
        <v>24986</v>
      </c>
      <c r="AR5009" t="s">
        <v>25109</v>
      </c>
      <c r="AS5009">
        <v>10.35</v>
      </c>
      <c r="AT5009" t="s">
        <v>620</v>
      </c>
      <c r="AU5009" t="s">
        <v>25233</v>
      </c>
      <c r="AV5009" t="s">
        <v>25335</v>
      </c>
      <c r="AW5009" t="s">
        <v>11447</v>
      </c>
    </row>
    <row r="5010" spans="1:49">
      <c r="A5010" s="1">
        <f>HYPERLINK("https://lsnyc.legalserver.org/matter/dynamic-profile/view/1864967","18-1864967")</f>
        <v>0</v>
      </c>
      <c r="B5010" t="s">
        <v>179</v>
      </c>
      <c r="C5010" t="s">
        <v>809</v>
      </c>
      <c r="E5010" t="s">
        <v>2892</v>
      </c>
      <c r="F5010" t="s">
        <v>5790</v>
      </c>
      <c r="G5010" t="s">
        <v>10118</v>
      </c>
      <c r="H5010" t="s">
        <v>11320</v>
      </c>
      <c r="I5010" t="s">
        <v>11387</v>
      </c>
      <c r="J5010">
        <v>11433</v>
      </c>
      <c r="K5010" t="s">
        <v>11446</v>
      </c>
      <c r="L5010" t="s">
        <v>14496</v>
      </c>
      <c r="M5010" t="s">
        <v>14743</v>
      </c>
      <c r="N5010" t="s">
        <v>14781</v>
      </c>
      <c r="P5010" t="s">
        <v>14807</v>
      </c>
      <c r="Q5010" t="s">
        <v>11448</v>
      </c>
      <c r="S5010" t="s">
        <v>14827</v>
      </c>
      <c r="V5010">
        <v>0</v>
      </c>
      <c r="W5010" t="s">
        <v>14861</v>
      </c>
      <c r="X5010" t="s">
        <v>14874</v>
      </c>
      <c r="Z5010" t="s">
        <v>18996</v>
      </c>
      <c r="AA5010" t="s">
        <v>11465</v>
      </c>
      <c r="AB5010" t="s">
        <v>24219</v>
      </c>
      <c r="AC5010">
        <v>3</v>
      </c>
      <c r="AD5010" t="s">
        <v>24600</v>
      </c>
      <c r="AE5010" t="s">
        <v>11459</v>
      </c>
      <c r="AF5010">
        <v>-1</v>
      </c>
      <c r="AG5010">
        <v>3</v>
      </c>
      <c r="AH5010">
        <v>1</v>
      </c>
      <c r="AI5010">
        <v>0</v>
      </c>
      <c r="AL5010" t="s">
        <v>5011</v>
      </c>
      <c r="AM5010">
        <v>0</v>
      </c>
      <c r="AS5010">
        <v>16.1</v>
      </c>
      <c r="AT5010" t="s">
        <v>383</v>
      </c>
      <c r="AU5010" t="s">
        <v>83</v>
      </c>
      <c r="AW5010" t="s">
        <v>11447</v>
      </c>
    </row>
    <row r="5011" spans="1:49">
      <c r="A5011" s="1">
        <f>HYPERLINK("https://lsnyc.legalserver.org/matter/dynamic-profile/view/1902290","19-1902290")</f>
        <v>0</v>
      </c>
      <c r="B5011" t="s">
        <v>204</v>
      </c>
      <c r="C5011" t="s">
        <v>362</v>
      </c>
      <c r="E5011" t="s">
        <v>1181</v>
      </c>
      <c r="F5011" t="s">
        <v>6065</v>
      </c>
      <c r="G5011" t="s">
        <v>10119</v>
      </c>
      <c r="H5011" t="s">
        <v>10451</v>
      </c>
      <c r="I5011" t="s">
        <v>11387</v>
      </c>
      <c r="J5011">
        <v>11433</v>
      </c>
      <c r="K5011" t="s">
        <v>11446</v>
      </c>
      <c r="L5011" t="s">
        <v>14497</v>
      </c>
      <c r="M5011" t="s">
        <v>14744</v>
      </c>
      <c r="N5011" t="s">
        <v>14782</v>
      </c>
      <c r="P5011" t="s">
        <v>14807</v>
      </c>
      <c r="S5011" t="s">
        <v>14827</v>
      </c>
      <c r="V5011">
        <v>250</v>
      </c>
      <c r="W5011" t="s">
        <v>14861</v>
      </c>
      <c r="Z5011" t="s">
        <v>16268</v>
      </c>
      <c r="AB5011" t="s">
        <v>24220</v>
      </c>
      <c r="AC5011">
        <v>56</v>
      </c>
      <c r="AD5011" t="s">
        <v>24597</v>
      </c>
      <c r="AF5011">
        <v>4</v>
      </c>
      <c r="AG5011">
        <v>1</v>
      </c>
      <c r="AH5011">
        <v>0</v>
      </c>
      <c r="AI5011">
        <v>0</v>
      </c>
      <c r="AL5011" t="s">
        <v>5011</v>
      </c>
      <c r="AM5011">
        <v>0</v>
      </c>
      <c r="AS5011">
        <v>4.5</v>
      </c>
      <c r="AT5011" t="s">
        <v>465</v>
      </c>
      <c r="AU5011" t="s">
        <v>25227</v>
      </c>
      <c r="AW5011" t="s">
        <v>11447</v>
      </c>
    </row>
    <row r="5012" spans="1:49">
      <c r="A5012" s="1">
        <f>HYPERLINK("https://lsnyc.legalserver.org/matter/dynamic-profile/view/1902357","19-1902357")</f>
        <v>0</v>
      </c>
      <c r="B5012" t="s">
        <v>138</v>
      </c>
      <c r="C5012" t="s">
        <v>362</v>
      </c>
      <c r="E5012" t="s">
        <v>2505</v>
      </c>
      <c r="F5012" t="s">
        <v>4134</v>
      </c>
      <c r="G5012" t="s">
        <v>10120</v>
      </c>
      <c r="H5012">
        <v>3</v>
      </c>
      <c r="I5012" t="s">
        <v>11400</v>
      </c>
      <c r="J5012">
        <v>11385</v>
      </c>
      <c r="K5012" t="s">
        <v>11446</v>
      </c>
      <c r="L5012" t="s">
        <v>14498</v>
      </c>
      <c r="M5012" t="s">
        <v>14743</v>
      </c>
      <c r="N5012" t="s">
        <v>14781</v>
      </c>
      <c r="P5012" t="s">
        <v>14807</v>
      </c>
      <c r="Q5012" t="s">
        <v>11448</v>
      </c>
      <c r="S5012" t="s">
        <v>14827</v>
      </c>
      <c r="V5012">
        <v>1875</v>
      </c>
      <c r="W5012" t="s">
        <v>14861</v>
      </c>
      <c r="Z5012" t="s">
        <v>15440</v>
      </c>
      <c r="AB5012" t="s">
        <v>24221</v>
      </c>
      <c r="AC5012">
        <v>0</v>
      </c>
      <c r="AE5012" t="s">
        <v>11459</v>
      </c>
      <c r="AF5012">
        <v>4</v>
      </c>
      <c r="AG5012">
        <v>1</v>
      </c>
      <c r="AH5012">
        <v>3</v>
      </c>
      <c r="AI5012">
        <v>0</v>
      </c>
      <c r="AL5012" t="s">
        <v>5011</v>
      </c>
      <c r="AM5012">
        <v>0</v>
      </c>
      <c r="AS5012">
        <v>0.53</v>
      </c>
      <c r="AT5012" t="s">
        <v>456</v>
      </c>
      <c r="AU5012" t="s">
        <v>25233</v>
      </c>
      <c r="AV5012" t="s">
        <v>25335</v>
      </c>
      <c r="AW5012" t="s">
        <v>11447</v>
      </c>
    </row>
    <row r="5013" spans="1:49">
      <c r="A5013" s="1">
        <f>HYPERLINK("https://lsnyc.legalserver.org/matter/dynamic-profile/view/1906987","19-1906987")</f>
        <v>0</v>
      </c>
      <c r="B5013" t="s">
        <v>122</v>
      </c>
      <c r="C5013" t="s">
        <v>354</v>
      </c>
      <c r="E5013" t="s">
        <v>1245</v>
      </c>
      <c r="F5013" t="s">
        <v>3627</v>
      </c>
      <c r="G5013" t="s">
        <v>10121</v>
      </c>
      <c r="H5013" t="s">
        <v>10848</v>
      </c>
      <c r="I5013" t="s">
        <v>11388</v>
      </c>
      <c r="J5013">
        <v>11385</v>
      </c>
      <c r="K5013" t="s">
        <v>11446</v>
      </c>
      <c r="L5013" t="s">
        <v>14499</v>
      </c>
      <c r="M5013" t="s">
        <v>14743</v>
      </c>
      <c r="N5013" t="s">
        <v>14781</v>
      </c>
      <c r="P5013" t="s">
        <v>14807</v>
      </c>
      <c r="Q5013" t="s">
        <v>11448</v>
      </c>
      <c r="S5013" t="s">
        <v>14827</v>
      </c>
      <c r="T5013" t="s">
        <v>14832</v>
      </c>
      <c r="V5013">
        <v>1200</v>
      </c>
      <c r="W5013" t="s">
        <v>14861</v>
      </c>
      <c r="X5013" t="s">
        <v>14865</v>
      </c>
      <c r="Z5013" t="s">
        <v>18997</v>
      </c>
      <c r="AB5013" t="s">
        <v>24222</v>
      </c>
      <c r="AC5013">
        <v>3</v>
      </c>
      <c r="AD5013" t="s">
        <v>24600</v>
      </c>
      <c r="AF5013">
        <v>1</v>
      </c>
      <c r="AG5013">
        <v>1</v>
      </c>
      <c r="AH5013">
        <v>0</v>
      </c>
      <c r="AI5013">
        <v>0</v>
      </c>
      <c r="AM5013">
        <v>0</v>
      </c>
      <c r="AS5013">
        <v>26.2</v>
      </c>
      <c r="AT5013" t="s">
        <v>526</v>
      </c>
      <c r="AU5013" t="s">
        <v>99</v>
      </c>
      <c r="AV5013" t="s">
        <v>25335</v>
      </c>
      <c r="AW5013" t="s">
        <v>11447</v>
      </c>
    </row>
    <row r="5014" spans="1:49">
      <c r="A5014" s="1">
        <f>HYPERLINK("https://lsnyc.legalserver.org/matter/dynamic-profile/view/1913122","19-1913122")</f>
        <v>0</v>
      </c>
      <c r="B5014" t="s">
        <v>225</v>
      </c>
      <c r="C5014" t="s">
        <v>571</v>
      </c>
      <c r="E5014" t="s">
        <v>1361</v>
      </c>
      <c r="F5014" t="s">
        <v>3761</v>
      </c>
      <c r="G5014" t="s">
        <v>10122</v>
      </c>
      <c r="H5014" t="s">
        <v>10486</v>
      </c>
      <c r="I5014" t="s">
        <v>11400</v>
      </c>
      <c r="J5014">
        <v>11385</v>
      </c>
      <c r="K5014" t="s">
        <v>11446</v>
      </c>
      <c r="L5014" t="s">
        <v>14500</v>
      </c>
      <c r="M5014" t="s">
        <v>14744</v>
      </c>
      <c r="N5014" t="s">
        <v>14781</v>
      </c>
      <c r="P5014" t="s">
        <v>14807</v>
      </c>
      <c r="Q5014" t="s">
        <v>11448</v>
      </c>
      <c r="S5014" t="s">
        <v>14827</v>
      </c>
      <c r="V5014">
        <v>1850</v>
      </c>
      <c r="W5014" t="s">
        <v>14861</v>
      </c>
      <c r="X5014" t="s">
        <v>14863</v>
      </c>
      <c r="Z5014" t="s">
        <v>18998</v>
      </c>
      <c r="AB5014" t="s">
        <v>24223</v>
      </c>
      <c r="AC5014">
        <v>2</v>
      </c>
      <c r="AD5014" t="s">
        <v>11479</v>
      </c>
      <c r="AE5014" t="s">
        <v>11459</v>
      </c>
      <c r="AF5014">
        <v>1</v>
      </c>
      <c r="AG5014">
        <v>1</v>
      </c>
      <c r="AH5014">
        <v>0</v>
      </c>
      <c r="AI5014">
        <v>0</v>
      </c>
      <c r="AL5014" t="s">
        <v>5011</v>
      </c>
      <c r="AM5014">
        <v>0</v>
      </c>
      <c r="AS5014">
        <v>9.369999999999999</v>
      </c>
      <c r="AT5014" t="s">
        <v>495</v>
      </c>
      <c r="AU5014" t="s">
        <v>25233</v>
      </c>
      <c r="AV5014" t="s">
        <v>25335</v>
      </c>
      <c r="AW5014" t="s">
        <v>11447</v>
      </c>
    </row>
    <row r="5015" spans="1:49">
      <c r="A5015" s="1">
        <f>HYPERLINK("https://lsnyc.legalserver.org/matter/dynamic-profile/view/1907483","19-1907483")</f>
        <v>0</v>
      </c>
      <c r="B5015" t="s">
        <v>138</v>
      </c>
      <c r="C5015" t="s">
        <v>465</v>
      </c>
      <c r="E5015" t="s">
        <v>2356</v>
      </c>
      <c r="F5015" t="s">
        <v>3561</v>
      </c>
      <c r="G5015" t="s">
        <v>10123</v>
      </c>
      <c r="I5015" t="s">
        <v>11395</v>
      </c>
      <c r="J5015">
        <v>11373</v>
      </c>
      <c r="K5015" t="s">
        <v>11447</v>
      </c>
      <c r="L5015" t="s">
        <v>14501</v>
      </c>
      <c r="M5015" t="s">
        <v>14743</v>
      </c>
      <c r="N5015" t="s">
        <v>14778</v>
      </c>
      <c r="P5015" t="s">
        <v>14807</v>
      </c>
      <c r="S5015" t="s">
        <v>14827</v>
      </c>
      <c r="V5015">
        <v>1000</v>
      </c>
      <c r="W5015" t="s">
        <v>14861</v>
      </c>
      <c r="X5015" t="s">
        <v>14871</v>
      </c>
      <c r="Z5015" t="s">
        <v>18999</v>
      </c>
      <c r="AB5015" t="s">
        <v>24224</v>
      </c>
      <c r="AC5015">
        <v>0</v>
      </c>
      <c r="AF5015">
        <v>3</v>
      </c>
      <c r="AG5015">
        <v>1</v>
      </c>
      <c r="AH5015">
        <v>0</v>
      </c>
      <c r="AI5015">
        <v>0</v>
      </c>
      <c r="AL5015" t="s">
        <v>24632</v>
      </c>
      <c r="AM5015">
        <v>0</v>
      </c>
      <c r="AS5015">
        <v>12.2</v>
      </c>
      <c r="AT5015" t="s">
        <v>526</v>
      </c>
      <c r="AU5015" t="s">
        <v>99</v>
      </c>
      <c r="AW5015" t="s">
        <v>11447</v>
      </c>
    </row>
    <row r="5016" spans="1:49">
      <c r="A5016" s="1">
        <f>HYPERLINK("https://lsnyc.legalserver.org/matter/dynamic-profile/view/1915096","19-1915096")</f>
        <v>0</v>
      </c>
      <c r="B5016" t="s">
        <v>167</v>
      </c>
      <c r="C5016" t="s">
        <v>521</v>
      </c>
      <c r="E5016" t="s">
        <v>2155</v>
      </c>
      <c r="F5016" t="s">
        <v>3696</v>
      </c>
      <c r="G5016" t="s">
        <v>10124</v>
      </c>
      <c r="H5016" t="s">
        <v>10559</v>
      </c>
      <c r="I5016" t="s">
        <v>11395</v>
      </c>
      <c r="J5016">
        <v>11373</v>
      </c>
      <c r="K5016" t="s">
        <v>11446</v>
      </c>
      <c r="L5016" t="s">
        <v>14502</v>
      </c>
      <c r="M5016" t="s">
        <v>14743</v>
      </c>
      <c r="N5016" t="s">
        <v>14782</v>
      </c>
      <c r="P5016" t="s">
        <v>14807</v>
      </c>
      <c r="Q5016" t="s">
        <v>11448</v>
      </c>
      <c r="S5016" t="s">
        <v>14827</v>
      </c>
      <c r="V5016">
        <v>1650</v>
      </c>
      <c r="W5016" t="s">
        <v>14861</v>
      </c>
      <c r="X5016" t="s">
        <v>14865</v>
      </c>
      <c r="Z5016" t="s">
        <v>19000</v>
      </c>
      <c r="AC5016">
        <v>21</v>
      </c>
      <c r="AD5016" t="s">
        <v>11479</v>
      </c>
      <c r="AE5016" t="s">
        <v>11459</v>
      </c>
      <c r="AF5016">
        <v>9</v>
      </c>
      <c r="AG5016">
        <v>2</v>
      </c>
      <c r="AH5016">
        <v>0</v>
      </c>
      <c r="AI5016">
        <v>0</v>
      </c>
      <c r="AL5016" t="s">
        <v>5011</v>
      </c>
      <c r="AM5016">
        <v>0</v>
      </c>
      <c r="AS5016">
        <v>1.08</v>
      </c>
      <c r="AT5016" t="s">
        <v>521</v>
      </c>
      <c r="AU5016" t="s">
        <v>25233</v>
      </c>
      <c r="AV5016" t="s">
        <v>25335</v>
      </c>
      <c r="AW5016" t="s">
        <v>11447</v>
      </c>
    </row>
    <row r="5017" spans="1:49">
      <c r="A5017" s="1">
        <f>HYPERLINK("https://lsnyc.legalserver.org/matter/dynamic-profile/view/1913584","19-1913584")</f>
        <v>0</v>
      </c>
      <c r="B5017" t="s">
        <v>294</v>
      </c>
      <c r="C5017" t="s">
        <v>477</v>
      </c>
      <c r="E5017" t="s">
        <v>1918</v>
      </c>
      <c r="F5017" t="s">
        <v>4996</v>
      </c>
      <c r="G5017" t="s">
        <v>10108</v>
      </c>
      <c r="H5017" t="s">
        <v>10461</v>
      </c>
      <c r="I5017" t="s">
        <v>11395</v>
      </c>
      <c r="J5017">
        <v>11373</v>
      </c>
      <c r="K5017" t="s">
        <v>11446</v>
      </c>
      <c r="L5017" t="s">
        <v>14503</v>
      </c>
      <c r="M5017" t="s">
        <v>14744</v>
      </c>
      <c r="N5017" t="s">
        <v>14781</v>
      </c>
      <c r="P5017" t="s">
        <v>14807</v>
      </c>
      <c r="Q5017" t="s">
        <v>11448</v>
      </c>
      <c r="S5017" t="s">
        <v>14827</v>
      </c>
      <c r="V5017">
        <v>1140.01</v>
      </c>
      <c r="W5017" t="s">
        <v>14861</v>
      </c>
      <c r="X5017" t="s">
        <v>14863</v>
      </c>
      <c r="Z5017" t="s">
        <v>19001</v>
      </c>
      <c r="AB5017" t="s">
        <v>24225</v>
      </c>
      <c r="AC5017">
        <v>25</v>
      </c>
      <c r="AD5017" t="s">
        <v>24595</v>
      </c>
      <c r="AE5017" t="s">
        <v>11459</v>
      </c>
      <c r="AF5017">
        <v>34</v>
      </c>
      <c r="AG5017">
        <v>1</v>
      </c>
      <c r="AH5017">
        <v>1</v>
      </c>
      <c r="AI5017">
        <v>0</v>
      </c>
      <c r="AL5017" t="s">
        <v>5011</v>
      </c>
      <c r="AM5017">
        <v>0</v>
      </c>
      <c r="AS5017">
        <v>2.93</v>
      </c>
      <c r="AT5017" t="s">
        <v>491</v>
      </c>
      <c r="AU5017" t="s">
        <v>25233</v>
      </c>
      <c r="AV5017" t="s">
        <v>25335</v>
      </c>
      <c r="AW5017" t="s">
        <v>11447</v>
      </c>
    </row>
    <row r="5018" spans="1:49">
      <c r="A5018" s="1">
        <f>HYPERLINK("https://lsnyc.legalserver.org/matter/dynamic-profile/view/1915107","19-1915107")</f>
        <v>0</v>
      </c>
      <c r="B5018" t="s">
        <v>68</v>
      </c>
      <c r="C5018" t="s">
        <v>516</v>
      </c>
      <c r="E5018" t="s">
        <v>2439</v>
      </c>
      <c r="F5018" t="s">
        <v>3758</v>
      </c>
      <c r="G5018" t="s">
        <v>10125</v>
      </c>
      <c r="H5018" t="s">
        <v>11321</v>
      </c>
      <c r="I5018" t="s">
        <v>11387</v>
      </c>
      <c r="J5018">
        <v>11433</v>
      </c>
      <c r="K5018" t="s">
        <v>11446</v>
      </c>
      <c r="L5018" t="s">
        <v>14504</v>
      </c>
      <c r="M5018" t="s">
        <v>14744</v>
      </c>
      <c r="N5018" t="s">
        <v>14782</v>
      </c>
      <c r="P5018" t="s">
        <v>14807</v>
      </c>
      <c r="Q5018" t="s">
        <v>11448</v>
      </c>
      <c r="S5018" t="s">
        <v>14828</v>
      </c>
      <c r="V5018">
        <v>215</v>
      </c>
      <c r="W5018" t="s">
        <v>14861</v>
      </c>
      <c r="X5018" t="s">
        <v>14863</v>
      </c>
      <c r="Z5018" t="s">
        <v>19002</v>
      </c>
      <c r="AA5018" t="s">
        <v>20074</v>
      </c>
      <c r="AB5018" t="s">
        <v>24226</v>
      </c>
      <c r="AC5018">
        <v>0</v>
      </c>
      <c r="AD5018" t="s">
        <v>24597</v>
      </c>
      <c r="AE5018" t="s">
        <v>11459</v>
      </c>
      <c r="AF5018">
        <v>30</v>
      </c>
      <c r="AG5018">
        <v>2</v>
      </c>
      <c r="AH5018">
        <v>0</v>
      </c>
      <c r="AI5018">
        <v>10.92</v>
      </c>
      <c r="AL5018" t="s">
        <v>5011</v>
      </c>
      <c r="AM5018">
        <v>1846</v>
      </c>
      <c r="AS5018">
        <v>0.63</v>
      </c>
      <c r="AT5018" t="s">
        <v>509</v>
      </c>
      <c r="AU5018" t="s">
        <v>25233</v>
      </c>
      <c r="AV5018" t="s">
        <v>25334</v>
      </c>
      <c r="AW5018" t="s">
        <v>11447</v>
      </c>
    </row>
    <row r="5019" spans="1:49">
      <c r="A5019" s="1">
        <f>HYPERLINK("https://lsnyc.legalserver.org/matter/dynamic-profile/view/1891963","19-1891963")</f>
        <v>0</v>
      </c>
      <c r="B5019" t="s">
        <v>179</v>
      </c>
      <c r="C5019" t="s">
        <v>708</v>
      </c>
      <c r="E5019" t="s">
        <v>3339</v>
      </c>
      <c r="F5019" t="s">
        <v>5994</v>
      </c>
      <c r="G5019" t="s">
        <v>9984</v>
      </c>
      <c r="H5019" t="s">
        <v>10793</v>
      </c>
      <c r="I5019" t="s">
        <v>11387</v>
      </c>
      <c r="J5019">
        <v>11433</v>
      </c>
      <c r="K5019" t="s">
        <v>11446</v>
      </c>
      <c r="L5019" t="s">
        <v>14505</v>
      </c>
      <c r="M5019" t="s">
        <v>14743</v>
      </c>
      <c r="N5019" t="s">
        <v>14778</v>
      </c>
      <c r="P5019" t="s">
        <v>14807</v>
      </c>
      <c r="Q5019" t="s">
        <v>11448</v>
      </c>
      <c r="S5019" t="s">
        <v>14827</v>
      </c>
      <c r="V5019">
        <v>1000</v>
      </c>
      <c r="W5019" t="s">
        <v>14861</v>
      </c>
      <c r="X5019" t="s">
        <v>14865</v>
      </c>
      <c r="Z5019" t="s">
        <v>15855</v>
      </c>
      <c r="AA5019" t="s">
        <v>20051</v>
      </c>
      <c r="AB5019" t="s">
        <v>24084</v>
      </c>
      <c r="AC5019">
        <v>2</v>
      </c>
      <c r="AD5019" t="s">
        <v>11479</v>
      </c>
      <c r="AE5019" t="s">
        <v>11459</v>
      </c>
      <c r="AF5019">
        <v>2</v>
      </c>
      <c r="AG5019">
        <v>1</v>
      </c>
      <c r="AH5019">
        <v>0</v>
      </c>
      <c r="AI5019">
        <v>19.05</v>
      </c>
      <c r="AL5019" t="s">
        <v>5011</v>
      </c>
      <c r="AM5019">
        <v>2379</v>
      </c>
      <c r="AS5019">
        <v>0.9</v>
      </c>
      <c r="AT5019" t="s">
        <v>360</v>
      </c>
      <c r="AU5019" t="s">
        <v>292</v>
      </c>
      <c r="AW5019" t="s">
        <v>11446</v>
      </c>
    </row>
    <row r="5020" spans="1:49">
      <c r="A5020" s="1">
        <f>HYPERLINK("https://lsnyc.legalserver.org/matter/dynamic-profile/view/1903848","19-1903848")</f>
        <v>0</v>
      </c>
      <c r="B5020" t="s">
        <v>147</v>
      </c>
      <c r="C5020" t="s">
        <v>378</v>
      </c>
      <c r="E5020" t="s">
        <v>1246</v>
      </c>
      <c r="F5020" t="s">
        <v>3694</v>
      </c>
      <c r="G5020" t="s">
        <v>10126</v>
      </c>
      <c r="H5020">
        <v>1</v>
      </c>
      <c r="I5020" t="s">
        <v>11387</v>
      </c>
      <c r="J5020">
        <v>11434</v>
      </c>
      <c r="K5020" t="s">
        <v>11446</v>
      </c>
      <c r="L5020" t="s">
        <v>14506</v>
      </c>
      <c r="M5020" t="s">
        <v>14744</v>
      </c>
      <c r="N5020" t="s">
        <v>14781</v>
      </c>
      <c r="P5020" t="s">
        <v>14807</v>
      </c>
      <c r="Q5020" t="s">
        <v>11448</v>
      </c>
      <c r="S5020" t="s">
        <v>14827</v>
      </c>
      <c r="T5020" t="s">
        <v>14832</v>
      </c>
      <c r="V5020">
        <v>2010</v>
      </c>
      <c r="W5020" t="s">
        <v>14861</v>
      </c>
      <c r="X5020" t="s">
        <v>14865</v>
      </c>
      <c r="Z5020" t="s">
        <v>19003</v>
      </c>
      <c r="AA5020" t="s">
        <v>20075</v>
      </c>
      <c r="AB5020" t="s">
        <v>24227</v>
      </c>
      <c r="AC5020">
        <v>2</v>
      </c>
      <c r="AD5020" t="s">
        <v>24600</v>
      </c>
      <c r="AE5020" t="s">
        <v>24615</v>
      </c>
      <c r="AF5020">
        <v>1</v>
      </c>
      <c r="AG5020">
        <v>1</v>
      </c>
      <c r="AH5020">
        <v>4</v>
      </c>
      <c r="AI5020">
        <v>21.29</v>
      </c>
      <c r="AL5020" t="s">
        <v>24632</v>
      </c>
      <c r="AM5020">
        <v>6422</v>
      </c>
      <c r="AS5020">
        <v>10.95</v>
      </c>
      <c r="AT5020" t="s">
        <v>377</v>
      </c>
      <c r="AU5020" t="s">
        <v>292</v>
      </c>
      <c r="AV5020" t="s">
        <v>25335</v>
      </c>
      <c r="AW5020" t="s">
        <v>11447</v>
      </c>
    </row>
    <row r="5021" spans="1:49">
      <c r="A5021" s="1">
        <f>HYPERLINK("https://lsnyc.legalserver.org/matter/dynamic-profile/view/1901622","19-1901622")</f>
        <v>0</v>
      </c>
      <c r="B5021" t="s">
        <v>147</v>
      </c>
      <c r="C5021" t="s">
        <v>459</v>
      </c>
      <c r="E5021" t="s">
        <v>3398</v>
      </c>
      <c r="F5021" t="s">
        <v>6066</v>
      </c>
      <c r="G5021" t="s">
        <v>10127</v>
      </c>
      <c r="H5021" t="s">
        <v>10450</v>
      </c>
      <c r="I5021" t="s">
        <v>11395</v>
      </c>
      <c r="J5021">
        <v>11373</v>
      </c>
      <c r="K5021" t="s">
        <v>11446</v>
      </c>
      <c r="L5021" t="s">
        <v>14507</v>
      </c>
      <c r="M5021" t="s">
        <v>14743</v>
      </c>
      <c r="N5021" t="s">
        <v>14781</v>
      </c>
      <c r="P5021" t="s">
        <v>14807</v>
      </c>
      <c r="Q5021" t="s">
        <v>11448</v>
      </c>
      <c r="S5021" t="s">
        <v>14827</v>
      </c>
      <c r="V5021">
        <v>1750</v>
      </c>
      <c r="W5021" t="s">
        <v>14861</v>
      </c>
      <c r="X5021" t="s">
        <v>14865</v>
      </c>
      <c r="Z5021" t="s">
        <v>19004</v>
      </c>
      <c r="AA5021" t="s">
        <v>20076</v>
      </c>
      <c r="AB5021" t="s">
        <v>24228</v>
      </c>
      <c r="AC5021">
        <v>19</v>
      </c>
      <c r="AD5021" t="s">
        <v>24599</v>
      </c>
      <c r="AE5021" t="s">
        <v>11459</v>
      </c>
      <c r="AF5021">
        <v>1</v>
      </c>
      <c r="AG5021">
        <v>1</v>
      </c>
      <c r="AH5021">
        <v>2</v>
      </c>
      <c r="AI5021">
        <v>22.5</v>
      </c>
      <c r="AL5021" t="s">
        <v>24656</v>
      </c>
      <c r="AM5021">
        <v>4800</v>
      </c>
      <c r="AS5021">
        <v>18.95</v>
      </c>
      <c r="AT5021" t="s">
        <v>470</v>
      </c>
      <c r="AU5021" t="s">
        <v>25233</v>
      </c>
      <c r="AV5021" t="s">
        <v>25334</v>
      </c>
      <c r="AW5021" t="s">
        <v>11447</v>
      </c>
    </row>
    <row r="5022" spans="1:49">
      <c r="A5022" s="1">
        <f>HYPERLINK("https://lsnyc.legalserver.org/matter/dynamic-profile/view/1877482","18-1877482")</f>
        <v>0</v>
      </c>
      <c r="B5022" t="s">
        <v>292</v>
      </c>
      <c r="C5022" t="s">
        <v>442</v>
      </c>
      <c r="E5022" t="s">
        <v>2035</v>
      </c>
      <c r="F5022" t="s">
        <v>6067</v>
      </c>
      <c r="G5022" t="s">
        <v>10128</v>
      </c>
      <c r="H5022" t="s">
        <v>10562</v>
      </c>
      <c r="I5022" t="s">
        <v>11388</v>
      </c>
      <c r="J5022">
        <v>11385</v>
      </c>
      <c r="K5022" t="s">
        <v>11446</v>
      </c>
      <c r="L5022" t="s">
        <v>14508</v>
      </c>
      <c r="M5022" t="s">
        <v>14744</v>
      </c>
      <c r="N5022" t="s">
        <v>14782</v>
      </c>
      <c r="P5022" t="s">
        <v>14807</v>
      </c>
      <c r="Q5022" t="s">
        <v>11448</v>
      </c>
      <c r="S5022" t="s">
        <v>14827</v>
      </c>
      <c r="V5022">
        <v>815.67</v>
      </c>
      <c r="W5022" t="s">
        <v>14861</v>
      </c>
      <c r="X5022" t="s">
        <v>14865</v>
      </c>
      <c r="Z5022" t="s">
        <v>19005</v>
      </c>
      <c r="AA5022" t="s">
        <v>20077</v>
      </c>
      <c r="AB5022" t="s">
        <v>24229</v>
      </c>
      <c r="AC5022">
        <v>6</v>
      </c>
      <c r="AD5022" t="s">
        <v>11479</v>
      </c>
      <c r="AE5022" t="s">
        <v>11459</v>
      </c>
      <c r="AF5022">
        <v>48</v>
      </c>
      <c r="AG5022">
        <v>2</v>
      </c>
      <c r="AH5022">
        <v>0</v>
      </c>
      <c r="AI5022">
        <v>22.9</v>
      </c>
      <c r="AL5022" t="s">
        <v>5011</v>
      </c>
      <c r="AM5022">
        <v>3770</v>
      </c>
      <c r="AS5022">
        <v>0</v>
      </c>
      <c r="AU5022" t="s">
        <v>292</v>
      </c>
      <c r="AW5022" t="s">
        <v>11447</v>
      </c>
    </row>
    <row r="5023" spans="1:49">
      <c r="A5023" s="1">
        <f>HYPERLINK("https://lsnyc.legalserver.org/matter/dynamic-profile/view/1908449","19-1908449")</f>
        <v>0</v>
      </c>
      <c r="B5023" t="s">
        <v>179</v>
      </c>
      <c r="C5023" t="s">
        <v>466</v>
      </c>
      <c r="E5023" t="s">
        <v>3399</v>
      </c>
      <c r="F5023" t="s">
        <v>3695</v>
      </c>
      <c r="G5023" t="s">
        <v>10129</v>
      </c>
      <c r="H5023">
        <v>1</v>
      </c>
      <c r="I5023" t="s">
        <v>11387</v>
      </c>
      <c r="J5023">
        <v>11434</v>
      </c>
      <c r="K5023" t="s">
        <v>11446</v>
      </c>
      <c r="L5023" t="s">
        <v>14509</v>
      </c>
      <c r="M5023" t="s">
        <v>14743</v>
      </c>
      <c r="N5023" t="s">
        <v>14781</v>
      </c>
      <c r="P5023" t="s">
        <v>14807</v>
      </c>
      <c r="Q5023" t="s">
        <v>11448</v>
      </c>
      <c r="S5023" t="s">
        <v>14827</v>
      </c>
      <c r="V5023">
        <v>1515</v>
      </c>
      <c r="W5023" t="s">
        <v>14861</v>
      </c>
      <c r="X5023" t="s">
        <v>14863</v>
      </c>
      <c r="Z5023" t="s">
        <v>19006</v>
      </c>
      <c r="AA5023" t="s">
        <v>20078</v>
      </c>
      <c r="AB5023" t="s">
        <v>24230</v>
      </c>
      <c r="AC5023">
        <v>3</v>
      </c>
      <c r="AE5023" t="s">
        <v>24616</v>
      </c>
      <c r="AF5023">
        <v>1</v>
      </c>
      <c r="AG5023">
        <v>1</v>
      </c>
      <c r="AH5023">
        <v>3</v>
      </c>
      <c r="AI5023">
        <v>23.3</v>
      </c>
      <c r="AL5023" t="s">
        <v>5011</v>
      </c>
      <c r="AM5023">
        <v>6000</v>
      </c>
      <c r="AS5023">
        <v>1.1</v>
      </c>
      <c r="AT5023" t="s">
        <v>25178</v>
      </c>
      <c r="AU5023" t="s">
        <v>25233</v>
      </c>
      <c r="AV5023" t="s">
        <v>25335</v>
      </c>
      <c r="AW5023" t="s">
        <v>11447</v>
      </c>
    </row>
    <row r="5024" spans="1:49">
      <c r="A5024" s="1">
        <f>HYPERLINK("https://lsnyc.legalserver.org/matter/dynamic-profile/view/1902292","19-1902292")</f>
        <v>0</v>
      </c>
      <c r="B5024" t="s">
        <v>110</v>
      </c>
      <c r="C5024" t="s">
        <v>362</v>
      </c>
      <c r="E5024" t="s">
        <v>3400</v>
      </c>
      <c r="F5024" t="s">
        <v>6068</v>
      </c>
      <c r="G5024" t="s">
        <v>10130</v>
      </c>
      <c r="H5024" t="s">
        <v>10648</v>
      </c>
      <c r="I5024" t="s">
        <v>11400</v>
      </c>
      <c r="J5024">
        <v>11385</v>
      </c>
      <c r="K5024" t="s">
        <v>11446</v>
      </c>
      <c r="L5024" t="s">
        <v>14510</v>
      </c>
      <c r="M5024" t="s">
        <v>14744</v>
      </c>
      <c r="N5024" t="s">
        <v>14781</v>
      </c>
      <c r="P5024" t="s">
        <v>14807</v>
      </c>
      <c r="Q5024" t="s">
        <v>11448</v>
      </c>
      <c r="S5024" t="s">
        <v>14827</v>
      </c>
      <c r="T5024" t="s">
        <v>14834</v>
      </c>
      <c r="V5024">
        <v>2050</v>
      </c>
      <c r="W5024" t="s">
        <v>14861</v>
      </c>
      <c r="X5024" t="s">
        <v>14863</v>
      </c>
      <c r="Z5024" t="s">
        <v>15377</v>
      </c>
      <c r="AA5024" t="s">
        <v>20079</v>
      </c>
      <c r="AB5024" t="s">
        <v>24231</v>
      </c>
      <c r="AC5024">
        <v>3</v>
      </c>
      <c r="AD5024" t="s">
        <v>24600</v>
      </c>
      <c r="AE5024" t="s">
        <v>14755</v>
      </c>
      <c r="AF5024">
        <v>1</v>
      </c>
      <c r="AG5024">
        <v>1</v>
      </c>
      <c r="AH5024">
        <v>3</v>
      </c>
      <c r="AI5024">
        <v>23.3</v>
      </c>
      <c r="AL5024" t="s">
        <v>5011</v>
      </c>
      <c r="AM5024">
        <v>6000</v>
      </c>
      <c r="AS5024">
        <v>14.27</v>
      </c>
      <c r="AT5024" t="s">
        <v>468</v>
      </c>
      <c r="AU5024" t="s">
        <v>25233</v>
      </c>
      <c r="AV5024" t="s">
        <v>25335</v>
      </c>
      <c r="AW5024" t="s">
        <v>11447</v>
      </c>
    </row>
    <row r="5025" spans="1:49">
      <c r="A5025" s="1">
        <f>HYPERLINK("https://lsnyc.legalserver.org/matter/dynamic-profile/view/1914995","19-1914995")</f>
        <v>0</v>
      </c>
      <c r="B5025" t="s">
        <v>68</v>
      </c>
      <c r="C5025" t="s">
        <v>521</v>
      </c>
      <c r="E5025" t="s">
        <v>3072</v>
      </c>
      <c r="F5025" t="s">
        <v>3975</v>
      </c>
      <c r="G5025" t="s">
        <v>10131</v>
      </c>
      <c r="H5025" t="s">
        <v>11322</v>
      </c>
      <c r="I5025" t="s">
        <v>11387</v>
      </c>
      <c r="J5025">
        <v>11433</v>
      </c>
      <c r="K5025" t="s">
        <v>11446</v>
      </c>
      <c r="L5025" t="s">
        <v>14511</v>
      </c>
      <c r="M5025" t="s">
        <v>14743</v>
      </c>
      <c r="N5025" t="s">
        <v>14782</v>
      </c>
      <c r="P5025" t="s">
        <v>14807</v>
      </c>
      <c r="Q5025" t="s">
        <v>11448</v>
      </c>
      <c r="S5025" t="s">
        <v>14827</v>
      </c>
      <c r="V5025">
        <v>2000</v>
      </c>
      <c r="W5025" t="s">
        <v>14861</v>
      </c>
      <c r="X5025" t="s">
        <v>14863</v>
      </c>
      <c r="Z5025" t="s">
        <v>19007</v>
      </c>
      <c r="AB5025" t="s">
        <v>24232</v>
      </c>
      <c r="AC5025">
        <v>3</v>
      </c>
      <c r="AD5025" t="s">
        <v>24600</v>
      </c>
      <c r="AE5025" t="s">
        <v>11459</v>
      </c>
      <c r="AF5025">
        <v>1</v>
      </c>
      <c r="AG5025">
        <v>3</v>
      </c>
      <c r="AH5025">
        <v>1</v>
      </c>
      <c r="AI5025">
        <v>24.98</v>
      </c>
      <c r="AL5025" t="s">
        <v>5011</v>
      </c>
      <c r="AM5025">
        <v>6432</v>
      </c>
      <c r="AS5025">
        <v>0.33</v>
      </c>
      <c r="AT5025" t="s">
        <v>521</v>
      </c>
      <c r="AU5025" t="s">
        <v>25233</v>
      </c>
      <c r="AV5025" t="s">
        <v>25335</v>
      </c>
      <c r="AW5025" t="s">
        <v>11447</v>
      </c>
    </row>
    <row r="5026" spans="1:49">
      <c r="A5026" s="1">
        <f>HYPERLINK("https://lsnyc.legalserver.org/matter/dynamic-profile/view/1910672","19-1910672")</f>
        <v>0</v>
      </c>
      <c r="B5026" t="s">
        <v>271</v>
      </c>
      <c r="C5026" t="s">
        <v>644</v>
      </c>
      <c r="E5026" t="s">
        <v>3401</v>
      </c>
      <c r="F5026" t="s">
        <v>6069</v>
      </c>
      <c r="G5026" t="s">
        <v>10132</v>
      </c>
      <c r="H5026" t="s">
        <v>10465</v>
      </c>
      <c r="I5026" t="s">
        <v>11387</v>
      </c>
      <c r="J5026">
        <v>11434</v>
      </c>
      <c r="K5026" t="s">
        <v>11446</v>
      </c>
      <c r="L5026" t="s">
        <v>14512</v>
      </c>
      <c r="M5026" t="s">
        <v>14743</v>
      </c>
      <c r="N5026" t="s">
        <v>14781</v>
      </c>
      <c r="P5026" t="s">
        <v>14807</v>
      </c>
      <c r="Q5026" t="s">
        <v>11448</v>
      </c>
      <c r="S5026" t="s">
        <v>14827</v>
      </c>
      <c r="V5026">
        <v>1919</v>
      </c>
      <c r="W5026" t="s">
        <v>14861</v>
      </c>
      <c r="X5026" t="s">
        <v>14865</v>
      </c>
      <c r="Z5026" t="s">
        <v>19008</v>
      </c>
      <c r="AB5026" t="s">
        <v>24233</v>
      </c>
      <c r="AC5026">
        <v>2</v>
      </c>
      <c r="AD5026" t="s">
        <v>24600</v>
      </c>
      <c r="AE5026" t="s">
        <v>24610</v>
      </c>
      <c r="AF5026">
        <v>6</v>
      </c>
      <c r="AG5026">
        <v>3</v>
      </c>
      <c r="AH5026">
        <v>2</v>
      </c>
      <c r="AI5026">
        <v>31.58</v>
      </c>
      <c r="AL5026" t="s">
        <v>5011</v>
      </c>
      <c r="AM5026">
        <v>9528</v>
      </c>
      <c r="AS5026">
        <v>6.4</v>
      </c>
      <c r="AT5026" t="s">
        <v>537</v>
      </c>
      <c r="AU5026" t="s">
        <v>25233</v>
      </c>
      <c r="AV5026" t="s">
        <v>25335</v>
      </c>
      <c r="AW5026" t="s">
        <v>11447</v>
      </c>
    </row>
    <row r="5027" spans="1:49">
      <c r="A5027" s="1">
        <f>HYPERLINK("https://lsnyc.legalserver.org/matter/dynamic-profile/view/1907621","19-1907621")</f>
        <v>0</v>
      </c>
      <c r="B5027" t="s">
        <v>179</v>
      </c>
      <c r="C5027" t="s">
        <v>630</v>
      </c>
      <c r="E5027" t="s">
        <v>3402</v>
      </c>
      <c r="F5027" t="s">
        <v>6070</v>
      </c>
      <c r="G5027" t="s">
        <v>10133</v>
      </c>
      <c r="H5027" t="s">
        <v>10648</v>
      </c>
      <c r="I5027" t="s">
        <v>11395</v>
      </c>
      <c r="J5027">
        <v>11373</v>
      </c>
      <c r="K5027" t="s">
        <v>11446</v>
      </c>
      <c r="L5027" t="s">
        <v>14513</v>
      </c>
      <c r="M5027" t="s">
        <v>14743</v>
      </c>
      <c r="N5027" t="s">
        <v>14784</v>
      </c>
      <c r="P5027" t="s">
        <v>14807</v>
      </c>
      <c r="Q5027" t="s">
        <v>11448</v>
      </c>
      <c r="S5027" t="s">
        <v>14827</v>
      </c>
      <c r="V5027">
        <v>1800</v>
      </c>
      <c r="W5027" t="s">
        <v>14861</v>
      </c>
      <c r="X5027" t="s">
        <v>14865</v>
      </c>
      <c r="Z5027" t="s">
        <v>19009</v>
      </c>
      <c r="AB5027" t="s">
        <v>24234</v>
      </c>
      <c r="AC5027">
        <v>2</v>
      </c>
      <c r="AE5027" t="s">
        <v>11459</v>
      </c>
      <c r="AF5027">
        <v>1</v>
      </c>
      <c r="AG5027">
        <v>1</v>
      </c>
      <c r="AH5027">
        <v>0</v>
      </c>
      <c r="AI5027">
        <v>49.13</v>
      </c>
      <c r="AL5027" t="s">
        <v>24632</v>
      </c>
      <c r="AM5027">
        <v>6136</v>
      </c>
      <c r="AS5027">
        <v>4.55</v>
      </c>
      <c r="AT5027" t="s">
        <v>537</v>
      </c>
      <c r="AU5027" t="s">
        <v>25233</v>
      </c>
      <c r="AV5027" t="s">
        <v>25335</v>
      </c>
      <c r="AW5027" t="s">
        <v>11447</v>
      </c>
    </row>
    <row r="5028" spans="1:49">
      <c r="A5028" s="1">
        <f>HYPERLINK("https://lsnyc.legalserver.org/matter/dynamic-profile/view/1910118","19-1910118")</f>
        <v>0</v>
      </c>
      <c r="B5028" t="s">
        <v>147</v>
      </c>
      <c r="C5028" t="s">
        <v>471</v>
      </c>
      <c r="E5028" t="s">
        <v>3403</v>
      </c>
      <c r="F5028" t="s">
        <v>6071</v>
      </c>
      <c r="G5028" t="s">
        <v>10134</v>
      </c>
      <c r="H5028" t="s">
        <v>10648</v>
      </c>
      <c r="I5028" t="s">
        <v>11387</v>
      </c>
      <c r="J5028">
        <v>11433</v>
      </c>
      <c r="K5028" t="s">
        <v>11446</v>
      </c>
      <c r="L5028" t="s">
        <v>14514</v>
      </c>
      <c r="M5028" t="s">
        <v>14743</v>
      </c>
      <c r="N5028" t="s">
        <v>14781</v>
      </c>
      <c r="P5028" t="s">
        <v>14807</v>
      </c>
      <c r="Q5028" t="s">
        <v>11448</v>
      </c>
      <c r="S5028" t="s">
        <v>14827</v>
      </c>
      <c r="T5028" t="s">
        <v>14832</v>
      </c>
      <c r="V5028">
        <v>1950</v>
      </c>
      <c r="W5028" t="s">
        <v>14861</v>
      </c>
      <c r="X5028" t="s">
        <v>14863</v>
      </c>
      <c r="Z5028" t="s">
        <v>19010</v>
      </c>
      <c r="AA5028" t="s">
        <v>20080</v>
      </c>
      <c r="AB5028" t="s">
        <v>24235</v>
      </c>
      <c r="AC5028">
        <v>4</v>
      </c>
      <c r="AD5028" t="s">
        <v>24600</v>
      </c>
      <c r="AF5028">
        <v>1</v>
      </c>
      <c r="AG5028">
        <v>2</v>
      </c>
      <c r="AH5028">
        <v>4</v>
      </c>
      <c r="AI5028">
        <v>52.73</v>
      </c>
      <c r="AL5028" t="s">
        <v>5011</v>
      </c>
      <c r="AM5028">
        <v>18240</v>
      </c>
      <c r="AS5028">
        <v>11.5</v>
      </c>
      <c r="AT5028" t="s">
        <v>515</v>
      </c>
      <c r="AU5028" t="s">
        <v>25233</v>
      </c>
      <c r="AV5028" t="s">
        <v>25335</v>
      </c>
      <c r="AW5028" t="s">
        <v>11447</v>
      </c>
    </row>
    <row r="5029" spans="1:49">
      <c r="A5029" s="1">
        <f>HYPERLINK("https://lsnyc.legalserver.org/matter/dynamic-profile/view/1913146","19-1913146")</f>
        <v>0</v>
      </c>
      <c r="B5029" t="s">
        <v>122</v>
      </c>
      <c r="C5029" t="s">
        <v>580</v>
      </c>
      <c r="E5029" t="s">
        <v>2594</v>
      </c>
      <c r="F5029" t="s">
        <v>6072</v>
      </c>
      <c r="G5029" t="s">
        <v>10135</v>
      </c>
      <c r="H5029" t="s">
        <v>10493</v>
      </c>
      <c r="I5029" t="s">
        <v>11388</v>
      </c>
      <c r="J5029">
        <v>11385</v>
      </c>
      <c r="K5029" t="s">
        <v>11447</v>
      </c>
      <c r="L5029" t="s">
        <v>14515</v>
      </c>
      <c r="M5029" t="s">
        <v>14743</v>
      </c>
      <c r="N5029" t="s">
        <v>14781</v>
      </c>
      <c r="P5029" t="s">
        <v>14807</v>
      </c>
      <c r="Q5029" t="s">
        <v>11448</v>
      </c>
      <c r="S5029" t="s">
        <v>14827</v>
      </c>
      <c r="T5029" t="s">
        <v>14832</v>
      </c>
      <c r="V5029">
        <v>861.25</v>
      </c>
      <c r="W5029" t="s">
        <v>14861</v>
      </c>
      <c r="X5029" t="s">
        <v>14865</v>
      </c>
      <c r="Z5029" t="s">
        <v>19011</v>
      </c>
      <c r="AB5029" t="s">
        <v>24236</v>
      </c>
      <c r="AC5029">
        <v>6</v>
      </c>
      <c r="AD5029" t="s">
        <v>24595</v>
      </c>
      <c r="AF5029">
        <v>25</v>
      </c>
      <c r="AG5029">
        <v>2</v>
      </c>
      <c r="AH5029">
        <v>2</v>
      </c>
      <c r="AI5029">
        <v>52.75</v>
      </c>
      <c r="AL5029" t="s">
        <v>5011</v>
      </c>
      <c r="AM5029">
        <v>13584</v>
      </c>
      <c r="AS5029">
        <v>3</v>
      </c>
      <c r="AT5029" t="s">
        <v>476</v>
      </c>
      <c r="AU5029" t="s">
        <v>25233</v>
      </c>
      <c r="AW5029" t="s">
        <v>11447</v>
      </c>
    </row>
    <row r="5030" spans="1:49">
      <c r="A5030" s="1">
        <f>HYPERLINK("https://lsnyc.legalserver.org/matter/dynamic-profile/view/1879489","18-1879489")</f>
        <v>0</v>
      </c>
      <c r="B5030" t="s">
        <v>122</v>
      </c>
      <c r="C5030" t="s">
        <v>815</v>
      </c>
      <c r="E5030" t="s">
        <v>3404</v>
      </c>
      <c r="F5030" t="s">
        <v>1635</v>
      </c>
      <c r="G5030" t="s">
        <v>10136</v>
      </c>
      <c r="I5030" t="s">
        <v>11387</v>
      </c>
      <c r="J5030">
        <v>11433</v>
      </c>
      <c r="K5030" t="s">
        <v>11446</v>
      </c>
      <c r="L5030" t="s">
        <v>14516</v>
      </c>
      <c r="M5030" t="s">
        <v>14743</v>
      </c>
      <c r="N5030" t="s">
        <v>14782</v>
      </c>
      <c r="P5030" t="s">
        <v>14807</v>
      </c>
      <c r="Q5030" t="s">
        <v>11448</v>
      </c>
      <c r="S5030" t="s">
        <v>14827</v>
      </c>
      <c r="T5030" t="s">
        <v>14832</v>
      </c>
      <c r="V5030">
        <v>2000</v>
      </c>
      <c r="W5030" t="s">
        <v>14861</v>
      </c>
      <c r="X5030" t="s">
        <v>14868</v>
      </c>
      <c r="Z5030" t="s">
        <v>16440</v>
      </c>
      <c r="AB5030" t="s">
        <v>24237</v>
      </c>
      <c r="AC5030">
        <v>2</v>
      </c>
      <c r="AE5030" t="s">
        <v>24610</v>
      </c>
      <c r="AF5030">
        <v>11</v>
      </c>
      <c r="AG5030">
        <v>5</v>
      </c>
      <c r="AH5030">
        <v>4</v>
      </c>
      <c r="AI5030">
        <v>63.33</v>
      </c>
      <c r="AL5030" t="s">
        <v>5011</v>
      </c>
      <c r="AM5030">
        <v>29576.04</v>
      </c>
      <c r="AS5030">
        <v>18.6</v>
      </c>
      <c r="AT5030" t="s">
        <v>492</v>
      </c>
      <c r="AU5030" t="s">
        <v>124</v>
      </c>
      <c r="AW5030" t="s">
        <v>11446</v>
      </c>
    </row>
    <row r="5031" spans="1:49">
      <c r="A5031" s="1">
        <f>HYPERLINK("https://lsnyc.legalserver.org/matter/dynamic-profile/view/1913282","19-1913282")</f>
        <v>0</v>
      </c>
      <c r="B5031" t="s">
        <v>179</v>
      </c>
      <c r="C5031" t="s">
        <v>515</v>
      </c>
      <c r="E5031" t="s">
        <v>1828</v>
      </c>
      <c r="F5031" t="s">
        <v>1925</v>
      </c>
      <c r="G5031" t="s">
        <v>10137</v>
      </c>
      <c r="I5031" t="s">
        <v>11387</v>
      </c>
      <c r="J5031">
        <v>11434</v>
      </c>
      <c r="K5031" t="s">
        <v>11446</v>
      </c>
      <c r="L5031" t="s">
        <v>14517</v>
      </c>
      <c r="M5031" t="s">
        <v>14743</v>
      </c>
      <c r="N5031" t="s">
        <v>14782</v>
      </c>
      <c r="P5031" t="s">
        <v>14807</v>
      </c>
      <c r="Q5031" t="s">
        <v>11448</v>
      </c>
      <c r="S5031" t="s">
        <v>14827</v>
      </c>
      <c r="V5031">
        <v>0</v>
      </c>
      <c r="W5031" t="s">
        <v>14861</v>
      </c>
      <c r="X5031" t="s">
        <v>14863</v>
      </c>
      <c r="Z5031" t="s">
        <v>19012</v>
      </c>
      <c r="AB5031" t="s">
        <v>24238</v>
      </c>
      <c r="AC5031">
        <v>1</v>
      </c>
      <c r="AF5031">
        <v>13</v>
      </c>
      <c r="AG5031">
        <v>3</v>
      </c>
      <c r="AH5031">
        <v>3</v>
      </c>
      <c r="AI5031">
        <v>63.6</v>
      </c>
      <c r="AL5031" t="s">
        <v>24632</v>
      </c>
      <c r="AM5031">
        <v>22000</v>
      </c>
      <c r="AS5031">
        <v>5.42</v>
      </c>
      <c r="AT5031" t="s">
        <v>516</v>
      </c>
      <c r="AU5031" t="s">
        <v>25233</v>
      </c>
      <c r="AV5031" t="s">
        <v>25335</v>
      </c>
      <c r="AW5031" t="s">
        <v>11447</v>
      </c>
    </row>
    <row r="5032" spans="1:49">
      <c r="A5032" s="1">
        <f>HYPERLINK("https://lsnyc.legalserver.org/matter/dynamic-profile/view/1907613","19-1907613")</f>
        <v>0</v>
      </c>
      <c r="B5032" t="s">
        <v>138</v>
      </c>
      <c r="C5032" t="s">
        <v>630</v>
      </c>
      <c r="E5032" t="s">
        <v>1057</v>
      </c>
      <c r="F5032" t="s">
        <v>6073</v>
      </c>
      <c r="G5032" t="s">
        <v>10138</v>
      </c>
      <c r="H5032" t="s">
        <v>10486</v>
      </c>
      <c r="I5032" t="s">
        <v>11387</v>
      </c>
      <c r="J5032">
        <v>11433</v>
      </c>
      <c r="K5032" t="s">
        <v>11446</v>
      </c>
      <c r="L5032" t="s">
        <v>14518</v>
      </c>
      <c r="M5032" t="s">
        <v>14743</v>
      </c>
      <c r="N5032" t="s">
        <v>14781</v>
      </c>
      <c r="P5032" t="s">
        <v>14807</v>
      </c>
      <c r="Q5032" t="s">
        <v>11448</v>
      </c>
      <c r="S5032" t="s">
        <v>14827</v>
      </c>
      <c r="V5032">
        <v>1500</v>
      </c>
      <c r="W5032" t="s">
        <v>14861</v>
      </c>
      <c r="X5032" t="s">
        <v>14865</v>
      </c>
      <c r="Z5032" t="s">
        <v>17798</v>
      </c>
      <c r="AB5032" t="s">
        <v>24239</v>
      </c>
      <c r="AC5032">
        <v>3</v>
      </c>
      <c r="AD5032" t="s">
        <v>24595</v>
      </c>
      <c r="AE5032" t="s">
        <v>11459</v>
      </c>
      <c r="AF5032">
        <v>7</v>
      </c>
      <c r="AG5032">
        <v>2</v>
      </c>
      <c r="AH5032">
        <v>3</v>
      </c>
      <c r="AI5032">
        <v>66.29000000000001</v>
      </c>
      <c r="AL5032" t="s">
        <v>5011</v>
      </c>
      <c r="AM5032">
        <v>20000</v>
      </c>
      <c r="AS5032">
        <v>3.53</v>
      </c>
      <c r="AT5032" t="s">
        <v>460</v>
      </c>
      <c r="AU5032" t="s">
        <v>25233</v>
      </c>
      <c r="AV5032" t="s">
        <v>25335</v>
      </c>
      <c r="AW5032" t="s">
        <v>11447</v>
      </c>
    </row>
    <row r="5033" spans="1:49">
      <c r="A5033" s="1">
        <f>HYPERLINK("https://lsnyc.legalserver.org/matter/dynamic-profile/view/1888067","19-1888067")</f>
        <v>0</v>
      </c>
      <c r="B5033" t="s">
        <v>179</v>
      </c>
      <c r="C5033" t="s">
        <v>632</v>
      </c>
      <c r="E5033" t="s">
        <v>1633</v>
      </c>
      <c r="F5033" t="s">
        <v>6074</v>
      </c>
      <c r="G5033" t="s">
        <v>10139</v>
      </c>
      <c r="H5033" t="s">
        <v>10705</v>
      </c>
      <c r="I5033" t="s">
        <v>11400</v>
      </c>
      <c r="J5033">
        <v>11385</v>
      </c>
      <c r="K5033" t="s">
        <v>11446</v>
      </c>
      <c r="L5033" t="s">
        <v>14519</v>
      </c>
      <c r="M5033" t="s">
        <v>14743</v>
      </c>
      <c r="N5033" t="s">
        <v>14782</v>
      </c>
      <c r="P5033" t="s">
        <v>14807</v>
      </c>
      <c r="Q5033" t="s">
        <v>11448</v>
      </c>
      <c r="S5033" t="s">
        <v>14827</v>
      </c>
      <c r="V5033">
        <v>2800</v>
      </c>
      <c r="W5033" t="s">
        <v>14861</v>
      </c>
      <c r="X5033" t="s">
        <v>14865</v>
      </c>
      <c r="Z5033" t="s">
        <v>19013</v>
      </c>
      <c r="AA5033" t="s">
        <v>20081</v>
      </c>
      <c r="AB5033" t="s">
        <v>24240</v>
      </c>
      <c r="AC5033">
        <v>2</v>
      </c>
      <c r="AD5033" t="s">
        <v>11479</v>
      </c>
      <c r="AE5033" t="s">
        <v>11459</v>
      </c>
      <c r="AF5033">
        <v>1</v>
      </c>
      <c r="AG5033">
        <v>1</v>
      </c>
      <c r="AH5033">
        <v>2</v>
      </c>
      <c r="AI5033">
        <v>69.3</v>
      </c>
      <c r="AL5033" t="s">
        <v>5011</v>
      </c>
      <c r="AM5033">
        <v>14400</v>
      </c>
      <c r="AS5033">
        <v>22.5</v>
      </c>
      <c r="AT5033" t="s">
        <v>345</v>
      </c>
      <c r="AU5033" t="s">
        <v>292</v>
      </c>
      <c r="AW5033" t="s">
        <v>11446</v>
      </c>
    </row>
    <row r="5034" spans="1:49">
      <c r="A5034" s="1">
        <f>HYPERLINK("https://lsnyc.legalserver.org/matter/dynamic-profile/view/1841360","17-1841360")</f>
        <v>0</v>
      </c>
      <c r="B5034" t="s">
        <v>179</v>
      </c>
      <c r="C5034" t="s">
        <v>875</v>
      </c>
      <c r="E5034" t="s">
        <v>3333</v>
      </c>
      <c r="F5034" t="s">
        <v>3845</v>
      </c>
      <c r="G5034" t="s">
        <v>10140</v>
      </c>
      <c r="I5034" t="s">
        <v>11387</v>
      </c>
      <c r="J5034">
        <v>11433</v>
      </c>
      <c r="K5034" t="s">
        <v>11446</v>
      </c>
      <c r="L5034" t="s">
        <v>14520</v>
      </c>
      <c r="M5034" t="s">
        <v>14743</v>
      </c>
      <c r="N5034" t="s">
        <v>14781</v>
      </c>
      <c r="P5034" t="s">
        <v>14807</v>
      </c>
      <c r="Q5034" t="s">
        <v>11448</v>
      </c>
      <c r="S5034" t="s">
        <v>14827</v>
      </c>
      <c r="V5034">
        <v>650</v>
      </c>
      <c r="W5034" t="s">
        <v>14861</v>
      </c>
      <c r="X5034" t="s">
        <v>14865</v>
      </c>
      <c r="Z5034" t="s">
        <v>19014</v>
      </c>
      <c r="AB5034" t="s">
        <v>24241</v>
      </c>
      <c r="AC5034">
        <v>1</v>
      </c>
      <c r="AD5034" t="s">
        <v>24600</v>
      </c>
      <c r="AE5034" t="s">
        <v>11459</v>
      </c>
      <c r="AF5034">
        <v>1</v>
      </c>
      <c r="AG5034">
        <v>1</v>
      </c>
      <c r="AH5034">
        <v>0</v>
      </c>
      <c r="AI5034">
        <v>72.94</v>
      </c>
      <c r="AL5034" t="s">
        <v>5011</v>
      </c>
      <c r="AM5034">
        <v>8796</v>
      </c>
      <c r="AS5034">
        <v>4</v>
      </c>
      <c r="AT5034" t="s">
        <v>25179</v>
      </c>
      <c r="AU5034" t="s">
        <v>85</v>
      </c>
      <c r="AW5034" t="s">
        <v>11447</v>
      </c>
    </row>
    <row r="5035" spans="1:49">
      <c r="A5035" s="1">
        <f>HYPERLINK("https://lsnyc.legalserver.org/matter/dynamic-profile/view/1903593","19-1903593")</f>
        <v>0</v>
      </c>
      <c r="B5035" t="s">
        <v>138</v>
      </c>
      <c r="C5035" t="s">
        <v>631</v>
      </c>
      <c r="E5035" t="s">
        <v>3405</v>
      </c>
      <c r="F5035" t="s">
        <v>6075</v>
      </c>
      <c r="G5035" t="s">
        <v>10141</v>
      </c>
      <c r="H5035" t="s">
        <v>10464</v>
      </c>
      <c r="I5035" t="s">
        <v>11387</v>
      </c>
      <c r="J5035">
        <v>11434</v>
      </c>
      <c r="K5035" t="s">
        <v>11446</v>
      </c>
      <c r="L5035" t="s">
        <v>14521</v>
      </c>
      <c r="M5035" t="s">
        <v>14744</v>
      </c>
      <c r="N5035" t="s">
        <v>14781</v>
      </c>
      <c r="P5035" t="s">
        <v>14807</v>
      </c>
      <c r="S5035" t="s">
        <v>14827</v>
      </c>
      <c r="V5035">
        <v>214.1</v>
      </c>
      <c r="W5035" t="s">
        <v>14861</v>
      </c>
      <c r="X5035" t="s">
        <v>14863</v>
      </c>
      <c r="Z5035" t="s">
        <v>19015</v>
      </c>
      <c r="AB5035" t="s">
        <v>24242</v>
      </c>
      <c r="AC5035">
        <v>0</v>
      </c>
      <c r="AE5035" t="s">
        <v>11459</v>
      </c>
      <c r="AF5035">
        <v>7</v>
      </c>
      <c r="AG5035">
        <v>1</v>
      </c>
      <c r="AH5035">
        <v>0</v>
      </c>
      <c r="AI5035">
        <v>74.65000000000001</v>
      </c>
      <c r="AL5035" t="s">
        <v>5011</v>
      </c>
      <c r="AM5035">
        <v>9324</v>
      </c>
      <c r="AS5035">
        <v>9.67</v>
      </c>
      <c r="AT5035" t="s">
        <v>515</v>
      </c>
      <c r="AU5035" t="s">
        <v>25233</v>
      </c>
      <c r="AV5035" t="s">
        <v>25335</v>
      </c>
      <c r="AW5035" t="s">
        <v>11447</v>
      </c>
    </row>
    <row r="5036" spans="1:49">
      <c r="A5036" s="1">
        <f>HYPERLINK("https://lsnyc.legalserver.org/matter/dynamic-profile/view/1892070","19-1892070")</f>
        <v>0</v>
      </c>
      <c r="B5036" t="s">
        <v>147</v>
      </c>
      <c r="C5036" t="s">
        <v>358</v>
      </c>
      <c r="E5036" t="s">
        <v>1145</v>
      </c>
      <c r="F5036" t="s">
        <v>6076</v>
      </c>
      <c r="G5036" t="s">
        <v>10142</v>
      </c>
      <c r="H5036" t="s">
        <v>11323</v>
      </c>
      <c r="I5036" t="s">
        <v>11395</v>
      </c>
      <c r="J5036">
        <v>11373</v>
      </c>
      <c r="K5036" t="s">
        <v>11446</v>
      </c>
      <c r="L5036" t="s">
        <v>14522</v>
      </c>
      <c r="M5036" t="s">
        <v>14743</v>
      </c>
      <c r="N5036" t="s">
        <v>14781</v>
      </c>
      <c r="P5036" t="s">
        <v>14807</v>
      </c>
      <c r="Q5036" t="s">
        <v>11448</v>
      </c>
      <c r="S5036" t="s">
        <v>14827</v>
      </c>
      <c r="V5036">
        <v>700</v>
      </c>
      <c r="W5036" t="s">
        <v>14861</v>
      </c>
      <c r="X5036" t="s">
        <v>14863</v>
      </c>
      <c r="Z5036" t="s">
        <v>19016</v>
      </c>
      <c r="AB5036" t="s">
        <v>24243</v>
      </c>
      <c r="AC5036">
        <v>0</v>
      </c>
      <c r="AD5036" t="s">
        <v>11479</v>
      </c>
      <c r="AE5036" t="s">
        <v>11459</v>
      </c>
      <c r="AF5036">
        <v>5</v>
      </c>
      <c r="AG5036">
        <v>1</v>
      </c>
      <c r="AH5036">
        <v>0</v>
      </c>
      <c r="AI5036">
        <v>74.94</v>
      </c>
      <c r="AL5036" t="s">
        <v>5011</v>
      </c>
      <c r="AM5036">
        <v>9360</v>
      </c>
      <c r="AS5036">
        <v>37.3</v>
      </c>
      <c r="AT5036" t="s">
        <v>516</v>
      </c>
      <c r="AU5036" t="s">
        <v>292</v>
      </c>
      <c r="AW5036" t="s">
        <v>11446</v>
      </c>
    </row>
    <row r="5037" spans="1:49">
      <c r="A5037" s="1">
        <f>HYPERLINK("https://lsnyc.legalserver.org/matter/dynamic-profile/view/1838293","17-1838293")</f>
        <v>0</v>
      </c>
      <c r="B5037" t="s">
        <v>122</v>
      </c>
      <c r="C5037" t="s">
        <v>876</v>
      </c>
      <c r="E5037" t="s">
        <v>3406</v>
      </c>
      <c r="F5037" t="s">
        <v>3340</v>
      </c>
      <c r="G5037" t="s">
        <v>10143</v>
      </c>
      <c r="H5037" t="s">
        <v>10872</v>
      </c>
      <c r="I5037" t="s">
        <v>11387</v>
      </c>
      <c r="J5037">
        <v>11434</v>
      </c>
      <c r="K5037" t="s">
        <v>11446</v>
      </c>
      <c r="L5037" t="s">
        <v>14523</v>
      </c>
      <c r="M5037" t="s">
        <v>14743</v>
      </c>
      <c r="N5037" t="s">
        <v>14781</v>
      </c>
      <c r="P5037" t="s">
        <v>14807</v>
      </c>
      <c r="Q5037" t="s">
        <v>11448</v>
      </c>
      <c r="S5037" t="s">
        <v>14827</v>
      </c>
      <c r="V5037">
        <v>800</v>
      </c>
      <c r="W5037" t="s">
        <v>14861</v>
      </c>
      <c r="X5037" t="s">
        <v>14873</v>
      </c>
      <c r="Z5037" t="s">
        <v>19017</v>
      </c>
      <c r="AB5037" t="s">
        <v>24244</v>
      </c>
      <c r="AC5037">
        <v>2</v>
      </c>
      <c r="AD5037" t="s">
        <v>24600</v>
      </c>
      <c r="AE5037" t="s">
        <v>11459</v>
      </c>
      <c r="AF5037">
        <v>23</v>
      </c>
      <c r="AG5037">
        <v>1</v>
      </c>
      <c r="AH5037">
        <v>3</v>
      </c>
      <c r="AI5037">
        <v>77.59</v>
      </c>
      <c r="AL5037" t="s">
        <v>5011</v>
      </c>
      <c r="AM5037">
        <v>19088</v>
      </c>
      <c r="AS5037">
        <v>3.45</v>
      </c>
      <c r="AT5037" t="s">
        <v>25160</v>
      </c>
      <c r="AU5037" t="s">
        <v>229</v>
      </c>
      <c r="AW5037" t="s">
        <v>11447</v>
      </c>
    </row>
    <row r="5038" spans="1:49">
      <c r="A5038" s="1">
        <f>HYPERLINK("https://lsnyc.legalserver.org/matter/dynamic-profile/view/1913032","19-1913032")</f>
        <v>0</v>
      </c>
      <c r="B5038" t="s">
        <v>138</v>
      </c>
      <c r="C5038" t="s">
        <v>603</v>
      </c>
      <c r="E5038" t="s">
        <v>1425</v>
      </c>
      <c r="F5038" t="s">
        <v>6077</v>
      </c>
      <c r="G5038" t="s">
        <v>10144</v>
      </c>
      <c r="H5038" t="s">
        <v>10811</v>
      </c>
      <c r="I5038" t="s">
        <v>11387</v>
      </c>
      <c r="J5038">
        <v>11433</v>
      </c>
      <c r="K5038" t="s">
        <v>11447</v>
      </c>
      <c r="L5038" t="s">
        <v>14524</v>
      </c>
      <c r="M5038" t="s">
        <v>14743</v>
      </c>
      <c r="N5038" t="s">
        <v>14781</v>
      </c>
      <c r="P5038" t="s">
        <v>14807</v>
      </c>
      <c r="Q5038" t="s">
        <v>11448</v>
      </c>
      <c r="S5038" t="s">
        <v>14827</v>
      </c>
      <c r="T5038" t="s">
        <v>14832</v>
      </c>
      <c r="V5038">
        <v>1278</v>
      </c>
      <c r="W5038" t="s">
        <v>14861</v>
      </c>
      <c r="X5038" t="s">
        <v>14755</v>
      </c>
      <c r="Z5038" t="s">
        <v>19018</v>
      </c>
      <c r="AB5038" t="s">
        <v>24245</v>
      </c>
      <c r="AC5038">
        <v>50</v>
      </c>
      <c r="AD5038" t="s">
        <v>24596</v>
      </c>
      <c r="AE5038" t="s">
        <v>24610</v>
      </c>
      <c r="AF5038">
        <v>3</v>
      </c>
      <c r="AG5038">
        <v>1</v>
      </c>
      <c r="AH5038">
        <v>0</v>
      </c>
      <c r="AI5038">
        <v>82.15000000000001</v>
      </c>
      <c r="AL5038" t="s">
        <v>5011</v>
      </c>
      <c r="AM5038">
        <v>10260</v>
      </c>
      <c r="AS5038">
        <v>3.68</v>
      </c>
      <c r="AT5038" t="s">
        <v>521</v>
      </c>
      <c r="AU5038" t="s">
        <v>25233</v>
      </c>
      <c r="AW5038" t="s">
        <v>11447</v>
      </c>
    </row>
    <row r="5039" spans="1:49">
      <c r="A5039" s="1">
        <f>HYPERLINK("https://lsnyc.legalserver.org/matter/dynamic-profile/view/1903640","19-1903640")</f>
        <v>0</v>
      </c>
      <c r="B5039" t="s">
        <v>122</v>
      </c>
      <c r="C5039" t="s">
        <v>522</v>
      </c>
      <c r="E5039" t="s">
        <v>2166</v>
      </c>
      <c r="F5039" t="s">
        <v>5062</v>
      </c>
      <c r="G5039" t="s">
        <v>8602</v>
      </c>
      <c r="H5039" t="s">
        <v>10512</v>
      </c>
      <c r="I5039" t="s">
        <v>11387</v>
      </c>
      <c r="J5039">
        <v>11434</v>
      </c>
      <c r="K5039" t="s">
        <v>11446</v>
      </c>
      <c r="L5039" t="s">
        <v>14525</v>
      </c>
      <c r="M5039" t="s">
        <v>14744</v>
      </c>
      <c r="N5039" t="s">
        <v>14782</v>
      </c>
      <c r="P5039" t="s">
        <v>14807</v>
      </c>
      <c r="S5039" t="s">
        <v>14828</v>
      </c>
      <c r="V5039">
        <v>460</v>
      </c>
      <c r="W5039" t="s">
        <v>14861</v>
      </c>
      <c r="X5039" t="s">
        <v>14863</v>
      </c>
      <c r="Z5039" t="s">
        <v>19019</v>
      </c>
      <c r="AB5039" t="s">
        <v>24246</v>
      </c>
      <c r="AC5039">
        <v>80</v>
      </c>
      <c r="AD5039" t="s">
        <v>24602</v>
      </c>
      <c r="AF5039">
        <v>1</v>
      </c>
      <c r="AG5039">
        <v>2</v>
      </c>
      <c r="AH5039">
        <v>2</v>
      </c>
      <c r="AI5039">
        <v>82.72</v>
      </c>
      <c r="AL5039" t="s">
        <v>5011</v>
      </c>
      <c r="AM5039">
        <v>21300</v>
      </c>
      <c r="AS5039">
        <v>4</v>
      </c>
      <c r="AT5039" t="s">
        <v>626</v>
      </c>
      <c r="AU5039" t="s">
        <v>25233</v>
      </c>
      <c r="AV5039" t="s">
        <v>25335</v>
      </c>
      <c r="AW5039" t="s">
        <v>11447</v>
      </c>
    </row>
    <row r="5040" spans="1:49">
      <c r="A5040" s="1">
        <f>HYPERLINK("https://lsnyc.legalserver.org/matter/dynamic-profile/view/1865205","18-1865205")</f>
        <v>0</v>
      </c>
      <c r="B5040" t="s">
        <v>179</v>
      </c>
      <c r="C5040" t="s">
        <v>615</v>
      </c>
      <c r="E5040" t="s">
        <v>1330</v>
      </c>
      <c r="F5040" t="s">
        <v>3662</v>
      </c>
      <c r="G5040" t="s">
        <v>8516</v>
      </c>
      <c r="H5040" t="s">
        <v>10635</v>
      </c>
      <c r="I5040" t="s">
        <v>11395</v>
      </c>
      <c r="J5040">
        <v>11373</v>
      </c>
      <c r="K5040" t="s">
        <v>11446</v>
      </c>
      <c r="L5040" t="s">
        <v>14526</v>
      </c>
      <c r="M5040" t="s">
        <v>14743</v>
      </c>
      <c r="N5040" t="s">
        <v>14781</v>
      </c>
      <c r="P5040" t="s">
        <v>14807</v>
      </c>
      <c r="S5040" t="s">
        <v>14827</v>
      </c>
      <c r="V5040">
        <v>1010</v>
      </c>
      <c r="W5040" t="s">
        <v>14861</v>
      </c>
      <c r="Z5040" t="s">
        <v>17458</v>
      </c>
      <c r="AB5040" t="s">
        <v>24247</v>
      </c>
      <c r="AC5040">
        <v>0</v>
      </c>
      <c r="AD5040" t="s">
        <v>24595</v>
      </c>
      <c r="AE5040" t="s">
        <v>24611</v>
      </c>
      <c r="AF5040">
        <v>25</v>
      </c>
      <c r="AG5040">
        <v>1</v>
      </c>
      <c r="AH5040">
        <v>0</v>
      </c>
      <c r="AI5040">
        <v>82.83</v>
      </c>
      <c r="AL5040" t="s">
        <v>5011</v>
      </c>
      <c r="AM5040">
        <v>10056</v>
      </c>
      <c r="AS5040">
        <v>45.3</v>
      </c>
      <c r="AT5040" t="s">
        <v>490</v>
      </c>
      <c r="AU5040" t="s">
        <v>25231</v>
      </c>
      <c r="AV5040" t="s">
        <v>25335</v>
      </c>
      <c r="AW5040" t="s">
        <v>11447</v>
      </c>
    </row>
    <row r="5041" spans="1:49">
      <c r="A5041" s="1">
        <f>HYPERLINK("https://lsnyc.legalserver.org/matter/dynamic-profile/view/1899217","19-1899217")</f>
        <v>0</v>
      </c>
      <c r="B5041" t="s">
        <v>122</v>
      </c>
      <c r="C5041" t="s">
        <v>680</v>
      </c>
      <c r="E5041" t="s">
        <v>3150</v>
      </c>
      <c r="F5041" t="s">
        <v>3755</v>
      </c>
      <c r="G5041" t="s">
        <v>10145</v>
      </c>
      <c r="I5041" t="s">
        <v>11387</v>
      </c>
      <c r="J5041">
        <v>11434</v>
      </c>
      <c r="K5041" t="s">
        <v>11447</v>
      </c>
      <c r="L5041" t="s">
        <v>14527</v>
      </c>
      <c r="M5041" t="s">
        <v>14744</v>
      </c>
      <c r="N5041" t="s">
        <v>14781</v>
      </c>
      <c r="P5041" t="s">
        <v>14807</v>
      </c>
      <c r="S5041" t="s">
        <v>14827</v>
      </c>
      <c r="V5041">
        <v>1300</v>
      </c>
      <c r="W5041" t="s">
        <v>14861</v>
      </c>
      <c r="X5041" t="s">
        <v>14863</v>
      </c>
      <c r="Z5041" t="s">
        <v>19020</v>
      </c>
      <c r="AB5041" t="s">
        <v>24248</v>
      </c>
      <c r="AC5041">
        <v>2</v>
      </c>
      <c r="AF5041">
        <v>2</v>
      </c>
      <c r="AG5041">
        <v>1</v>
      </c>
      <c r="AH5041">
        <v>0</v>
      </c>
      <c r="AI5041">
        <v>83.27</v>
      </c>
      <c r="AL5041" t="s">
        <v>5011</v>
      </c>
      <c r="AM5041">
        <v>10400</v>
      </c>
      <c r="AS5041">
        <v>4.45</v>
      </c>
      <c r="AT5041" t="s">
        <v>538</v>
      </c>
      <c r="AU5041" t="s">
        <v>25241</v>
      </c>
      <c r="AW5041" t="s">
        <v>11447</v>
      </c>
    </row>
    <row r="5042" spans="1:49">
      <c r="A5042" s="1">
        <f>HYPERLINK("https://lsnyc.legalserver.org/matter/dynamic-profile/view/1907597","19-1907597")</f>
        <v>0</v>
      </c>
      <c r="B5042" t="s">
        <v>122</v>
      </c>
      <c r="C5042" t="s">
        <v>630</v>
      </c>
      <c r="E5042" t="s">
        <v>3407</v>
      </c>
      <c r="F5042" t="s">
        <v>6078</v>
      </c>
      <c r="G5042" t="s">
        <v>10146</v>
      </c>
      <c r="H5042" t="s">
        <v>10486</v>
      </c>
      <c r="I5042" t="s">
        <v>11387</v>
      </c>
      <c r="J5042">
        <v>11434</v>
      </c>
      <c r="K5042" t="s">
        <v>11446</v>
      </c>
      <c r="L5042" t="s">
        <v>14528</v>
      </c>
      <c r="M5042" t="s">
        <v>14743</v>
      </c>
      <c r="N5042" t="s">
        <v>14781</v>
      </c>
      <c r="P5042" t="s">
        <v>14807</v>
      </c>
      <c r="Q5042" t="s">
        <v>11446</v>
      </c>
      <c r="S5042" t="s">
        <v>14827</v>
      </c>
      <c r="T5042" t="s">
        <v>14832</v>
      </c>
      <c r="V5042">
        <v>650</v>
      </c>
      <c r="W5042" t="s">
        <v>14861</v>
      </c>
      <c r="X5042" t="s">
        <v>14865</v>
      </c>
      <c r="Z5042" t="s">
        <v>19021</v>
      </c>
      <c r="AA5042" t="s">
        <v>20082</v>
      </c>
      <c r="AB5042" t="s">
        <v>24249</v>
      </c>
      <c r="AC5042">
        <v>2</v>
      </c>
      <c r="AD5042" t="s">
        <v>24600</v>
      </c>
      <c r="AE5042" t="s">
        <v>11459</v>
      </c>
      <c r="AF5042">
        <v>1</v>
      </c>
      <c r="AG5042">
        <v>1</v>
      </c>
      <c r="AH5042">
        <v>1</v>
      </c>
      <c r="AI5042">
        <v>85.16</v>
      </c>
      <c r="AL5042" t="s">
        <v>5011</v>
      </c>
      <c r="AM5042">
        <v>14400</v>
      </c>
      <c r="AS5042">
        <v>14.28</v>
      </c>
      <c r="AT5042" t="s">
        <v>486</v>
      </c>
      <c r="AU5042" t="s">
        <v>25233</v>
      </c>
      <c r="AV5042" t="s">
        <v>25335</v>
      </c>
      <c r="AW5042" t="s">
        <v>11447</v>
      </c>
    </row>
    <row r="5043" spans="1:49">
      <c r="A5043" s="1">
        <f>HYPERLINK("https://lsnyc.legalserver.org/matter/dynamic-profile/view/1912282","19-1912282")</f>
        <v>0</v>
      </c>
      <c r="B5043" t="s">
        <v>291</v>
      </c>
      <c r="C5043" t="s">
        <v>559</v>
      </c>
      <c r="E5043" t="s">
        <v>1337</v>
      </c>
      <c r="F5043" t="s">
        <v>5360</v>
      </c>
      <c r="G5043" t="s">
        <v>10147</v>
      </c>
      <c r="H5043" t="s">
        <v>10450</v>
      </c>
      <c r="I5043" t="s">
        <v>11387</v>
      </c>
      <c r="J5043">
        <v>11433</v>
      </c>
      <c r="K5043" t="s">
        <v>11446</v>
      </c>
      <c r="L5043" t="s">
        <v>14529</v>
      </c>
      <c r="M5043" t="s">
        <v>14744</v>
      </c>
      <c r="N5043" t="s">
        <v>14782</v>
      </c>
      <c r="P5043" t="s">
        <v>14807</v>
      </c>
      <c r="Q5043" t="s">
        <v>11448</v>
      </c>
      <c r="S5043" t="s">
        <v>14828</v>
      </c>
      <c r="V5043">
        <v>300</v>
      </c>
      <c r="W5043" t="s">
        <v>14861</v>
      </c>
      <c r="X5043" t="s">
        <v>14863</v>
      </c>
      <c r="Z5043" t="s">
        <v>19022</v>
      </c>
      <c r="AB5043" t="s">
        <v>24250</v>
      </c>
      <c r="AC5043">
        <v>9</v>
      </c>
      <c r="AD5043" t="s">
        <v>24602</v>
      </c>
      <c r="AE5043" t="s">
        <v>11459</v>
      </c>
      <c r="AF5043">
        <v>23</v>
      </c>
      <c r="AG5043">
        <v>1</v>
      </c>
      <c r="AH5043">
        <v>0</v>
      </c>
      <c r="AI5043">
        <v>86.47</v>
      </c>
      <c r="AL5043" t="s">
        <v>5011</v>
      </c>
      <c r="AM5043">
        <v>10800</v>
      </c>
      <c r="AS5043">
        <v>2.2</v>
      </c>
      <c r="AT5043" t="s">
        <v>509</v>
      </c>
      <c r="AU5043" t="s">
        <v>25233</v>
      </c>
      <c r="AV5043" t="s">
        <v>25335</v>
      </c>
      <c r="AW5043" t="s">
        <v>11447</v>
      </c>
    </row>
    <row r="5044" spans="1:49">
      <c r="A5044" s="1">
        <f>HYPERLINK("https://lsnyc.legalserver.org/matter/dynamic-profile/view/1910109","19-1910109")</f>
        <v>0</v>
      </c>
      <c r="B5044" t="s">
        <v>294</v>
      </c>
      <c r="C5044" t="s">
        <v>471</v>
      </c>
      <c r="E5044" t="s">
        <v>3408</v>
      </c>
      <c r="F5044" t="s">
        <v>4341</v>
      </c>
      <c r="G5044" t="s">
        <v>10022</v>
      </c>
      <c r="H5044" t="s">
        <v>10638</v>
      </c>
      <c r="I5044" t="s">
        <v>11395</v>
      </c>
      <c r="J5044">
        <v>11373</v>
      </c>
      <c r="K5044" t="s">
        <v>11446</v>
      </c>
      <c r="L5044" t="s">
        <v>14530</v>
      </c>
      <c r="M5044" t="s">
        <v>14744</v>
      </c>
      <c r="N5044" t="s">
        <v>14781</v>
      </c>
      <c r="P5044" t="s">
        <v>14807</v>
      </c>
      <c r="S5044" t="s">
        <v>14827</v>
      </c>
      <c r="V5044">
        <v>1900</v>
      </c>
      <c r="W5044" t="s">
        <v>14861</v>
      </c>
      <c r="X5044" t="s">
        <v>14863</v>
      </c>
      <c r="Z5044" t="s">
        <v>19023</v>
      </c>
      <c r="AB5044" t="s">
        <v>24251</v>
      </c>
      <c r="AC5044">
        <v>120</v>
      </c>
      <c r="AD5044" t="s">
        <v>24595</v>
      </c>
      <c r="AE5044" t="s">
        <v>11459</v>
      </c>
      <c r="AF5044">
        <v>30</v>
      </c>
      <c r="AG5044">
        <v>4</v>
      </c>
      <c r="AH5044">
        <v>1</v>
      </c>
      <c r="AI5044">
        <v>91.48</v>
      </c>
      <c r="AL5044" t="s">
        <v>5011</v>
      </c>
      <c r="AM5044">
        <v>27600</v>
      </c>
      <c r="AS5044">
        <v>8.18</v>
      </c>
      <c r="AT5044" t="s">
        <v>476</v>
      </c>
      <c r="AU5044" t="s">
        <v>25233</v>
      </c>
      <c r="AV5044" t="s">
        <v>25335</v>
      </c>
      <c r="AW5044" t="s">
        <v>11447</v>
      </c>
    </row>
    <row r="5045" spans="1:49">
      <c r="A5045" s="1">
        <f>HYPERLINK("https://lsnyc.legalserver.org/matter/dynamic-profile/view/1855085","18-1855085")</f>
        <v>0</v>
      </c>
      <c r="B5045" t="s">
        <v>179</v>
      </c>
      <c r="C5045" t="s">
        <v>436</v>
      </c>
      <c r="E5045" t="s">
        <v>2079</v>
      </c>
      <c r="F5045" t="s">
        <v>6079</v>
      </c>
      <c r="G5045" t="s">
        <v>10148</v>
      </c>
      <c r="H5045" t="s">
        <v>11324</v>
      </c>
      <c r="I5045" t="s">
        <v>11387</v>
      </c>
      <c r="J5045">
        <v>11434</v>
      </c>
      <c r="K5045" t="s">
        <v>11446</v>
      </c>
      <c r="L5045" t="s">
        <v>14531</v>
      </c>
      <c r="M5045" t="s">
        <v>14744</v>
      </c>
      <c r="N5045" t="s">
        <v>14782</v>
      </c>
      <c r="P5045" t="s">
        <v>14807</v>
      </c>
      <c r="Q5045" t="s">
        <v>11448</v>
      </c>
      <c r="S5045" t="s">
        <v>14827</v>
      </c>
      <c r="V5045">
        <v>987.21</v>
      </c>
      <c r="W5045" t="s">
        <v>14861</v>
      </c>
      <c r="X5045" t="s">
        <v>14882</v>
      </c>
      <c r="Z5045" t="s">
        <v>19024</v>
      </c>
      <c r="AA5045" t="s">
        <v>20083</v>
      </c>
      <c r="AB5045" t="s">
        <v>24252</v>
      </c>
      <c r="AC5045">
        <v>273</v>
      </c>
      <c r="AE5045" t="s">
        <v>11459</v>
      </c>
      <c r="AF5045">
        <v>33</v>
      </c>
      <c r="AG5045">
        <v>2</v>
      </c>
      <c r="AH5045">
        <v>3</v>
      </c>
      <c r="AI5045">
        <v>91.76000000000001</v>
      </c>
      <c r="AL5045" t="s">
        <v>5011</v>
      </c>
      <c r="AM5045">
        <v>26408</v>
      </c>
      <c r="AS5045">
        <v>17.3</v>
      </c>
      <c r="AT5045" t="s">
        <v>861</v>
      </c>
      <c r="AU5045" t="s">
        <v>292</v>
      </c>
      <c r="AW5045" t="s">
        <v>11447</v>
      </c>
    </row>
    <row r="5046" spans="1:49">
      <c r="A5046" s="1">
        <f>HYPERLINK("https://lsnyc.legalserver.org/matter/dynamic-profile/view/1915075","19-1915075")</f>
        <v>0</v>
      </c>
      <c r="B5046" t="s">
        <v>147</v>
      </c>
      <c r="C5046" t="s">
        <v>521</v>
      </c>
      <c r="E5046" t="s">
        <v>1211</v>
      </c>
      <c r="F5046" t="s">
        <v>6080</v>
      </c>
      <c r="G5046" t="s">
        <v>10149</v>
      </c>
      <c r="H5046" t="s">
        <v>10486</v>
      </c>
      <c r="I5046" t="s">
        <v>11387</v>
      </c>
      <c r="J5046">
        <v>11434</v>
      </c>
      <c r="K5046" t="s">
        <v>11446</v>
      </c>
      <c r="L5046" t="s">
        <v>14532</v>
      </c>
      <c r="M5046" t="s">
        <v>14743</v>
      </c>
      <c r="N5046" t="s">
        <v>14781</v>
      </c>
      <c r="P5046" t="s">
        <v>14807</v>
      </c>
      <c r="Q5046" t="s">
        <v>11448</v>
      </c>
      <c r="S5046" t="s">
        <v>14827</v>
      </c>
      <c r="V5046">
        <v>500</v>
      </c>
      <c r="W5046" t="s">
        <v>14861</v>
      </c>
      <c r="X5046" t="s">
        <v>14863</v>
      </c>
      <c r="Z5046" t="s">
        <v>19025</v>
      </c>
      <c r="AB5046" t="s">
        <v>24253</v>
      </c>
      <c r="AC5046">
        <v>0</v>
      </c>
      <c r="AD5046" t="s">
        <v>24600</v>
      </c>
      <c r="AF5046">
        <v>-1</v>
      </c>
      <c r="AG5046">
        <v>1</v>
      </c>
      <c r="AH5046">
        <v>0</v>
      </c>
      <c r="AI5046">
        <v>96.08</v>
      </c>
      <c r="AL5046" t="s">
        <v>5011</v>
      </c>
      <c r="AM5046">
        <v>12000</v>
      </c>
      <c r="AS5046">
        <v>3.33</v>
      </c>
      <c r="AT5046" t="s">
        <v>495</v>
      </c>
      <c r="AU5046" t="s">
        <v>25233</v>
      </c>
      <c r="AV5046" t="s">
        <v>25335</v>
      </c>
      <c r="AW5046" t="s">
        <v>11447</v>
      </c>
    </row>
    <row r="5047" spans="1:49">
      <c r="A5047" s="1">
        <f>HYPERLINK("https://lsnyc.legalserver.org/matter/dynamic-profile/view/1902402","19-1902402")</f>
        <v>0</v>
      </c>
      <c r="B5047" t="s">
        <v>293</v>
      </c>
      <c r="C5047" t="s">
        <v>362</v>
      </c>
      <c r="E5047" t="s">
        <v>3409</v>
      </c>
      <c r="F5047" t="s">
        <v>3848</v>
      </c>
      <c r="G5047" t="s">
        <v>10150</v>
      </c>
      <c r="H5047" t="s">
        <v>11325</v>
      </c>
      <c r="I5047" t="s">
        <v>11387</v>
      </c>
      <c r="J5047">
        <v>11433</v>
      </c>
      <c r="K5047" t="s">
        <v>11446</v>
      </c>
      <c r="L5047" t="s">
        <v>14533</v>
      </c>
      <c r="M5047" t="s">
        <v>14743</v>
      </c>
      <c r="N5047" t="s">
        <v>14781</v>
      </c>
      <c r="P5047" t="s">
        <v>14807</v>
      </c>
      <c r="Q5047" t="s">
        <v>11448</v>
      </c>
      <c r="S5047" t="s">
        <v>14827</v>
      </c>
      <c r="V5047">
        <v>800</v>
      </c>
      <c r="W5047" t="s">
        <v>14861</v>
      </c>
      <c r="X5047" t="s">
        <v>14863</v>
      </c>
      <c r="Z5047" t="s">
        <v>19026</v>
      </c>
      <c r="AA5047" t="s">
        <v>11459</v>
      </c>
      <c r="AB5047" t="s">
        <v>24254</v>
      </c>
      <c r="AC5047">
        <v>0</v>
      </c>
      <c r="AD5047" t="s">
        <v>24600</v>
      </c>
      <c r="AE5047" t="s">
        <v>11459</v>
      </c>
      <c r="AF5047">
        <v>1</v>
      </c>
      <c r="AG5047">
        <v>1</v>
      </c>
      <c r="AH5047">
        <v>0</v>
      </c>
      <c r="AI5047">
        <v>96.08</v>
      </c>
      <c r="AL5047" t="s">
        <v>24632</v>
      </c>
      <c r="AM5047">
        <v>12000</v>
      </c>
      <c r="AS5047">
        <v>8.34</v>
      </c>
      <c r="AT5047" t="s">
        <v>379</v>
      </c>
      <c r="AU5047" t="s">
        <v>25233</v>
      </c>
      <c r="AV5047" t="s">
        <v>25335</v>
      </c>
      <c r="AW5047" t="s">
        <v>11447</v>
      </c>
    </row>
    <row r="5048" spans="1:49">
      <c r="A5048" s="1">
        <f>HYPERLINK("https://lsnyc.legalserver.org/matter/dynamic-profile/view/1888160","19-1888160")</f>
        <v>0</v>
      </c>
      <c r="B5048" t="s">
        <v>147</v>
      </c>
      <c r="C5048" t="s">
        <v>584</v>
      </c>
      <c r="E5048" t="s">
        <v>3410</v>
      </c>
      <c r="F5048" t="s">
        <v>6081</v>
      </c>
      <c r="G5048" t="s">
        <v>10151</v>
      </c>
      <c r="H5048" t="s">
        <v>10542</v>
      </c>
      <c r="I5048" t="s">
        <v>11395</v>
      </c>
      <c r="J5048">
        <v>11373</v>
      </c>
      <c r="K5048" t="s">
        <v>11446</v>
      </c>
      <c r="L5048" t="s">
        <v>14534</v>
      </c>
      <c r="M5048" t="s">
        <v>14744</v>
      </c>
      <c r="N5048" t="s">
        <v>14781</v>
      </c>
      <c r="P5048" t="s">
        <v>14807</v>
      </c>
      <c r="Q5048" t="s">
        <v>11446</v>
      </c>
      <c r="S5048" t="s">
        <v>14827</v>
      </c>
      <c r="T5048" t="s">
        <v>14832</v>
      </c>
      <c r="V5048">
        <v>1275</v>
      </c>
      <c r="W5048" t="s">
        <v>14861</v>
      </c>
      <c r="X5048" t="s">
        <v>14863</v>
      </c>
      <c r="Z5048" t="s">
        <v>19027</v>
      </c>
      <c r="AB5048" t="s">
        <v>24255</v>
      </c>
      <c r="AC5048">
        <v>0</v>
      </c>
      <c r="AF5048">
        <v>8</v>
      </c>
      <c r="AG5048">
        <v>1</v>
      </c>
      <c r="AH5048">
        <v>1</v>
      </c>
      <c r="AI5048">
        <v>97.20999999999999</v>
      </c>
      <c r="AL5048" t="s">
        <v>24632</v>
      </c>
      <c r="AM5048">
        <v>16000</v>
      </c>
      <c r="AS5048">
        <v>12.3</v>
      </c>
      <c r="AT5048" t="s">
        <v>663</v>
      </c>
      <c r="AU5048" t="s">
        <v>124</v>
      </c>
      <c r="AW5048" t="s">
        <v>11446</v>
      </c>
    </row>
    <row r="5049" spans="1:49">
      <c r="A5049" s="1">
        <f>HYPERLINK("https://lsnyc.legalserver.org/matter/dynamic-profile/view/1902731","19-1902731")</f>
        <v>0</v>
      </c>
      <c r="B5049" t="s">
        <v>122</v>
      </c>
      <c r="C5049" t="s">
        <v>527</v>
      </c>
      <c r="E5049" t="s">
        <v>1086</v>
      </c>
      <c r="F5049" t="s">
        <v>3547</v>
      </c>
      <c r="G5049" t="s">
        <v>10152</v>
      </c>
      <c r="H5049" t="s">
        <v>10648</v>
      </c>
      <c r="I5049" t="s">
        <v>11388</v>
      </c>
      <c r="J5049">
        <v>11385</v>
      </c>
      <c r="K5049" t="s">
        <v>11446</v>
      </c>
      <c r="L5049" t="s">
        <v>14535</v>
      </c>
      <c r="M5049" t="s">
        <v>14743</v>
      </c>
      <c r="N5049" t="s">
        <v>14781</v>
      </c>
      <c r="P5049" t="s">
        <v>14807</v>
      </c>
      <c r="Q5049" t="s">
        <v>11448</v>
      </c>
      <c r="S5049" t="s">
        <v>14827</v>
      </c>
      <c r="T5049" t="s">
        <v>14832</v>
      </c>
      <c r="V5049">
        <v>1800</v>
      </c>
      <c r="W5049" t="s">
        <v>14861</v>
      </c>
      <c r="X5049" t="s">
        <v>14865</v>
      </c>
      <c r="Z5049" t="s">
        <v>19028</v>
      </c>
      <c r="AB5049" t="s">
        <v>24256</v>
      </c>
      <c r="AC5049">
        <v>2</v>
      </c>
      <c r="AD5049" t="s">
        <v>11479</v>
      </c>
      <c r="AE5049" t="s">
        <v>11459</v>
      </c>
      <c r="AF5049">
        <v>1</v>
      </c>
      <c r="AG5049">
        <v>4</v>
      </c>
      <c r="AH5049">
        <v>0</v>
      </c>
      <c r="AI5049">
        <v>103.77</v>
      </c>
      <c r="AL5049" t="s">
        <v>5011</v>
      </c>
      <c r="AM5049">
        <v>26720</v>
      </c>
      <c r="AS5049">
        <v>18.6</v>
      </c>
      <c r="AT5049" t="s">
        <v>468</v>
      </c>
      <c r="AU5049" t="s">
        <v>25233</v>
      </c>
      <c r="AV5049" t="s">
        <v>25335</v>
      </c>
      <c r="AW5049" t="s">
        <v>11447</v>
      </c>
    </row>
    <row r="5050" spans="1:49">
      <c r="A5050" s="1">
        <f>HYPERLINK("https://lsnyc.legalserver.org/matter/dynamic-profile/view/1908461","19-1908461")</f>
        <v>0</v>
      </c>
      <c r="B5050" t="s">
        <v>138</v>
      </c>
      <c r="C5050" t="s">
        <v>466</v>
      </c>
      <c r="E5050" t="s">
        <v>3411</v>
      </c>
      <c r="F5050" t="s">
        <v>4363</v>
      </c>
      <c r="G5050" t="s">
        <v>10144</v>
      </c>
      <c r="I5050" t="s">
        <v>11387</v>
      </c>
      <c r="J5050">
        <v>11433</v>
      </c>
      <c r="K5050" t="s">
        <v>11446</v>
      </c>
      <c r="L5050" t="s">
        <v>14536</v>
      </c>
      <c r="M5050" t="s">
        <v>14743</v>
      </c>
      <c r="N5050" t="s">
        <v>14782</v>
      </c>
      <c r="P5050" t="s">
        <v>14807</v>
      </c>
      <c r="S5050" t="s">
        <v>14827</v>
      </c>
      <c r="V5050">
        <v>0</v>
      </c>
      <c r="W5050" t="s">
        <v>14861</v>
      </c>
      <c r="X5050" t="s">
        <v>14863</v>
      </c>
      <c r="Z5050" t="s">
        <v>19029</v>
      </c>
      <c r="AB5050" t="s">
        <v>24257</v>
      </c>
      <c r="AC5050">
        <v>0</v>
      </c>
      <c r="AF5050">
        <v>2</v>
      </c>
      <c r="AG5050">
        <v>1</v>
      </c>
      <c r="AH5050">
        <v>0</v>
      </c>
      <c r="AI5050">
        <v>104.08</v>
      </c>
      <c r="AL5050" t="s">
        <v>5011</v>
      </c>
      <c r="AM5050">
        <v>13000</v>
      </c>
      <c r="AS5050">
        <v>2.52</v>
      </c>
      <c r="AT5050" t="s">
        <v>586</v>
      </c>
      <c r="AU5050" t="s">
        <v>25233</v>
      </c>
      <c r="AV5050" t="s">
        <v>25335</v>
      </c>
      <c r="AW5050" t="s">
        <v>11447</v>
      </c>
    </row>
    <row r="5051" spans="1:49">
      <c r="A5051" s="1">
        <f>HYPERLINK("https://lsnyc.legalserver.org/matter/dynamic-profile/view/1879471","18-1879471")</f>
        <v>0</v>
      </c>
      <c r="B5051" t="s">
        <v>179</v>
      </c>
      <c r="C5051" t="s">
        <v>815</v>
      </c>
      <c r="E5051" t="s">
        <v>1025</v>
      </c>
      <c r="F5051" t="s">
        <v>3743</v>
      </c>
      <c r="G5051" t="s">
        <v>10153</v>
      </c>
      <c r="H5051" t="s">
        <v>10547</v>
      </c>
      <c r="I5051" t="s">
        <v>11395</v>
      </c>
      <c r="J5051">
        <v>11373</v>
      </c>
      <c r="K5051" t="s">
        <v>11446</v>
      </c>
      <c r="L5051" t="s">
        <v>14537</v>
      </c>
      <c r="M5051" t="s">
        <v>14744</v>
      </c>
      <c r="N5051" t="s">
        <v>14782</v>
      </c>
      <c r="P5051" t="s">
        <v>14807</v>
      </c>
      <c r="Q5051" t="s">
        <v>11446</v>
      </c>
      <c r="S5051" t="s">
        <v>14827</v>
      </c>
      <c r="T5051" t="s">
        <v>14832</v>
      </c>
      <c r="V5051">
        <v>971</v>
      </c>
      <c r="W5051" t="s">
        <v>14861</v>
      </c>
      <c r="X5051" t="s">
        <v>14863</v>
      </c>
      <c r="Z5051" t="s">
        <v>19030</v>
      </c>
      <c r="AB5051" t="s">
        <v>24258</v>
      </c>
      <c r="AC5051">
        <v>35</v>
      </c>
      <c r="AE5051" t="s">
        <v>24613</v>
      </c>
      <c r="AF5051">
        <v>30</v>
      </c>
      <c r="AG5051">
        <v>2</v>
      </c>
      <c r="AH5051">
        <v>1</v>
      </c>
      <c r="AI5051">
        <v>115.19</v>
      </c>
      <c r="AL5051" t="s">
        <v>24632</v>
      </c>
      <c r="AM5051">
        <v>23936</v>
      </c>
      <c r="AS5051">
        <v>2.15</v>
      </c>
      <c r="AT5051" t="s">
        <v>730</v>
      </c>
      <c r="AU5051" t="s">
        <v>124</v>
      </c>
      <c r="AW5051" t="s">
        <v>11446</v>
      </c>
    </row>
    <row r="5052" spans="1:49">
      <c r="A5052" s="1">
        <f>HYPERLINK("https://lsnyc.legalserver.org/matter/dynamic-profile/view/1894703","19-1894703")</f>
        <v>0</v>
      </c>
      <c r="B5052" t="s">
        <v>225</v>
      </c>
      <c r="C5052" t="s">
        <v>339</v>
      </c>
      <c r="E5052" t="s">
        <v>1092</v>
      </c>
      <c r="F5052" t="s">
        <v>6082</v>
      </c>
      <c r="G5052" t="s">
        <v>10154</v>
      </c>
      <c r="H5052" t="s">
        <v>11326</v>
      </c>
      <c r="I5052" t="s">
        <v>11387</v>
      </c>
      <c r="J5052">
        <v>11434</v>
      </c>
      <c r="K5052" t="s">
        <v>11446</v>
      </c>
      <c r="L5052" t="s">
        <v>14538</v>
      </c>
      <c r="M5052" t="s">
        <v>14744</v>
      </c>
      <c r="N5052" t="s">
        <v>14781</v>
      </c>
      <c r="P5052" t="s">
        <v>14807</v>
      </c>
      <c r="Q5052" t="s">
        <v>11448</v>
      </c>
      <c r="S5052" t="s">
        <v>14827</v>
      </c>
      <c r="T5052" t="s">
        <v>14832</v>
      </c>
      <c r="V5052">
        <v>1366.68</v>
      </c>
      <c r="W5052" t="s">
        <v>14861</v>
      </c>
      <c r="X5052" t="s">
        <v>14863</v>
      </c>
      <c r="Z5052" t="s">
        <v>19031</v>
      </c>
      <c r="AB5052" t="s">
        <v>24259</v>
      </c>
      <c r="AC5052">
        <v>32</v>
      </c>
      <c r="AD5052" t="s">
        <v>24595</v>
      </c>
      <c r="AE5052" t="s">
        <v>11459</v>
      </c>
      <c r="AF5052">
        <v>5</v>
      </c>
      <c r="AG5052">
        <v>1</v>
      </c>
      <c r="AH5052">
        <v>0</v>
      </c>
      <c r="AI5052">
        <v>115.29</v>
      </c>
      <c r="AL5052" t="s">
        <v>5011</v>
      </c>
      <c r="AM5052">
        <v>14400</v>
      </c>
      <c r="AS5052">
        <v>21.75</v>
      </c>
      <c r="AT5052" t="s">
        <v>593</v>
      </c>
      <c r="AU5052" t="s">
        <v>83</v>
      </c>
      <c r="AW5052" t="s">
        <v>11446</v>
      </c>
    </row>
    <row r="5053" spans="1:49">
      <c r="A5053" s="1">
        <f>HYPERLINK("https://lsnyc.legalserver.org/matter/dynamic-profile/view/1905254","19-1905254")</f>
        <v>0</v>
      </c>
      <c r="B5053" t="s">
        <v>204</v>
      </c>
      <c r="C5053" t="s">
        <v>480</v>
      </c>
      <c r="E5053" t="s">
        <v>1653</v>
      </c>
      <c r="F5053" t="s">
        <v>6083</v>
      </c>
      <c r="G5053" t="s">
        <v>10110</v>
      </c>
      <c r="I5053" t="s">
        <v>11387</v>
      </c>
      <c r="J5053">
        <v>11434</v>
      </c>
      <c r="K5053" t="s">
        <v>11446</v>
      </c>
      <c r="L5053" t="s">
        <v>14539</v>
      </c>
      <c r="M5053" t="s">
        <v>14743</v>
      </c>
      <c r="N5053" t="s">
        <v>14781</v>
      </c>
      <c r="P5053" t="s">
        <v>14807</v>
      </c>
      <c r="Q5053" t="s">
        <v>11448</v>
      </c>
      <c r="S5053" t="s">
        <v>14827</v>
      </c>
      <c r="T5053" t="s">
        <v>14832</v>
      </c>
      <c r="V5053">
        <v>1600</v>
      </c>
      <c r="W5053" t="s">
        <v>14861</v>
      </c>
      <c r="X5053" t="s">
        <v>14863</v>
      </c>
      <c r="Z5053" t="s">
        <v>19032</v>
      </c>
      <c r="AB5053" t="s">
        <v>24260</v>
      </c>
      <c r="AC5053">
        <v>0</v>
      </c>
      <c r="AE5053" t="s">
        <v>11459</v>
      </c>
      <c r="AF5053">
        <v>-1</v>
      </c>
      <c r="AG5053">
        <v>2</v>
      </c>
      <c r="AH5053">
        <v>4</v>
      </c>
      <c r="AI5053">
        <v>115.64</v>
      </c>
      <c r="AL5053" t="s">
        <v>5011</v>
      </c>
      <c r="AM5053">
        <v>40000</v>
      </c>
      <c r="AS5053">
        <v>36.62</v>
      </c>
      <c r="AT5053" t="s">
        <v>516</v>
      </c>
      <c r="AU5053" t="s">
        <v>25233</v>
      </c>
      <c r="AV5053" t="s">
        <v>25335</v>
      </c>
      <c r="AW5053" t="s">
        <v>11447</v>
      </c>
    </row>
    <row r="5054" spans="1:49">
      <c r="A5054" s="1">
        <f>HYPERLINK("https://lsnyc.legalserver.org/matter/dynamic-profile/view/1890918","19-1890918")</f>
        <v>0</v>
      </c>
      <c r="B5054" t="s">
        <v>209</v>
      </c>
      <c r="C5054" t="s">
        <v>877</v>
      </c>
      <c r="E5054" t="s">
        <v>1416</v>
      </c>
      <c r="F5054" t="s">
        <v>2002</v>
      </c>
      <c r="G5054" t="s">
        <v>10155</v>
      </c>
      <c r="H5054" t="s">
        <v>11327</v>
      </c>
      <c r="I5054" t="s">
        <v>11388</v>
      </c>
      <c r="J5054">
        <v>11385</v>
      </c>
      <c r="K5054" t="s">
        <v>11446</v>
      </c>
      <c r="L5054" t="s">
        <v>14540</v>
      </c>
      <c r="M5054" t="s">
        <v>14744</v>
      </c>
      <c r="N5054" t="s">
        <v>14778</v>
      </c>
      <c r="P5054" t="s">
        <v>14807</v>
      </c>
      <c r="Q5054" t="s">
        <v>11448</v>
      </c>
      <c r="S5054" t="s">
        <v>14827</v>
      </c>
      <c r="T5054" t="s">
        <v>14836</v>
      </c>
      <c r="V5054">
        <v>1508</v>
      </c>
      <c r="W5054" t="s">
        <v>14861</v>
      </c>
      <c r="X5054" t="s">
        <v>14865</v>
      </c>
      <c r="Z5054" t="s">
        <v>19033</v>
      </c>
      <c r="AB5054" t="s">
        <v>24261</v>
      </c>
      <c r="AC5054">
        <v>0</v>
      </c>
      <c r="AD5054" t="s">
        <v>24595</v>
      </c>
      <c r="AF5054">
        <v>0</v>
      </c>
      <c r="AG5054">
        <v>1</v>
      </c>
      <c r="AH5054">
        <v>1</v>
      </c>
      <c r="AI5054">
        <v>119.31</v>
      </c>
      <c r="AM5054">
        <v>20176</v>
      </c>
      <c r="AS5054">
        <v>0.6</v>
      </c>
      <c r="AT5054" t="s">
        <v>708</v>
      </c>
      <c r="AU5054" t="s">
        <v>209</v>
      </c>
      <c r="AW5054" t="s">
        <v>11446</v>
      </c>
    </row>
    <row r="5055" spans="1:49">
      <c r="A5055" s="1">
        <f>HYPERLINK("https://lsnyc.legalserver.org/matter/dynamic-profile/view/1913336","19-1913336")</f>
        <v>0</v>
      </c>
      <c r="B5055" t="s">
        <v>147</v>
      </c>
      <c r="C5055" t="s">
        <v>483</v>
      </c>
      <c r="E5055" t="s">
        <v>1361</v>
      </c>
      <c r="F5055" t="s">
        <v>3729</v>
      </c>
      <c r="G5055" t="s">
        <v>10156</v>
      </c>
      <c r="H5055" t="s">
        <v>10464</v>
      </c>
      <c r="I5055" t="s">
        <v>11387</v>
      </c>
      <c r="J5055">
        <v>11435</v>
      </c>
      <c r="K5055" t="s">
        <v>11446</v>
      </c>
      <c r="L5055" t="s">
        <v>14541</v>
      </c>
      <c r="M5055" t="s">
        <v>14744</v>
      </c>
      <c r="N5055" t="s">
        <v>14782</v>
      </c>
      <c r="P5055" t="s">
        <v>14807</v>
      </c>
      <c r="Q5055" t="s">
        <v>11448</v>
      </c>
      <c r="S5055" t="s">
        <v>14827</v>
      </c>
      <c r="V5055">
        <v>1016.33</v>
      </c>
      <c r="W5055" t="s">
        <v>14861</v>
      </c>
      <c r="X5055" t="s">
        <v>14865</v>
      </c>
      <c r="Z5055" t="s">
        <v>19034</v>
      </c>
      <c r="AB5055" t="s">
        <v>24262</v>
      </c>
      <c r="AC5055">
        <v>35</v>
      </c>
      <c r="AD5055" t="s">
        <v>11479</v>
      </c>
      <c r="AE5055" t="s">
        <v>11459</v>
      </c>
      <c r="AF5055">
        <v>30</v>
      </c>
      <c r="AG5055">
        <v>1</v>
      </c>
      <c r="AH5055">
        <v>0</v>
      </c>
      <c r="AI5055">
        <v>124.32</v>
      </c>
      <c r="AL5055" t="s">
        <v>24632</v>
      </c>
      <c r="AM5055">
        <v>15528</v>
      </c>
      <c r="AS5055">
        <v>2.9</v>
      </c>
      <c r="AT5055" t="s">
        <v>521</v>
      </c>
      <c r="AU5055" t="s">
        <v>25233</v>
      </c>
      <c r="AV5055" t="s">
        <v>25335</v>
      </c>
      <c r="AW5055" t="s">
        <v>11447</v>
      </c>
    </row>
    <row r="5056" spans="1:49">
      <c r="A5056" s="1">
        <f>HYPERLINK("https://lsnyc.legalserver.org/matter/dynamic-profile/view/1903600","19-1903600")</f>
        <v>0</v>
      </c>
      <c r="B5056" t="s">
        <v>147</v>
      </c>
      <c r="C5056" t="s">
        <v>631</v>
      </c>
      <c r="E5056" t="s">
        <v>1916</v>
      </c>
      <c r="F5056" t="s">
        <v>4298</v>
      </c>
      <c r="G5056" t="s">
        <v>10157</v>
      </c>
      <c r="H5056" t="s">
        <v>11004</v>
      </c>
      <c r="I5056" t="s">
        <v>11395</v>
      </c>
      <c r="J5056">
        <v>11373</v>
      </c>
      <c r="K5056" t="s">
        <v>11446</v>
      </c>
      <c r="L5056" t="s">
        <v>14542</v>
      </c>
      <c r="M5056" t="s">
        <v>14743</v>
      </c>
      <c r="N5056" t="s">
        <v>14781</v>
      </c>
      <c r="P5056" t="s">
        <v>14807</v>
      </c>
      <c r="Q5056" t="s">
        <v>11446</v>
      </c>
      <c r="S5056" t="s">
        <v>14827</v>
      </c>
      <c r="T5056" t="s">
        <v>14832</v>
      </c>
      <c r="V5056">
        <v>2044</v>
      </c>
      <c r="W5056" t="s">
        <v>14861</v>
      </c>
      <c r="X5056" t="s">
        <v>14863</v>
      </c>
      <c r="Z5056" t="s">
        <v>19035</v>
      </c>
      <c r="AB5056" t="s">
        <v>24263</v>
      </c>
      <c r="AC5056">
        <v>50</v>
      </c>
      <c r="AD5056" t="s">
        <v>24595</v>
      </c>
      <c r="AF5056">
        <v>6</v>
      </c>
      <c r="AG5056">
        <v>2</v>
      </c>
      <c r="AH5056">
        <v>0</v>
      </c>
      <c r="AI5056">
        <v>127.74</v>
      </c>
      <c r="AL5056" t="s">
        <v>24632</v>
      </c>
      <c r="AM5056">
        <v>21600</v>
      </c>
      <c r="AS5056">
        <v>46.13</v>
      </c>
      <c r="AT5056" t="s">
        <v>495</v>
      </c>
      <c r="AU5056" t="s">
        <v>25233</v>
      </c>
      <c r="AV5056" t="s">
        <v>25335</v>
      </c>
      <c r="AW5056" t="s">
        <v>11447</v>
      </c>
    </row>
    <row r="5057" spans="1:49">
      <c r="A5057" s="1">
        <f>HYPERLINK("https://lsnyc.legalserver.org/matter/dynamic-profile/view/1900388","19-1900388")</f>
        <v>0</v>
      </c>
      <c r="B5057" t="s">
        <v>225</v>
      </c>
      <c r="C5057" t="s">
        <v>348</v>
      </c>
      <c r="E5057" t="s">
        <v>2285</v>
      </c>
      <c r="F5057" t="s">
        <v>4038</v>
      </c>
      <c r="G5057" t="s">
        <v>10090</v>
      </c>
      <c r="H5057" t="s">
        <v>11328</v>
      </c>
      <c r="I5057" t="s">
        <v>11395</v>
      </c>
      <c r="J5057">
        <v>11373</v>
      </c>
      <c r="K5057" t="s">
        <v>11447</v>
      </c>
      <c r="L5057" t="s">
        <v>14543</v>
      </c>
      <c r="M5057" t="s">
        <v>14743</v>
      </c>
      <c r="N5057" t="s">
        <v>14781</v>
      </c>
      <c r="P5057" t="s">
        <v>14807</v>
      </c>
      <c r="S5057" t="s">
        <v>14827</v>
      </c>
      <c r="V5057">
        <v>1262.03</v>
      </c>
      <c r="W5057" t="s">
        <v>14861</v>
      </c>
      <c r="Z5057" t="s">
        <v>19036</v>
      </c>
      <c r="AB5057" t="s">
        <v>24264</v>
      </c>
      <c r="AC5057">
        <v>139</v>
      </c>
      <c r="AF5057">
        <v>12</v>
      </c>
      <c r="AG5057">
        <v>2</v>
      </c>
      <c r="AH5057">
        <v>4</v>
      </c>
      <c r="AI5057">
        <v>131.15</v>
      </c>
      <c r="AL5057" t="s">
        <v>5011</v>
      </c>
      <c r="AM5057">
        <v>45364.8</v>
      </c>
      <c r="AS5057">
        <v>26.35</v>
      </c>
      <c r="AT5057" t="s">
        <v>478</v>
      </c>
      <c r="AU5057" t="s">
        <v>25238</v>
      </c>
      <c r="AW5057" t="s">
        <v>11447</v>
      </c>
    </row>
    <row r="5058" spans="1:49">
      <c r="A5058" s="1">
        <f>HYPERLINK("https://lsnyc.legalserver.org/matter/dynamic-profile/view/1903671","19-1903671")</f>
        <v>0</v>
      </c>
      <c r="B5058" t="s">
        <v>209</v>
      </c>
      <c r="C5058" t="s">
        <v>522</v>
      </c>
      <c r="E5058" t="s">
        <v>3412</v>
      </c>
      <c r="F5058" t="s">
        <v>6084</v>
      </c>
      <c r="G5058" t="s">
        <v>10142</v>
      </c>
      <c r="H5058" t="s">
        <v>11329</v>
      </c>
      <c r="I5058" t="s">
        <v>11395</v>
      </c>
      <c r="J5058">
        <v>11373</v>
      </c>
      <c r="K5058" t="s">
        <v>11446</v>
      </c>
      <c r="L5058" t="s">
        <v>14544</v>
      </c>
      <c r="M5058" t="s">
        <v>14743</v>
      </c>
      <c r="N5058" t="s">
        <v>14781</v>
      </c>
      <c r="P5058" t="s">
        <v>14807</v>
      </c>
      <c r="Q5058" t="s">
        <v>11448</v>
      </c>
      <c r="S5058" t="s">
        <v>14827</v>
      </c>
      <c r="T5058" t="s">
        <v>14832</v>
      </c>
      <c r="V5058">
        <v>1261</v>
      </c>
      <c r="W5058" t="s">
        <v>14861</v>
      </c>
      <c r="X5058" t="s">
        <v>14863</v>
      </c>
      <c r="AC5058">
        <v>150</v>
      </c>
      <c r="AD5058" t="s">
        <v>24603</v>
      </c>
      <c r="AF5058">
        <v>4</v>
      </c>
      <c r="AG5058">
        <v>1</v>
      </c>
      <c r="AH5058">
        <v>0</v>
      </c>
      <c r="AI5058">
        <v>134.51</v>
      </c>
      <c r="AL5058" t="s">
        <v>5011</v>
      </c>
      <c r="AM5058">
        <v>16800</v>
      </c>
      <c r="AS5058">
        <v>1.67</v>
      </c>
      <c r="AT5058" t="s">
        <v>366</v>
      </c>
      <c r="AU5058" t="s">
        <v>271</v>
      </c>
      <c r="AV5058" t="s">
        <v>25335</v>
      </c>
      <c r="AW5058" t="s">
        <v>11447</v>
      </c>
    </row>
    <row r="5059" spans="1:49">
      <c r="A5059" s="1">
        <f>HYPERLINK("https://lsnyc.legalserver.org/matter/dynamic-profile/view/1907008","19-1907008")</f>
        <v>0</v>
      </c>
      <c r="B5059" t="s">
        <v>147</v>
      </c>
      <c r="C5059" t="s">
        <v>626</v>
      </c>
      <c r="E5059" t="s">
        <v>2050</v>
      </c>
      <c r="F5059" t="s">
        <v>4567</v>
      </c>
      <c r="G5059" t="s">
        <v>10031</v>
      </c>
      <c r="H5059">
        <v>2</v>
      </c>
      <c r="I5059" t="s">
        <v>11388</v>
      </c>
      <c r="J5059">
        <v>11385</v>
      </c>
      <c r="K5059" t="s">
        <v>11446</v>
      </c>
      <c r="M5059" t="s">
        <v>14743</v>
      </c>
      <c r="N5059" t="s">
        <v>14781</v>
      </c>
      <c r="P5059" t="s">
        <v>14807</v>
      </c>
      <c r="Q5059" t="s">
        <v>11448</v>
      </c>
      <c r="S5059" t="s">
        <v>14827</v>
      </c>
      <c r="V5059">
        <v>1900</v>
      </c>
      <c r="W5059" t="s">
        <v>14861</v>
      </c>
      <c r="X5059" t="s">
        <v>14863</v>
      </c>
      <c r="Z5059" t="s">
        <v>19037</v>
      </c>
      <c r="AB5059" t="s">
        <v>19344</v>
      </c>
      <c r="AC5059">
        <v>3</v>
      </c>
      <c r="AE5059" t="s">
        <v>11459</v>
      </c>
      <c r="AF5059">
        <v>1</v>
      </c>
      <c r="AG5059">
        <v>3</v>
      </c>
      <c r="AH5059">
        <v>2</v>
      </c>
      <c r="AI5059">
        <v>137.89</v>
      </c>
      <c r="AL5059" t="s">
        <v>24632</v>
      </c>
      <c r="AM5059">
        <v>41600</v>
      </c>
      <c r="AS5059">
        <v>2.23</v>
      </c>
      <c r="AT5059" t="s">
        <v>468</v>
      </c>
      <c r="AU5059" t="s">
        <v>25233</v>
      </c>
      <c r="AV5059" t="s">
        <v>25335</v>
      </c>
      <c r="AW5059" t="s">
        <v>11447</v>
      </c>
    </row>
    <row r="5060" spans="1:49">
      <c r="A5060" s="1">
        <f>HYPERLINK("https://lsnyc.legalserver.org/matter/dynamic-profile/view/1910081","19-1910081")</f>
        <v>0</v>
      </c>
      <c r="B5060" t="s">
        <v>147</v>
      </c>
      <c r="C5060" t="s">
        <v>471</v>
      </c>
      <c r="E5060" t="s">
        <v>3413</v>
      </c>
      <c r="F5060" t="s">
        <v>3561</v>
      </c>
      <c r="G5060" t="s">
        <v>10158</v>
      </c>
      <c r="H5060" t="s">
        <v>10562</v>
      </c>
      <c r="I5060" t="s">
        <v>11388</v>
      </c>
      <c r="J5060">
        <v>11385</v>
      </c>
      <c r="K5060" t="s">
        <v>11446</v>
      </c>
      <c r="L5060" t="s">
        <v>14545</v>
      </c>
      <c r="M5060" t="s">
        <v>14744</v>
      </c>
      <c r="N5060" t="s">
        <v>14782</v>
      </c>
      <c r="P5060" t="s">
        <v>14807</v>
      </c>
      <c r="Q5060" t="s">
        <v>11448</v>
      </c>
      <c r="S5060" t="s">
        <v>14827</v>
      </c>
      <c r="V5060">
        <v>1850</v>
      </c>
      <c r="W5060" t="s">
        <v>14861</v>
      </c>
      <c r="X5060" t="s">
        <v>14863</v>
      </c>
      <c r="Z5060" t="s">
        <v>19038</v>
      </c>
      <c r="AB5060" t="s">
        <v>24265</v>
      </c>
      <c r="AC5060">
        <v>6</v>
      </c>
      <c r="AD5060" t="s">
        <v>24595</v>
      </c>
      <c r="AF5060">
        <v>9</v>
      </c>
      <c r="AG5060">
        <v>1</v>
      </c>
      <c r="AH5060">
        <v>2</v>
      </c>
      <c r="AI5060">
        <v>140.65</v>
      </c>
      <c r="AL5060" t="s">
        <v>5011</v>
      </c>
      <c r="AM5060">
        <v>30000</v>
      </c>
      <c r="AS5060">
        <v>9.800000000000001</v>
      </c>
      <c r="AT5060" t="s">
        <v>580</v>
      </c>
      <c r="AU5060" t="s">
        <v>25233</v>
      </c>
      <c r="AV5060" t="s">
        <v>25335</v>
      </c>
      <c r="AW5060" t="s">
        <v>11447</v>
      </c>
    </row>
    <row r="5061" spans="1:49">
      <c r="A5061" s="1">
        <f>HYPERLINK("https://lsnyc.legalserver.org/matter/dynamic-profile/view/1906985","19-1906985")</f>
        <v>0</v>
      </c>
      <c r="B5061" t="s">
        <v>122</v>
      </c>
      <c r="C5061" t="s">
        <v>626</v>
      </c>
      <c r="E5061" t="s">
        <v>1828</v>
      </c>
      <c r="F5061" t="s">
        <v>1925</v>
      </c>
      <c r="G5061" t="s">
        <v>10137</v>
      </c>
      <c r="I5061" t="s">
        <v>11387</v>
      </c>
      <c r="J5061">
        <v>11434</v>
      </c>
      <c r="K5061" t="s">
        <v>11446</v>
      </c>
      <c r="L5061" t="s">
        <v>14546</v>
      </c>
      <c r="M5061" t="s">
        <v>14743</v>
      </c>
      <c r="N5061" t="s">
        <v>14782</v>
      </c>
      <c r="P5061" t="s">
        <v>14807</v>
      </c>
      <c r="S5061" t="s">
        <v>14827</v>
      </c>
      <c r="V5061">
        <v>0</v>
      </c>
      <c r="W5061" t="s">
        <v>14861</v>
      </c>
      <c r="X5061" t="s">
        <v>14863</v>
      </c>
      <c r="Z5061" t="s">
        <v>19012</v>
      </c>
      <c r="AB5061" t="s">
        <v>19344</v>
      </c>
      <c r="AC5061">
        <v>1</v>
      </c>
      <c r="AF5061">
        <v>14</v>
      </c>
      <c r="AG5061">
        <v>4</v>
      </c>
      <c r="AH5061">
        <v>3</v>
      </c>
      <c r="AI5061">
        <v>146.12</v>
      </c>
      <c r="AL5061" t="s">
        <v>24632</v>
      </c>
      <c r="AM5061">
        <v>57000</v>
      </c>
      <c r="AS5061">
        <v>12.35</v>
      </c>
      <c r="AT5061" t="s">
        <v>537</v>
      </c>
      <c r="AU5061" t="s">
        <v>25233</v>
      </c>
      <c r="AV5061" t="s">
        <v>25335</v>
      </c>
      <c r="AW5061" t="s">
        <v>11447</v>
      </c>
    </row>
    <row r="5062" spans="1:49">
      <c r="A5062" s="1">
        <f>HYPERLINK("https://lsnyc.legalserver.org/matter/dynamic-profile/view/1914925","19-1914925")</f>
        <v>0</v>
      </c>
      <c r="B5062" t="s">
        <v>204</v>
      </c>
      <c r="C5062" t="s">
        <v>537</v>
      </c>
      <c r="E5062" t="s">
        <v>1822</v>
      </c>
      <c r="F5062" t="s">
        <v>4344</v>
      </c>
      <c r="G5062" t="s">
        <v>10159</v>
      </c>
      <c r="H5062" t="s">
        <v>10486</v>
      </c>
      <c r="I5062" t="s">
        <v>11400</v>
      </c>
      <c r="J5062">
        <v>11385</v>
      </c>
      <c r="K5062" t="s">
        <v>11446</v>
      </c>
      <c r="L5062" t="s">
        <v>14547</v>
      </c>
      <c r="M5062" t="s">
        <v>14743</v>
      </c>
      <c r="N5062" t="s">
        <v>14782</v>
      </c>
      <c r="P5062" t="s">
        <v>14807</v>
      </c>
      <c r="Q5062" t="s">
        <v>11448</v>
      </c>
      <c r="S5062" t="s">
        <v>14827</v>
      </c>
      <c r="V5062">
        <v>2050</v>
      </c>
      <c r="W5062" t="s">
        <v>14861</v>
      </c>
      <c r="X5062" t="s">
        <v>14863</v>
      </c>
      <c r="Z5062" t="s">
        <v>19039</v>
      </c>
      <c r="AB5062" t="s">
        <v>24266</v>
      </c>
      <c r="AC5062">
        <v>3</v>
      </c>
      <c r="AD5062" t="s">
        <v>24600</v>
      </c>
      <c r="AE5062" t="s">
        <v>11459</v>
      </c>
      <c r="AF5062">
        <v>12</v>
      </c>
      <c r="AG5062">
        <v>4</v>
      </c>
      <c r="AH5062">
        <v>1</v>
      </c>
      <c r="AI5062">
        <v>149.15</v>
      </c>
      <c r="AL5062" t="s">
        <v>24632</v>
      </c>
      <c r="AM5062">
        <v>45000</v>
      </c>
      <c r="AS5062">
        <v>0.25</v>
      </c>
      <c r="AT5062" t="s">
        <v>537</v>
      </c>
      <c r="AU5062" t="s">
        <v>25233</v>
      </c>
      <c r="AV5062" t="s">
        <v>25335</v>
      </c>
      <c r="AW5062" t="s">
        <v>11447</v>
      </c>
    </row>
    <row r="5063" spans="1:49">
      <c r="A5063" s="1">
        <f>HYPERLINK("https://lsnyc.legalserver.org/matter/dynamic-profile/view/1902812","19-1902812")</f>
        <v>0</v>
      </c>
      <c r="B5063" t="s">
        <v>248</v>
      </c>
      <c r="C5063" t="s">
        <v>527</v>
      </c>
      <c r="E5063" t="s">
        <v>3414</v>
      </c>
      <c r="F5063" t="s">
        <v>6085</v>
      </c>
      <c r="G5063" t="s">
        <v>7829</v>
      </c>
      <c r="H5063" t="s">
        <v>10500</v>
      </c>
      <c r="I5063" t="s">
        <v>11388</v>
      </c>
      <c r="J5063">
        <v>11385</v>
      </c>
      <c r="K5063" t="s">
        <v>11446</v>
      </c>
      <c r="L5063" t="s">
        <v>14548</v>
      </c>
      <c r="M5063" t="s">
        <v>14744</v>
      </c>
      <c r="N5063" t="s">
        <v>14781</v>
      </c>
      <c r="P5063" t="s">
        <v>14807</v>
      </c>
      <c r="Q5063" t="s">
        <v>11446</v>
      </c>
      <c r="S5063" t="s">
        <v>14827</v>
      </c>
      <c r="V5063">
        <v>17000</v>
      </c>
      <c r="W5063" t="s">
        <v>14861</v>
      </c>
      <c r="X5063" t="s">
        <v>14865</v>
      </c>
      <c r="Z5063" t="s">
        <v>18846</v>
      </c>
      <c r="AB5063" t="s">
        <v>24267</v>
      </c>
      <c r="AC5063">
        <v>6</v>
      </c>
      <c r="AD5063" t="s">
        <v>11479</v>
      </c>
      <c r="AE5063" t="s">
        <v>11459</v>
      </c>
      <c r="AF5063">
        <v>5</v>
      </c>
      <c r="AG5063">
        <v>4</v>
      </c>
      <c r="AH5063">
        <v>2</v>
      </c>
      <c r="AI5063">
        <v>151.08</v>
      </c>
      <c r="AL5063" t="s">
        <v>5011</v>
      </c>
      <c r="AM5063">
        <v>52258</v>
      </c>
      <c r="AS5063">
        <v>21.4</v>
      </c>
      <c r="AT5063" t="s">
        <v>478</v>
      </c>
      <c r="AU5063" t="s">
        <v>25233</v>
      </c>
      <c r="AV5063" t="s">
        <v>25335</v>
      </c>
      <c r="AW5063" t="s">
        <v>11447</v>
      </c>
    </row>
    <row r="5064" spans="1:49">
      <c r="A5064" s="1">
        <f>HYPERLINK("https://lsnyc.legalserver.org/matter/dynamic-profile/view/1892372","19-1892372")</f>
        <v>0</v>
      </c>
      <c r="B5064" t="s">
        <v>147</v>
      </c>
      <c r="C5064" t="s">
        <v>878</v>
      </c>
      <c r="E5064" t="s">
        <v>3415</v>
      </c>
      <c r="F5064" t="s">
        <v>3394</v>
      </c>
      <c r="G5064" t="s">
        <v>10084</v>
      </c>
      <c r="H5064" t="s">
        <v>11318</v>
      </c>
      <c r="I5064" t="s">
        <v>11395</v>
      </c>
      <c r="J5064">
        <v>11373</v>
      </c>
      <c r="K5064" t="s">
        <v>11446</v>
      </c>
      <c r="L5064" t="s">
        <v>14549</v>
      </c>
      <c r="M5064" t="s">
        <v>14744</v>
      </c>
      <c r="N5064" t="s">
        <v>14781</v>
      </c>
      <c r="P5064" t="s">
        <v>14807</v>
      </c>
      <c r="Q5064" t="s">
        <v>11448</v>
      </c>
      <c r="S5064" t="s">
        <v>14827</v>
      </c>
      <c r="T5064" t="s">
        <v>14832</v>
      </c>
      <c r="V5064">
        <v>2010</v>
      </c>
      <c r="W5064" t="s">
        <v>14861</v>
      </c>
      <c r="X5064" t="s">
        <v>14863</v>
      </c>
      <c r="Z5064" t="s">
        <v>18987</v>
      </c>
      <c r="AB5064" t="s">
        <v>24211</v>
      </c>
      <c r="AC5064">
        <v>200</v>
      </c>
      <c r="AD5064" t="s">
        <v>24595</v>
      </c>
      <c r="AE5064" t="s">
        <v>11459</v>
      </c>
      <c r="AF5064">
        <v>9</v>
      </c>
      <c r="AG5064">
        <v>2</v>
      </c>
      <c r="AH5064">
        <v>1</v>
      </c>
      <c r="AI5064">
        <v>154.71</v>
      </c>
      <c r="AL5064" t="s">
        <v>5011</v>
      </c>
      <c r="AM5064">
        <v>33000</v>
      </c>
      <c r="AS5064">
        <v>3.2</v>
      </c>
      <c r="AT5064" t="s">
        <v>493</v>
      </c>
      <c r="AU5064" t="s">
        <v>147</v>
      </c>
      <c r="AW5064" t="s">
        <v>11446</v>
      </c>
    </row>
    <row r="5065" spans="1:49">
      <c r="A5065" s="1">
        <f>HYPERLINK("https://lsnyc.legalserver.org/matter/dynamic-profile/view/1909128","19-1909128")</f>
        <v>0</v>
      </c>
      <c r="B5065" t="s">
        <v>147</v>
      </c>
      <c r="C5065" t="s">
        <v>462</v>
      </c>
      <c r="E5065" t="s">
        <v>1170</v>
      </c>
      <c r="F5065" t="s">
        <v>3695</v>
      </c>
      <c r="G5065" t="s">
        <v>10160</v>
      </c>
      <c r="H5065" t="s">
        <v>10903</v>
      </c>
      <c r="I5065" t="s">
        <v>11387</v>
      </c>
      <c r="J5065">
        <v>11434</v>
      </c>
      <c r="K5065" t="s">
        <v>11448</v>
      </c>
      <c r="L5065" t="s">
        <v>14550</v>
      </c>
      <c r="M5065" t="s">
        <v>14743</v>
      </c>
      <c r="N5065" t="s">
        <v>14781</v>
      </c>
      <c r="P5065" t="s">
        <v>14807</v>
      </c>
      <c r="Q5065" t="s">
        <v>11448</v>
      </c>
      <c r="S5065" t="s">
        <v>14827</v>
      </c>
      <c r="V5065">
        <v>1800</v>
      </c>
      <c r="W5065" t="s">
        <v>14861</v>
      </c>
      <c r="Z5065" t="s">
        <v>19040</v>
      </c>
      <c r="AB5065" t="s">
        <v>24268</v>
      </c>
      <c r="AC5065">
        <v>293</v>
      </c>
      <c r="AD5065" t="s">
        <v>24601</v>
      </c>
      <c r="AE5065" t="s">
        <v>11459</v>
      </c>
      <c r="AF5065">
        <v>3</v>
      </c>
      <c r="AG5065">
        <v>3</v>
      </c>
      <c r="AH5065">
        <v>1</v>
      </c>
      <c r="AI5065">
        <v>155.34</v>
      </c>
      <c r="AL5065" t="s">
        <v>5011</v>
      </c>
      <c r="AM5065">
        <v>40000</v>
      </c>
      <c r="AS5065">
        <v>16.45</v>
      </c>
      <c r="AT5065" t="s">
        <v>537</v>
      </c>
      <c r="AU5065" t="s">
        <v>25233</v>
      </c>
      <c r="AV5065" t="s">
        <v>11459</v>
      </c>
      <c r="AW5065" t="s">
        <v>11447</v>
      </c>
    </row>
    <row r="5066" spans="1:49">
      <c r="A5066" s="1">
        <f>HYPERLINK("https://lsnyc.legalserver.org/matter/dynamic-profile/view/1913421","19-1913421")</f>
        <v>0</v>
      </c>
      <c r="B5066" t="s">
        <v>227</v>
      </c>
      <c r="C5066" t="s">
        <v>483</v>
      </c>
      <c r="E5066" t="s">
        <v>2297</v>
      </c>
      <c r="F5066" t="s">
        <v>5263</v>
      </c>
      <c r="G5066" t="s">
        <v>10161</v>
      </c>
      <c r="H5066">
        <v>406</v>
      </c>
      <c r="I5066" t="s">
        <v>11387</v>
      </c>
      <c r="J5066">
        <v>11434</v>
      </c>
      <c r="K5066" t="s">
        <v>11446</v>
      </c>
      <c r="L5066" t="s">
        <v>14551</v>
      </c>
      <c r="M5066" t="s">
        <v>14744</v>
      </c>
      <c r="N5066" t="s">
        <v>14781</v>
      </c>
      <c r="P5066" t="s">
        <v>14807</v>
      </c>
      <c r="Q5066" t="s">
        <v>11448</v>
      </c>
      <c r="S5066" t="s">
        <v>14827</v>
      </c>
      <c r="V5066">
        <v>958.36</v>
      </c>
      <c r="W5066" t="s">
        <v>14861</v>
      </c>
      <c r="X5066" t="s">
        <v>14863</v>
      </c>
      <c r="Z5066" t="s">
        <v>19041</v>
      </c>
      <c r="AB5066" t="s">
        <v>24269</v>
      </c>
      <c r="AC5066">
        <v>0</v>
      </c>
      <c r="AD5066" t="s">
        <v>11479</v>
      </c>
      <c r="AF5066">
        <v>2</v>
      </c>
      <c r="AG5066">
        <v>1</v>
      </c>
      <c r="AH5066">
        <v>0</v>
      </c>
      <c r="AI5066">
        <v>158.53</v>
      </c>
      <c r="AL5066" t="s">
        <v>5011</v>
      </c>
      <c r="AM5066">
        <v>19800</v>
      </c>
      <c r="AS5066">
        <v>4.23</v>
      </c>
      <c r="AT5066" t="s">
        <v>654</v>
      </c>
      <c r="AU5066" t="s">
        <v>25233</v>
      </c>
      <c r="AV5066" t="s">
        <v>25335</v>
      </c>
      <c r="AW5066" t="s">
        <v>11447</v>
      </c>
    </row>
    <row r="5067" spans="1:49">
      <c r="A5067" s="1">
        <f>HYPERLINK("https://lsnyc.legalserver.org/matter/dynamic-profile/view/1879960","18-1879960")</f>
        <v>0</v>
      </c>
      <c r="B5067" t="s">
        <v>179</v>
      </c>
      <c r="C5067" t="s">
        <v>448</v>
      </c>
      <c r="E5067" t="s">
        <v>3416</v>
      </c>
      <c r="F5067" t="s">
        <v>6086</v>
      </c>
      <c r="G5067" t="s">
        <v>10162</v>
      </c>
      <c r="H5067" t="s">
        <v>10486</v>
      </c>
      <c r="I5067" t="s">
        <v>11395</v>
      </c>
      <c r="J5067">
        <v>11373</v>
      </c>
      <c r="K5067" t="s">
        <v>11446</v>
      </c>
      <c r="L5067" t="s">
        <v>14552</v>
      </c>
      <c r="M5067" t="s">
        <v>14743</v>
      </c>
      <c r="N5067" t="s">
        <v>14782</v>
      </c>
      <c r="P5067" t="s">
        <v>14807</v>
      </c>
      <c r="Q5067" t="s">
        <v>11448</v>
      </c>
      <c r="S5067" t="s">
        <v>14827</v>
      </c>
      <c r="T5067" t="s">
        <v>14832</v>
      </c>
      <c r="V5067">
        <v>1675</v>
      </c>
      <c r="W5067" t="s">
        <v>14861</v>
      </c>
      <c r="X5067" t="s">
        <v>14865</v>
      </c>
      <c r="Z5067" t="s">
        <v>19042</v>
      </c>
      <c r="AB5067" t="s">
        <v>24270</v>
      </c>
      <c r="AC5067">
        <v>3</v>
      </c>
      <c r="AD5067" t="s">
        <v>24600</v>
      </c>
      <c r="AE5067" t="s">
        <v>11459</v>
      </c>
      <c r="AF5067">
        <v>7</v>
      </c>
      <c r="AG5067">
        <v>1</v>
      </c>
      <c r="AH5067">
        <v>0</v>
      </c>
      <c r="AI5067">
        <v>160.63</v>
      </c>
      <c r="AL5067" t="s">
        <v>5011</v>
      </c>
      <c r="AM5067">
        <v>19500</v>
      </c>
      <c r="AS5067">
        <v>7.5</v>
      </c>
      <c r="AT5067" t="s">
        <v>552</v>
      </c>
      <c r="AU5067" t="s">
        <v>25299</v>
      </c>
      <c r="AW5067" t="s">
        <v>11447</v>
      </c>
    </row>
    <row r="5068" spans="1:49">
      <c r="A5068" s="1">
        <f>HYPERLINK("https://lsnyc.legalserver.org/matter/dynamic-profile/view/1879454","18-1879454")</f>
        <v>0</v>
      </c>
      <c r="B5068" t="s">
        <v>147</v>
      </c>
      <c r="C5068" t="s">
        <v>815</v>
      </c>
      <c r="E5068" t="s">
        <v>1228</v>
      </c>
      <c r="F5068" t="s">
        <v>3730</v>
      </c>
      <c r="G5068" t="s">
        <v>10044</v>
      </c>
      <c r="H5068" t="s">
        <v>10552</v>
      </c>
      <c r="I5068" t="s">
        <v>11395</v>
      </c>
      <c r="J5068">
        <v>11373</v>
      </c>
      <c r="K5068" t="s">
        <v>11446</v>
      </c>
      <c r="L5068" t="s">
        <v>14553</v>
      </c>
      <c r="M5068" t="s">
        <v>14743</v>
      </c>
      <c r="N5068" t="s">
        <v>14781</v>
      </c>
      <c r="P5068" t="s">
        <v>14807</v>
      </c>
      <c r="Q5068" t="s">
        <v>11446</v>
      </c>
      <c r="S5068" t="s">
        <v>14827</v>
      </c>
      <c r="T5068" t="s">
        <v>14832</v>
      </c>
      <c r="V5068">
        <v>953.17</v>
      </c>
      <c r="W5068" t="s">
        <v>14861</v>
      </c>
      <c r="X5068" t="s">
        <v>14863</v>
      </c>
      <c r="Z5068" t="s">
        <v>19043</v>
      </c>
      <c r="AB5068" t="s">
        <v>24271</v>
      </c>
      <c r="AC5068">
        <v>72</v>
      </c>
      <c r="AF5068">
        <v>36</v>
      </c>
      <c r="AG5068">
        <v>1</v>
      </c>
      <c r="AH5068">
        <v>1</v>
      </c>
      <c r="AI5068">
        <v>169.02</v>
      </c>
      <c r="AL5068" t="s">
        <v>5011</v>
      </c>
      <c r="AM5068">
        <v>27820</v>
      </c>
      <c r="AS5068">
        <v>85.8</v>
      </c>
      <c r="AT5068" t="s">
        <v>537</v>
      </c>
      <c r="AU5068" t="s">
        <v>124</v>
      </c>
      <c r="AW5068" t="s">
        <v>11446</v>
      </c>
    </row>
    <row r="5069" spans="1:49">
      <c r="A5069" s="1">
        <f>HYPERLINK("https://lsnyc.legalserver.org/matter/dynamic-profile/view/1902806","19-1902806")</f>
        <v>0</v>
      </c>
      <c r="B5069" t="s">
        <v>147</v>
      </c>
      <c r="C5069" t="s">
        <v>527</v>
      </c>
      <c r="E5069" t="s">
        <v>1621</v>
      </c>
      <c r="F5069" t="s">
        <v>1840</v>
      </c>
      <c r="G5069" t="s">
        <v>10163</v>
      </c>
      <c r="H5069" t="s">
        <v>10589</v>
      </c>
      <c r="I5069" t="s">
        <v>11387</v>
      </c>
      <c r="J5069">
        <v>11433</v>
      </c>
      <c r="K5069" t="s">
        <v>11446</v>
      </c>
      <c r="L5069" t="s">
        <v>14554</v>
      </c>
      <c r="M5069" t="s">
        <v>14744</v>
      </c>
      <c r="N5069" t="s">
        <v>14781</v>
      </c>
      <c r="P5069" t="s">
        <v>14807</v>
      </c>
      <c r="Q5069" t="s">
        <v>11446</v>
      </c>
      <c r="S5069" t="s">
        <v>14828</v>
      </c>
      <c r="V5069">
        <v>1237</v>
      </c>
      <c r="W5069" t="s">
        <v>14861</v>
      </c>
      <c r="X5069" t="s">
        <v>14865</v>
      </c>
      <c r="Z5069" t="s">
        <v>17486</v>
      </c>
      <c r="AB5069" t="s">
        <v>24272</v>
      </c>
      <c r="AC5069">
        <v>9</v>
      </c>
      <c r="AE5069" t="s">
        <v>11459</v>
      </c>
      <c r="AF5069">
        <v>29</v>
      </c>
      <c r="AG5069">
        <v>2</v>
      </c>
      <c r="AH5069">
        <v>1</v>
      </c>
      <c r="AI5069">
        <v>170.65</v>
      </c>
      <c r="AL5069" t="s">
        <v>5011</v>
      </c>
      <c r="AM5069">
        <v>36400</v>
      </c>
      <c r="AS5069">
        <v>19.3</v>
      </c>
      <c r="AT5069" t="s">
        <v>497</v>
      </c>
      <c r="AU5069" t="s">
        <v>25233</v>
      </c>
      <c r="AV5069" t="s">
        <v>25335</v>
      </c>
      <c r="AW5069" t="s">
        <v>11447</v>
      </c>
    </row>
    <row r="5070" spans="1:49">
      <c r="A5070" s="1">
        <f>HYPERLINK("https://lsnyc.legalserver.org/matter/dynamic-profile/view/1883608","18-1883608")</f>
        <v>0</v>
      </c>
      <c r="B5070" t="s">
        <v>179</v>
      </c>
      <c r="C5070" t="s">
        <v>818</v>
      </c>
      <c r="E5070" t="s">
        <v>3417</v>
      </c>
      <c r="F5070" t="s">
        <v>3814</v>
      </c>
      <c r="G5070" t="s">
        <v>10164</v>
      </c>
      <c r="H5070" t="s">
        <v>10705</v>
      </c>
      <c r="I5070" t="s">
        <v>11387</v>
      </c>
      <c r="J5070">
        <v>11433</v>
      </c>
      <c r="K5070" t="s">
        <v>11446</v>
      </c>
      <c r="L5070" t="s">
        <v>14555</v>
      </c>
      <c r="M5070" t="s">
        <v>14743</v>
      </c>
      <c r="N5070" t="s">
        <v>14782</v>
      </c>
      <c r="P5070" t="s">
        <v>14807</v>
      </c>
      <c r="Q5070" t="s">
        <v>11448</v>
      </c>
      <c r="S5070" t="s">
        <v>14827</v>
      </c>
      <c r="T5070" t="s">
        <v>14832</v>
      </c>
      <c r="V5070">
        <v>650</v>
      </c>
      <c r="W5070" t="s">
        <v>14861</v>
      </c>
      <c r="X5070" t="s">
        <v>14865</v>
      </c>
      <c r="Z5070" t="s">
        <v>16914</v>
      </c>
      <c r="AB5070" t="s">
        <v>24273</v>
      </c>
      <c r="AC5070">
        <v>4</v>
      </c>
      <c r="AD5070" t="s">
        <v>24600</v>
      </c>
      <c r="AE5070" t="s">
        <v>11459</v>
      </c>
      <c r="AF5070">
        <v>8</v>
      </c>
      <c r="AG5070">
        <v>1</v>
      </c>
      <c r="AH5070">
        <v>0</v>
      </c>
      <c r="AI5070">
        <v>181.22</v>
      </c>
      <c r="AL5070" t="s">
        <v>5011</v>
      </c>
      <c r="AM5070">
        <v>22000</v>
      </c>
      <c r="AS5070">
        <v>4.8</v>
      </c>
      <c r="AT5070" t="s">
        <v>577</v>
      </c>
      <c r="AU5070" t="s">
        <v>292</v>
      </c>
      <c r="AW5070" t="s">
        <v>11446</v>
      </c>
    </row>
    <row r="5071" spans="1:49">
      <c r="A5071" s="1">
        <f>HYPERLINK("https://lsnyc.legalserver.org/matter/dynamic-profile/view/1910008","19-1910008")</f>
        <v>0</v>
      </c>
      <c r="B5071" t="s">
        <v>122</v>
      </c>
      <c r="C5071" t="s">
        <v>468</v>
      </c>
      <c r="E5071" t="s">
        <v>3418</v>
      </c>
      <c r="F5071" t="s">
        <v>6087</v>
      </c>
      <c r="G5071" t="s">
        <v>10165</v>
      </c>
      <c r="H5071">
        <v>2</v>
      </c>
      <c r="I5071" t="s">
        <v>11387</v>
      </c>
      <c r="J5071">
        <v>11433</v>
      </c>
      <c r="K5071" t="s">
        <v>11446</v>
      </c>
      <c r="L5071" t="s">
        <v>14556</v>
      </c>
      <c r="M5071" t="s">
        <v>14744</v>
      </c>
      <c r="N5071" t="s">
        <v>14781</v>
      </c>
      <c r="P5071" t="s">
        <v>14807</v>
      </c>
      <c r="Q5071" t="s">
        <v>11448</v>
      </c>
      <c r="S5071" t="s">
        <v>14827</v>
      </c>
      <c r="T5071" t="s">
        <v>14832</v>
      </c>
      <c r="V5071">
        <v>1600</v>
      </c>
      <c r="W5071" t="s">
        <v>14861</v>
      </c>
      <c r="X5071" t="s">
        <v>14863</v>
      </c>
      <c r="Z5071" t="s">
        <v>17196</v>
      </c>
      <c r="AB5071" t="s">
        <v>24274</v>
      </c>
      <c r="AC5071">
        <v>0</v>
      </c>
      <c r="AD5071" t="s">
        <v>24600</v>
      </c>
      <c r="AF5071">
        <v>3</v>
      </c>
      <c r="AG5071">
        <v>3</v>
      </c>
      <c r="AH5071">
        <v>0</v>
      </c>
      <c r="AI5071">
        <v>185.19</v>
      </c>
      <c r="AL5071" t="s">
        <v>5011</v>
      </c>
      <c r="AM5071">
        <v>39500</v>
      </c>
      <c r="AS5071">
        <v>34.8</v>
      </c>
      <c r="AT5071" t="s">
        <v>537</v>
      </c>
      <c r="AU5071" t="s">
        <v>25233</v>
      </c>
      <c r="AV5071" t="s">
        <v>25335</v>
      </c>
      <c r="AW5071" t="s">
        <v>11447</v>
      </c>
    </row>
    <row r="5072" spans="1:49">
      <c r="A5072" s="1">
        <f>HYPERLINK("https://lsnyc.legalserver.org/matter/dynamic-profile/view/1902785","19-1902785")</f>
        <v>0</v>
      </c>
      <c r="B5072" t="s">
        <v>147</v>
      </c>
      <c r="C5072" t="s">
        <v>527</v>
      </c>
      <c r="E5072" t="s">
        <v>1864</v>
      </c>
      <c r="F5072" t="s">
        <v>3758</v>
      </c>
      <c r="G5072" t="s">
        <v>9981</v>
      </c>
      <c r="H5072" t="s">
        <v>10722</v>
      </c>
      <c r="I5072" t="s">
        <v>11387</v>
      </c>
      <c r="J5072">
        <v>11434</v>
      </c>
      <c r="K5072" t="s">
        <v>11446</v>
      </c>
      <c r="L5072" t="s">
        <v>14557</v>
      </c>
      <c r="M5072" t="s">
        <v>14744</v>
      </c>
      <c r="N5072" t="s">
        <v>14781</v>
      </c>
      <c r="P5072" t="s">
        <v>14807</v>
      </c>
      <c r="Q5072" t="s">
        <v>11448</v>
      </c>
      <c r="S5072" t="s">
        <v>14827</v>
      </c>
      <c r="T5072" t="s">
        <v>14834</v>
      </c>
      <c r="V5072">
        <v>811</v>
      </c>
      <c r="W5072" t="s">
        <v>14861</v>
      </c>
      <c r="X5072" t="s">
        <v>14865</v>
      </c>
      <c r="Z5072" t="s">
        <v>15842</v>
      </c>
      <c r="AB5072" t="s">
        <v>24275</v>
      </c>
      <c r="AC5072">
        <v>100</v>
      </c>
      <c r="AD5072" t="s">
        <v>24601</v>
      </c>
      <c r="AE5072" t="s">
        <v>11459</v>
      </c>
      <c r="AF5072">
        <v>0</v>
      </c>
      <c r="AG5072">
        <v>2</v>
      </c>
      <c r="AH5072">
        <v>1</v>
      </c>
      <c r="AI5072">
        <v>187.53</v>
      </c>
      <c r="AL5072" t="s">
        <v>5011</v>
      </c>
      <c r="AM5072">
        <v>40000</v>
      </c>
      <c r="AO5072" t="s">
        <v>24932</v>
      </c>
      <c r="AQ5072" t="s">
        <v>24986</v>
      </c>
      <c r="AR5072" t="s">
        <v>25061</v>
      </c>
      <c r="AS5072">
        <v>8.6</v>
      </c>
      <c r="AT5072" t="s">
        <v>485</v>
      </c>
      <c r="AU5072" t="s">
        <v>25233</v>
      </c>
      <c r="AV5072" t="s">
        <v>25335</v>
      </c>
      <c r="AW5072" t="s">
        <v>11447</v>
      </c>
    </row>
    <row r="5073" spans="1:49">
      <c r="A5073" s="1">
        <f>HYPERLINK("https://lsnyc.legalserver.org/matter/dynamic-profile/view/1913253","19-1913253")</f>
        <v>0</v>
      </c>
      <c r="B5073" t="s">
        <v>138</v>
      </c>
      <c r="C5073" t="s">
        <v>515</v>
      </c>
      <c r="E5073" t="s">
        <v>3419</v>
      </c>
      <c r="F5073" t="s">
        <v>6088</v>
      </c>
      <c r="G5073" t="s">
        <v>10166</v>
      </c>
      <c r="H5073" t="s">
        <v>10501</v>
      </c>
      <c r="I5073" t="s">
        <v>11387</v>
      </c>
      <c r="J5073">
        <v>11433</v>
      </c>
      <c r="K5073" t="s">
        <v>11446</v>
      </c>
      <c r="L5073" t="s">
        <v>14558</v>
      </c>
      <c r="M5073" t="s">
        <v>14743</v>
      </c>
      <c r="N5073" t="s">
        <v>14782</v>
      </c>
      <c r="P5073" t="s">
        <v>14807</v>
      </c>
      <c r="Q5073" t="s">
        <v>11448</v>
      </c>
      <c r="S5073" t="s">
        <v>14827</v>
      </c>
      <c r="V5073">
        <v>0</v>
      </c>
      <c r="W5073" t="s">
        <v>14861</v>
      </c>
      <c r="X5073" t="s">
        <v>14863</v>
      </c>
      <c r="Z5073" t="s">
        <v>19044</v>
      </c>
      <c r="AB5073" t="s">
        <v>24276</v>
      </c>
      <c r="AC5073">
        <v>0</v>
      </c>
      <c r="AD5073" t="s">
        <v>24600</v>
      </c>
      <c r="AE5073" t="s">
        <v>11459</v>
      </c>
      <c r="AF5073">
        <v>10</v>
      </c>
      <c r="AG5073">
        <v>3</v>
      </c>
      <c r="AH5073">
        <v>0</v>
      </c>
      <c r="AI5073">
        <v>187.53</v>
      </c>
      <c r="AL5073" t="s">
        <v>24632</v>
      </c>
      <c r="AM5073">
        <v>40000</v>
      </c>
      <c r="AS5073">
        <v>7.33</v>
      </c>
      <c r="AT5073" t="s">
        <v>476</v>
      </c>
      <c r="AU5073" t="s">
        <v>25233</v>
      </c>
      <c r="AV5073" t="s">
        <v>25335</v>
      </c>
      <c r="AW5073" t="s">
        <v>11447</v>
      </c>
    </row>
    <row r="5074" spans="1:49">
      <c r="A5074" s="1">
        <f>HYPERLINK("https://lsnyc.legalserver.org/matter/dynamic-profile/view/1913116","19-1913116")</f>
        <v>0</v>
      </c>
      <c r="B5074" t="s">
        <v>68</v>
      </c>
      <c r="C5074" t="s">
        <v>571</v>
      </c>
      <c r="E5074" t="s">
        <v>1025</v>
      </c>
      <c r="F5074" t="s">
        <v>6089</v>
      </c>
      <c r="G5074" t="s">
        <v>10167</v>
      </c>
      <c r="H5074" t="s">
        <v>10501</v>
      </c>
      <c r="I5074" t="s">
        <v>11388</v>
      </c>
      <c r="J5074">
        <v>11385</v>
      </c>
      <c r="K5074" t="s">
        <v>11446</v>
      </c>
      <c r="L5074" t="s">
        <v>14559</v>
      </c>
      <c r="M5074" t="s">
        <v>14743</v>
      </c>
      <c r="N5074" t="s">
        <v>14781</v>
      </c>
      <c r="P5074" t="s">
        <v>14807</v>
      </c>
      <c r="S5074" t="s">
        <v>14827</v>
      </c>
      <c r="V5074">
        <v>900</v>
      </c>
      <c r="W5074" t="s">
        <v>14861</v>
      </c>
      <c r="X5074" t="s">
        <v>14863</v>
      </c>
      <c r="Z5074" t="s">
        <v>19045</v>
      </c>
      <c r="AB5074" t="s">
        <v>24277</v>
      </c>
      <c r="AC5074">
        <v>4</v>
      </c>
      <c r="AD5074" t="s">
        <v>24600</v>
      </c>
      <c r="AE5074" t="s">
        <v>11459</v>
      </c>
      <c r="AF5074">
        <v>3</v>
      </c>
      <c r="AG5074">
        <v>3</v>
      </c>
      <c r="AH5074">
        <v>0</v>
      </c>
      <c r="AI5074">
        <v>191.37</v>
      </c>
      <c r="AL5074" t="s">
        <v>24632</v>
      </c>
      <c r="AM5074">
        <v>40820</v>
      </c>
      <c r="AS5074">
        <v>1.87</v>
      </c>
      <c r="AT5074" t="s">
        <v>516</v>
      </c>
      <c r="AU5074" t="s">
        <v>25233</v>
      </c>
      <c r="AV5074" t="s">
        <v>25335</v>
      </c>
      <c r="AW5074" t="s">
        <v>11447</v>
      </c>
    </row>
    <row r="5075" spans="1:49">
      <c r="A5075" s="1">
        <f>HYPERLINK("https://lsnyc.legalserver.org/matter/dynamic-profile/view/1884806","18-1884806")</f>
        <v>0</v>
      </c>
      <c r="B5075" t="s">
        <v>122</v>
      </c>
      <c r="C5075" t="s">
        <v>600</v>
      </c>
      <c r="E5075" t="s">
        <v>3420</v>
      </c>
      <c r="F5075" t="s">
        <v>5330</v>
      </c>
      <c r="G5075" t="s">
        <v>10168</v>
      </c>
      <c r="H5075" t="s">
        <v>10496</v>
      </c>
      <c r="I5075" t="s">
        <v>11387</v>
      </c>
      <c r="J5075">
        <v>11434</v>
      </c>
      <c r="K5075" t="s">
        <v>11446</v>
      </c>
      <c r="L5075" t="s">
        <v>14560</v>
      </c>
      <c r="M5075" t="s">
        <v>14743</v>
      </c>
      <c r="N5075" t="s">
        <v>14782</v>
      </c>
      <c r="P5075" t="s">
        <v>14807</v>
      </c>
      <c r="Q5075" t="s">
        <v>11448</v>
      </c>
      <c r="S5075" t="s">
        <v>14827</v>
      </c>
      <c r="T5075" t="s">
        <v>14832</v>
      </c>
      <c r="V5075">
        <v>1250</v>
      </c>
      <c r="W5075" t="s">
        <v>14861</v>
      </c>
      <c r="X5075" t="s">
        <v>14863</v>
      </c>
      <c r="Z5075" t="s">
        <v>18903</v>
      </c>
      <c r="AB5075" t="s">
        <v>24278</v>
      </c>
      <c r="AC5075">
        <v>3</v>
      </c>
      <c r="AD5075" t="s">
        <v>24600</v>
      </c>
      <c r="AF5075">
        <v>8</v>
      </c>
      <c r="AG5075">
        <v>2</v>
      </c>
      <c r="AH5075">
        <v>3</v>
      </c>
      <c r="AI5075">
        <v>195.42</v>
      </c>
      <c r="AL5075" t="s">
        <v>5011</v>
      </c>
      <c r="AM5075">
        <v>57491.2</v>
      </c>
      <c r="AS5075">
        <v>0.65</v>
      </c>
      <c r="AT5075" t="s">
        <v>789</v>
      </c>
      <c r="AU5075" t="s">
        <v>124</v>
      </c>
      <c r="AW5075" t="s">
        <v>11446</v>
      </c>
    </row>
    <row r="5076" spans="1:49">
      <c r="A5076" s="1">
        <f>HYPERLINK("https://lsnyc.legalserver.org/matter/dynamic-profile/view/1895879","19-1895879")</f>
        <v>0</v>
      </c>
      <c r="B5076" t="s">
        <v>293</v>
      </c>
      <c r="C5076" t="s">
        <v>415</v>
      </c>
      <c r="E5076" t="s">
        <v>2850</v>
      </c>
      <c r="F5076" t="s">
        <v>4744</v>
      </c>
      <c r="G5076" t="s">
        <v>10104</v>
      </c>
      <c r="H5076" t="s">
        <v>10620</v>
      </c>
      <c r="I5076" t="s">
        <v>11387</v>
      </c>
      <c r="J5076">
        <v>11433</v>
      </c>
      <c r="K5076" t="s">
        <v>11446</v>
      </c>
      <c r="L5076" t="s">
        <v>14561</v>
      </c>
      <c r="M5076" t="s">
        <v>14743</v>
      </c>
      <c r="N5076" t="s">
        <v>14781</v>
      </c>
      <c r="P5076" t="s">
        <v>14807</v>
      </c>
      <c r="Q5076" t="s">
        <v>11448</v>
      </c>
      <c r="S5076" t="s">
        <v>14828</v>
      </c>
      <c r="T5076" t="s">
        <v>14832</v>
      </c>
      <c r="V5076">
        <v>0</v>
      </c>
      <c r="W5076" t="s">
        <v>14861</v>
      </c>
      <c r="X5076" t="s">
        <v>14863</v>
      </c>
      <c r="Z5076" t="s">
        <v>17876</v>
      </c>
      <c r="AB5076" t="s">
        <v>24279</v>
      </c>
      <c r="AC5076">
        <v>0</v>
      </c>
      <c r="AD5076" t="s">
        <v>24602</v>
      </c>
      <c r="AE5076" t="s">
        <v>11459</v>
      </c>
      <c r="AF5076">
        <v>8</v>
      </c>
      <c r="AG5076">
        <v>1</v>
      </c>
      <c r="AH5076">
        <v>0</v>
      </c>
      <c r="AI5076">
        <v>200.16</v>
      </c>
      <c r="AL5076" t="s">
        <v>5011</v>
      </c>
      <c r="AM5076">
        <v>25000</v>
      </c>
      <c r="AS5076">
        <v>20.5</v>
      </c>
      <c r="AT5076" t="s">
        <v>506</v>
      </c>
      <c r="AU5076" t="s">
        <v>25225</v>
      </c>
      <c r="AW5076" t="s">
        <v>11446</v>
      </c>
    </row>
    <row r="5077" spans="1:49">
      <c r="A5077" s="1">
        <f>HYPERLINK("https://lsnyc.legalserver.org/matter/dynamic-profile/view/1913561","19-1913561")</f>
        <v>0</v>
      </c>
      <c r="B5077" t="s">
        <v>294</v>
      </c>
      <c r="C5077" t="s">
        <v>477</v>
      </c>
      <c r="E5077" t="s">
        <v>1771</v>
      </c>
      <c r="F5077" t="s">
        <v>5704</v>
      </c>
      <c r="G5077" t="s">
        <v>10169</v>
      </c>
      <c r="H5077" t="s">
        <v>11163</v>
      </c>
      <c r="I5077" t="s">
        <v>11387</v>
      </c>
      <c r="J5077">
        <v>11434</v>
      </c>
      <c r="K5077" t="s">
        <v>11448</v>
      </c>
      <c r="L5077" t="s">
        <v>14562</v>
      </c>
      <c r="M5077" t="s">
        <v>14744</v>
      </c>
      <c r="N5077" t="s">
        <v>14778</v>
      </c>
      <c r="P5077" t="s">
        <v>14807</v>
      </c>
      <c r="Q5077" t="s">
        <v>11448</v>
      </c>
      <c r="S5077" t="s">
        <v>14827</v>
      </c>
      <c r="T5077" t="s">
        <v>14833</v>
      </c>
      <c r="V5077">
        <v>1350</v>
      </c>
      <c r="W5077" t="s">
        <v>14861</v>
      </c>
      <c r="X5077" t="s">
        <v>14863</v>
      </c>
      <c r="Z5077" t="s">
        <v>16598</v>
      </c>
      <c r="AB5077" t="s">
        <v>24280</v>
      </c>
      <c r="AC5077">
        <v>50</v>
      </c>
      <c r="AD5077" t="s">
        <v>24601</v>
      </c>
      <c r="AE5077" t="s">
        <v>11459</v>
      </c>
      <c r="AF5077">
        <v>20</v>
      </c>
      <c r="AG5077">
        <v>3</v>
      </c>
      <c r="AH5077">
        <v>0</v>
      </c>
      <c r="AI5077">
        <v>201.59</v>
      </c>
      <c r="AL5077" t="s">
        <v>5011</v>
      </c>
      <c r="AM5077">
        <v>43000</v>
      </c>
      <c r="AS5077">
        <v>0.33</v>
      </c>
      <c r="AT5077" t="s">
        <v>477</v>
      </c>
      <c r="AU5077" t="s">
        <v>25233</v>
      </c>
      <c r="AV5077" t="s">
        <v>25335</v>
      </c>
      <c r="AW5077" t="s">
        <v>11447</v>
      </c>
    </row>
    <row r="5078" spans="1:49">
      <c r="A5078" s="1">
        <f>HYPERLINK("https://lsnyc.legalserver.org/matter/dynamic-profile/view/1915055","19-1915055")</f>
        <v>0</v>
      </c>
      <c r="B5078" t="s">
        <v>191</v>
      </c>
      <c r="C5078" t="s">
        <v>521</v>
      </c>
      <c r="E5078" t="s">
        <v>1741</v>
      </c>
      <c r="F5078" t="s">
        <v>6090</v>
      </c>
      <c r="G5078" t="s">
        <v>10170</v>
      </c>
      <c r="H5078" t="s">
        <v>10649</v>
      </c>
      <c r="I5078" t="s">
        <v>11400</v>
      </c>
      <c r="J5078">
        <v>11385</v>
      </c>
      <c r="K5078" t="s">
        <v>11446</v>
      </c>
      <c r="L5078" t="s">
        <v>14563</v>
      </c>
      <c r="M5078" t="s">
        <v>14744</v>
      </c>
      <c r="N5078" t="s">
        <v>14782</v>
      </c>
      <c r="P5078" t="s">
        <v>14807</v>
      </c>
      <c r="Q5078" t="s">
        <v>11448</v>
      </c>
      <c r="S5078" t="s">
        <v>14827</v>
      </c>
      <c r="V5078">
        <v>0</v>
      </c>
      <c r="W5078" t="s">
        <v>14861</v>
      </c>
      <c r="X5078" t="s">
        <v>14863</v>
      </c>
      <c r="Z5078" t="s">
        <v>19046</v>
      </c>
      <c r="AB5078" t="s">
        <v>24281</v>
      </c>
      <c r="AC5078">
        <v>2</v>
      </c>
      <c r="AE5078" t="s">
        <v>11459</v>
      </c>
      <c r="AF5078">
        <v>7</v>
      </c>
      <c r="AG5078">
        <v>1</v>
      </c>
      <c r="AH5078">
        <v>0</v>
      </c>
      <c r="AI5078">
        <v>210.25</v>
      </c>
      <c r="AL5078" t="s">
        <v>5011</v>
      </c>
      <c r="AM5078">
        <v>26260</v>
      </c>
      <c r="AS5078">
        <v>0.63</v>
      </c>
      <c r="AT5078" t="s">
        <v>495</v>
      </c>
      <c r="AU5078" t="s">
        <v>25233</v>
      </c>
      <c r="AV5078" t="s">
        <v>25335</v>
      </c>
      <c r="AW5078" t="s">
        <v>11447</v>
      </c>
    </row>
    <row r="5079" spans="1:49">
      <c r="A5079" s="1">
        <f>HYPERLINK("https://lsnyc.legalserver.org/matter/dynamic-profile/view/1915007","19-1915007")</f>
        <v>0</v>
      </c>
      <c r="B5079" t="s">
        <v>294</v>
      </c>
      <c r="C5079" t="s">
        <v>521</v>
      </c>
      <c r="E5079" t="s">
        <v>1357</v>
      </c>
      <c r="F5079" t="s">
        <v>3686</v>
      </c>
      <c r="G5079" t="s">
        <v>10171</v>
      </c>
      <c r="H5079" t="s">
        <v>11330</v>
      </c>
      <c r="I5079" t="s">
        <v>11387</v>
      </c>
      <c r="J5079">
        <v>11434</v>
      </c>
      <c r="K5079" t="s">
        <v>11446</v>
      </c>
      <c r="L5079" t="s">
        <v>14564</v>
      </c>
      <c r="M5079" t="s">
        <v>14744</v>
      </c>
      <c r="N5079" t="s">
        <v>14782</v>
      </c>
      <c r="P5079" t="s">
        <v>14807</v>
      </c>
      <c r="S5079" t="s">
        <v>14827</v>
      </c>
      <c r="V5079">
        <v>831</v>
      </c>
      <c r="W5079" t="s">
        <v>14861</v>
      </c>
      <c r="X5079" t="s">
        <v>14863</v>
      </c>
      <c r="Z5079" t="s">
        <v>19047</v>
      </c>
      <c r="AB5079" t="s">
        <v>24282</v>
      </c>
      <c r="AC5079">
        <v>200</v>
      </c>
      <c r="AD5079" t="s">
        <v>24605</v>
      </c>
      <c r="AE5079" t="s">
        <v>11459</v>
      </c>
      <c r="AF5079">
        <v>26</v>
      </c>
      <c r="AG5079">
        <v>3</v>
      </c>
      <c r="AH5079">
        <v>0</v>
      </c>
      <c r="AI5079">
        <v>210.97</v>
      </c>
      <c r="AL5079" t="s">
        <v>5011</v>
      </c>
      <c r="AM5079">
        <v>45000</v>
      </c>
      <c r="AS5079">
        <v>0.33</v>
      </c>
      <c r="AT5079" t="s">
        <v>521</v>
      </c>
      <c r="AU5079" t="s">
        <v>25233</v>
      </c>
      <c r="AV5079" t="s">
        <v>25335</v>
      </c>
      <c r="AW5079" t="s">
        <v>11447</v>
      </c>
    </row>
    <row r="5080" spans="1:49">
      <c r="A5080" s="1">
        <f>HYPERLINK("https://lsnyc.legalserver.org/matter/dynamic-profile/view/1915045","19-1915045")</f>
        <v>0</v>
      </c>
      <c r="B5080" t="s">
        <v>294</v>
      </c>
      <c r="C5080" t="s">
        <v>521</v>
      </c>
      <c r="E5080" t="s">
        <v>1051</v>
      </c>
      <c r="F5080" t="s">
        <v>6091</v>
      </c>
      <c r="G5080" t="s">
        <v>10172</v>
      </c>
      <c r="I5080" t="s">
        <v>11387</v>
      </c>
      <c r="J5080">
        <v>11434</v>
      </c>
      <c r="K5080" t="s">
        <v>11446</v>
      </c>
      <c r="L5080" t="s">
        <v>14565</v>
      </c>
      <c r="M5080" t="s">
        <v>14744</v>
      </c>
      <c r="N5080" t="s">
        <v>14782</v>
      </c>
      <c r="P5080" t="s">
        <v>14807</v>
      </c>
      <c r="Q5080" t="s">
        <v>11448</v>
      </c>
      <c r="S5080" t="s">
        <v>14827</v>
      </c>
      <c r="V5080">
        <v>1700</v>
      </c>
      <c r="W5080" t="s">
        <v>14861</v>
      </c>
      <c r="X5080" t="s">
        <v>14863</v>
      </c>
      <c r="Z5080" t="s">
        <v>16775</v>
      </c>
      <c r="AB5080" t="s">
        <v>24283</v>
      </c>
      <c r="AC5080">
        <v>1</v>
      </c>
      <c r="AD5080" t="s">
        <v>24600</v>
      </c>
      <c r="AE5080" t="s">
        <v>11459</v>
      </c>
      <c r="AF5080">
        <v>1</v>
      </c>
      <c r="AG5080">
        <v>2</v>
      </c>
      <c r="AH5080">
        <v>1</v>
      </c>
      <c r="AI5080">
        <v>210.97</v>
      </c>
      <c r="AL5080" t="s">
        <v>5011</v>
      </c>
      <c r="AM5080">
        <v>45000</v>
      </c>
      <c r="AS5080">
        <v>0.33</v>
      </c>
      <c r="AT5080" t="s">
        <v>521</v>
      </c>
      <c r="AU5080" t="s">
        <v>25233</v>
      </c>
      <c r="AV5080" t="s">
        <v>25335</v>
      </c>
      <c r="AW5080" t="s">
        <v>11447</v>
      </c>
    </row>
    <row r="5081" spans="1:49">
      <c r="A5081" s="1">
        <f>HYPERLINK("https://lsnyc.legalserver.org/matter/dynamic-profile/view/1884333","18-1884333")</f>
        <v>0</v>
      </c>
      <c r="B5081" t="s">
        <v>138</v>
      </c>
      <c r="C5081" t="s">
        <v>749</v>
      </c>
      <c r="E5081" t="s">
        <v>1441</v>
      </c>
      <c r="F5081" t="s">
        <v>6092</v>
      </c>
      <c r="G5081" t="s">
        <v>10173</v>
      </c>
      <c r="H5081" t="s">
        <v>10450</v>
      </c>
      <c r="I5081" t="s">
        <v>11387</v>
      </c>
      <c r="J5081">
        <v>11433</v>
      </c>
      <c r="K5081" t="s">
        <v>11446</v>
      </c>
      <c r="L5081" t="s">
        <v>14566</v>
      </c>
      <c r="M5081" t="s">
        <v>14744</v>
      </c>
      <c r="P5081" t="s">
        <v>14807</v>
      </c>
      <c r="Q5081" t="s">
        <v>11446</v>
      </c>
      <c r="S5081" t="s">
        <v>14828</v>
      </c>
      <c r="T5081" t="s">
        <v>14833</v>
      </c>
      <c r="V5081">
        <v>495</v>
      </c>
      <c r="W5081" t="s">
        <v>14861</v>
      </c>
      <c r="X5081" t="s">
        <v>14863</v>
      </c>
      <c r="Z5081" t="s">
        <v>19048</v>
      </c>
      <c r="AB5081" t="s">
        <v>24284</v>
      </c>
      <c r="AC5081">
        <v>16</v>
      </c>
      <c r="AD5081" t="s">
        <v>24597</v>
      </c>
      <c r="AE5081" t="s">
        <v>11459</v>
      </c>
      <c r="AF5081">
        <v>11</v>
      </c>
      <c r="AG5081">
        <v>1</v>
      </c>
      <c r="AH5081">
        <v>1</v>
      </c>
      <c r="AI5081">
        <v>212.64</v>
      </c>
      <c r="AL5081" t="s">
        <v>5011</v>
      </c>
      <c r="AM5081">
        <v>35000</v>
      </c>
      <c r="AS5081">
        <v>14.7</v>
      </c>
      <c r="AT5081" t="s">
        <v>366</v>
      </c>
      <c r="AU5081" t="s">
        <v>124</v>
      </c>
      <c r="AW5081" t="s">
        <v>11446</v>
      </c>
    </row>
    <row r="5082" spans="1:49">
      <c r="A5082" s="1">
        <f>HYPERLINK("https://lsnyc.legalserver.org/matter/dynamic-profile/view/1915211","19-1915211")</f>
        <v>0</v>
      </c>
      <c r="B5082" t="s">
        <v>147</v>
      </c>
      <c r="C5082" t="s">
        <v>509</v>
      </c>
      <c r="E5082" t="s">
        <v>3421</v>
      </c>
      <c r="F5082" t="s">
        <v>6093</v>
      </c>
      <c r="G5082" t="s">
        <v>10044</v>
      </c>
      <c r="H5082" t="s">
        <v>10638</v>
      </c>
      <c r="I5082" t="s">
        <v>11395</v>
      </c>
      <c r="J5082">
        <v>11373</v>
      </c>
      <c r="K5082" t="s">
        <v>11446</v>
      </c>
      <c r="L5082" t="s">
        <v>14567</v>
      </c>
      <c r="M5082" t="s">
        <v>14744</v>
      </c>
      <c r="N5082" t="s">
        <v>14782</v>
      </c>
      <c r="P5082" t="s">
        <v>14807</v>
      </c>
      <c r="Q5082" t="s">
        <v>11448</v>
      </c>
      <c r="S5082" t="s">
        <v>14827</v>
      </c>
      <c r="V5082">
        <v>860</v>
      </c>
      <c r="W5082" t="s">
        <v>14861</v>
      </c>
      <c r="X5082" t="s">
        <v>14863</v>
      </c>
      <c r="Z5082" t="s">
        <v>18176</v>
      </c>
      <c r="AB5082" t="s">
        <v>24285</v>
      </c>
      <c r="AC5082">
        <v>50</v>
      </c>
      <c r="AD5082" t="s">
        <v>24595</v>
      </c>
      <c r="AF5082">
        <v>30</v>
      </c>
      <c r="AG5082">
        <v>2</v>
      </c>
      <c r="AH5082">
        <v>1</v>
      </c>
      <c r="AI5082">
        <v>225.04</v>
      </c>
      <c r="AL5082" t="s">
        <v>24632</v>
      </c>
      <c r="AM5082">
        <v>48000</v>
      </c>
      <c r="AS5082">
        <v>4.43</v>
      </c>
      <c r="AT5082" t="s">
        <v>654</v>
      </c>
      <c r="AU5082" t="s">
        <v>25233</v>
      </c>
      <c r="AV5082" t="s">
        <v>25335</v>
      </c>
      <c r="AW5082" t="s">
        <v>11447</v>
      </c>
    </row>
    <row r="5083" spans="1:49">
      <c r="A5083" s="1">
        <f>HYPERLINK("https://lsnyc.legalserver.org/matter/dynamic-profile/view/1912380","19-1912380")</f>
        <v>0</v>
      </c>
      <c r="B5083" t="s">
        <v>293</v>
      </c>
      <c r="C5083" t="s">
        <v>473</v>
      </c>
      <c r="E5083" t="s">
        <v>1647</v>
      </c>
      <c r="F5083" t="s">
        <v>6094</v>
      </c>
      <c r="G5083" t="s">
        <v>10174</v>
      </c>
      <c r="H5083" t="s">
        <v>10823</v>
      </c>
      <c r="I5083" t="s">
        <v>11395</v>
      </c>
      <c r="J5083">
        <v>11373</v>
      </c>
      <c r="K5083" t="s">
        <v>11447</v>
      </c>
      <c r="L5083" t="s">
        <v>14568</v>
      </c>
      <c r="M5083" t="s">
        <v>14744</v>
      </c>
      <c r="N5083" t="s">
        <v>14781</v>
      </c>
      <c r="P5083" t="s">
        <v>14807</v>
      </c>
      <c r="Q5083" t="s">
        <v>11448</v>
      </c>
      <c r="S5083" t="s">
        <v>14827</v>
      </c>
      <c r="T5083" t="s">
        <v>14836</v>
      </c>
      <c r="V5083">
        <v>1990</v>
      </c>
      <c r="W5083" t="s">
        <v>14861</v>
      </c>
      <c r="X5083" t="s">
        <v>14863</v>
      </c>
      <c r="Z5083" t="s">
        <v>17839</v>
      </c>
      <c r="AB5083" t="s">
        <v>24286</v>
      </c>
      <c r="AC5083">
        <v>0</v>
      </c>
      <c r="AD5083" t="s">
        <v>24595</v>
      </c>
      <c r="AF5083">
        <v>14</v>
      </c>
      <c r="AG5083">
        <v>2</v>
      </c>
      <c r="AH5083">
        <v>0</v>
      </c>
      <c r="AI5083">
        <v>227.71</v>
      </c>
      <c r="AJ5083" t="s">
        <v>603</v>
      </c>
      <c r="AK5083" t="s">
        <v>24629</v>
      </c>
      <c r="AL5083" t="s">
        <v>5011</v>
      </c>
      <c r="AM5083">
        <v>38506</v>
      </c>
      <c r="AS5083">
        <v>24.8</v>
      </c>
      <c r="AT5083" t="s">
        <v>533</v>
      </c>
      <c r="AU5083" t="s">
        <v>293</v>
      </c>
      <c r="AW5083" t="s">
        <v>11447</v>
      </c>
    </row>
    <row r="5084" spans="1:49">
      <c r="A5084" s="1">
        <f>HYPERLINK("https://lsnyc.legalserver.org/matter/dynamic-profile/view/1908456","19-1908456")</f>
        <v>0</v>
      </c>
      <c r="B5084" t="s">
        <v>204</v>
      </c>
      <c r="C5084" t="s">
        <v>466</v>
      </c>
      <c r="E5084" t="s">
        <v>3422</v>
      </c>
      <c r="F5084" t="s">
        <v>6095</v>
      </c>
      <c r="G5084" t="s">
        <v>10175</v>
      </c>
      <c r="H5084">
        <v>1</v>
      </c>
      <c r="I5084" t="s">
        <v>11387</v>
      </c>
      <c r="J5084">
        <v>11434</v>
      </c>
      <c r="K5084" t="s">
        <v>11447</v>
      </c>
      <c r="L5084" t="s">
        <v>14569</v>
      </c>
      <c r="M5084" t="s">
        <v>14743</v>
      </c>
      <c r="N5084" t="s">
        <v>14781</v>
      </c>
      <c r="P5084" t="s">
        <v>14807</v>
      </c>
      <c r="Q5084" t="s">
        <v>11448</v>
      </c>
      <c r="R5084" t="s">
        <v>14807</v>
      </c>
      <c r="S5084" t="s">
        <v>14827</v>
      </c>
      <c r="T5084" t="s">
        <v>14832</v>
      </c>
      <c r="V5084">
        <v>2100</v>
      </c>
      <c r="W5084" t="s">
        <v>14861</v>
      </c>
      <c r="X5084" t="s">
        <v>14863</v>
      </c>
      <c r="Z5084" t="s">
        <v>19049</v>
      </c>
      <c r="AB5084" t="s">
        <v>24287</v>
      </c>
      <c r="AC5084">
        <v>3</v>
      </c>
      <c r="AD5084" t="s">
        <v>24600</v>
      </c>
      <c r="AE5084" t="s">
        <v>24619</v>
      </c>
      <c r="AF5084">
        <v>1</v>
      </c>
      <c r="AG5084">
        <v>2</v>
      </c>
      <c r="AH5084">
        <v>1</v>
      </c>
      <c r="AI5084">
        <v>243.79</v>
      </c>
      <c r="AL5084" t="s">
        <v>5011</v>
      </c>
      <c r="AM5084">
        <v>52000</v>
      </c>
      <c r="AS5084">
        <v>10.03</v>
      </c>
      <c r="AT5084" t="s">
        <v>511</v>
      </c>
      <c r="AU5084" t="s">
        <v>25233</v>
      </c>
      <c r="AW5084" t="s">
        <v>11447</v>
      </c>
    </row>
    <row r="5085" spans="1:49">
      <c r="A5085" s="1">
        <f>HYPERLINK("https://lsnyc.legalserver.org/matter/dynamic-profile/view/1913396","19-1913396")</f>
        <v>0</v>
      </c>
      <c r="B5085" t="s">
        <v>179</v>
      </c>
      <c r="C5085" t="s">
        <v>483</v>
      </c>
      <c r="E5085" t="s">
        <v>3423</v>
      </c>
      <c r="F5085" t="s">
        <v>6096</v>
      </c>
      <c r="G5085" t="s">
        <v>10097</v>
      </c>
      <c r="H5085">
        <v>40</v>
      </c>
      <c r="I5085" t="s">
        <v>11395</v>
      </c>
      <c r="J5085">
        <v>11373</v>
      </c>
      <c r="K5085" t="s">
        <v>11446</v>
      </c>
      <c r="L5085" t="s">
        <v>14570</v>
      </c>
      <c r="M5085" t="s">
        <v>14744</v>
      </c>
      <c r="N5085" t="s">
        <v>14782</v>
      </c>
      <c r="P5085" t="s">
        <v>14807</v>
      </c>
      <c r="Q5085" t="s">
        <v>11448</v>
      </c>
      <c r="S5085" t="s">
        <v>14827</v>
      </c>
      <c r="V5085">
        <v>1985</v>
      </c>
      <c r="W5085" t="s">
        <v>14861</v>
      </c>
      <c r="X5085" t="s">
        <v>14863</v>
      </c>
      <c r="Z5085" t="s">
        <v>18648</v>
      </c>
      <c r="AB5085" t="s">
        <v>24288</v>
      </c>
      <c r="AC5085">
        <v>7</v>
      </c>
      <c r="AE5085" t="s">
        <v>11459</v>
      </c>
      <c r="AF5085">
        <v>18</v>
      </c>
      <c r="AG5085">
        <v>2</v>
      </c>
      <c r="AH5085">
        <v>0</v>
      </c>
      <c r="AI5085">
        <v>251.92</v>
      </c>
      <c r="AL5085" t="s">
        <v>24632</v>
      </c>
      <c r="AM5085">
        <v>42600</v>
      </c>
      <c r="AS5085">
        <v>1.03</v>
      </c>
      <c r="AT5085" t="s">
        <v>483</v>
      </c>
      <c r="AU5085" t="s">
        <v>25233</v>
      </c>
      <c r="AV5085" t="s">
        <v>25335</v>
      </c>
      <c r="AW5085" t="s">
        <v>11447</v>
      </c>
    </row>
    <row r="5086" spans="1:49">
      <c r="A5086" s="1">
        <f>HYPERLINK("https://lsnyc.legalserver.org/matter/dynamic-profile/view/1907640","19-1907640")</f>
        <v>0</v>
      </c>
      <c r="B5086" t="s">
        <v>138</v>
      </c>
      <c r="C5086" t="s">
        <v>633</v>
      </c>
      <c r="E5086" t="s">
        <v>1032</v>
      </c>
      <c r="F5086" t="s">
        <v>4368</v>
      </c>
      <c r="G5086" t="s">
        <v>10176</v>
      </c>
      <c r="I5086" t="s">
        <v>11387</v>
      </c>
      <c r="J5086">
        <v>11434</v>
      </c>
      <c r="K5086" t="s">
        <v>11447</v>
      </c>
      <c r="L5086" t="s">
        <v>14571</v>
      </c>
      <c r="M5086" t="s">
        <v>14744</v>
      </c>
      <c r="N5086" t="s">
        <v>14781</v>
      </c>
      <c r="P5086" t="s">
        <v>14807</v>
      </c>
      <c r="S5086" t="s">
        <v>14827</v>
      </c>
      <c r="V5086">
        <v>1089</v>
      </c>
      <c r="W5086" t="s">
        <v>14861</v>
      </c>
      <c r="X5086" t="s">
        <v>14863</v>
      </c>
      <c r="Z5086" t="s">
        <v>19050</v>
      </c>
      <c r="AB5086" t="s">
        <v>24289</v>
      </c>
      <c r="AC5086">
        <v>5000</v>
      </c>
      <c r="AD5086" t="s">
        <v>24601</v>
      </c>
      <c r="AE5086" t="s">
        <v>11459</v>
      </c>
      <c r="AF5086">
        <v>33</v>
      </c>
      <c r="AG5086">
        <v>2</v>
      </c>
      <c r="AH5086">
        <v>0</v>
      </c>
      <c r="AI5086">
        <v>260.2</v>
      </c>
      <c r="AL5086" t="s">
        <v>5011</v>
      </c>
      <c r="AM5086">
        <v>44000</v>
      </c>
      <c r="AS5086">
        <v>7.93</v>
      </c>
      <c r="AT5086" t="s">
        <v>526</v>
      </c>
      <c r="AU5086" t="s">
        <v>25233</v>
      </c>
      <c r="AW5086" t="s">
        <v>11447</v>
      </c>
    </row>
    <row r="5087" spans="1:49">
      <c r="A5087" s="1">
        <f>HYPERLINK("https://lsnyc.legalserver.org/matter/dynamic-profile/view/1913412","19-1913412")</f>
        <v>0</v>
      </c>
      <c r="B5087" t="s">
        <v>179</v>
      </c>
      <c r="C5087" t="s">
        <v>483</v>
      </c>
      <c r="E5087" t="s">
        <v>1056</v>
      </c>
      <c r="F5087" t="s">
        <v>4299</v>
      </c>
      <c r="G5087" t="s">
        <v>10177</v>
      </c>
      <c r="H5087" t="s">
        <v>10845</v>
      </c>
      <c r="I5087" t="s">
        <v>11387</v>
      </c>
      <c r="J5087">
        <v>11434</v>
      </c>
      <c r="K5087" t="s">
        <v>11446</v>
      </c>
      <c r="L5087" t="s">
        <v>14572</v>
      </c>
      <c r="M5087" t="s">
        <v>14743</v>
      </c>
      <c r="N5087" t="s">
        <v>14782</v>
      </c>
      <c r="P5087" t="s">
        <v>14807</v>
      </c>
      <c r="Q5087" t="s">
        <v>11448</v>
      </c>
      <c r="S5087" t="s">
        <v>14827</v>
      </c>
      <c r="V5087">
        <v>980</v>
      </c>
      <c r="W5087" t="s">
        <v>14861</v>
      </c>
      <c r="X5087" t="s">
        <v>14863</v>
      </c>
      <c r="Z5087" t="s">
        <v>19051</v>
      </c>
      <c r="AB5087" t="s">
        <v>24290</v>
      </c>
      <c r="AC5087">
        <v>0</v>
      </c>
      <c r="AE5087" t="s">
        <v>11459</v>
      </c>
      <c r="AF5087">
        <v>7</v>
      </c>
      <c r="AG5087">
        <v>1</v>
      </c>
      <c r="AH5087">
        <v>0</v>
      </c>
      <c r="AI5087">
        <v>288.23</v>
      </c>
      <c r="AL5087" t="s">
        <v>5011</v>
      </c>
      <c r="AM5087">
        <v>36000</v>
      </c>
      <c r="AS5087">
        <v>1.03</v>
      </c>
      <c r="AT5087" t="s">
        <v>483</v>
      </c>
      <c r="AU5087" t="s">
        <v>25233</v>
      </c>
      <c r="AV5087" t="s">
        <v>25335</v>
      </c>
      <c r="AW5087" t="s">
        <v>11447</v>
      </c>
    </row>
    <row r="5088" spans="1:49">
      <c r="A5088" s="1">
        <f>HYPERLINK("https://lsnyc.legalserver.org/matter/dynamic-profile/view/1915103","19-1915103")</f>
        <v>0</v>
      </c>
      <c r="B5088" t="s">
        <v>68</v>
      </c>
      <c r="C5088" t="s">
        <v>516</v>
      </c>
      <c r="E5088" t="s">
        <v>2938</v>
      </c>
      <c r="F5088" t="s">
        <v>6097</v>
      </c>
      <c r="G5088" t="s">
        <v>10178</v>
      </c>
      <c r="H5088" t="s">
        <v>11173</v>
      </c>
      <c r="I5088" t="s">
        <v>11387</v>
      </c>
      <c r="J5088">
        <v>11434</v>
      </c>
      <c r="K5088" t="s">
        <v>11446</v>
      </c>
      <c r="L5088" t="s">
        <v>14573</v>
      </c>
      <c r="M5088" t="s">
        <v>14744</v>
      </c>
      <c r="N5088" t="s">
        <v>14782</v>
      </c>
      <c r="P5088" t="s">
        <v>14807</v>
      </c>
      <c r="Q5088" t="s">
        <v>11448</v>
      </c>
      <c r="S5088" t="s">
        <v>14827</v>
      </c>
      <c r="V5088">
        <v>1382.82</v>
      </c>
      <c r="W5088" t="s">
        <v>14861</v>
      </c>
      <c r="X5088" t="s">
        <v>14863</v>
      </c>
      <c r="Z5088" t="s">
        <v>19052</v>
      </c>
      <c r="AB5088" t="s">
        <v>24291</v>
      </c>
      <c r="AC5088">
        <v>200</v>
      </c>
      <c r="AD5088" t="s">
        <v>24601</v>
      </c>
      <c r="AE5088" t="s">
        <v>11459</v>
      </c>
      <c r="AF5088">
        <v>17</v>
      </c>
      <c r="AG5088">
        <v>2</v>
      </c>
      <c r="AH5088">
        <v>0</v>
      </c>
      <c r="AI5088">
        <v>340.63</v>
      </c>
      <c r="AL5088" t="s">
        <v>5011</v>
      </c>
      <c r="AM5088">
        <v>57600</v>
      </c>
      <c r="AS5088">
        <v>1.13</v>
      </c>
      <c r="AT5088" t="s">
        <v>516</v>
      </c>
      <c r="AU5088" t="s">
        <v>25233</v>
      </c>
      <c r="AV5088" t="s">
        <v>25335</v>
      </c>
      <c r="AW5088" t="s">
        <v>11447</v>
      </c>
    </row>
    <row r="5089" spans="1:49">
      <c r="A5089" s="1">
        <f>HYPERLINK("https://lsnyc.legalserver.org/matter/dynamic-profile/view/1899451","19-1899451")</f>
        <v>0</v>
      </c>
      <c r="B5089" t="s">
        <v>293</v>
      </c>
      <c r="C5089" t="s">
        <v>329</v>
      </c>
      <c r="E5089" t="s">
        <v>1140</v>
      </c>
      <c r="F5089" t="s">
        <v>3262</v>
      </c>
      <c r="G5089" t="s">
        <v>10179</v>
      </c>
      <c r="H5089" t="s">
        <v>11151</v>
      </c>
      <c r="I5089" t="s">
        <v>11387</v>
      </c>
      <c r="J5089">
        <v>11434</v>
      </c>
      <c r="K5089" t="s">
        <v>11446</v>
      </c>
      <c r="L5089" t="s">
        <v>14574</v>
      </c>
      <c r="M5089" t="s">
        <v>14744</v>
      </c>
      <c r="N5089" t="s">
        <v>14781</v>
      </c>
      <c r="P5089" t="s">
        <v>14807</v>
      </c>
      <c r="Q5089" t="s">
        <v>11448</v>
      </c>
      <c r="S5089" t="s">
        <v>14827</v>
      </c>
      <c r="T5089" t="s">
        <v>14832</v>
      </c>
      <c r="V5089">
        <v>1020.36</v>
      </c>
      <c r="W5089" t="s">
        <v>14861</v>
      </c>
      <c r="X5089" t="s">
        <v>14863</v>
      </c>
      <c r="Z5089" t="s">
        <v>19053</v>
      </c>
      <c r="AB5089" t="s">
        <v>19344</v>
      </c>
      <c r="AC5089">
        <v>0</v>
      </c>
      <c r="AD5089" t="s">
        <v>24601</v>
      </c>
      <c r="AE5089" t="s">
        <v>11459</v>
      </c>
      <c r="AF5089">
        <v>26</v>
      </c>
      <c r="AG5089">
        <v>2</v>
      </c>
      <c r="AH5089">
        <v>0</v>
      </c>
      <c r="AI5089">
        <v>358.37</v>
      </c>
      <c r="AJ5089" t="s">
        <v>612</v>
      </c>
      <c r="AK5089" t="s">
        <v>24629</v>
      </c>
      <c r="AL5089" t="s">
        <v>5011</v>
      </c>
      <c r="AM5089">
        <v>60600</v>
      </c>
      <c r="AS5089">
        <v>7.68</v>
      </c>
      <c r="AT5089" t="s">
        <v>580</v>
      </c>
      <c r="AU5089" t="s">
        <v>292</v>
      </c>
      <c r="AV5089" t="s">
        <v>25335</v>
      </c>
      <c r="AW5089" t="s">
        <v>11447</v>
      </c>
    </row>
    <row r="5090" spans="1:49">
      <c r="A5090" s="1">
        <f>HYPERLINK("https://lsnyc.legalserver.org/matter/dynamic-profile/view/1913573","19-1913573")</f>
        <v>0</v>
      </c>
      <c r="B5090" t="s">
        <v>294</v>
      </c>
      <c r="C5090" t="s">
        <v>477</v>
      </c>
      <c r="E5090" t="s">
        <v>1372</v>
      </c>
      <c r="F5090" t="s">
        <v>6098</v>
      </c>
      <c r="G5090" t="s">
        <v>10180</v>
      </c>
      <c r="H5090">
        <v>16</v>
      </c>
      <c r="I5090" t="s">
        <v>11395</v>
      </c>
      <c r="J5090">
        <v>11373</v>
      </c>
      <c r="K5090" t="s">
        <v>11446</v>
      </c>
      <c r="L5090" t="s">
        <v>14575</v>
      </c>
      <c r="M5090" t="s">
        <v>14743</v>
      </c>
      <c r="N5090" t="s">
        <v>14782</v>
      </c>
      <c r="P5090" t="s">
        <v>14807</v>
      </c>
      <c r="Q5090" t="s">
        <v>11448</v>
      </c>
      <c r="S5090" t="s">
        <v>14827</v>
      </c>
      <c r="V5090">
        <v>1626.59</v>
      </c>
      <c r="W5090" t="s">
        <v>14861</v>
      </c>
      <c r="X5090" t="s">
        <v>14863</v>
      </c>
      <c r="Z5090" t="s">
        <v>19054</v>
      </c>
      <c r="AB5090" t="s">
        <v>24292</v>
      </c>
      <c r="AC5090">
        <v>40</v>
      </c>
      <c r="AD5090" t="s">
        <v>24595</v>
      </c>
      <c r="AE5090" t="s">
        <v>11459</v>
      </c>
      <c r="AF5090">
        <v>9</v>
      </c>
      <c r="AG5090">
        <v>4</v>
      </c>
      <c r="AH5090">
        <v>0</v>
      </c>
      <c r="AI5090">
        <v>358.83</v>
      </c>
      <c r="AJ5090" t="s">
        <v>539</v>
      </c>
      <c r="AK5090" t="s">
        <v>24629</v>
      </c>
      <c r="AL5090" t="s">
        <v>24632</v>
      </c>
      <c r="AM5090">
        <v>92400</v>
      </c>
      <c r="AS5090">
        <v>1.53</v>
      </c>
      <c r="AT5090" t="s">
        <v>495</v>
      </c>
      <c r="AU5090" t="s">
        <v>25233</v>
      </c>
      <c r="AV5090" t="s">
        <v>25335</v>
      </c>
      <c r="AW5090" t="s">
        <v>11447</v>
      </c>
    </row>
    <row r="5091" spans="1:49">
      <c r="A5091" s="1">
        <f>HYPERLINK("https://lsnyc.legalserver.org/matter/dynamic-profile/view/1905903","19-1905903")</f>
        <v>0</v>
      </c>
      <c r="B5091" t="s">
        <v>179</v>
      </c>
      <c r="C5091" t="s">
        <v>500</v>
      </c>
      <c r="E5091" t="s">
        <v>1399</v>
      </c>
      <c r="F5091" t="s">
        <v>3584</v>
      </c>
      <c r="G5091" t="s">
        <v>10181</v>
      </c>
      <c r="H5091">
        <v>1</v>
      </c>
      <c r="I5091" t="s">
        <v>11387</v>
      </c>
      <c r="J5091">
        <v>11433</v>
      </c>
      <c r="K5091" t="s">
        <v>11446</v>
      </c>
      <c r="L5091" t="s">
        <v>14576</v>
      </c>
      <c r="M5091" t="s">
        <v>14743</v>
      </c>
      <c r="N5091" t="s">
        <v>14781</v>
      </c>
      <c r="P5091" t="s">
        <v>14807</v>
      </c>
      <c r="S5091" t="s">
        <v>14827</v>
      </c>
      <c r="V5091">
        <v>1200</v>
      </c>
      <c r="W5091" t="s">
        <v>14861</v>
      </c>
      <c r="X5091" t="s">
        <v>14865</v>
      </c>
      <c r="Z5091" t="s">
        <v>19055</v>
      </c>
      <c r="AB5091" t="s">
        <v>24293</v>
      </c>
      <c r="AC5091">
        <v>2</v>
      </c>
      <c r="AD5091" t="s">
        <v>24600</v>
      </c>
      <c r="AE5091" t="s">
        <v>11459</v>
      </c>
      <c r="AF5091">
        <v>25</v>
      </c>
      <c r="AG5091">
        <v>3</v>
      </c>
      <c r="AH5091">
        <v>0</v>
      </c>
      <c r="AI5091">
        <v>1195.5</v>
      </c>
      <c r="AM5091">
        <v>255000</v>
      </c>
      <c r="AS5091">
        <v>1.6</v>
      </c>
      <c r="AT5091" t="s">
        <v>468</v>
      </c>
      <c r="AU5091" t="s">
        <v>99</v>
      </c>
      <c r="AV5091" t="s">
        <v>25335</v>
      </c>
      <c r="AW5091" t="s">
        <v>11447</v>
      </c>
    </row>
    <row r="5092" spans="1:49">
      <c r="A5092" s="1">
        <f>HYPERLINK("https://lsnyc.legalserver.org/matter/dynamic-profile/view/1905039","19-1905039")</f>
        <v>0</v>
      </c>
      <c r="B5092" t="s">
        <v>87</v>
      </c>
      <c r="C5092" t="s">
        <v>456</v>
      </c>
      <c r="D5092" t="s">
        <v>355</v>
      </c>
      <c r="E5092" t="s">
        <v>1412</v>
      </c>
      <c r="F5092" t="s">
        <v>6099</v>
      </c>
      <c r="G5092" t="s">
        <v>10182</v>
      </c>
      <c r="H5092" t="s">
        <v>10951</v>
      </c>
      <c r="I5092" t="s">
        <v>11384</v>
      </c>
      <c r="J5092">
        <v>10303</v>
      </c>
      <c r="K5092" t="s">
        <v>11446</v>
      </c>
      <c r="L5092" t="s">
        <v>14577</v>
      </c>
      <c r="M5092" t="s">
        <v>14744</v>
      </c>
      <c r="N5092" t="s">
        <v>14778</v>
      </c>
      <c r="O5092" t="s">
        <v>14786</v>
      </c>
      <c r="P5092" t="s">
        <v>14808</v>
      </c>
      <c r="Q5092" t="s">
        <v>11448</v>
      </c>
      <c r="S5092" t="s">
        <v>14827</v>
      </c>
      <c r="T5092" t="s">
        <v>14832</v>
      </c>
      <c r="U5092" t="s">
        <v>456</v>
      </c>
      <c r="V5092">
        <v>1270</v>
      </c>
      <c r="W5092" t="s">
        <v>14862</v>
      </c>
      <c r="X5092" t="s">
        <v>14863</v>
      </c>
      <c r="Y5092" t="s">
        <v>14883</v>
      </c>
      <c r="Z5092" t="s">
        <v>19056</v>
      </c>
      <c r="AB5092" t="s">
        <v>24294</v>
      </c>
      <c r="AC5092">
        <v>568</v>
      </c>
      <c r="AD5092" t="s">
        <v>24596</v>
      </c>
      <c r="AE5092" t="s">
        <v>11459</v>
      </c>
      <c r="AF5092">
        <v>12</v>
      </c>
      <c r="AG5092">
        <v>1</v>
      </c>
      <c r="AH5092">
        <v>2</v>
      </c>
      <c r="AI5092">
        <v>243.79</v>
      </c>
      <c r="AL5092" t="s">
        <v>5011</v>
      </c>
      <c r="AM5092">
        <v>51999.96</v>
      </c>
      <c r="AO5092" t="s">
        <v>24934</v>
      </c>
      <c r="AP5092" t="s">
        <v>14755</v>
      </c>
      <c r="AQ5092" t="s">
        <v>24986</v>
      </c>
      <c r="AR5092" t="s">
        <v>25028</v>
      </c>
      <c r="AS5092">
        <v>0.5</v>
      </c>
      <c r="AT5092" t="s">
        <v>555</v>
      </c>
      <c r="AU5092" t="s">
        <v>25270</v>
      </c>
      <c r="AV5092" t="s">
        <v>25335</v>
      </c>
      <c r="AW5092" t="s">
        <v>11447</v>
      </c>
    </row>
    <row r="5093" spans="1:49">
      <c r="A5093" s="1">
        <f>HYPERLINK("https://lsnyc.legalserver.org/matter/dynamic-profile/view/1905398","19-1905398")</f>
        <v>0</v>
      </c>
      <c r="B5093" t="s">
        <v>165</v>
      </c>
      <c r="C5093" t="s">
        <v>555</v>
      </c>
      <c r="D5093" t="s">
        <v>354</v>
      </c>
      <c r="E5093" t="s">
        <v>1465</v>
      </c>
      <c r="F5093" t="s">
        <v>5065</v>
      </c>
      <c r="G5093" t="s">
        <v>10183</v>
      </c>
      <c r="I5093" t="s">
        <v>11384</v>
      </c>
      <c r="J5093">
        <v>10310</v>
      </c>
      <c r="K5093" t="s">
        <v>11446</v>
      </c>
      <c r="L5093" t="s">
        <v>14578</v>
      </c>
      <c r="M5093" t="s">
        <v>14743</v>
      </c>
      <c r="N5093" t="s">
        <v>14778</v>
      </c>
      <c r="O5093" t="s">
        <v>14786</v>
      </c>
      <c r="P5093" t="s">
        <v>14808</v>
      </c>
      <c r="Q5093" t="s">
        <v>11448</v>
      </c>
      <c r="S5093" t="s">
        <v>14827</v>
      </c>
      <c r="T5093" t="s">
        <v>14832</v>
      </c>
      <c r="U5093" t="s">
        <v>520</v>
      </c>
      <c r="V5093">
        <v>1790</v>
      </c>
      <c r="W5093" t="s">
        <v>14862</v>
      </c>
      <c r="X5093" t="s">
        <v>14868</v>
      </c>
      <c r="Y5093" t="s">
        <v>14883</v>
      </c>
      <c r="Z5093" t="s">
        <v>19057</v>
      </c>
      <c r="AB5093" t="s">
        <v>24295</v>
      </c>
      <c r="AC5093">
        <v>1</v>
      </c>
      <c r="AD5093" t="s">
        <v>24600</v>
      </c>
      <c r="AE5093" t="s">
        <v>24610</v>
      </c>
      <c r="AF5093">
        <v>21</v>
      </c>
      <c r="AG5093">
        <v>3</v>
      </c>
      <c r="AH5093">
        <v>0</v>
      </c>
      <c r="AI5093">
        <v>408.81</v>
      </c>
      <c r="AL5093" t="s">
        <v>5011</v>
      </c>
      <c r="AM5093">
        <v>87200</v>
      </c>
      <c r="AS5093">
        <v>0.1</v>
      </c>
      <c r="AT5093" t="s">
        <v>354</v>
      </c>
      <c r="AU5093" t="s">
        <v>25270</v>
      </c>
      <c r="AV5093" t="s">
        <v>25335</v>
      </c>
      <c r="AW5093" t="s">
        <v>11447</v>
      </c>
    </row>
    <row r="5094" spans="1:49">
      <c r="A5094" s="1">
        <f>HYPERLINK("https://lsnyc.legalserver.org/matter/dynamic-profile/view/1904631","19-1904631")</f>
        <v>0</v>
      </c>
      <c r="B5094" t="s">
        <v>164</v>
      </c>
      <c r="C5094" t="s">
        <v>365</v>
      </c>
      <c r="D5094" t="s">
        <v>379</v>
      </c>
      <c r="E5094" t="s">
        <v>1658</v>
      </c>
      <c r="F5094" t="s">
        <v>4638</v>
      </c>
      <c r="G5094" t="s">
        <v>10184</v>
      </c>
      <c r="H5094">
        <v>2</v>
      </c>
      <c r="I5094" t="s">
        <v>11384</v>
      </c>
      <c r="J5094">
        <v>10303</v>
      </c>
      <c r="K5094" t="s">
        <v>11446</v>
      </c>
      <c r="L5094" t="s">
        <v>14579</v>
      </c>
      <c r="M5094" t="s">
        <v>14764</v>
      </c>
      <c r="N5094" t="s">
        <v>14781</v>
      </c>
      <c r="O5094" t="s">
        <v>14788</v>
      </c>
      <c r="P5094" t="s">
        <v>14808</v>
      </c>
      <c r="Q5094" t="s">
        <v>11448</v>
      </c>
      <c r="S5094" t="s">
        <v>14827</v>
      </c>
      <c r="T5094" t="s">
        <v>14832</v>
      </c>
      <c r="U5094" t="s">
        <v>365</v>
      </c>
      <c r="V5094">
        <v>1950</v>
      </c>
      <c r="W5094" t="s">
        <v>14862</v>
      </c>
      <c r="X5094" t="s">
        <v>14863</v>
      </c>
      <c r="Y5094" t="s">
        <v>14899</v>
      </c>
      <c r="Z5094" t="s">
        <v>19058</v>
      </c>
      <c r="AB5094" t="s">
        <v>24296</v>
      </c>
      <c r="AC5094">
        <v>2</v>
      </c>
      <c r="AD5094" t="s">
        <v>24600</v>
      </c>
      <c r="AE5094" t="s">
        <v>11459</v>
      </c>
      <c r="AF5094">
        <v>-1</v>
      </c>
      <c r="AG5094">
        <v>2</v>
      </c>
      <c r="AH5094">
        <v>2</v>
      </c>
      <c r="AI5094">
        <v>139.81</v>
      </c>
      <c r="AL5094" t="s">
        <v>5011</v>
      </c>
      <c r="AM5094">
        <v>36000</v>
      </c>
      <c r="AO5094" t="s">
        <v>24932</v>
      </c>
      <c r="AP5094" t="s">
        <v>24981</v>
      </c>
      <c r="AQ5094" t="s">
        <v>24987</v>
      </c>
      <c r="AR5094" t="s">
        <v>25095</v>
      </c>
      <c r="AS5094">
        <v>14.2</v>
      </c>
      <c r="AT5094" t="s">
        <v>379</v>
      </c>
      <c r="AU5094" t="s">
        <v>25270</v>
      </c>
      <c r="AV5094" t="s">
        <v>25335</v>
      </c>
      <c r="AW5094" t="s">
        <v>11447</v>
      </c>
    </row>
    <row r="5095" spans="1:49">
      <c r="A5095" s="1">
        <f>HYPERLINK("https://lsnyc.legalserver.org/matter/dynamic-profile/view/1906164","19-1906164")</f>
        <v>0</v>
      </c>
      <c r="B5095" t="s">
        <v>165</v>
      </c>
      <c r="C5095" t="s">
        <v>553</v>
      </c>
      <c r="D5095" t="s">
        <v>377</v>
      </c>
      <c r="E5095" t="s">
        <v>1337</v>
      </c>
      <c r="F5095" t="s">
        <v>6100</v>
      </c>
      <c r="G5095" t="s">
        <v>10185</v>
      </c>
      <c r="H5095" t="s">
        <v>10665</v>
      </c>
      <c r="I5095" t="s">
        <v>11384</v>
      </c>
      <c r="J5095">
        <v>10314</v>
      </c>
      <c r="K5095" t="s">
        <v>11446</v>
      </c>
      <c r="L5095" t="s">
        <v>14580</v>
      </c>
      <c r="M5095" t="s">
        <v>14744</v>
      </c>
      <c r="N5095" t="s">
        <v>14781</v>
      </c>
      <c r="O5095" t="s">
        <v>14788</v>
      </c>
      <c r="P5095" t="s">
        <v>14808</v>
      </c>
      <c r="Q5095" t="s">
        <v>11448</v>
      </c>
      <c r="S5095" t="s">
        <v>14828</v>
      </c>
      <c r="T5095" t="s">
        <v>14832</v>
      </c>
      <c r="U5095" t="s">
        <v>553</v>
      </c>
      <c r="V5095">
        <v>650</v>
      </c>
      <c r="W5095" t="s">
        <v>14862</v>
      </c>
      <c r="X5095" t="s">
        <v>14863</v>
      </c>
      <c r="Y5095" t="s">
        <v>14894</v>
      </c>
      <c r="Z5095" t="s">
        <v>19059</v>
      </c>
      <c r="AB5095" t="s">
        <v>24297</v>
      </c>
      <c r="AC5095">
        <v>72</v>
      </c>
      <c r="AD5095" t="s">
        <v>24596</v>
      </c>
      <c r="AE5095" t="s">
        <v>11459</v>
      </c>
      <c r="AF5095">
        <v>7</v>
      </c>
      <c r="AG5095">
        <v>1</v>
      </c>
      <c r="AH5095">
        <v>1</v>
      </c>
      <c r="AI5095">
        <v>182.97</v>
      </c>
      <c r="AL5095" t="s">
        <v>5011</v>
      </c>
      <c r="AM5095">
        <v>30939.96</v>
      </c>
      <c r="AP5095" t="s">
        <v>24942</v>
      </c>
      <c r="AQ5095" t="s">
        <v>24986</v>
      </c>
      <c r="AR5095" t="s">
        <v>25012</v>
      </c>
      <c r="AS5095">
        <v>1.8</v>
      </c>
      <c r="AT5095" t="s">
        <v>377</v>
      </c>
      <c r="AU5095" t="s">
        <v>25270</v>
      </c>
      <c r="AV5095" t="s">
        <v>25335</v>
      </c>
      <c r="AW5095" t="s">
        <v>11447</v>
      </c>
    </row>
    <row r="5096" spans="1:49">
      <c r="A5096" s="1">
        <f>HYPERLINK("https://lsnyc.legalserver.org/matter/dynamic-profile/view/1908376","19-1908376")</f>
        <v>0</v>
      </c>
      <c r="B5096" t="s">
        <v>87</v>
      </c>
      <c r="C5096" t="s">
        <v>464</v>
      </c>
      <c r="D5096" t="s">
        <v>464</v>
      </c>
      <c r="E5096" t="s">
        <v>1425</v>
      </c>
      <c r="F5096" t="s">
        <v>6101</v>
      </c>
      <c r="G5096" t="s">
        <v>10186</v>
      </c>
      <c r="H5096" t="s">
        <v>10464</v>
      </c>
      <c r="I5096" t="s">
        <v>11384</v>
      </c>
      <c r="J5096">
        <v>10314</v>
      </c>
      <c r="K5096" t="s">
        <v>11446</v>
      </c>
      <c r="L5096" t="s">
        <v>14581</v>
      </c>
      <c r="M5096" t="s">
        <v>14744</v>
      </c>
      <c r="N5096" t="s">
        <v>14778</v>
      </c>
      <c r="O5096" t="s">
        <v>14786</v>
      </c>
      <c r="P5096" t="s">
        <v>14808</v>
      </c>
      <c r="Q5096" t="s">
        <v>11448</v>
      </c>
      <c r="S5096" t="s">
        <v>14827</v>
      </c>
      <c r="T5096" t="s">
        <v>14832</v>
      </c>
      <c r="U5096" t="s">
        <v>464</v>
      </c>
      <c r="V5096">
        <v>2600</v>
      </c>
      <c r="W5096" t="s">
        <v>14862</v>
      </c>
      <c r="X5096" t="s">
        <v>14863</v>
      </c>
      <c r="Y5096" t="s">
        <v>14883</v>
      </c>
      <c r="Z5096" t="s">
        <v>19060</v>
      </c>
      <c r="AB5096" t="s">
        <v>24298</v>
      </c>
      <c r="AC5096">
        <v>2</v>
      </c>
      <c r="AD5096" t="s">
        <v>24600</v>
      </c>
      <c r="AE5096" t="s">
        <v>11459</v>
      </c>
      <c r="AF5096">
        <v>-1</v>
      </c>
      <c r="AG5096">
        <v>2</v>
      </c>
      <c r="AH5096">
        <v>1</v>
      </c>
      <c r="AI5096">
        <v>309.42</v>
      </c>
      <c r="AL5096" t="s">
        <v>5011</v>
      </c>
      <c r="AM5096">
        <v>66000</v>
      </c>
      <c r="AS5096">
        <v>0.15</v>
      </c>
      <c r="AT5096" t="s">
        <v>410</v>
      </c>
      <c r="AU5096" t="s">
        <v>25270</v>
      </c>
      <c r="AV5096" t="s">
        <v>25335</v>
      </c>
      <c r="AW5096" t="s">
        <v>11447</v>
      </c>
    </row>
    <row r="5097" spans="1:49">
      <c r="A5097" s="1">
        <f>HYPERLINK("https://lsnyc.legalserver.org/matter/dynamic-profile/view/1904279","19-1904279")</f>
        <v>0</v>
      </c>
      <c r="B5097" t="s">
        <v>165</v>
      </c>
      <c r="C5097" t="s">
        <v>332</v>
      </c>
      <c r="D5097" t="s">
        <v>641</v>
      </c>
      <c r="E5097" t="s">
        <v>3424</v>
      </c>
      <c r="F5097" t="s">
        <v>6102</v>
      </c>
      <c r="G5097" t="s">
        <v>10187</v>
      </c>
      <c r="H5097" t="s">
        <v>10749</v>
      </c>
      <c r="I5097" t="s">
        <v>11384</v>
      </c>
      <c r="J5097">
        <v>10310</v>
      </c>
      <c r="K5097" t="s">
        <v>11446</v>
      </c>
      <c r="L5097" t="s">
        <v>14582</v>
      </c>
      <c r="M5097" t="s">
        <v>14744</v>
      </c>
      <c r="N5097" t="s">
        <v>14781</v>
      </c>
      <c r="O5097" t="s">
        <v>14788</v>
      </c>
      <c r="P5097" t="s">
        <v>14808</v>
      </c>
      <c r="Q5097" t="s">
        <v>11448</v>
      </c>
      <c r="S5097" t="s">
        <v>14828</v>
      </c>
      <c r="T5097" t="s">
        <v>14832</v>
      </c>
      <c r="U5097" t="s">
        <v>332</v>
      </c>
      <c r="V5097">
        <v>283</v>
      </c>
      <c r="W5097" t="s">
        <v>14862</v>
      </c>
      <c r="X5097" t="s">
        <v>14863</v>
      </c>
      <c r="Y5097" t="s">
        <v>14894</v>
      </c>
      <c r="Z5097" t="s">
        <v>19061</v>
      </c>
      <c r="AB5097" t="s">
        <v>24299</v>
      </c>
      <c r="AC5097">
        <v>516</v>
      </c>
      <c r="AD5097" t="s">
        <v>24597</v>
      </c>
      <c r="AE5097" t="s">
        <v>24610</v>
      </c>
      <c r="AF5097">
        <v>1</v>
      </c>
      <c r="AG5097">
        <v>1</v>
      </c>
      <c r="AH5097">
        <v>2</v>
      </c>
      <c r="AI5097">
        <v>0</v>
      </c>
      <c r="AL5097" t="s">
        <v>5011</v>
      </c>
      <c r="AM5097">
        <v>0</v>
      </c>
      <c r="AP5097" t="s">
        <v>24942</v>
      </c>
      <c r="AQ5097" t="s">
        <v>24986</v>
      </c>
      <c r="AR5097" t="s">
        <v>25001</v>
      </c>
      <c r="AS5097">
        <v>2.3</v>
      </c>
      <c r="AT5097" t="s">
        <v>354</v>
      </c>
      <c r="AU5097" t="s">
        <v>25265</v>
      </c>
      <c r="AV5097" t="s">
        <v>25335</v>
      </c>
      <c r="AW5097" t="s">
        <v>11447</v>
      </c>
    </row>
    <row r="5098" spans="1:49">
      <c r="A5098" s="1">
        <f>HYPERLINK("https://lsnyc.legalserver.org/matter/dynamic-profile/view/1909899","19-1909899")</f>
        <v>0</v>
      </c>
      <c r="B5098" t="s">
        <v>164</v>
      </c>
      <c r="C5098" t="s">
        <v>468</v>
      </c>
      <c r="D5098" t="s">
        <v>508</v>
      </c>
      <c r="E5098" t="s">
        <v>3425</v>
      </c>
      <c r="F5098" t="s">
        <v>6103</v>
      </c>
      <c r="G5098" t="s">
        <v>10188</v>
      </c>
      <c r="H5098" t="s">
        <v>10519</v>
      </c>
      <c r="I5098" t="s">
        <v>11384</v>
      </c>
      <c r="J5098">
        <v>10303</v>
      </c>
      <c r="K5098" t="s">
        <v>11446</v>
      </c>
      <c r="L5098" t="s">
        <v>14583</v>
      </c>
      <c r="M5098" t="s">
        <v>14744</v>
      </c>
      <c r="N5098" t="s">
        <v>14778</v>
      </c>
      <c r="O5098" t="s">
        <v>14786</v>
      </c>
      <c r="P5098" t="s">
        <v>14808</v>
      </c>
      <c r="Q5098" t="s">
        <v>11448</v>
      </c>
      <c r="S5098" t="s">
        <v>14827</v>
      </c>
      <c r="T5098" t="s">
        <v>14832</v>
      </c>
      <c r="U5098" t="s">
        <v>468</v>
      </c>
      <c r="V5098">
        <v>0</v>
      </c>
      <c r="W5098" t="s">
        <v>14862</v>
      </c>
      <c r="X5098" t="s">
        <v>14863</v>
      </c>
      <c r="Y5098" t="s">
        <v>14883</v>
      </c>
      <c r="Z5098" t="s">
        <v>19062</v>
      </c>
      <c r="AB5098" t="s">
        <v>24300</v>
      </c>
      <c r="AC5098">
        <v>130</v>
      </c>
      <c r="AD5098" t="s">
        <v>24596</v>
      </c>
      <c r="AE5098" t="s">
        <v>11459</v>
      </c>
      <c r="AF5098">
        <v>5</v>
      </c>
      <c r="AG5098">
        <v>1</v>
      </c>
      <c r="AH5098">
        <v>0</v>
      </c>
      <c r="AI5098">
        <v>307.01</v>
      </c>
      <c r="AL5098" t="s">
        <v>5011</v>
      </c>
      <c r="AM5098">
        <v>38345.28</v>
      </c>
      <c r="AR5098" t="s">
        <v>25011</v>
      </c>
      <c r="AS5098">
        <v>0.8</v>
      </c>
      <c r="AT5098" t="s">
        <v>508</v>
      </c>
      <c r="AU5098" t="s">
        <v>25265</v>
      </c>
      <c r="AV5098" t="s">
        <v>25335</v>
      </c>
      <c r="AW5098" t="s">
        <v>11447</v>
      </c>
    </row>
    <row r="5099" spans="1:49">
      <c r="A5099" s="1">
        <f>HYPERLINK("https://lsnyc.legalserver.org/matter/dynamic-profile/view/1904270","19-1904270")</f>
        <v>0</v>
      </c>
      <c r="B5099" t="s">
        <v>87</v>
      </c>
      <c r="C5099" t="s">
        <v>332</v>
      </c>
      <c r="D5099" t="s">
        <v>604</v>
      </c>
      <c r="E5099" t="s">
        <v>3426</v>
      </c>
      <c r="F5099" t="s">
        <v>6104</v>
      </c>
      <c r="G5099" t="s">
        <v>10189</v>
      </c>
      <c r="H5099" t="s">
        <v>10575</v>
      </c>
      <c r="I5099" t="s">
        <v>11384</v>
      </c>
      <c r="J5099">
        <v>10303</v>
      </c>
      <c r="K5099" t="s">
        <v>11446</v>
      </c>
      <c r="L5099" t="s">
        <v>14584</v>
      </c>
      <c r="M5099" t="s">
        <v>14744</v>
      </c>
      <c r="N5099" t="s">
        <v>14781</v>
      </c>
      <c r="O5099" t="s">
        <v>14788</v>
      </c>
      <c r="P5099" t="s">
        <v>14808</v>
      </c>
      <c r="Q5099" t="s">
        <v>11448</v>
      </c>
      <c r="S5099" t="s">
        <v>14828</v>
      </c>
      <c r="T5099" t="s">
        <v>14832</v>
      </c>
      <c r="U5099" t="s">
        <v>332</v>
      </c>
      <c r="V5099">
        <v>250</v>
      </c>
      <c r="W5099" t="s">
        <v>14862</v>
      </c>
      <c r="X5099" t="s">
        <v>14863</v>
      </c>
      <c r="Y5099" t="s">
        <v>14894</v>
      </c>
      <c r="Z5099" t="s">
        <v>19063</v>
      </c>
      <c r="AB5099" t="s">
        <v>24301</v>
      </c>
      <c r="AC5099">
        <v>265</v>
      </c>
      <c r="AD5099" t="s">
        <v>24597</v>
      </c>
      <c r="AE5099" t="s">
        <v>24610</v>
      </c>
      <c r="AF5099">
        <v>21</v>
      </c>
      <c r="AG5099">
        <v>1</v>
      </c>
      <c r="AH5099">
        <v>1</v>
      </c>
      <c r="AI5099">
        <v>20.58</v>
      </c>
      <c r="AL5099" t="s">
        <v>5011</v>
      </c>
      <c r="AM5099">
        <v>3480</v>
      </c>
      <c r="AO5099" t="s">
        <v>24934</v>
      </c>
      <c r="AP5099" t="s">
        <v>24942</v>
      </c>
      <c r="AQ5099" t="s">
        <v>24986</v>
      </c>
      <c r="AR5099" t="s">
        <v>25098</v>
      </c>
      <c r="AS5099">
        <v>7.4</v>
      </c>
      <c r="AT5099" t="s">
        <v>604</v>
      </c>
      <c r="AU5099" t="s">
        <v>25265</v>
      </c>
      <c r="AV5099" t="s">
        <v>25335</v>
      </c>
      <c r="AW5099" t="s">
        <v>11447</v>
      </c>
    </row>
    <row r="5100" spans="1:49">
      <c r="A5100" s="1">
        <f>HYPERLINK("https://lsnyc.legalserver.org/matter/dynamic-profile/view/1903732","19-1903732")</f>
        <v>0</v>
      </c>
      <c r="B5100" t="s">
        <v>117</v>
      </c>
      <c r="C5100" t="s">
        <v>545</v>
      </c>
      <c r="D5100" t="s">
        <v>505</v>
      </c>
      <c r="E5100" t="s">
        <v>1440</v>
      </c>
      <c r="F5100" t="s">
        <v>3752</v>
      </c>
      <c r="G5100" t="s">
        <v>10190</v>
      </c>
      <c r="H5100" t="s">
        <v>10450</v>
      </c>
      <c r="I5100" t="s">
        <v>11384</v>
      </c>
      <c r="J5100">
        <v>10302</v>
      </c>
      <c r="K5100" t="s">
        <v>11446</v>
      </c>
      <c r="L5100" t="s">
        <v>14585</v>
      </c>
      <c r="M5100" t="s">
        <v>14744</v>
      </c>
      <c r="N5100" t="s">
        <v>14781</v>
      </c>
      <c r="O5100" t="s">
        <v>14788</v>
      </c>
      <c r="P5100" t="s">
        <v>14808</v>
      </c>
      <c r="Q5100" t="s">
        <v>11448</v>
      </c>
      <c r="S5100" t="s">
        <v>14827</v>
      </c>
      <c r="T5100" t="s">
        <v>14832</v>
      </c>
      <c r="U5100" t="s">
        <v>545</v>
      </c>
      <c r="V5100">
        <v>830.6799999999999</v>
      </c>
      <c r="W5100" t="s">
        <v>14862</v>
      </c>
      <c r="X5100" t="s">
        <v>14865</v>
      </c>
      <c r="Y5100" t="s">
        <v>14887</v>
      </c>
      <c r="Z5100" t="s">
        <v>19064</v>
      </c>
      <c r="AB5100" t="s">
        <v>24302</v>
      </c>
      <c r="AC5100">
        <v>94</v>
      </c>
      <c r="AD5100" t="s">
        <v>24595</v>
      </c>
      <c r="AE5100" t="s">
        <v>11459</v>
      </c>
      <c r="AF5100">
        <v>20</v>
      </c>
      <c r="AG5100">
        <v>2</v>
      </c>
      <c r="AH5100">
        <v>0</v>
      </c>
      <c r="AI5100">
        <v>141.93</v>
      </c>
      <c r="AL5100" t="s">
        <v>5011</v>
      </c>
      <c r="AM5100">
        <v>24000</v>
      </c>
      <c r="AO5100" t="s">
        <v>24931</v>
      </c>
      <c r="AP5100" t="s">
        <v>14755</v>
      </c>
      <c r="AQ5100" t="s">
        <v>24986</v>
      </c>
      <c r="AR5100" t="s">
        <v>25110</v>
      </c>
      <c r="AS5100">
        <v>0.3</v>
      </c>
      <c r="AT5100" t="s">
        <v>354</v>
      </c>
      <c r="AU5100" t="s">
        <v>221</v>
      </c>
      <c r="AV5100" t="s">
        <v>25335</v>
      </c>
      <c r="AW5100" t="s">
        <v>11447</v>
      </c>
    </row>
    <row r="5101" spans="1:49">
      <c r="A5101" s="1">
        <f>HYPERLINK("https://lsnyc.legalserver.org/matter/dynamic-profile/view/1904656","19-1904656")</f>
        <v>0</v>
      </c>
      <c r="B5101" t="s">
        <v>166</v>
      </c>
      <c r="C5101" t="s">
        <v>365</v>
      </c>
      <c r="D5101" t="s">
        <v>559</v>
      </c>
      <c r="E5101" t="s">
        <v>3427</v>
      </c>
      <c r="F5101" t="s">
        <v>6105</v>
      </c>
      <c r="G5101" t="s">
        <v>10191</v>
      </c>
      <c r="H5101" t="s">
        <v>10698</v>
      </c>
      <c r="I5101" t="s">
        <v>11384</v>
      </c>
      <c r="J5101">
        <v>10303</v>
      </c>
      <c r="K5101" t="s">
        <v>11446</v>
      </c>
      <c r="L5101" t="s">
        <v>14586</v>
      </c>
      <c r="M5101" t="s">
        <v>14743</v>
      </c>
      <c r="N5101" t="s">
        <v>14781</v>
      </c>
      <c r="O5101" t="s">
        <v>14788</v>
      </c>
      <c r="P5101" t="s">
        <v>14808</v>
      </c>
      <c r="Q5101" t="s">
        <v>11448</v>
      </c>
      <c r="S5101" t="s">
        <v>14827</v>
      </c>
      <c r="T5101" t="s">
        <v>14832</v>
      </c>
      <c r="U5101" t="s">
        <v>365</v>
      </c>
      <c r="V5101">
        <v>2359</v>
      </c>
      <c r="W5101" t="s">
        <v>14862</v>
      </c>
      <c r="X5101" t="s">
        <v>14863</v>
      </c>
      <c r="Y5101" t="s">
        <v>14888</v>
      </c>
      <c r="Z5101" t="s">
        <v>16342</v>
      </c>
      <c r="AB5101" t="s">
        <v>24303</v>
      </c>
      <c r="AC5101">
        <v>2</v>
      </c>
      <c r="AD5101" t="s">
        <v>24605</v>
      </c>
      <c r="AE5101" t="s">
        <v>24610</v>
      </c>
      <c r="AF5101">
        <v>1</v>
      </c>
      <c r="AG5101">
        <v>2</v>
      </c>
      <c r="AH5101">
        <v>2</v>
      </c>
      <c r="AI5101">
        <v>68.23999999999999</v>
      </c>
      <c r="AL5101" t="s">
        <v>5011</v>
      </c>
      <c r="AM5101">
        <v>17571.6</v>
      </c>
      <c r="AO5101" t="s">
        <v>24930</v>
      </c>
      <c r="AP5101" t="s">
        <v>24982</v>
      </c>
      <c r="AQ5101" t="s">
        <v>24986</v>
      </c>
      <c r="AR5101" t="s">
        <v>25111</v>
      </c>
      <c r="AS5101">
        <v>23.05</v>
      </c>
      <c r="AT5101" t="s">
        <v>489</v>
      </c>
      <c r="AU5101" t="s">
        <v>25270</v>
      </c>
      <c r="AV5101" t="s">
        <v>25335</v>
      </c>
      <c r="AW5101" t="s">
        <v>11447</v>
      </c>
    </row>
    <row r="5102" spans="1:49">
      <c r="A5102" s="1">
        <f>HYPERLINK("https://lsnyc.legalserver.org/matter/dynamic-profile/view/1905802","19-1905802")</f>
        <v>0</v>
      </c>
      <c r="B5102" t="s">
        <v>166</v>
      </c>
      <c r="C5102" t="s">
        <v>500</v>
      </c>
      <c r="D5102" t="s">
        <v>559</v>
      </c>
      <c r="E5102" t="s">
        <v>3428</v>
      </c>
      <c r="F5102" t="s">
        <v>4399</v>
      </c>
      <c r="G5102" t="s">
        <v>10192</v>
      </c>
      <c r="I5102" t="s">
        <v>11384</v>
      </c>
      <c r="J5102">
        <v>10303</v>
      </c>
      <c r="K5102" t="s">
        <v>11446</v>
      </c>
      <c r="L5102" t="s">
        <v>14587</v>
      </c>
      <c r="M5102" t="s">
        <v>14743</v>
      </c>
      <c r="N5102" t="s">
        <v>14781</v>
      </c>
      <c r="O5102" t="s">
        <v>14788</v>
      </c>
      <c r="P5102" t="s">
        <v>14808</v>
      </c>
      <c r="Q5102" t="s">
        <v>11448</v>
      </c>
      <c r="S5102" t="s">
        <v>14827</v>
      </c>
      <c r="T5102" t="s">
        <v>14832</v>
      </c>
      <c r="U5102" t="s">
        <v>500</v>
      </c>
      <c r="V5102">
        <v>2500</v>
      </c>
      <c r="W5102" t="s">
        <v>14862</v>
      </c>
      <c r="X5102" t="s">
        <v>14863</v>
      </c>
      <c r="Y5102" t="s">
        <v>14888</v>
      </c>
      <c r="Z5102" t="s">
        <v>19065</v>
      </c>
      <c r="AB5102" t="s">
        <v>24304</v>
      </c>
      <c r="AC5102">
        <v>1</v>
      </c>
      <c r="AD5102" t="s">
        <v>24600</v>
      </c>
      <c r="AE5102" t="s">
        <v>11459</v>
      </c>
      <c r="AF5102">
        <v>-1</v>
      </c>
      <c r="AG5102">
        <v>3</v>
      </c>
      <c r="AH5102">
        <v>0</v>
      </c>
      <c r="AI5102">
        <v>91.42</v>
      </c>
      <c r="AL5102" t="s">
        <v>5011</v>
      </c>
      <c r="AM5102">
        <v>19500</v>
      </c>
      <c r="AO5102" t="s">
        <v>24930</v>
      </c>
      <c r="AP5102" t="s">
        <v>24983</v>
      </c>
      <c r="AQ5102" t="s">
        <v>24986</v>
      </c>
      <c r="AR5102" t="s">
        <v>25112</v>
      </c>
      <c r="AS5102">
        <v>10.8</v>
      </c>
      <c r="AT5102" t="s">
        <v>559</v>
      </c>
      <c r="AU5102" t="s">
        <v>25270</v>
      </c>
      <c r="AV5102" t="s">
        <v>25335</v>
      </c>
      <c r="AW5102" t="s">
        <v>11447</v>
      </c>
    </row>
    <row r="5103" spans="1:49">
      <c r="A5103" s="1">
        <f>HYPERLINK("https://lsnyc.legalserver.org/matter/dynamic-profile/view/1903503","19-1903503")</f>
        <v>0</v>
      </c>
      <c r="B5103" t="s">
        <v>164</v>
      </c>
      <c r="C5103" t="s">
        <v>378</v>
      </c>
      <c r="D5103" t="s">
        <v>489</v>
      </c>
      <c r="E5103" t="s">
        <v>1866</v>
      </c>
      <c r="F5103" t="s">
        <v>6106</v>
      </c>
      <c r="G5103" t="s">
        <v>10193</v>
      </c>
      <c r="H5103" t="s">
        <v>10604</v>
      </c>
      <c r="I5103" t="s">
        <v>11384</v>
      </c>
      <c r="J5103">
        <v>10314</v>
      </c>
      <c r="K5103" t="s">
        <v>11446</v>
      </c>
      <c r="L5103" t="s">
        <v>14588</v>
      </c>
      <c r="M5103" t="s">
        <v>14743</v>
      </c>
      <c r="N5103" t="s">
        <v>14781</v>
      </c>
      <c r="O5103" t="s">
        <v>14788</v>
      </c>
      <c r="P5103" t="s">
        <v>14808</v>
      </c>
      <c r="Q5103" t="s">
        <v>11448</v>
      </c>
      <c r="S5103" t="s">
        <v>14827</v>
      </c>
      <c r="T5103" t="s">
        <v>14832</v>
      </c>
      <c r="U5103" t="s">
        <v>378</v>
      </c>
      <c r="V5103">
        <v>1375</v>
      </c>
      <c r="W5103" t="s">
        <v>14862</v>
      </c>
      <c r="X5103" t="s">
        <v>14867</v>
      </c>
      <c r="Y5103" t="s">
        <v>14888</v>
      </c>
      <c r="Z5103" t="s">
        <v>19066</v>
      </c>
      <c r="AB5103" t="s">
        <v>24305</v>
      </c>
      <c r="AC5103">
        <v>2</v>
      </c>
      <c r="AD5103" t="s">
        <v>24600</v>
      </c>
      <c r="AE5103" t="s">
        <v>11459</v>
      </c>
      <c r="AF5103">
        <v>2</v>
      </c>
      <c r="AG5103">
        <v>2</v>
      </c>
      <c r="AH5103">
        <v>1</v>
      </c>
      <c r="AI5103">
        <v>189.57</v>
      </c>
      <c r="AL5103" t="s">
        <v>5011</v>
      </c>
      <c r="AM5103">
        <v>40435.2</v>
      </c>
      <c r="AO5103" t="s">
        <v>24931</v>
      </c>
      <c r="AP5103" t="s">
        <v>24955</v>
      </c>
      <c r="AQ5103" t="s">
        <v>24986</v>
      </c>
      <c r="AR5103" t="s">
        <v>25113</v>
      </c>
      <c r="AS5103">
        <v>9.050000000000001</v>
      </c>
      <c r="AT5103" t="s">
        <v>489</v>
      </c>
      <c r="AU5103" t="s">
        <v>25270</v>
      </c>
      <c r="AV5103" t="s">
        <v>25335</v>
      </c>
      <c r="AW5103" t="s">
        <v>11447</v>
      </c>
    </row>
    <row r="5104" spans="1:49">
      <c r="A5104" s="1">
        <f>HYPERLINK("https://lsnyc.legalserver.org/matter/dynamic-profile/view/1910888","19-1910888")</f>
        <v>0</v>
      </c>
      <c r="B5104" t="s">
        <v>165</v>
      </c>
      <c r="C5104" t="s">
        <v>604</v>
      </c>
      <c r="D5104" t="s">
        <v>574</v>
      </c>
      <c r="E5104" t="s">
        <v>3429</v>
      </c>
      <c r="F5104" t="s">
        <v>5638</v>
      </c>
      <c r="G5104" t="s">
        <v>10194</v>
      </c>
      <c r="H5104" t="s">
        <v>10464</v>
      </c>
      <c r="I5104" t="s">
        <v>11384</v>
      </c>
      <c r="J5104">
        <v>10303</v>
      </c>
      <c r="K5104" t="s">
        <v>11446</v>
      </c>
      <c r="L5104" t="s">
        <v>14589</v>
      </c>
      <c r="M5104" t="s">
        <v>14744</v>
      </c>
      <c r="N5104" t="s">
        <v>14781</v>
      </c>
      <c r="O5104" t="s">
        <v>14788</v>
      </c>
      <c r="P5104" t="s">
        <v>14808</v>
      </c>
      <c r="Q5104" t="s">
        <v>11448</v>
      </c>
      <c r="S5104" t="s">
        <v>14828</v>
      </c>
      <c r="T5104" t="s">
        <v>14832</v>
      </c>
      <c r="U5104" t="s">
        <v>604</v>
      </c>
      <c r="V5104">
        <v>400</v>
      </c>
      <c r="W5104" t="s">
        <v>14862</v>
      </c>
      <c r="X5104" t="s">
        <v>14863</v>
      </c>
      <c r="Y5104" t="s">
        <v>14894</v>
      </c>
      <c r="Z5104" t="s">
        <v>19067</v>
      </c>
      <c r="AA5104" t="s">
        <v>20084</v>
      </c>
      <c r="AB5104" t="s">
        <v>24306</v>
      </c>
      <c r="AC5104">
        <v>0</v>
      </c>
      <c r="AD5104" t="s">
        <v>24597</v>
      </c>
      <c r="AE5104" t="s">
        <v>11459</v>
      </c>
      <c r="AF5104">
        <v>2</v>
      </c>
      <c r="AG5104">
        <v>2</v>
      </c>
      <c r="AH5104">
        <v>1</v>
      </c>
      <c r="AI5104">
        <v>23.16</v>
      </c>
      <c r="AL5104" t="s">
        <v>5011</v>
      </c>
      <c r="AM5104">
        <v>4940</v>
      </c>
      <c r="AS5104">
        <v>1.6</v>
      </c>
      <c r="AT5104" t="s">
        <v>603</v>
      </c>
      <c r="AU5104" t="s">
        <v>221</v>
      </c>
      <c r="AV5104" t="s">
        <v>25335</v>
      </c>
      <c r="AW5104" t="s">
        <v>11447</v>
      </c>
    </row>
    <row r="5105" spans="1:49">
      <c r="A5105" s="1">
        <f>HYPERLINK("https://lsnyc.legalserver.org/matter/dynamic-profile/view/1903726","19-1903726")</f>
        <v>0</v>
      </c>
      <c r="B5105" t="s">
        <v>148</v>
      </c>
      <c r="C5105" t="s">
        <v>545</v>
      </c>
      <c r="E5105" t="s">
        <v>3430</v>
      </c>
      <c r="F5105" t="s">
        <v>2515</v>
      </c>
      <c r="G5105" t="s">
        <v>10195</v>
      </c>
      <c r="I5105" t="s">
        <v>11384</v>
      </c>
      <c r="J5105">
        <v>10303</v>
      </c>
      <c r="K5105" t="s">
        <v>11446</v>
      </c>
      <c r="L5105" t="s">
        <v>14590</v>
      </c>
      <c r="M5105" t="s">
        <v>14743</v>
      </c>
      <c r="N5105" t="s">
        <v>14781</v>
      </c>
      <c r="P5105" t="s">
        <v>14808</v>
      </c>
      <c r="Q5105" t="s">
        <v>11448</v>
      </c>
      <c r="S5105" t="s">
        <v>14827</v>
      </c>
      <c r="T5105" t="s">
        <v>14832</v>
      </c>
      <c r="U5105" t="s">
        <v>545</v>
      </c>
      <c r="V5105">
        <v>1500</v>
      </c>
      <c r="W5105" t="s">
        <v>14862</v>
      </c>
      <c r="X5105" t="s">
        <v>14863</v>
      </c>
      <c r="Z5105" t="s">
        <v>19068</v>
      </c>
      <c r="AB5105" t="s">
        <v>24307</v>
      </c>
      <c r="AC5105">
        <v>1</v>
      </c>
      <c r="AD5105" t="s">
        <v>24600</v>
      </c>
      <c r="AE5105" t="s">
        <v>24610</v>
      </c>
      <c r="AF5105">
        <v>4</v>
      </c>
      <c r="AG5105">
        <v>2</v>
      </c>
      <c r="AH5105">
        <v>0</v>
      </c>
      <c r="AI5105">
        <v>69.19</v>
      </c>
      <c r="AL5105" t="s">
        <v>5011</v>
      </c>
      <c r="AM5105">
        <v>11700</v>
      </c>
      <c r="AS5105">
        <v>8.300000000000001</v>
      </c>
      <c r="AT5105" t="s">
        <v>483</v>
      </c>
      <c r="AU5105" t="s">
        <v>25270</v>
      </c>
      <c r="AV5105" t="s">
        <v>25335</v>
      </c>
      <c r="AW5105" t="s">
        <v>11447</v>
      </c>
    </row>
    <row r="5106" spans="1:49">
      <c r="A5106" s="1">
        <f>HYPERLINK("https://lsnyc.legalserver.org/matter/dynamic-profile/view/1903717","19-1903717")</f>
        <v>0</v>
      </c>
      <c r="B5106" t="s">
        <v>87</v>
      </c>
      <c r="C5106" t="s">
        <v>545</v>
      </c>
      <c r="E5106" t="s">
        <v>1258</v>
      </c>
      <c r="F5106" t="s">
        <v>6107</v>
      </c>
      <c r="G5106" t="s">
        <v>10196</v>
      </c>
      <c r="I5106" t="s">
        <v>11384</v>
      </c>
      <c r="J5106">
        <v>10303</v>
      </c>
      <c r="K5106" t="s">
        <v>11446</v>
      </c>
      <c r="L5106" t="s">
        <v>14591</v>
      </c>
      <c r="M5106" t="s">
        <v>14743</v>
      </c>
      <c r="N5106" t="s">
        <v>14781</v>
      </c>
      <c r="P5106" t="s">
        <v>14808</v>
      </c>
      <c r="Q5106" t="s">
        <v>11448</v>
      </c>
      <c r="S5106" t="s">
        <v>14827</v>
      </c>
      <c r="T5106" t="s">
        <v>14832</v>
      </c>
      <c r="U5106" t="s">
        <v>545</v>
      </c>
      <c r="V5106">
        <v>2700</v>
      </c>
      <c r="W5106" t="s">
        <v>14862</v>
      </c>
      <c r="X5106" t="s">
        <v>14863</v>
      </c>
      <c r="Z5106" t="s">
        <v>19069</v>
      </c>
      <c r="AB5106" t="s">
        <v>24308</v>
      </c>
      <c r="AC5106">
        <v>1</v>
      </c>
      <c r="AD5106" t="s">
        <v>24600</v>
      </c>
      <c r="AE5106" t="s">
        <v>11459</v>
      </c>
      <c r="AF5106">
        <v>2</v>
      </c>
      <c r="AG5106">
        <v>2</v>
      </c>
      <c r="AH5106">
        <v>1</v>
      </c>
      <c r="AI5106">
        <v>142.52</v>
      </c>
      <c r="AL5106" t="s">
        <v>5011</v>
      </c>
      <c r="AM5106">
        <v>30400</v>
      </c>
      <c r="AS5106">
        <v>4.1</v>
      </c>
      <c r="AT5106" t="s">
        <v>495</v>
      </c>
      <c r="AU5106" t="s">
        <v>25270</v>
      </c>
      <c r="AV5106" t="s">
        <v>25335</v>
      </c>
      <c r="AW5106" t="s">
        <v>11447</v>
      </c>
    </row>
    <row r="5107" spans="1:49">
      <c r="A5107" s="1">
        <f>HYPERLINK("https://lsnyc.legalserver.org/matter/dynamic-profile/view/1904287","19-1904287")</f>
        <v>0</v>
      </c>
      <c r="B5107" t="s">
        <v>168</v>
      </c>
      <c r="C5107" t="s">
        <v>332</v>
      </c>
      <c r="E5107" t="s">
        <v>1426</v>
      </c>
      <c r="F5107" t="s">
        <v>3547</v>
      </c>
      <c r="G5107" t="s">
        <v>10197</v>
      </c>
      <c r="H5107" t="s">
        <v>10448</v>
      </c>
      <c r="I5107" t="s">
        <v>11384</v>
      </c>
      <c r="J5107">
        <v>10303</v>
      </c>
      <c r="K5107" t="s">
        <v>11446</v>
      </c>
      <c r="L5107" t="s">
        <v>14592</v>
      </c>
      <c r="M5107" t="s">
        <v>14744</v>
      </c>
      <c r="N5107" t="s">
        <v>14781</v>
      </c>
      <c r="P5107" t="s">
        <v>14808</v>
      </c>
      <c r="Q5107" t="s">
        <v>11448</v>
      </c>
      <c r="S5107" t="s">
        <v>14828</v>
      </c>
      <c r="T5107" t="s">
        <v>14832</v>
      </c>
      <c r="U5107" t="s">
        <v>332</v>
      </c>
      <c r="V5107">
        <v>1038</v>
      </c>
      <c r="W5107" t="s">
        <v>14862</v>
      </c>
      <c r="X5107" t="s">
        <v>14863</v>
      </c>
      <c r="Z5107" t="s">
        <v>19070</v>
      </c>
      <c r="AB5107" t="s">
        <v>24309</v>
      </c>
      <c r="AC5107">
        <v>265</v>
      </c>
      <c r="AD5107" t="s">
        <v>24597</v>
      </c>
      <c r="AE5107" t="s">
        <v>24610</v>
      </c>
      <c r="AF5107">
        <v>13</v>
      </c>
      <c r="AG5107">
        <v>2</v>
      </c>
      <c r="AH5107">
        <v>1</v>
      </c>
      <c r="AI5107">
        <v>75.56999999999999</v>
      </c>
      <c r="AL5107" t="s">
        <v>5011</v>
      </c>
      <c r="AM5107">
        <v>16119.96</v>
      </c>
      <c r="AS5107">
        <v>8</v>
      </c>
      <c r="AT5107" t="s">
        <v>511</v>
      </c>
      <c r="AU5107" t="s">
        <v>25265</v>
      </c>
      <c r="AV5107" t="s">
        <v>25335</v>
      </c>
      <c r="AW5107" t="s">
        <v>11447</v>
      </c>
    </row>
    <row r="5108" spans="1:49">
      <c r="A5108" s="1">
        <f>HYPERLINK("https://lsnyc.legalserver.org/matter/dynamic-profile/view/1904258","19-1904258")</f>
        <v>0</v>
      </c>
      <c r="B5108" t="s">
        <v>164</v>
      </c>
      <c r="C5108" t="s">
        <v>332</v>
      </c>
      <c r="E5108" t="s">
        <v>3431</v>
      </c>
      <c r="F5108" t="s">
        <v>3649</v>
      </c>
      <c r="G5108" t="s">
        <v>10198</v>
      </c>
      <c r="H5108" t="s">
        <v>10450</v>
      </c>
      <c r="I5108" t="s">
        <v>11384</v>
      </c>
      <c r="J5108">
        <v>10303</v>
      </c>
      <c r="K5108" t="s">
        <v>11446</v>
      </c>
      <c r="L5108" t="s">
        <v>14593</v>
      </c>
      <c r="M5108" t="s">
        <v>14744</v>
      </c>
      <c r="N5108" t="s">
        <v>14781</v>
      </c>
      <c r="P5108" t="s">
        <v>14808</v>
      </c>
      <c r="Q5108" t="s">
        <v>11448</v>
      </c>
      <c r="S5108" t="s">
        <v>14828</v>
      </c>
      <c r="T5108" t="s">
        <v>14837</v>
      </c>
      <c r="U5108" t="s">
        <v>332</v>
      </c>
      <c r="V5108">
        <v>400</v>
      </c>
      <c r="W5108" t="s">
        <v>14862</v>
      </c>
      <c r="X5108" t="s">
        <v>14863</v>
      </c>
      <c r="Z5108" t="s">
        <v>19071</v>
      </c>
      <c r="AB5108" t="s">
        <v>24310</v>
      </c>
      <c r="AC5108">
        <v>35</v>
      </c>
      <c r="AD5108" t="s">
        <v>24597</v>
      </c>
      <c r="AE5108" t="s">
        <v>24610</v>
      </c>
      <c r="AF5108">
        <v>12</v>
      </c>
      <c r="AG5108">
        <v>1</v>
      </c>
      <c r="AH5108">
        <v>2</v>
      </c>
      <c r="AI5108">
        <v>146.27</v>
      </c>
      <c r="AL5108" t="s">
        <v>5011</v>
      </c>
      <c r="AM5108">
        <v>31200</v>
      </c>
      <c r="AS5108">
        <v>7.6</v>
      </c>
      <c r="AT5108" t="s">
        <v>521</v>
      </c>
      <c r="AU5108" t="s">
        <v>25265</v>
      </c>
      <c r="AV5108" t="s">
        <v>25335</v>
      </c>
      <c r="AW5108" t="s">
        <v>11447</v>
      </c>
    </row>
    <row r="5109" spans="1:49">
      <c r="A5109" s="1">
        <f>HYPERLINK("https://lsnyc.legalserver.org/matter/dynamic-profile/view/1904284","19-1904284")</f>
        <v>0</v>
      </c>
      <c r="B5109" t="s">
        <v>165</v>
      </c>
      <c r="C5109" t="s">
        <v>332</v>
      </c>
      <c r="E5109" t="s">
        <v>1331</v>
      </c>
      <c r="F5109" t="s">
        <v>4070</v>
      </c>
      <c r="G5109" t="s">
        <v>8086</v>
      </c>
      <c r="H5109" t="s">
        <v>10552</v>
      </c>
      <c r="I5109" t="s">
        <v>11384</v>
      </c>
      <c r="J5109">
        <v>10314</v>
      </c>
      <c r="K5109" t="s">
        <v>11446</v>
      </c>
      <c r="L5109" t="s">
        <v>14594</v>
      </c>
      <c r="M5109" t="s">
        <v>14744</v>
      </c>
      <c r="N5109" t="s">
        <v>14781</v>
      </c>
      <c r="P5109" t="s">
        <v>14808</v>
      </c>
      <c r="Q5109" t="s">
        <v>11448</v>
      </c>
      <c r="S5109" t="s">
        <v>14828</v>
      </c>
      <c r="T5109" t="s">
        <v>14832</v>
      </c>
      <c r="U5109" t="s">
        <v>332</v>
      </c>
      <c r="V5109">
        <v>897</v>
      </c>
      <c r="W5109" t="s">
        <v>14862</v>
      </c>
      <c r="X5109" t="s">
        <v>14863</v>
      </c>
      <c r="Z5109" t="s">
        <v>17059</v>
      </c>
      <c r="AB5109" t="s">
        <v>22083</v>
      </c>
      <c r="AC5109">
        <v>504</v>
      </c>
      <c r="AD5109" t="s">
        <v>24597</v>
      </c>
      <c r="AE5109" t="s">
        <v>24610</v>
      </c>
      <c r="AF5109">
        <v>5</v>
      </c>
      <c r="AG5109">
        <v>1</v>
      </c>
      <c r="AH5109">
        <v>1</v>
      </c>
      <c r="AI5109">
        <v>158.95</v>
      </c>
      <c r="AL5109" t="s">
        <v>5011</v>
      </c>
      <c r="AM5109">
        <v>26878.8</v>
      </c>
      <c r="AS5109">
        <v>11.1</v>
      </c>
      <c r="AT5109" t="s">
        <v>515</v>
      </c>
      <c r="AU5109" t="s">
        <v>25265</v>
      </c>
      <c r="AV5109" t="s">
        <v>25335</v>
      </c>
      <c r="AW5109" t="s">
        <v>11447</v>
      </c>
    </row>
    <row r="5110" spans="1:49">
      <c r="A5110" s="1">
        <f>HYPERLINK("https://lsnyc.legalserver.org/matter/dynamic-profile/view/1905406","19-1905406")</f>
        <v>0</v>
      </c>
      <c r="B5110" t="s">
        <v>87</v>
      </c>
      <c r="C5110" t="s">
        <v>520</v>
      </c>
      <c r="E5110" t="s">
        <v>1930</v>
      </c>
      <c r="F5110" t="s">
        <v>6108</v>
      </c>
      <c r="G5110" t="s">
        <v>10199</v>
      </c>
      <c r="H5110" t="s">
        <v>11331</v>
      </c>
      <c r="I5110" t="s">
        <v>11384</v>
      </c>
      <c r="J5110">
        <v>10314</v>
      </c>
      <c r="K5110" t="s">
        <v>11446</v>
      </c>
      <c r="L5110" t="s">
        <v>14595</v>
      </c>
      <c r="M5110" t="s">
        <v>14743</v>
      </c>
      <c r="N5110" t="s">
        <v>14781</v>
      </c>
      <c r="P5110" t="s">
        <v>14808</v>
      </c>
      <c r="Q5110" t="s">
        <v>11448</v>
      </c>
      <c r="S5110" t="s">
        <v>14827</v>
      </c>
      <c r="T5110" t="s">
        <v>14832</v>
      </c>
      <c r="U5110" t="s">
        <v>520</v>
      </c>
      <c r="V5110">
        <v>700</v>
      </c>
      <c r="W5110" t="s">
        <v>14862</v>
      </c>
      <c r="X5110" t="s">
        <v>14863</v>
      </c>
      <c r="Z5110" t="s">
        <v>19072</v>
      </c>
      <c r="AB5110" t="s">
        <v>24311</v>
      </c>
      <c r="AC5110">
        <v>3</v>
      </c>
      <c r="AD5110" t="s">
        <v>24600</v>
      </c>
      <c r="AE5110" t="s">
        <v>11459</v>
      </c>
      <c r="AF5110">
        <v>6</v>
      </c>
      <c r="AG5110">
        <v>2</v>
      </c>
      <c r="AH5110">
        <v>1</v>
      </c>
      <c r="AI5110">
        <v>17.67</v>
      </c>
      <c r="AL5110" t="s">
        <v>5011</v>
      </c>
      <c r="AM5110">
        <v>3770</v>
      </c>
      <c r="AO5110" t="s">
        <v>24934</v>
      </c>
      <c r="AP5110" t="s">
        <v>14755</v>
      </c>
      <c r="AQ5110" t="s">
        <v>24987</v>
      </c>
      <c r="AR5110" t="s">
        <v>25030</v>
      </c>
      <c r="AS5110">
        <v>2.7</v>
      </c>
      <c r="AT5110" t="s">
        <v>604</v>
      </c>
      <c r="AU5110" t="s">
        <v>25270</v>
      </c>
      <c r="AV5110" t="s">
        <v>25335</v>
      </c>
      <c r="AW5110" t="s">
        <v>11447</v>
      </c>
    </row>
    <row r="5111" spans="1:49">
      <c r="A5111" s="1">
        <f>HYPERLINK("https://lsnyc.legalserver.org/matter/dynamic-profile/view/1905824","19-1905824")</f>
        <v>0</v>
      </c>
      <c r="B5111" t="s">
        <v>164</v>
      </c>
      <c r="C5111" t="s">
        <v>500</v>
      </c>
      <c r="E5111" t="s">
        <v>3432</v>
      </c>
      <c r="F5111" t="s">
        <v>3870</v>
      </c>
      <c r="G5111" t="s">
        <v>10190</v>
      </c>
      <c r="H5111" t="s">
        <v>10569</v>
      </c>
      <c r="I5111" t="s">
        <v>11384</v>
      </c>
      <c r="J5111">
        <v>10302</v>
      </c>
      <c r="K5111" t="s">
        <v>11446</v>
      </c>
      <c r="L5111" t="s">
        <v>14596</v>
      </c>
      <c r="M5111" t="s">
        <v>14743</v>
      </c>
      <c r="N5111" t="s">
        <v>14781</v>
      </c>
      <c r="P5111" t="s">
        <v>14808</v>
      </c>
      <c r="Q5111" t="s">
        <v>11448</v>
      </c>
      <c r="S5111" t="s">
        <v>14827</v>
      </c>
      <c r="T5111" t="s">
        <v>14832</v>
      </c>
      <c r="U5111" t="s">
        <v>500</v>
      </c>
      <c r="V5111">
        <v>1105</v>
      </c>
      <c r="W5111" t="s">
        <v>14862</v>
      </c>
      <c r="X5111" t="s">
        <v>14863</v>
      </c>
      <c r="Z5111" t="s">
        <v>19073</v>
      </c>
      <c r="AB5111" t="s">
        <v>24312</v>
      </c>
      <c r="AC5111">
        <v>12</v>
      </c>
      <c r="AD5111" t="s">
        <v>24595</v>
      </c>
      <c r="AE5111" t="s">
        <v>11459</v>
      </c>
      <c r="AF5111">
        <v>15</v>
      </c>
      <c r="AG5111">
        <v>2</v>
      </c>
      <c r="AH5111">
        <v>2</v>
      </c>
      <c r="AI5111">
        <v>189.83</v>
      </c>
      <c r="AL5111" t="s">
        <v>5011</v>
      </c>
      <c r="AM5111">
        <v>48880</v>
      </c>
      <c r="AS5111">
        <v>5.8</v>
      </c>
      <c r="AT5111" t="s">
        <v>458</v>
      </c>
      <c r="AU5111" t="s">
        <v>25270</v>
      </c>
      <c r="AV5111" t="s">
        <v>25335</v>
      </c>
      <c r="AW5111" t="s">
        <v>11447</v>
      </c>
    </row>
    <row r="5112" spans="1:49">
      <c r="A5112" s="1">
        <f>HYPERLINK("https://lsnyc.legalserver.org/matter/dynamic-profile/view/1906149","19-1906149")</f>
        <v>0</v>
      </c>
      <c r="B5112" t="s">
        <v>168</v>
      </c>
      <c r="C5112" t="s">
        <v>553</v>
      </c>
      <c r="E5112" t="s">
        <v>1048</v>
      </c>
      <c r="F5112" t="s">
        <v>6109</v>
      </c>
      <c r="G5112" t="s">
        <v>10200</v>
      </c>
      <c r="H5112">
        <v>2</v>
      </c>
      <c r="I5112" t="s">
        <v>11384</v>
      </c>
      <c r="J5112">
        <v>10302</v>
      </c>
      <c r="K5112" t="s">
        <v>11446</v>
      </c>
      <c r="L5112" t="s">
        <v>14597</v>
      </c>
      <c r="M5112" t="s">
        <v>14743</v>
      </c>
      <c r="N5112" t="s">
        <v>14781</v>
      </c>
      <c r="P5112" t="s">
        <v>14808</v>
      </c>
      <c r="Q5112" t="s">
        <v>11448</v>
      </c>
      <c r="S5112" t="s">
        <v>14827</v>
      </c>
      <c r="T5112" t="s">
        <v>14832</v>
      </c>
      <c r="U5112" t="s">
        <v>553</v>
      </c>
      <c r="V5112">
        <v>1450</v>
      </c>
      <c r="W5112" t="s">
        <v>14862</v>
      </c>
      <c r="X5112" t="s">
        <v>14863</v>
      </c>
      <c r="Z5112" t="s">
        <v>19074</v>
      </c>
      <c r="AB5112" t="s">
        <v>24313</v>
      </c>
      <c r="AC5112">
        <v>3</v>
      </c>
      <c r="AD5112" t="s">
        <v>24600</v>
      </c>
      <c r="AE5112" t="s">
        <v>11459</v>
      </c>
      <c r="AF5112">
        <v>11</v>
      </c>
      <c r="AG5112">
        <v>3</v>
      </c>
      <c r="AH5112">
        <v>2</v>
      </c>
      <c r="AI5112">
        <v>59.66</v>
      </c>
      <c r="AL5112" t="s">
        <v>5011</v>
      </c>
      <c r="AM5112">
        <v>18000</v>
      </c>
      <c r="AS5112">
        <v>14.65</v>
      </c>
      <c r="AT5112" t="s">
        <v>478</v>
      </c>
      <c r="AU5112" t="s">
        <v>221</v>
      </c>
      <c r="AV5112" t="s">
        <v>25335</v>
      </c>
      <c r="AW5112" t="s">
        <v>11447</v>
      </c>
    </row>
    <row r="5113" spans="1:49">
      <c r="A5113" s="1">
        <f>HYPERLINK("https://lsnyc.legalserver.org/matter/dynamic-profile/view/1906151","19-1906151")</f>
        <v>0</v>
      </c>
      <c r="B5113" t="s">
        <v>165</v>
      </c>
      <c r="C5113" t="s">
        <v>553</v>
      </c>
      <c r="E5113" t="s">
        <v>1309</v>
      </c>
      <c r="F5113" t="s">
        <v>6110</v>
      </c>
      <c r="G5113" t="s">
        <v>10201</v>
      </c>
      <c r="H5113" t="s">
        <v>10711</v>
      </c>
      <c r="I5113" t="s">
        <v>11384</v>
      </c>
      <c r="J5113">
        <v>10303</v>
      </c>
      <c r="K5113" t="s">
        <v>11446</v>
      </c>
      <c r="L5113" t="s">
        <v>14598</v>
      </c>
      <c r="M5113" t="s">
        <v>14743</v>
      </c>
      <c r="N5113" t="s">
        <v>14781</v>
      </c>
      <c r="P5113" t="s">
        <v>14808</v>
      </c>
      <c r="Q5113" t="s">
        <v>11448</v>
      </c>
      <c r="S5113" t="s">
        <v>14827</v>
      </c>
      <c r="T5113" t="s">
        <v>14832</v>
      </c>
      <c r="U5113" t="s">
        <v>553</v>
      </c>
      <c r="V5113">
        <v>1192</v>
      </c>
      <c r="W5113" t="s">
        <v>14862</v>
      </c>
      <c r="X5113" t="s">
        <v>14863</v>
      </c>
      <c r="Z5113" t="s">
        <v>19075</v>
      </c>
      <c r="AB5113" t="s">
        <v>24314</v>
      </c>
      <c r="AC5113">
        <v>2</v>
      </c>
      <c r="AD5113" t="s">
        <v>24600</v>
      </c>
      <c r="AE5113" t="s">
        <v>24610</v>
      </c>
      <c r="AF5113">
        <v>5</v>
      </c>
      <c r="AG5113">
        <v>1</v>
      </c>
      <c r="AH5113">
        <v>0</v>
      </c>
      <c r="AI5113">
        <v>76.08</v>
      </c>
      <c r="AL5113" t="s">
        <v>5011</v>
      </c>
      <c r="AM5113">
        <v>9502.799999999999</v>
      </c>
      <c r="AS5113">
        <v>6.3</v>
      </c>
      <c r="AT5113" t="s">
        <v>495</v>
      </c>
      <c r="AU5113" t="s">
        <v>25270</v>
      </c>
      <c r="AV5113" t="s">
        <v>25335</v>
      </c>
      <c r="AW5113" t="s">
        <v>11447</v>
      </c>
    </row>
    <row r="5114" spans="1:49">
      <c r="A5114" s="1">
        <f>HYPERLINK("https://lsnyc.legalserver.org/matter/dynamic-profile/view/1906167","19-1906167")</f>
        <v>0</v>
      </c>
      <c r="B5114" t="s">
        <v>164</v>
      </c>
      <c r="C5114" t="s">
        <v>553</v>
      </c>
      <c r="E5114" t="s">
        <v>1723</v>
      </c>
      <c r="F5114" t="s">
        <v>6111</v>
      </c>
      <c r="G5114" t="s">
        <v>10202</v>
      </c>
      <c r="H5114" t="s">
        <v>10725</v>
      </c>
      <c r="I5114" t="s">
        <v>11384</v>
      </c>
      <c r="J5114">
        <v>10310</v>
      </c>
      <c r="K5114" t="s">
        <v>11446</v>
      </c>
      <c r="L5114" t="s">
        <v>14599</v>
      </c>
      <c r="M5114" t="s">
        <v>14743</v>
      </c>
      <c r="N5114" t="s">
        <v>14781</v>
      </c>
      <c r="P5114" t="s">
        <v>14808</v>
      </c>
      <c r="Q5114" t="s">
        <v>11448</v>
      </c>
      <c r="S5114" t="s">
        <v>14827</v>
      </c>
      <c r="T5114" t="s">
        <v>14832</v>
      </c>
      <c r="U5114" t="s">
        <v>553</v>
      </c>
      <c r="V5114">
        <v>1210</v>
      </c>
      <c r="W5114" t="s">
        <v>14862</v>
      </c>
      <c r="X5114" t="s">
        <v>14863</v>
      </c>
      <c r="Z5114" t="s">
        <v>19076</v>
      </c>
      <c r="AB5114" t="s">
        <v>24315</v>
      </c>
      <c r="AC5114">
        <v>2</v>
      </c>
      <c r="AD5114" t="s">
        <v>24604</v>
      </c>
      <c r="AE5114" t="s">
        <v>11459</v>
      </c>
      <c r="AF5114">
        <v>5</v>
      </c>
      <c r="AG5114">
        <v>1</v>
      </c>
      <c r="AH5114">
        <v>3</v>
      </c>
      <c r="AI5114">
        <v>142.51</v>
      </c>
      <c r="AL5114" t="s">
        <v>5011</v>
      </c>
      <c r="AM5114">
        <v>36696</v>
      </c>
      <c r="AS5114">
        <v>6.65</v>
      </c>
      <c r="AT5114" t="s">
        <v>516</v>
      </c>
      <c r="AU5114" t="s">
        <v>221</v>
      </c>
      <c r="AV5114" t="s">
        <v>25335</v>
      </c>
      <c r="AW5114" t="s">
        <v>11447</v>
      </c>
    </row>
    <row r="5115" spans="1:49">
      <c r="A5115" s="1">
        <f>HYPERLINK("https://lsnyc.legalserver.org/matter/dynamic-profile/view/1906810","19-1906810")</f>
        <v>0</v>
      </c>
      <c r="B5115" t="s">
        <v>165</v>
      </c>
      <c r="C5115" t="s">
        <v>564</v>
      </c>
      <c r="E5115" t="s">
        <v>1029</v>
      </c>
      <c r="F5115" t="s">
        <v>5181</v>
      </c>
      <c r="G5115" t="s">
        <v>10203</v>
      </c>
      <c r="H5115">
        <v>2</v>
      </c>
      <c r="I5115" t="s">
        <v>11384</v>
      </c>
      <c r="J5115">
        <v>10310</v>
      </c>
      <c r="K5115" t="s">
        <v>11446</v>
      </c>
      <c r="L5115" t="s">
        <v>14600</v>
      </c>
      <c r="M5115" t="s">
        <v>14744</v>
      </c>
      <c r="N5115" t="s">
        <v>14781</v>
      </c>
      <c r="P5115" t="s">
        <v>14808</v>
      </c>
      <c r="Q5115" t="s">
        <v>11448</v>
      </c>
      <c r="S5115" t="s">
        <v>14827</v>
      </c>
      <c r="T5115" t="s">
        <v>14832</v>
      </c>
      <c r="U5115" t="s">
        <v>564</v>
      </c>
      <c r="V5115">
        <v>1750</v>
      </c>
      <c r="W5115" t="s">
        <v>14862</v>
      </c>
      <c r="X5115" t="s">
        <v>14863</v>
      </c>
      <c r="Z5115" t="s">
        <v>19077</v>
      </c>
      <c r="AB5115" t="s">
        <v>24316</v>
      </c>
      <c r="AC5115">
        <v>2</v>
      </c>
      <c r="AD5115" t="s">
        <v>24600</v>
      </c>
      <c r="AE5115" t="s">
        <v>11459</v>
      </c>
      <c r="AF5115">
        <v>5</v>
      </c>
      <c r="AG5115">
        <v>1</v>
      </c>
      <c r="AH5115">
        <v>4</v>
      </c>
      <c r="AI5115">
        <v>160.13</v>
      </c>
      <c r="AL5115" t="s">
        <v>5011</v>
      </c>
      <c r="AM5115">
        <v>48310.8</v>
      </c>
      <c r="AS5115">
        <v>10.75</v>
      </c>
      <c r="AT5115" t="s">
        <v>516</v>
      </c>
      <c r="AU5115" t="s">
        <v>25270</v>
      </c>
      <c r="AV5115" t="s">
        <v>25335</v>
      </c>
      <c r="AW5115" t="s">
        <v>11447</v>
      </c>
    </row>
    <row r="5116" spans="1:49">
      <c r="A5116" s="1">
        <f>HYPERLINK("https://lsnyc.legalserver.org/matter/dynamic-profile/view/1906853","19-1906853")</f>
        <v>0</v>
      </c>
      <c r="B5116" t="s">
        <v>87</v>
      </c>
      <c r="C5116" t="s">
        <v>564</v>
      </c>
      <c r="E5116" t="s">
        <v>1182</v>
      </c>
      <c r="F5116" t="s">
        <v>2481</v>
      </c>
      <c r="G5116" t="s">
        <v>8079</v>
      </c>
      <c r="H5116" t="s">
        <v>10520</v>
      </c>
      <c r="I5116" t="s">
        <v>11384</v>
      </c>
      <c r="J5116">
        <v>10302</v>
      </c>
      <c r="K5116" t="s">
        <v>11446</v>
      </c>
      <c r="L5116" t="s">
        <v>14601</v>
      </c>
      <c r="M5116" t="s">
        <v>14744</v>
      </c>
      <c r="N5116" t="s">
        <v>14781</v>
      </c>
      <c r="P5116" t="s">
        <v>14808</v>
      </c>
      <c r="Q5116" t="s">
        <v>11448</v>
      </c>
      <c r="S5116" t="s">
        <v>14827</v>
      </c>
      <c r="T5116" t="s">
        <v>14832</v>
      </c>
      <c r="U5116" t="s">
        <v>564</v>
      </c>
      <c r="V5116">
        <v>847.7</v>
      </c>
      <c r="W5116" t="s">
        <v>14862</v>
      </c>
      <c r="X5116" t="s">
        <v>14868</v>
      </c>
      <c r="Z5116" t="s">
        <v>19078</v>
      </c>
      <c r="AB5116" t="s">
        <v>24317</v>
      </c>
      <c r="AC5116">
        <v>44</v>
      </c>
      <c r="AD5116" t="s">
        <v>24595</v>
      </c>
      <c r="AE5116" t="s">
        <v>11459</v>
      </c>
      <c r="AF5116">
        <v>9</v>
      </c>
      <c r="AG5116">
        <v>1</v>
      </c>
      <c r="AH5116">
        <v>0</v>
      </c>
      <c r="AI5116">
        <v>174.28</v>
      </c>
      <c r="AL5116" t="s">
        <v>5011</v>
      </c>
      <c r="AM5116">
        <v>21768</v>
      </c>
      <c r="AS5116">
        <v>13.35</v>
      </c>
      <c r="AT5116" t="s">
        <v>654</v>
      </c>
      <c r="AU5116" t="s">
        <v>25270</v>
      </c>
      <c r="AV5116" t="s">
        <v>25335</v>
      </c>
      <c r="AW5116" t="s">
        <v>11447</v>
      </c>
    </row>
    <row r="5117" spans="1:49">
      <c r="A5117" s="1">
        <f>HYPERLINK("https://lsnyc.legalserver.org/matter/dynamic-profile/view/1907435","19-1907435")</f>
        <v>0</v>
      </c>
      <c r="B5117" t="s">
        <v>168</v>
      </c>
      <c r="C5117" t="s">
        <v>465</v>
      </c>
      <c r="E5117" t="s">
        <v>3433</v>
      </c>
      <c r="F5117" t="s">
        <v>6112</v>
      </c>
      <c r="G5117" t="s">
        <v>10204</v>
      </c>
      <c r="H5117" t="s">
        <v>10648</v>
      </c>
      <c r="I5117" t="s">
        <v>11384</v>
      </c>
      <c r="J5117">
        <v>10314</v>
      </c>
      <c r="K5117" t="s">
        <v>11446</v>
      </c>
      <c r="L5117" t="s">
        <v>14602</v>
      </c>
      <c r="M5117" t="s">
        <v>14743</v>
      </c>
      <c r="N5117" t="s">
        <v>14781</v>
      </c>
      <c r="P5117" t="s">
        <v>14808</v>
      </c>
      <c r="Q5117" t="s">
        <v>11448</v>
      </c>
      <c r="S5117" t="s">
        <v>14827</v>
      </c>
      <c r="T5117" t="s">
        <v>14832</v>
      </c>
      <c r="U5117" t="s">
        <v>465</v>
      </c>
      <c r="V5117">
        <v>1350</v>
      </c>
      <c r="W5117" t="s">
        <v>14862</v>
      </c>
      <c r="X5117" t="s">
        <v>14863</v>
      </c>
      <c r="Z5117" t="s">
        <v>19079</v>
      </c>
      <c r="AB5117" t="s">
        <v>24318</v>
      </c>
      <c r="AC5117">
        <v>2</v>
      </c>
      <c r="AD5117" t="s">
        <v>24600</v>
      </c>
      <c r="AE5117" t="s">
        <v>11459</v>
      </c>
      <c r="AF5117">
        <v>1</v>
      </c>
      <c r="AG5117">
        <v>2</v>
      </c>
      <c r="AH5117">
        <v>0</v>
      </c>
      <c r="AI5117">
        <v>92.25</v>
      </c>
      <c r="AL5117" t="s">
        <v>5011</v>
      </c>
      <c r="AM5117">
        <v>15600</v>
      </c>
      <c r="AS5117">
        <v>17.65</v>
      </c>
      <c r="AT5117" t="s">
        <v>509</v>
      </c>
      <c r="AU5117" t="s">
        <v>25270</v>
      </c>
      <c r="AV5117" t="s">
        <v>25335</v>
      </c>
      <c r="AW5117" t="s">
        <v>11447</v>
      </c>
    </row>
    <row r="5118" spans="1:49">
      <c r="A5118" s="1">
        <f>HYPERLINK("https://lsnyc.legalserver.org/matter/dynamic-profile/view/1907442","19-1907442")</f>
        <v>0</v>
      </c>
      <c r="B5118" t="s">
        <v>166</v>
      </c>
      <c r="C5118" t="s">
        <v>465</v>
      </c>
      <c r="E5118" t="s">
        <v>2736</v>
      </c>
      <c r="F5118" t="s">
        <v>4674</v>
      </c>
      <c r="G5118" t="s">
        <v>10205</v>
      </c>
      <c r="H5118" t="s">
        <v>10698</v>
      </c>
      <c r="I5118" t="s">
        <v>11384</v>
      </c>
      <c r="J5118">
        <v>10303</v>
      </c>
      <c r="K5118" t="s">
        <v>11446</v>
      </c>
      <c r="L5118" t="s">
        <v>14603</v>
      </c>
      <c r="M5118" t="s">
        <v>14743</v>
      </c>
      <c r="N5118" t="s">
        <v>14781</v>
      </c>
      <c r="P5118" t="s">
        <v>14808</v>
      </c>
      <c r="Q5118" t="s">
        <v>11448</v>
      </c>
      <c r="S5118" t="s">
        <v>14827</v>
      </c>
      <c r="T5118" t="s">
        <v>14832</v>
      </c>
      <c r="U5118" t="s">
        <v>465</v>
      </c>
      <c r="V5118">
        <v>800</v>
      </c>
      <c r="W5118" t="s">
        <v>14862</v>
      </c>
      <c r="X5118" t="s">
        <v>14863</v>
      </c>
      <c r="Z5118" t="s">
        <v>19080</v>
      </c>
      <c r="AB5118" t="s">
        <v>24319</v>
      </c>
      <c r="AC5118">
        <v>2</v>
      </c>
      <c r="AD5118" t="s">
        <v>24600</v>
      </c>
      <c r="AE5118" t="s">
        <v>11459</v>
      </c>
      <c r="AF5118">
        <v>-1</v>
      </c>
      <c r="AG5118">
        <v>1</v>
      </c>
      <c r="AH5118">
        <v>2</v>
      </c>
      <c r="AI5118">
        <v>146.27</v>
      </c>
      <c r="AL5118" t="s">
        <v>24646</v>
      </c>
      <c r="AM5118">
        <v>31200</v>
      </c>
      <c r="AS5118">
        <v>26.35</v>
      </c>
      <c r="AT5118" t="s">
        <v>516</v>
      </c>
      <c r="AU5118" t="s">
        <v>25270</v>
      </c>
      <c r="AV5118" t="s">
        <v>25335</v>
      </c>
      <c r="AW5118" t="s">
        <v>11447</v>
      </c>
    </row>
    <row r="5119" spans="1:49">
      <c r="A5119" s="1">
        <f>HYPERLINK("https://lsnyc.legalserver.org/matter/dynamic-profile/view/1907422","19-1907422")</f>
        <v>0</v>
      </c>
      <c r="B5119" t="s">
        <v>165</v>
      </c>
      <c r="C5119" t="s">
        <v>465</v>
      </c>
      <c r="E5119" t="s">
        <v>1584</v>
      </c>
      <c r="F5119" t="s">
        <v>6113</v>
      </c>
      <c r="G5119" t="s">
        <v>10206</v>
      </c>
      <c r="I5119" t="s">
        <v>11384</v>
      </c>
      <c r="J5119">
        <v>10314</v>
      </c>
      <c r="K5119" t="s">
        <v>11446</v>
      </c>
      <c r="L5119" t="s">
        <v>14604</v>
      </c>
      <c r="M5119" t="s">
        <v>14743</v>
      </c>
      <c r="N5119" t="s">
        <v>14781</v>
      </c>
      <c r="P5119" t="s">
        <v>14808</v>
      </c>
      <c r="Q5119" t="s">
        <v>11448</v>
      </c>
      <c r="S5119" t="s">
        <v>14827</v>
      </c>
      <c r="T5119" t="s">
        <v>14832</v>
      </c>
      <c r="U5119" t="s">
        <v>465</v>
      </c>
      <c r="V5119">
        <v>1350</v>
      </c>
      <c r="W5119" t="s">
        <v>14862</v>
      </c>
      <c r="X5119" t="s">
        <v>14863</v>
      </c>
      <c r="Z5119" t="s">
        <v>19081</v>
      </c>
      <c r="AB5119" t="s">
        <v>24320</v>
      </c>
      <c r="AC5119">
        <v>1</v>
      </c>
      <c r="AD5119" t="s">
        <v>24600</v>
      </c>
      <c r="AE5119" t="s">
        <v>11459</v>
      </c>
      <c r="AF5119">
        <v>5</v>
      </c>
      <c r="AG5119">
        <v>2</v>
      </c>
      <c r="AH5119">
        <v>1</v>
      </c>
      <c r="AI5119">
        <v>188.47</v>
      </c>
      <c r="AL5119" t="s">
        <v>5011</v>
      </c>
      <c r="AM5119">
        <v>40200</v>
      </c>
      <c r="AS5119">
        <v>7.2</v>
      </c>
      <c r="AT5119" t="s">
        <v>516</v>
      </c>
      <c r="AU5119" t="s">
        <v>221</v>
      </c>
      <c r="AV5119" t="s">
        <v>25335</v>
      </c>
      <c r="AW5119" t="s">
        <v>11447</v>
      </c>
    </row>
    <row r="5120" spans="1:49">
      <c r="A5120" s="1">
        <f>HYPERLINK("https://lsnyc.legalserver.org/matter/dynamic-profile/view/1907739","19-1907739")</f>
        <v>0</v>
      </c>
      <c r="B5120" t="s">
        <v>164</v>
      </c>
      <c r="C5120" t="s">
        <v>377</v>
      </c>
      <c r="E5120" t="s">
        <v>3434</v>
      </c>
      <c r="F5120" t="s">
        <v>1227</v>
      </c>
      <c r="G5120" t="s">
        <v>10207</v>
      </c>
      <c r="H5120" t="s">
        <v>11091</v>
      </c>
      <c r="I5120" t="s">
        <v>11384</v>
      </c>
      <c r="J5120">
        <v>10303</v>
      </c>
      <c r="K5120" t="s">
        <v>11446</v>
      </c>
      <c r="L5120" t="s">
        <v>14605</v>
      </c>
      <c r="M5120" t="s">
        <v>14743</v>
      </c>
      <c r="N5120" t="s">
        <v>14781</v>
      </c>
      <c r="P5120" t="s">
        <v>14808</v>
      </c>
      <c r="Q5120" t="s">
        <v>11446</v>
      </c>
      <c r="S5120" t="s">
        <v>14827</v>
      </c>
      <c r="T5120" t="s">
        <v>14832</v>
      </c>
      <c r="U5120" t="s">
        <v>377</v>
      </c>
      <c r="V5120">
        <v>0</v>
      </c>
      <c r="W5120" t="s">
        <v>14862</v>
      </c>
      <c r="X5120" t="s">
        <v>14863</v>
      </c>
      <c r="Z5120" t="s">
        <v>19082</v>
      </c>
      <c r="AB5120" t="s">
        <v>24321</v>
      </c>
      <c r="AC5120">
        <v>1</v>
      </c>
      <c r="AD5120" t="s">
        <v>24600</v>
      </c>
      <c r="AE5120" t="s">
        <v>11459</v>
      </c>
      <c r="AF5120">
        <v>23</v>
      </c>
      <c r="AG5120">
        <v>3</v>
      </c>
      <c r="AH5120">
        <v>0</v>
      </c>
      <c r="AI5120">
        <v>264.45</v>
      </c>
      <c r="AK5120" t="s">
        <v>24629</v>
      </c>
      <c r="AL5120" t="s">
        <v>5011</v>
      </c>
      <c r="AM5120">
        <v>56406.96</v>
      </c>
      <c r="AS5120">
        <v>13.25</v>
      </c>
      <c r="AT5120" t="s">
        <v>592</v>
      </c>
      <c r="AU5120" t="s">
        <v>25270</v>
      </c>
      <c r="AV5120" t="s">
        <v>25335</v>
      </c>
      <c r="AW5120" t="s">
        <v>11447</v>
      </c>
    </row>
    <row r="5121" spans="1:49">
      <c r="A5121" s="1">
        <f>HYPERLINK("https://lsnyc.legalserver.org/matter/dynamic-profile/view/1908025","19-1908025")</f>
        <v>0</v>
      </c>
      <c r="B5121" t="s">
        <v>168</v>
      </c>
      <c r="C5121" t="s">
        <v>640</v>
      </c>
      <c r="E5121" t="s">
        <v>1047</v>
      </c>
      <c r="F5121" t="s">
        <v>6114</v>
      </c>
      <c r="G5121" t="s">
        <v>10208</v>
      </c>
      <c r="H5121">
        <v>3</v>
      </c>
      <c r="I5121" t="s">
        <v>11384</v>
      </c>
      <c r="J5121">
        <v>10310</v>
      </c>
      <c r="K5121" t="s">
        <v>11446</v>
      </c>
      <c r="L5121" t="s">
        <v>14606</v>
      </c>
      <c r="M5121" t="s">
        <v>14743</v>
      </c>
      <c r="N5121" t="s">
        <v>14781</v>
      </c>
      <c r="P5121" t="s">
        <v>14808</v>
      </c>
      <c r="Q5121" t="s">
        <v>11448</v>
      </c>
      <c r="S5121" t="s">
        <v>14827</v>
      </c>
      <c r="T5121" t="s">
        <v>14832</v>
      </c>
      <c r="U5121" t="s">
        <v>455</v>
      </c>
      <c r="V5121">
        <v>650</v>
      </c>
      <c r="W5121" t="s">
        <v>14862</v>
      </c>
      <c r="X5121" t="s">
        <v>14863</v>
      </c>
      <c r="Z5121" t="s">
        <v>19083</v>
      </c>
      <c r="AB5121" t="s">
        <v>24322</v>
      </c>
      <c r="AC5121">
        <v>2</v>
      </c>
      <c r="AD5121" t="s">
        <v>24600</v>
      </c>
      <c r="AE5121" t="s">
        <v>11459</v>
      </c>
      <c r="AF5121">
        <v>4</v>
      </c>
      <c r="AG5121">
        <v>1</v>
      </c>
      <c r="AH5121">
        <v>0</v>
      </c>
      <c r="AI5121">
        <v>26.23</v>
      </c>
      <c r="AL5121" t="s">
        <v>5011</v>
      </c>
      <c r="AM5121">
        <v>3276</v>
      </c>
      <c r="AP5121" t="s">
        <v>14755</v>
      </c>
      <c r="AQ5121" t="s">
        <v>24987</v>
      </c>
      <c r="AR5121" t="s">
        <v>25050</v>
      </c>
      <c r="AS5121">
        <v>4.25</v>
      </c>
      <c r="AT5121" t="s">
        <v>475</v>
      </c>
      <c r="AU5121" t="s">
        <v>25270</v>
      </c>
      <c r="AV5121" t="s">
        <v>25335</v>
      </c>
      <c r="AW5121" t="s">
        <v>11447</v>
      </c>
    </row>
    <row r="5122" spans="1:49">
      <c r="A5122" s="1">
        <f>HYPERLINK("https://lsnyc.legalserver.org/matter/dynamic-profile/view/1908037","19-1908037")</f>
        <v>0</v>
      </c>
      <c r="B5122" t="s">
        <v>87</v>
      </c>
      <c r="C5122" t="s">
        <v>455</v>
      </c>
      <c r="E5122" t="s">
        <v>3435</v>
      </c>
      <c r="F5122" t="s">
        <v>5370</v>
      </c>
      <c r="G5122" t="s">
        <v>10209</v>
      </c>
      <c r="I5122" t="s">
        <v>11384</v>
      </c>
      <c r="J5122">
        <v>10314</v>
      </c>
      <c r="K5122" t="s">
        <v>11446</v>
      </c>
      <c r="L5122" t="s">
        <v>14607</v>
      </c>
      <c r="M5122" t="s">
        <v>14743</v>
      </c>
      <c r="N5122" t="s">
        <v>14781</v>
      </c>
      <c r="P5122" t="s">
        <v>14808</v>
      </c>
      <c r="Q5122" t="s">
        <v>11448</v>
      </c>
      <c r="S5122" t="s">
        <v>14827</v>
      </c>
      <c r="T5122" t="s">
        <v>14832</v>
      </c>
      <c r="U5122" t="s">
        <v>455</v>
      </c>
      <c r="V5122">
        <v>1486</v>
      </c>
      <c r="W5122" t="s">
        <v>14862</v>
      </c>
      <c r="X5122" t="s">
        <v>14863</v>
      </c>
      <c r="Z5122" t="s">
        <v>19084</v>
      </c>
      <c r="AB5122" t="s">
        <v>24323</v>
      </c>
      <c r="AC5122">
        <v>1</v>
      </c>
      <c r="AD5122" t="s">
        <v>24600</v>
      </c>
      <c r="AE5122" t="s">
        <v>24616</v>
      </c>
      <c r="AF5122">
        <v>1</v>
      </c>
      <c r="AG5122">
        <v>1</v>
      </c>
      <c r="AH5122">
        <v>3</v>
      </c>
      <c r="AI5122">
        <v>36.77</v>
      </c>
      <c r="AL5122" t="s">
        <v>5011</v>
      </c>
      <c r="AM5122">
        <v>9468</v>
      </c>
      <c r="AS5122">
        <v>20.9</v>
      </c>
      <c r="AT5122" t="s">
        <v>490</v>
      </c>
      <c r="AU5122" t="s">
        <v>25270</v>
      </c>
      <c r="AV5122" t="s">
        <v>25335</v>
      </c>
      <c r="AW5122" t="s">
        <v>11447</v>
      </c>
    </row>
    <row r="5123" spans="1:49">
      <c r="A5123" s="1">
        <f>HYPERLINK("https://lsnyc.legalserver.org/matter/dynamic-profile/view/1908018","19-1908018")</f>
        <v>0</v>
      </c>
      <c r="B5123" t="s">
        <v>165</v>
      </c>
      <c r="C5123" t="s">
        <v>455</v>
      </c>
      <c r="E5123" t="s">
        <v>1144</v>
      </c>
      <c r="F5123" t="s">
        <v>6115</v>
      </c>
      <c r="G5123" t="s">
        <v>10210</v>
      </c>
      <c r="H5123" t="s">
        <v>10648</v>
      </c>
      <c r="I5123" t="s">
        <v>11384</v>
      </c>
      <c r="J5123">
        <v>10314</v>
      </c>
      <c r="K5123" t="s">
        <v>11446</v>
      </c>
      <c r="L5123" t="s">
        <v>14608</v>
      </c>
      <c r="M5123" t="s">
        <v>14744</v>
      </c>
      <c r="N5123" t="s">
        <v>14781</v>
      </c>
      <c r="P5123" t="s">
        <v>14808</v>
      </c>
      <c r="Q5123" t="s">
        <v>11448</v>
      </c>
      <c r="S5123" t="s">
        <v>14827</v>
      </c>
      <c r="T5123" t="s">
        <v>14832</v>
      </c>
      <c r="U5123" t="s">
        <v>455</v>
      </c>
      <c r="V5123">
        <v>1700</v>
      </c>
      <c r="W5123" t="s">
        <v>14862</v>
      </c>
      <c r="X5123" t="s">
        <v>14868</v>
      </c>
      <c r="Z5123" t="s">
        <v>19085</v>
      </c>
      <c r="AB5123" t="s">
        <v>24324</v>
      </c>
      <c r="AC5123">
        <v>2</v>
      </c>
      <c r="AD5123" t="s">
        <v>24600</v>
      </c>
      <c r="AE5123" t="s">
        <v>11459</v>
      </c>
      <c r="AF5123">
        <v>1</v>
      </c>
      <c r="AG5123">
        <v>2</v>
      </c>
      <c r="AH5123">
        <v>2</v>
      </c>
      <c r="AI5123">
        <v>128.74</v>
      </c>
      <c r="AL5123" t="s">
        <v>5011</v>
      </c>
      <c r="AM5123">
        <v>33150</v>
      </c>
      <c r="AS5123">
        <v>13.85</v>
      </c>
      <c r="AT5123" t="s">
        <v>495</v>
      </c>
      <c r="AU5123" t="s">
        <v>25270</v>
      </c>
      <c r="AV5123" t="s">
        <v>25335</v>
      </c>
      <c r="AW5123" t="s">
        <v>11447</v>
      </c>
    </row>
    <row r="5124" spans="1:49">
      <c r="A5124" s="1">
        <f>HYPERLINK("https://lsnyc.legalserver.org/matter/dynamic-profile/view/1908359","19-1908359")</f>
        <v>0</v>
      </c>
      <c r="B5124" t="s">
        <v>166</v>
      </c>
      <c r="C5124" t="s">
        <v>464</v>
      </c>
      <c r="E5124" t="s">
        <v>3436</v>
      </c>
      <c r="F5124" t="s">
        <v>3673</v>
      </c>
      <c r="G5124" t="s">
        <v>10211</v>
      </c>
      <c r="H5124" t="s">
        <v>10486</v>
      </c>
      <c r="I5124" t="s">
        <v>11384</v>
      </c>
      <c r="J5124">
        <v>10314</v>
      </c>
      <c r="K5124" t="s">
        <v>11446</v>
      </c>
      <c r="L5124" t="s">
        <v>14609</v>
      </c>
      <c r="M5124" t="s">
        <v>14744</v>
      </c>
      <c r="N5124" t="s">
        <v>14781</v>
      </c>
      <c r="P5124" t="s">
        <v>14808</v>
      </c>
      <c r="Q5124" t="s">
        <v>11448</v>
      </c>
      <c r="S5124" t="s">
        <v>14827</v>
      </c>
      <c r="T5124" t="s">
        <v>14832</v>
      </c>
      <c r="U5124" t="s">
        <v>464</v>
      </c>
      <c r="V5124">
        <v>1789</v>
      </c>
      <c r="W5124" t="s">
        <v>14862</v>
      </c>
      <c r="X5124" t="s">
        <v>14863</v>
      </c>
      <c r="Z5124" t="s">
        <v>19086</v>
      </c>
      <c r="AB5124" t="s">
        <v>19344</v>
      </c>
      <c r="AC5124">
        <v>3</v>
      </c>
      <c r="AD5124" t="s">
        <v>24600</v>
      </c>
      <c r="AE5124" t="s">
        <v>11459</v>
      </c>
      <c r="AF5124">
        <v>1</v>
      </c>
      <c r="AG5124">
        <v>1</v>
      </c>
      <c r="AH5124">
        <v>2</v>
      </c>
      <c r="AI5124">
        <v>17.74</v>
      </c>
      <c r="AL5124" t="s">
        <v>5011</v>
      </c>
      <c r="AM5124">
        <v>3783</v>
      </c>
      <c r="AO5124" t="s">
        <v>24930</v>
      </c>
      <c r="AP5124" t="s">
        <v>24984</v>
      </c>
      <c r="AQ5124" t="s">
        <v>24986</v>
      </c>
      <c r="AR5124" t="s">
        <v>25082</v>
      </c>
      <c r="AS5124">
        <v>12.65</v>
      </c>
      <c r="AT5124" t="s">
        <v>478</v>
      </c>
      <c r="AU5124" t="s">
        <v>25270</v>
      </c>
      <c r="AV5124" t="s">
        <v>25335</v>
      </c>
      <c r="AW5124" t="s">
        <v>11447</v>
      </c>
    </row>
    <row r="5125" spans="1:49">
      <c r="A5125" s="1">
        <f>HYPERLINK("https://lsnyc.legalserver.org/matter/dynamic-profile/view/1908369","19-1908369")</f>
        <v>0</v>
      </c>
      <c r="B5125" t="s">
        <v>168</v>
      </c>
      <c r="C5125" t="s">
        <v>464</v>
      </c>
      <c r="E5125" t="s">
        <v>3437</v>
      </c>
      <c r="F5125" t="s">
        <v>6116</v>
      </c>
      <c r="G5125" t="s">
        <v>10212</v>
      </c>
      <c r="H5125" t="s">
        <v>10646</v>
      </c>
      <c r="I5125" t="s">
        <v>11384</v>
      </c>
      <c r="J5125">
        <v>10310</v>
      </c>
      <c r="K5125" t="s">
        <v>11446</v>
      </c>
      <c r="L5125" t="s">
        <v>14610</v>
      </c>
      <c r="M5125" t="s">
        <v>14743</v>
      </c>
      <c r="N5125" t="s">
        <v>14781</v>
      </c>
      <c r="P5125" t="s">
        <v>14808</v>
      </c>
      <c r="Q5125" t="s">
        <v>11448</v>
      </c>
      <c r="S5125" t="s">
        <v>14827</v>
      </c>
      <c r="T5125" t="s">
        <v>14832</v>
      </c>
      <c r="U5125" t="s">
        <v>464</v>
      </c>
      <c r="V5125">
        <v>1400</v>
      </c>
      <c r="W5125" t="s">
        <v>14862</v>
      </c>
      <c r="X5125" t="s">
        <v>14863</v>
      </c>
      <c r="Z5125" t="s">
        <v>19087</v>
      </c>
      <c r="AB5125" t="s">
        <v>24325</v>
      </c>
      <c r="AC5125">
        <v>3</v>
      </c>
      <c r="AD5125" t="s">
        <v>24600</v>
      </c>
      <c r="AE5125" t="s">
        <v>24610</v>
      </c>
      <c r="AF5125">
        <v>-1</v>
      </c>
      <c r="AG5125">
        <v>1</v>
      </c>
      <c r="AH5125">
        <v>2</v>
      </c>
      <c r="AI5125">
        <v>19.69</v>
      </c>
      <c r="AL5125" t="s">
        <v>5011</v>
      </c>
      <c r="AM5125">
        <v>4200</v>
      </c>
      <c r="AS5125">
        <v>8.26</v>
      </c>
      <c r="AT5125" t="s">
        <v>495</v>
      </c>
      <c r="AU5125" t="s">
        <v>25270</v>
      </c>
      <c r="AV5125" t="s">
        <v>25335</v>
      </c>
      <c r="AW5125" t="s">
        <v>11447</v>
      </c>
    </row>
    <row r="5126" spans="1:49">
      <c r="A5126" s="1">
        <f>HYPERLINK("https://lsnyc.legalserver.org/matter/dynamic-profile/view/1907970","19-1907970")</f>
        <v>0</v>
      </c>
      <c r="B5126" t="s">
        <v>165</v>
      </c>
      <c r="C5126" t="s">
        <v>410</v>
      </c>
      <c r="E5126" t="s">
        <v>2062</v>
      </c>
      <c r="F5126" t="s">
        <v>6117</v>
      </c>
      <c r="G5126" t="s">
        <v>10213</v>
      </c>
      <c r="I5126" t="s">
        <v>11384</v>
      </c>
      <c r="J5126">
        <v>10314</v>
      </c>
      <c r="K5126" t="s">
        <v>11446</v>
      </c>
      <c r="L5126" t="s">
        <v>14611</v>
      </c>
      <c r="M5126" t="s">
        <v>14744</v>
      </c>
      <c r="N5126" t="s">
        <v>14781</v>
      </c>
      <c r="P5126" t="s">
        <v>14808</v>
      </c>
      <c r="Q5126" t="s">
        <v>11448</v>
      </c>
      <c r="S5126" t="s">
        <v>14827</v>
      </c>
      <c r="T5126" t="s">
        <v>14832</v>
      </c>
      <c r="U5126" t="s">
        <v>464</v>
      </c>
      <c r="V5126">
        <v>2350</v>
      </c>
      <c r="W5126" t="s">
        <v>14862</v>
      </c>
      <c r="X5126" t="s">
        <v>14867</v>
      </c>
      <c r="Z5126" t="s">
        <v>19088</v>
      </c>
      <c r="AB5126" t="s">
        <v>24326</v>
      </c>
      <c r="AC5126">
        <v>1</v>
      </c>
      <c r="AD5126" t="s">
        <v>24600</v>
      </c>
      <c r="AE5126" t="s">
        <v>11459</v>
      </c>
      <c r="AF5126">
        <v>2</v>
      </c>
      <c r="AG5126">
        <v>1</v>
      </c>
      <c r="AH5126">
        <v>1</v>
      </c>
      <c r="AI5126">
        <v>106.09</v>
      </c>
      <c r="AL5126" t="s">
        <v>5011</v>
      </c>
      <c r="AM5126">
        <v>17940</v>
      </c>
      <c r="AS5126">
        <v>8.15</v>
      </c>
      <c r="AT5126" t="s">
        <v>516</v>
      </c>
      <c r="AU5126" t="s">
        <v>25270</v>
      </c>
      <c r="AV5126" t="s">
        <v>25335</v>
      </c>
      <c r="AW5126" t="s">
        <v>11447</v>
      </c>
    </row>
    <row r="5127" spans="1:49">
      <c r="A5127" s="1">
        <f>HYPERLINK("https://lsnyc.legalserver.org/matter/dynamic-profile/view/1908757","19-1908757")</f>
        <v>0</v>
      </c>
      <c r="B5127" t="s">
        <v>169</v>
      </c>
      <c r="C5127" t="s">
        <v>585</v>
      </c>
      <c r="E5127" t="s">
        <v>1670</v>
      </c>
      <c r="F5127" t="s">
        <v>6118</v>
      </c>
      <c r="G5127" t="s">
        <v>10214</v>
      </c>
      <c r="H5127">
        <v>411</v>
      </c>
      <c r="I5127" t="s">
        <v>11384</v>
      </c>
      <c r="J5127">
        <v>10314</v>
      </c>
      <c r="K5127" t="s">
        <v>11446</v>
      </c>
      <c r="L5127" t="s">
        <v>14612</v>
      </c>
      <c r="M5127" t="s">
        <v>14744</v>
      </c>
      <c r="N5127" t="s">
        <v>14781</v>
      </c>
      <c r="P5127" t="s">
        <v>14808</v>
      </c>
      <c r="Q5127" t="s">
        <v>11448</v>
      </c>
      <c r="S5127" t="s">
        <v>14827</v>
      </c>
      <c r="T5127" t="s">
        <v>14832</v>
      </c>
      <c r="U5127" t="s">
        <v>585</v>
      </c>
      <c r="V5127">
        <v>1490</v>
      </c>
      <c r="W5127" t="s">
        <v>14862</v>
      </c>
      <c r="X5127" t="s">
        <v>14863</v>
      </c>
      <c r="Z5127" t="s">
        <v>18379</v>
      </c>
      <c r="AB5127" t="s">
        <v>24327</v>
      </c>
      <c r="AC5127">
        <v>160</v>
      </c>
      <c r="AD5127" t="s">
        <v>24595</v>
      </c>
      <c r="AE5127" t="s">
        <v>24610</v>
      </c>
      <c r="AF5127">
        <v>-1</v>
      </c>
      <c r="AG5127">
        <v>1</v>
      </c>
      <c r="AH5127">
        <v>0</v>
      </c>
      <c r="AI5127">
        <v>17.58</v>
      </c>
      <c r="AL5127" t="s">
        <v>5011</v>
      </c>
      <c r="AM5127">
        <v>2196</v>
      </c>
      <c r="AS5127">
        <v>6.25</v>
      </c>
      <c r="AT5127" t="s">
        <v>578</v>
      </c>
      <c r="AU5127" t="s">
        <v>25270</v>
      </c>
      <c r="AV5127" t="s">
        <v>25335</v>
      </c>
      <c r="AW5127" t="s">
        <v>11447</v>
      </c>
    </row>
    <row r="5128" spans="1:49">
      <c r="A5128" s="1">
        <f>HYPERLINK("https://lsnyc.legalserver.org/matter/dynamic-profile/view/1909927","19-1909927")</f>
        <v>0</v>
      </c>
      <c r="B5128" t="s">
        <v>169</v>
      </c>
      <c r="C5128" t="s">
        <v>468</v>
      </c>
      <c r="E5128" t="s">
        <v>2173</v>
      </c>
      <c r="F5128" t="s">
        <v>3614</v>
      </c>
      <c r="G5128" t="s">
        <v>10215</v>
      </c>
      <c r="H5128" t="s">
        <v>10698</v>
      </c>
      <c r="I5128" t="s">
        <v>11384</v>
      </c>
      <c r="J5128">
        <v>10303</v>
      </c>
      <c r="K5128" t="s">
        <v>11446</v>
      </c>
      <c r="L5128" t="s">
        <v>14613</v>
      </c>
      <c r="M5128" t="s">
        <v>14744</v>
      </c>
      <c r="N5128" t="s">
        <v>14781</v>
      </c>
      <c r="P5128" t="s">
        <v>14808</v>
      </c>
      <c r="Q5128" t="s">
        <v>11448</v>
      </c>
      <c r="S5128" t="s">
        <v>14827</v>
      </c>
      <c r="T5128" t="s">
        <v>14832</v>
      </c>
      <c r="U5128" t="s">
        <v>468</v>
      </c>
      <c r="V5128">
        <v>1515</v>
      </c>
      <c r="W5128" t="s">
        <v>14862</v>
      </c>
      <c r="X5128" t="s">
        <v>14863</v>
      </c>
      <c r="Z5128" t="s">
        <v>19089</v>
      </c>
      <c r="AA5128" t="s">
        <v>20085</v>
      </c>
      <c r="AB5128" t="s">
        <v>24328</v>
      </c>
      <c r="AC5128">
        <v>1</v>
      </c>
      <c r="AD5128" t="s">
        <v>24600</v>
      </c>
      <c r="AE5128" t="s">
        <v>24616</v>
      </c>
      <c r="AF5128">
        <v>4</v>
      </c>
      <c r="AG5128">
        <v>1</v>
      </c>
      <c r="AH5128">
        <v>2</v>
      </c>
      <c r="AI5128">
        <v>16.88</v>
      </c>
      <c r="AL5128" t="s">
        <v>24632</v>
      </c>
      <c r="AM5128">
        <v>3600</v>
      </c>
      <c r="AS5128">
        <v>15.15</v>
      </c>
      <c r="AT5128" t="s">
        <v>603</v>
      </c>
      <c r="AU5128" t="s">
        <v>25270</v>
      </c>
      <c r="AV5128" t="s">
        <v>25335</v>
      </c>
      <c r="AW5128" t="s">
        <v>11447</v>
      </c>
    </row>
    <row r="5129" spans="1:49">
      <c r="A5129" s="1">
        <f>HYPERLINK("https://lsnyc.legalserver.org/matter/dynamic-profile/view/1909903","19-1909903")</f>
        <v>0</v>
      </c>
      <c r="B5129" t="s">
        <v>168</v>
      </c>
      <c r="C5129" t="s">
        <v>468</v>
      </c>
      <c r="E5129" t="s">
        <v>3438</v>
      </c>
      <c r="F5129" t="s">
        <v>3577</v>
      </c>
      <c r="G5129" t="s">
        <v>10188</v>
      </c>
      <c r="H5129" t="s">
        <v>10625</v>
      </c>
      <c r="I5129" t="s">
        <v>11384</v>
      </c>
      <c r="J5129">
        <v>10303</v>
      </c>
      <c r="K5129" t="s">
        <v>11446</v>
      </c>
      <c r="L5129" t="s">
        <v>14614</v>
      </c>
      <c r="M5129" t="s">
        <v>14744</v>
      </c>
      <c r="N5129" t="s">
        <v>14781</v>
      </c>
      <c r="P5129" t="s">
        <v>14808</v>
      </c>
      <c r="Q5129" t="s">
        <v>11448</v>
      </c>
      <c r="S5129" t="s">
        <v>14827</v>
      </c>
      <c r="T5129" t="s">
        <v>14832</v>
      </c>
      <c r="U5129" t="s">
        <v>468</v>
      </c>
      <c r="V5129">
        <v>336</v>
      </c>
      <c r="W5129" t="s">
        <v>14862</v>
      </c>
      <c r="X5129" t="s">
        <v>14863</v>
      </c>
      <c r="Z5129" t="s">
        <v>19090</v>
      </c>
      <c r="AB5129" t="s">
        <v>24329</v>
      </c>
      <c r="AC5129">
        <v>536</v>
      </c>
      <c r="AD5129" t="s">
        <v>24596</v>
      </c>
      <c r="AE5129" t="s">
        <v>24610</v>
      </c>
      <c r="AF5129">
        <v>1</v>
      </c>
      <c r="AG5129">
        <v>2</v>
      </c>
      <c r="AH5129">
        <v>3</v>
      </c>
      <c r="AI5129">
        <v>72.22</v>
      </c>
      <c r="AL5129" t="s">
        <v>5011</v>
      </c>
      <c r="AM5129">
        <v>21788.04</v>
      </c>
      <c r="AS5129">
        <v>6.91</v>
      </c>
      <c r="AT5129" t="s">
        <v>478</v>
      </c>
      <c r="AU5129" t="s">
        <v>25270</v>
      </c>
      <c r="AV5129" t="s">
        <v>25335</v>
      </c>
      <c r="AW5129" t="s">
        <v>11447</v>
      </c>
    </row>
    <row r="5130" spans="1:49">
      <c r="A5130" s="1">
        <f>HYPERLINK("https://lsnyc.legalserver.org/matter/dynamic-profile/view/1909933","19-1909933")</f>
        <v>0</v>
      </c>
      <c r="B5130" t="s">
        <v>164</v>
      </c>
      <c r="C5130" t="s">
        <v>468</v>
      </c>
      <c r="E5130" t="s">
        <v>1255</v>
      </c>
      <c r="F5130" t="s">
        <v>3577</v>
      </c>
      <c r="G5130" t="s">
        <v>8054</v>
      </c>
      <c r="H5130" t="s">
        <v>10859</v>
      </c>
      <c r="I5130" t="s">
        <v>11384</v>
      </c>
      <c r="J5130">
        <v>10303</v>
      </c>
      <c r="K5130" t="s">
        <v>11446</v>
      </c>
      <c r="L5130" t="s">
        <v>14615</v>
      </c>
      <c r="M5130" t="s">
        <v>14744</v>
      </c>
      <c r="N5130" t="s">
        <v>14781</v>
      </c>
      <c r="P5130" t="s">
        <v>14808</v>
      </c>
      <c r="Q5130" t="s">
        <v>11448</v>
      </c>
      <c r="S5130" t="s">
        <v>14830</v>
      </c>
      <c r="T5130" t="s">
        <v>14832</v>
      </c>
      <c r="U5130" t="s">
        <v>468</v>
      </c>
      <c r="V5130">
        <v>275</v>
      </c>
      <c r="W5130" t="s">
        <v>14862</v>
      </c>
      <c r="X5130" t="s">
        <v>14863</v>
      </c>
      <c r="Z5130" t="s">
        <v>19091</v>
      </c>
      <c r="AB5130" t="s">
        <v>24330</v>
      </c>
      <c r="AC5130">
        <v>130</v>
      </c>
      <c r="AD5130" t="s">
        <v>24596</v>
      </c>
      <c r="AE5130" t="s">
        <v>24610</v>
      </c>
      <c r="AF5130">
        <v>8</v>
      </c>
      <c r="AG5130">
        <v>1</v>
      </c>
      <c r="AH5130">
        <v>0</v>
      </c>
      <c r="AI5130">
        <v>91.18000000000001</v>
      </c>
      <c r="AL5130" t="s">
        <v>5011</v>
      </c>
      <c r="AM5130">
        <v>11388</v>
      </c>
      <c r="AS5130">
        <v>3.15</v>
      </c>
      <c r="AT5130" t="s">
        <v>509</v>
      </c>
      <c r="AU5130" t="s">
        <v>25265</v>
      </c>
      <c r="AV5130" t="s">
        <v>25335</v>
      </c>
      <c r="AW5130" t="s">
        <v>11447</v>
      </c>
    </row>
    <row r="5131" spans="1:49">
      <c r="A5131" s="1">
        <f>HYPERLINK("https://lsnyc.legalserver.org/matter/dynamic-profile/view/1909905","19-1909905")</f>
        <v>0</v>
      </c>
      <c r="B5131" t="s">
        <v>168</v>
      </c>
      <c r="C5131" t="s">
        <v>468</v>
      </c>
      <c r="E5131" t="s">
        <v>2944</v>
      </c>
      <c r="F5131" t="s">
        <v>6119</v>
      </c>
      <c r="G5131" t="s">
        <v>8047</v>
      </c>
      <c r="H5131" t="s">
        <v>10516</v>
      </c>
      <c r="I5131" t="s">
        <v>11384</v>
      </c>
      <c r="J5131">
        <v>10303</v>
      </c>
      <c r="K5131" t="s">
        <v>11446</v>
      </c>
      <c r="L5131" t="s">
        <v>14616</v>
      </c>
      <c r="M5131" t="s">
        <v>14744</v>
      </c>
      <c r="N5131" t="s">
        <v>14781</v>
      </c>
      <c r="P5131" t="s">
        <v>14808</v>
      </c>
      <c r="Q5131" t="s">
        <v>11448</v>
      </c>
      <c r="S5131" t="s">
        <v>14830</v>
      </c>
      <c r="T5131" t="s">
        <v>14832</v>
      </c>
      <c r="U5131" t="s">
        <v>468</v>
      </c>
      <c r="V5131">
        <v>732</v>
      </c>
      <c r="W5131" t="s">
        <v>14862</v>
      </c>
      <c r="X5131" t="s">
        <v>14863</v>
      </c>
      <c r="Z5131" t="s">
        <v>19092</v>
      </c>
      <c r="AB5131" t="s">
        <v>24331</v>
      </c>
      <c r="AC5131">
        <v>536</v>
      </c>
      <c r="AD5131" t="s">
        <v>24596</v>
      </c>
      <c r="AE5131" t="s">
        <v>24610</v>
      </c>
      <c r="AF5131">
        <v>9</v>
      </c>
      <c r="AG5131">
        <v>1</v>
      </c>
      <c r="AH5131">
        <v>2</v>
      </c>
      <c r="AI5131">
        <v>91.42</v>
      </c>
      <c r="AL5131" t="s">
        <v>5011</v>
      </c>
      <c r="AM5131">
        <v>19500</v>
      </c>
      <c r="AS5131">
        <v>12.15</v>
      </c>
      <c r="AT5131" t="s">
        <v>539</v>
      </c>
      <c r="AU5131" t="s">
        <v>25265</v>
      </c>
      <c r="AV5131" t="s">
        <v>25335</v>
      </c>
      <c r="AW5131" t="s">
        <v>11447</v>
      </c>
    </row>
    <row r="5132" spans="1:49">
      <c r="A5132" s="1">
        <f>HYPERLINK("https://lsnyc.legalserver.org/matter/dynamic-profile/view/1909916","19-1909916")</f>
        <v>0</v>
      </c>
      <c r="B5132" t="s">
        <v>169</v>
      </c>
      <c r="C5132" t="s">
        <v>468</v>
      </c>
      <c r="E5132" t="s">
        <v>2167</v>
      </c>
      <c r="F5132" t="s">
        <v>5435</v>
      </c>
      <c r="G5132" t="s">
        <v>10188</v>
      </c>
      <c r="H5132" t="s">
        <v>10814</v>
      </c>
      <c r="I5132" t="s">
        <v>11384</v>
      </c>
      <c r="J5132">
        <v>10303</v>
      </c>
      <c r="K5132" t="s">
        <v>11446</v>
      </c>
      <c r="L5132" t="s">
        <v>14617</v>
      </c>
      <c r="M5132" t="s">
        <v>14744</v>
      </c>
      <c r="N5132" t="s">
        <v>14781</v>
      </c>
      <c r="P5132" t="s">
        <v>14808</v>
      </c>
      <c r="Q5132" t="s">
        <v>11448</v>
      </c>
      <c r="S5132" t="s">
        <v>14830</v>
      </c>
      <c r="T5132" t="s">
        <v>14832</v>
      </c>
      <c r="U5132" t="s">
        <v>468</v>
      </c>
      <c r="V5132">
        <v>289</v>
      </c>
      <c r="W5132" t="s">
        <v>14862</v>
      </c>
      <c r="X5132" t="s">
        <v>14863</v>
      </c>
      <c r="Z5132" t="s">
        <v>19093</v>
      </c>
      <c r="AB5132" t="s">
        <v>24332</v>
      </c>
      <c r="AC5132">
        <v>122</v>
      </c>
      <c r="AD5132" t="s">
        <v>24596</v>
      </c>
      <c r="AE5132" t="s">
        <v>24610</v>
      </c>
      <c r="AF5132">
        <v>1</v>
      </c>
      <c r="AG5132">
        <v>1</v>
      </c>
      <c r="AH5132">
        <v>1</v>
      </c>
      <c r="AI5132">
        <v>99.94</v>
      </c>
      <c r="AL5132" t="s">
        <v>5011</v>
      </c>
      <c r="AM5132">
        <v>16900</v>
      </c>
      <c r="AS5132">
        <v>11.2</v>
      </c>
      <c r="AT5132" t="s">
        <v>592</v>
      </c>
      <c r="AU5132" t="s">
        <v>25265</v>
      </c>
      <c r="AV5132" t="s">
        <v>25335</v>
      </c>
      <c r="AW5132" t="s">
        <v>11447</v>
      </c>
    </row>
    <row r="5133" spans="1:49">
      <c r="A5133" s="1">
        <f>HYPERLINK("https://lsnyc.legalserver.org/matter/dynamic-profile/view/1909918","19-1909918")</f>
        <v>0</v>
      </c>
      <c r="B5133" t="s">
        <v>165</v>
      </c>
      <c r="C5133" t="s">
        <v>468</v>
      </c>
      <c r="E5133" t="s">
        <v>3439</v>
      </c>
      <c r="F5133" t="s">
        <v>6120</v>
      </c>
      <c r="G5133" t="s">
        <v>10216</v>
      </c>
      <c r="H5133" t="s">
        <v>11332</v>
      </c>
      <c r="I5133" t="s">
        <v>11384</v>
      </c>
      <c r="J5133">
        <v>10303</v>
      </c>
      <c r="K5133" t="s">
        <v>11446</v>
      </c>
      <c r="L5133" t="s">
        <v>14618</v>
      </c>
      <c r="M5133" t="s">
        <v>14744</v>
      </c>
      <c r="N5133" t="s">
        <v>14781</v>
      </c>
      <c r="P5133" t="s">
        <v>14808</v>
      </c>
      <c r="Q5133" t="s">
        <v>11448</v>
      </c>
      <c r="S5133" t="s">
        <v>14827</v>
      </c>
      <c r="T5133" t="s">
        <v>14832</v>
      </c>
      <c r="U5133" t="s">
        <v>468</v>
      </c>
      <c r="V5133">
        <v>867</v>
      </c>
      <c r="W5133" t="s">
        <v>14862</v>
      </c>
      <c r="X5133" t="s">
        <v>14863</v>
      </c>
      <c r="Z5133" t="s">
        <v>16241</v>
      </c>
      <c r="AB5133" t="s">
        <v>24333</v>
      </c>
      <c r="AC5133">
        <v>1</v>
      </c>
      <c r="AD5133" t="s">
        <v>24596</v>
      </c>
      <c r="AE5133" t="s">
        <v>24610</v>
      </c>
      <c r="AF5133">
        <v>15</v>
      </c>
      <c r="AG5133">
        <v>2</v>
      </c>
      <c r="AH5133">
        <v>1</v>
      </c>
      <c r="AI5133">
        <v>187.53</v>
      </c>
      <c r="AL5133" t="s">
        <v>5011</v>
      </c>
      <c r="AM5133">
        <v>39999.96</v>
      </c>
      <c r="AS5133">
        <v>6.4</v>
      </c>
      <c r="AT5133" t="s">
        <v>495</v>
      </c>
      <c r="AU5133" t="s">
        <v>25270</v>
      </c>
      <c r="AV5133" t="s">
        <v>25335</v>
      </c>
      <c r="AW5133" t="s">
        <v>11447</v>
      </c>
    </row>
    <row r="5134" spans="1:49">
      <c r="A5134" s="1">
        <f>HYPERLINK("https://lsnyc.legalserver.org/matter/dynamic-profile/view/1909895","19-1909895")</f>
        <v>0</v>
      </c>
      <c r="B5134" t="s">
        <v>166</v>
      </c>
      <c r="C5134" t="s">
        <v>468</v>
      </c>
      <c r="E5134" t="s">
        <v>3440</v>
      </c>
      <c r="F5134" t="s">
        <v>1395</v>
      </c>
      <c r="G5134" t="s">
        <v>8054</v>
      </c>
      <c r="H5134" t="s">
        <v>10667</v>
      </c>
      <c r="I5134" t="s">
        <v>11384</v>
      </c>
      <c r="J5134">
        <v>10303</v>
      </c>
      <c r="K5134" t="s">
        <v>11446</v>
      </c>
      <c r="L5134" t="s">
        <v>14619</v>
      </c>
      <c r="M5134" t="s">
        <v>14744</v>
      </c>
      <c r="N5134" t="s">
        <v>14781</v>
      </c>
      <c r="P5134" t="s">
        <v>14808</v>
      </c>
      <c r="Q5134" t="s">
        <v>11448</v>
      </c>
      <c r="S5134" t="s">
        <v>14827</v>
      </c>
      <c r="T5134" t="s">
        <v>14832</v>
      </c>
      <c r="U5134" t="s">
        <v>468</v>
      </c>
      <c r="V5134">
        <v>980</v>
      </c>
      <c r="W5134" t="s">
        <v>14862</v>
      </c>
      <c r="X5134" t="s">
        <v>14863</v>
      </c>
      <c r="Z5134" t="s">
        <v>19094</v>
      </c>
      <c r="AB5134" t="s">
        <v>24334</v>
      </c>
      <c r="AC5134">
        <v>536</v>
      </c>
      <c r="AD5134" t="s">
        <v>24595</v>
      </c>
      <c r="AE5134" t="s">
        <v>24610</v>
      </c>
      <c r="AF5134">
        <v>18</v>
      </c>
      <c r="AG5134">
        <v>1</v>
      </c>
      <c r="AH5134">
        <v>1</v>
      </c>
      <c r="AI5134">
        <v>227.56</v>
      </c>
      <c r="AK5134" t="s">
        <v>24629</v>
      </c>
      <c r="AL5134" t="s">
        <v>5011</v>
      </c>
      <c r="AM5134">
        <v>38480.04</v>
      </c>
      <c r="AS5134">
        <v>8.800000000000001</v>
      </c>
      <c r="AT5134" t="s">
        <v>516</v>
      </c>
      <c r="AU5134" t="s">
        <v>25270</v>
      </c>
      <c r="AV5134" t="s">
        <v>25335</v>
      </c>
      <c r="AW5134" t="s">
        <v>11447</v>
      </c>
    </row>
    <row r="5135" spans="1:49">
      <c r="A5135" s="1">
        <f>HYPERLINK("https://lsnyc.legalserver.org/matter/dynamic-profile/view/1910584","19-1910584")</f>
        <v>0</v>
      </c>
      <c r="B5135" t="s">
        <v>165</v>
      </c>
      <c r="C5135" t="s">
        <v>644</v>
      </c>
      <c r="E5135" t="s">
        <v>3441</v>
      </c>
      <c r="F5135" t="s">
        <v>6121</v>
      </c>
      <c r="G5135" t="s">
        <v>10217</v>
      </c>
      <c r="H5135" t="s">
        <v>10496</v>
      </c>
      <c r="I5135" t="s">
        <v>11384</v>
      </c>
      <c r="J5135">
        <v>10314</v>
      </c>
      <c r="K5135" t="s">
        <v>11446</v>
      </c>
      <c r="L5135" t="s">
        <v>14620</v>
      </c>
      <c r="M5135" t="s">
        <v>14743</v>
      </c>
      <c r="N5135" t="s">
        <v>14781</v>
      </c>
      <c r="P5135" t="s">
        <v>14808</v>
      </c>
      <c r="Q5135" t="s">
        <v>11448</v>
      </c>
      <c r="S5135" t="s">
        <v>14827</v>
      </c>
      <c r="T5135" t="s">
        <v>14832</v>
      </c>
      <c r="U5135" t="s">
        <v>644</v>
      </c>
      <c r="V5135">
        <v>1557</v>
      </c>
      <c r="W5135" t="s">
        <v>14862</v>
      </c>
      <c r="X5135" t="s">
        <v>14863</v>
      </c>
      <c r="Z5135" t="s">
        <v>19095</v>
      </c>
      <c r="AA5135" t="s">
        <v>20086</v>
      </c>
      <c r="AB5135" t="s">
        <v>24335</v>
      </c>
      <c r="AC5135">
        <v>3</v>
      </c>
      <c r="AD5135" t="s">
        <v>11479</v>
      </c>
      <c r="AE5135" t="s">
        <v>24615</v>
      </c>
      <c r="AF5135">
        <v>-1</v>
      </c>
      <c r="AG5135">
        <v>1</v>
      </c>
      <c r="AH5135">
        <v>3</v>
      </c>
      <c r="AI5135">
        <v>25.24</v>
      </c>
      <c r="AL5135" t="s">
        <v>5011</v>
      </c>
      <c r="AM5135">
        <v>6500</v>
      </c>
      <c r="AS5135">
        <v>12.35</v>
      </c>
      <c r="AT5135" t="s">
        <v>592</v>
      </c>
      <c r="AU5135" t="s">
        <v>25270</v>
      </c>
      <c r="AV5135" t="s">
        <v>25335</v>
      </c>
      <c r="AW5135" t="s">
        <v>11447</v>
      </c>
    </row>
    <row r="5136" spans="1:49">
      <c r="A5136" s="1">
        <f>HYPERLINK("https://lsnyc.legalserver.org/matter/dynamic-profile/view/1910595","19-1910595")</f>
        <v>0</v>
      </c>
      <c r="B5136" t="s">
        <v>166</v>
      </c>
      <c r="C5136" t="s">
        <v>644</v>
      </c>
      <c r="E5136" t="s">
        <v>3442</v>
      </c>
      <c r="F5136" t="s">
        <v>6122</v>
      </c>
      <c r="G5136" t="s">
        <v>10218</v>
      </c>
      <c r="H5136" t="s">
        <v>11333</v>
      </c>
      <c r="I5136" t="s">
        <v>11384</v>
      </c>
      <c r="J5136">
        <v>10303</v>
      </c>
      <c r="K5136" t="s">
        <v>11446</v>
      </c>
      <c r="L5136" t="s">
        <v>14621</v>
      </c>
      <c r="M5136" t="s">
        <v>14744</v>
      </c>
      <c r="N5136" t="s">
        <v>14781</v>
      </c>
      <c r="P5136" t="s">
        <v>14808</v>
      </c>
      <c r="Q5136" t="s">
        <v>11448</v>
      </c>
      <c r="S5136" t="s">
        <v>14827</v>
      </c>
      <c r="T5136" t="s">
        <v>14832</v>
      </c>
      <c r="U5136" t="s">
        <v>644</v>
      </c>
      <c r="V5136">
        <v>1065</v>
      </c>
      <c r="W5136" t="s">
        <v>14862</v>
      </c>
      <c r="X5136" t="s">
        <v>14863</v>
      </c>
      <c r="Z5136" t="s">
        <v>19096</v>
      </c>
      <c r="AB5136" t="s">
        <v>24336</v>
      </c>
      <c r="AC5136">
        <v>38</v>
      </c>
      <c r="AD5136" t="s">
        <v>24595</v>
      </c>
      <c r="AE5136" t="s">
        <v>11459</v>
      </c>
      <c r="AF5136">
        <v>4</v>
      </c>
      <c r="AG5136">
        <v>2</v>
      </c>
      <c r="AH5136">
        <v>4</v>
      </c>
      <c r="AI5136">
        <v>162.42</v>
      </c>
      <c r="AL5136" t="s">
        <v>5011</v>
      </c>
      <c r="AM5136">
        <v>56180</v>
      </c>
      <c r="AS5136">
        <v>7.05</v>
      </c>
      <c r="AT5136" t="s">
        <v>654</v>
      </c>
      <c r="AU5136" t="s">
        <v>25270</v>
      </c>
      <c r="AV5136" t="s">
        <v>25335</v>
      </c>
      <c r="AW5136" t="s">
        <v>11447</v>
      </c>
    </row>
    <row r="5137" spans="1:49">
      <c r="A5137" s="1">
        <f>HYPERLINK("https://lsnyc.legalserver.org/matter/dynamic-profile/view/1910896","19-1910896")</f>
        <v>0</v>
      </c>
      <c r="B5137" t="s">
        <v>168</v>
      </c>
      <c r="C5137" t="s">
        <v>604</v>
      </c>
      <c r="E5137" t="s">
        <v>3443</v>
      </c>
      <c r="F5137" t="s">
        <v>6123</v>
      </c>
      <c r="G5137" t="s">
        <v>10219</v>
      </c>
      <c r="H5137" t="s">
        <v>10482</v>
      </c>
      <c r="I5137" t="s">
        <v>11384</v>
      </c>
      <c r="J5137">
        <v>10314</v>
      </c>
      <c r="K5137" t="s">
        <v>11446</v>
      </c>
      <c r="L5137" t="s">
        <v>14622</v>
      </c>
      <c r="M5137" t="s">
        <v>14744</v>
      </c>
      <c r="N5137" t="s">
        <v>14781</v>
      </c>
      <c r="P5137" t="s">
        <v>14808</v>
      </c>
      <c r="Q5137" t="s">
        <v>11448</v>
      </c>
      <c r="S5137" t="s">
        <v>14828</v>
      </c>
      <c r="T5137" t="s">
        <v>14832</v>
      </c>
      <c r="U5137" t="s">
        <v>604</v>
      </c>
      <c r="V5137">
        <v>662</v>
      </c>
      <c r="W5137" t="s">
        <v>14862</v>
      </c>
      <c r="X5137" t="s">
        <v>14863</v>
      </c>
      <c r="Z5137" t="s">
        <v>18382</v>
      </c>
      <c r="AB5137" t="s">
        <v>24337</v>
      </c>
      <c r="AC5137">
        <v>485</v>
      </c>
      <c r="AD5137" t="s">
        <v>24597</v>
      </c>
      <c r="AE5137" t="s">
        <v>11459</v>
      </c>
      <c r="AF5137">
        <v>5</v>
      </c>
      <c r="AG5137">
        <v>1</v>
      </c>
      <c r="AH5137">
        <v>0</v>
      </c>
      <c r="AI5137">
        <v>75.77</v>
      </c>
      <c r="AL5137" t="s">
        <v>5011</v>
      </c>
      <c r="AM5137">
        <v>9464.040000000001</v>
      </c>
      <c r="AS5137">
        <v>6.45</v>
      </c>
      <c r="AT5137" t="s">
        <v>592</v>
      </c>
      <c r="AU5137" t="s">
        <v>221</v>
      </c>
      <c r="AV5137" t="s">
        <v>25335</v>
      </c>
      <c r="AW5137" t="s">
        <v>11447</v>
      </c>
    </row>
    <row r="5138" spans="1:49">
      <c r="A5138" s="1">
        <f>HYPERLINK("https://lsnyc.legalserver.org/matter/dynamic-profile/view/1910891","19-1910891")</f>
        <v>0</v>
      </c>
      <c r="B5138" t="s">
        <v>165</v>
      </c>
      <c r="C5138" t="s">
        <v>604</v>
      </c>
      <c r="E5138" t="s">
        <v>1075</v>
      </c>
      <c r="F5138" t="s">
        <v>6124</v>
      </c>
      <c r="G5138" t="s">
        <v>10220</v>
      </c>
      <c r="H5138" t="s">
        <v>10569</v>
      </c>
      <c r="I5138" t="s">
        <v>11384</v>
      </c>
      <c r="J5138">
        <v>10303</v>
      </c>
      <c r="K5138" t="s">
        <v>11446</v>
      </c>
      <c r="L5138" t="s">
        <v>14623</v>
      </c>
      <c r="M5138" t="s">
        <v>14744</v>
      </c>
      <c r="N5138" t="s">
        <v>14781</v>
      </c>
      <c r="P5138" t="s">
        <v>14808</v>
      </c>
      <c r="Q5138" t="s">
        <v>11448</v>
      </c>
      <c r="S5138" t="s">
        <v>14828</v>
      </c>
      <c r="T5138" t="s">
        <v>14832</v>
      </c>
      <c r="U5138" t="s">
        <v>604</v>
      </c>
      <c r="V5138">
        <v>597</v>
      </c>
      <c r="W5138" t="s">
        <v>14862</v>
      </c>
      <c r="X5138" t="s">
        <v>14863</v>
      </c>
      <c r="Z5138" t="s">
        <v>19097</v>
      </c>
      <c r="AB5138" t="s">
        <v>24338</v>
      </c>
      <c r="AC5138">
        <v>265</v>
      </c>
      <c r="AD5138" t="s">
        <v>24596</v>
      </c>
      <c r="AE5138" t="s">
        <v>11459</v>
      </c>
      <c r="AF5138">
        <v>7</v>
      </c>
      <c r="AG5138">
        <v>1</v>
      </c>
      <c r="AH5138">
        <v>3</v>
      </c>
      <c r="AI5138">
        <v>110.87</v>
      </c>
      <c r="AL5138" t="s">
        <v>5011</v>
      </c>
      <c r="AM5138">
        <v>28548</v>
      </c>
      <c r="AS5138">
        <v>1.5</v>
      </c>
      <c r="AT5138" t="s">
        <v>484</v>
      </c>
      <c r="AU5138" t="s">
        <v>25270</v>
      </c>
      <c r="AV5138" t="s">
        <v>25335</v>
      </c>
      <c r="AW5138" t="s">
        <v>11447</v>
      </c>
    </row>
    <row r="5139" spans="1:49">
      <c r="A5139" s="1">
        <f>HYPERLINK("https://lsnyc.legalserver.org/matter/dynamic-profile/view/1910898","19-1910898")</f>
        <v>0</v>
      </c>
      <c r="B5139" t="s">
        <v>166</v>
      </c>
      <c r="C5139" t="s">
        <v>604</v>
      </c>
      <c r="E5139" t="s">
        <v>1536</v>
      </c>
      <c r="F5139" t="s">
        <v>5515</v>
      </c>
      <c r="G5139" t="s">
        <v>8071</v>
      </c>
      <c r="H5139" t="s">
        <v>10510</v>
      </c>
      <c r="I5139" t="s">
        <v>11384</v>
      </c>
      <c r="J5139">
        <v>10314</v>
      </c>
      <c r="K5139" t="s">
        <v>11446</v>
      </c>
      <c r="L5139" t="s">
        <v>14624</v>
      </c>
      <c r="M5139" t="s">
        <v>14744</v>
      </c>
      <c r="N5139" t="s">
        <v>14781</v>
      </c>
      <c r="P5139" t="s">
        <v>14808</v>
      </c>
      <c r="Q5139" t="s">
        <v>11448</v>
      </c>
      <c r="S5139" t="s">
        <v>14828</v>
      </c>
      <c r="T5139" t="s">
        <v>14832</v>
      </c>
      <c r="U5139" t="s">
        <v>604</v>
      </c>
      <c r="V5139">
        <v>1083</v>
      </c>
      <c r="W5139" t="s">
        <v>14862</v>
      </c>
      <c r="X5139" t="s">
        <v>14863</v>
      </c>
      <c r="Z5139" t="s">
        <v>19098</v>
      </c>
      <c r="AB5139" t="s">
        <v>24339</v>
      </c>
      <c r="AC5139">
        <v>485</v>
      </c>
      <c r="AD5139" t="s">
        <v>24596</v>
      </c>
      <c r="AE5139" t="s">
        <v>11459</v>
      </c>
      <c r="AF5139">
        <v>19</v>
      </c>
      <c r="AG5139">
        <v>3</v>
      </c>
      <c r="AH5139">
        <v>0</v>
      </c>
      <c r="AI5139">
        <v>115.39</v>
      </c>
      <c r="AL5139" t="s">
        <v>5011</v>
      </c>
      <c r="AM5139">
        <v>24612</v>
      </c>
      <c r="AS5139">
        <v>6.5</v>
      </c>
      <c r="AT5139" t="s">
        <v>495</v>
      </c>
      <c r="AU5139" t="s">
        <v>25270</v>
      </c>
      <c r="AV5139" t="s">
        <v>25335</v>
      </c>
      <c r="AW5139" t="s">
        <v>11447</v>
      </c>
    </row>
    <row r="5140" spans="1:49">
      <c r="A5140" s="1">
        <f>HYPERLINK("https://lsnyc.legalserver.org/matter/dynamic-profile/view/1911234","19-1911234")</f>
        <v>0</v>
      </c>
      <c r="B5140" t="s">
        <v>169</v>
      </c>
      <c r="C5140" t="s">
        <v>511</v>
      </c>
      <c r="E5140" t="s">
        <v>3444</v>
      </c>
      <c r="F5140" t="s">
        <v>6125</v>
      </c>
      <c r="G5140" t="s">
        <v>10221</v>
      </c>
      <c r="H5140" t="s">
        <v>10562</v>
      </c>
      <c r="I5140" t="s">
        <v>11384</v>
      </c>
      <c r="J5140">
        <v>10314</v>
      </c>
      <c r="K5140" t="s">
        <v>11446</v>
      </c>
      <c r="L5140" t="s">
        <v>14625</v>
      </c>
      <c r="M5140" t="s">
        <v>14744</v>
      </c>
      <c r="N5140" t="s">
        <v>14781</v>
      </c>
      <c r="P5140" t="s">
        <v>14808</v>
      </c>
      <c r="Q5140" t="s">
        <v>11448</v>
      </c>
      <c r="S5140" t="s">
        <v>14827</v>
      </c>
      <c r="T5140" t="s">
        <v>14832</v>
      </c>
      <c r="U5140" t="s">
        <v>511</v>
      </c>
      <c r="V5140">
        <v>1515</v>
      </c>
      <c r="W5140" t="s">
        <v>14862</v>
      </c>
      <c r="X5140" t="s">
        <v>14863</v>
      </c>
      <c r="Z5140" t="s">
        <v>19099</v>
      </c>
      <c r="AB5140" t="s">
        <v>24340</v>
      </c>
      <c r="AC5140">
        <v>2</v>
      </c>
      <c r="AD5140" t="s">
        <v>24600</v>
      </c>
      <c r="AE5140" t="s">
        <v>24615</v>
      </c>
      <c r="AF5140">
        <v>3</v>
      </c>
      <c r="AG5140">
        <v>1</v>
      </c>
      <c r="AH5140">
        <v>2</v>
      </c>
      <c r="AI5140">
        <v>151.15</v>
      </c>
      <c r="AL5140" t="s">
        <v>5011</v>
      </c>
      <c r="AM5140">
        <v>32240.04</v>
      </c>
      <c r="AS5140">
        <v>11.8</v>
      </c>
      <c r="AT5140" t="s">
        <v>516</v>
      </c>
      <c r="AU5140" t="s">
        <v>25270</v>
      </c>
      <c r="AV5140" t="s">
        <v>25335</v>
      </c>
      <c r="AW5140" t="s">
        <v>11447</v>
      </c>
    </row>
    <row r="5141" spans="1:49">
      <c r="A5141" s="1">
        <f>HYPERLINK("https://lsnyc.legalserver.org/matter/dynamic-profile/view/1911230","19-1911230")</f>
        <v>0</v>
      </c>
      <c r="B5141" t="s">
        <v>165</v>
      </c>
      <c r="C5141" t="s">
        <v>511</v>
      </c>
      <c r="E5141" t="s">
        <v>3445</v>
      </c>
      <c r="F5141" t="s">
        <v>6126</v>
      </c>
      <c r="G5141" t="s">
        <v>10222</v>
      </c>
      <c r="H5141" t="s">
        <v>10496</v>
      </c>
      <c r="I5141" t="s">
        <v>11384</v>
      </c>
      <c r="J5141">
        <v>10303</v>
      </c>
      <c r="K5141" t="s">
        <v>11446</v>
      </c>
      <c r="L5141" t="s">
        <v>14626</v>
      </c>
      <c r="M5141" t="s">
        <v>14743</v>
      </c>
      <c r="N5141" t="s">
        <v>14781</v>
      </c>
      <c r="P5141" t="s">
        <v>14808</v>
      </c>
      <c r="Q5141" t="s">
        <v>11448</v>
      </c>
      <c r="S5141" t="s">
        <v>14827</v>
      </c>
      <c r="T5141" t="s">
        <v>14832</v>
      </c>
      <c r="U5141" t="s">
        <v>511</v>
      </c>
      <c r="V5141">
        <v>1400</v>
      </c>
      <c r="W5141" t="s">
        <v>14862</v>
      </c>
      <c r="X5141" t="s">
        <v>14863</v>
      </c>
      <c r="Z5141" t="s">
        <v>18862</v>
      </c>
      <c r="AB5141" t="s">
        <v>24341</v>
      </c>
      <c r="AC5141">
        <v>2</v>
      </c>
      <c r="AD5141" t="s">
        <v>24600</v>
      </c>
      <c r="AE5141" t="s">
        <v>11459</v>
      </c>
      <c r="AF5141">
        <v>3</v>
      </c>
      <c r="AG5141">
        <v>2</v>
      </c>
      <c r="AH5141">
        <v>1</v>
      </c>
      <c r="AI5141">
        <v>180.4</v>
      </c>
      <c r="AL5141" t="s">
        <v>5011</v>
      </c>
      <c r="AM5141">
        <v>38480.04</v>
      </c>
      <c r="AS5141">
        <v>25.4</v>
      </c>
      <c r="AT5141" t="s">
        <v>654</v>
      </c>
      <c r="AU5141" t="s">
        <v>25270</v>
      </c>
      <c r="AV5141" t="s">
        <v>25335</v>
      </c>
      <c r="AW5141" t="s">
        <v>11447</v>
      </c>
    </row>
    <row r="5142" spans="1:49">
      <c r="A5142" s="1">
        <f>HYPERLINK("https://lsnyc.legalserver.org/matter/dynamic-profile/view/1911745","19-1911745")</f>
        <v>0</v>
      </c>
      <c r="B5142" t="s">
        <v>164</v>
      </c>
      <c r="C5142" t="s">
        <v>472</v>
      </c>
      <c r="E5142" t="s">
        <v>2502</v>
      </c>
      <c r="F5142" t="s">
        <v>6127</v>
      </c>
      <c r="G5142" t="s">
        <v>10182</v>
      </c>
      <c r="H5142" t="s">
        <v>10717</v>
      </c>
      <c r="I5142" t="s">
        <v>11384</v>
      </c>
      <c r="J5142">
        <v>10303</v>
      </c>
      <c r="K5142" t="s">
        <v>11446</v>
      </c>
      <c r="L5142" t="s">
        <v>14627</v>
      </c>
      <c r="M5142" t="s">
        <v>14744</v>
      </c>
      <c r="N5142" t="s">
        <v>14781</v>
      </c>
      <c r="P5142" t="s">
        <v>14808</v>
      </c>
      <c r="Q5142" t="s">
        <v>11448</v>
      </c>
      <c r="S5142" t="s">
        <v>14827</v>
      </c>
      <c r="T5142" t="s">
        <v>14837</v>
      </c>
      <c r="U5142" t="s">
        <v>526</v>
      </c>
      <c r="V5142">
        <v>1466</v>
      </c>
      <c r="W5142" t="s">
        <v>14862</v>
      </c>
      <c r="X5142" t="s">
        <v>14863</v>
      </c>
      <c r="Z5142" t="s">
        <v>19100</v>
      </c>
      <c r="AB5142" t="s">
        <v>24342</v>
      </c>
      <c r="AC5142">
        <v>100</v>
      </c>
      <c r="AD5142" t="s">
        <v>24604</v>
      </c>
      <c r="AE5142" t="s">
        <v>11459</v>
      </c>
      <c r="AF5142">
        <v>1</v>
      </c>
      <c r="AG5142">
        <v>1</v>
      </c>
      <c r="AH5142">
        <v>2</v>
      </c>
      <c r="AI5142">
        <v>196.91</v>
      </c>
      <c r="AL5142" t="s">
        <v>5011</v>
      </c>
      <c r="AM5142">
        <v>42000</v>
      </c>
      <c r="AS5142">
        <v>4.15</v>
      </c>
      <c r="AT5142" t="s">
        <v>654</v>
      </c>
      <c r="AU5142" t="s">
        <v>221</v>
      </c>
      <c r="AV5142" t="s">
        <v>25335</v>
      </c>
      <c r="AW5142" t="s">
        <v>11447</v>
      </c>
    </row>
    <row r="5143" spans="1:49">
      <c r="A5143" s="1">
        <f>HYPERLINK("https://lsnyc.legalserver.org/matter/dynamic-profile/view/1912187","19-1912187")</f>
        <v>0</v>
      </c>
      <c r="B5143" t="s">
        <v>169</v>
      </c>
      <c r="C5143" t="s">
        <v>559</v>
      </c>
      <c r="E5143" t="s">
        <v>1356</v>
      </c>
      <c r="F5143" t="s">
        <v>4776</v>
      </c>
      <c r="G5143" t="s">
        <v>10223</v>
      </c>
      <c r="H5143" t="s">
        <v>11334</v>
      </c>
      <c r="I5143" t="s">
        <v>11384</v>
      </c>
      <c r="J5143">
        <v>10303</v>
      </c>
      <c r="K5143" t="s">
        <v>11446</v>
      </c>
      <c r="L5143" t="s">
        <v>14628</v>
      </c>
      <c r="M5143" t="s">
        <v>14743</v>
      </c>
      <c r="N5143" t="s">
        <v>14781</v>
      </c>
      <c r="P5143" t="s">
        <v>14808</v>
      </c>
      <c r="Q5143" t="s">
        <v>11448</v>
      </c>
      <c r="S5143" t="s">
        <v>14827</v>
      </c>
      <c r="T5143" t="s">
        <v>14832</v>
      </c>
      <c r="U5143" t="s">
        <v>559</v>
      </c>
      <c r="V5143">
        <v>2200</v>
      </c>
      <c r="W5143" t="s">
        <v>14862</v>
      </c>
      <c r="X5143" t="s">
        <v>14863</v>
      </c>
      <c r="Z5143" t="s">
        <v>16210</v>
      </c>
      <c r="AB5143" t="s">
        <v>19344</v>
      </c>
      <c r="AC5143">
        <v>2</v>
      </c>
      <c r="AD5143" t="s">
        <v>24600</v>
      </c>
      <c r="AE5143" t="s">
        <v>11459</v>
      </c>
      <c r="AF5143">
        <v>-1</v>
      </c>
      <c r="AG5143">
        <v>1</v>
      </c>
      <c r="AH5143">
        <v>6</v>
      </c>
      <c r="AI5143">
        <v>16</v>
      </c>
      <c r="AL5143" t="s">
        <v>24632</v>
      </c>
      <c r="AM5143">
        <v>6240</v>
      </c>
      <c r="AS5143">
        <v>17.85</v>
      </c>
      <c r="AT5143" t="s">
        <v>654</v>
      </c>
      <c r="AU5143" t="s">
        <v>25270</v>
      </c>
      <c r="AV5143" t="s">
        <v>25335</v>
      </c>
      <c r="AW5143" t="s">
        <v>11447</v>
      </c>
    </row>
    <row r="5144" spans="1:49">
      <c r="A5144" s="1">
        <f>HYPERLINK("https://lsnyc.legalserver.org/matter/dynamic-profile/view/1912152","19-1912152")</f>
        <v>0</v>
      </c>
      <c r="B5144" t="s">
        <v>165</v>
      </c>
      <c r="C5144" t="s">
        <v>559</v>
      </c>
      <c r="E5144" t="s">
        <v>3446</v>
      </c>
      <c r="F5144" t="s">
        <v>5251</v>
      </c>
      <c r="G5144" t="s">
        <v>10224</v>
      </c>
      <c r="H5144" t="s">
        <v>10604</v>
      </c>
      <c r="I5144" t="s">
        <v>11384</v>
      </c>
      <c r="J5144">
        <v>10314</v>
      </c>
      <c r="K5144" t="s">
        <v>11446</v>
      </c>
      <c r="L5144" t="s">
        <v>14629</v>
      </c>
      <c r="M5144" t="s">
        <v>14743</v>
      </c>
      <c r="N5144" t="s">
        <v>14781</v>
      </c>
      <c r="P5144" t="s">
        <v>14808</v>
      </c>
      <c r="Q5144" t="s">
        <v>11448</v>
      </c>
      <c r="S5144" t="s">
        <v>14827</v>
      </c>
      <c r="T5144" t="s">
        <v>14832</v>
      </c>
      <c r="U5144" t="s">
        <v>559</v>
      </c>
      <c r="V5144">
        <v>1200</v>
      </c>
      <c r="W5144" t="s">
        <v>14862</v>
      </c>
      <c r="X5144" t="s">
        <v>14863</v>
      </c>
      <c r="Z5144" t="s">
        <v>19101</v>
      </c>
      <c r="AB5144" t="s">
        <v>24343</v>
      </c>
      <c r="AC5144">
        <v>3</v>
      </c>
      <c r="AD5144" t="s">
        <v>24600</v>
      </c>
      <c r="AE5144" t="s">
        <v>11459</v>
      </c>
      <c r="AF5144">
        <v>4</v>
      </c>
      <c r="AG5144">
        <v>1</v>
      </c>
      <c r="AH5144">
        <v>2</v>
      </c>
      <c r="AI5144">
        <v>22.39</v>
      </c>
      <c r="AL5144" t="s">
        <v>5011</v>
      </c>
      <c r="AM5144">
        <v>4776</v>
      </c>
      <c r="AS5144">
        <v>3.95</v>
      </c>
      <c r="AT5144" t="s">
        <v>537</v>
      </c>
      <c r="AU5144" t="s">
        <v>25270</v>
      </c>
      <c r="AV5144" t="s">
        <v>25335</v>
      </c>
      <c r="AW5144" t="s">
        <v>11447</v>
      </c>
    </row>
    <row r="5145" spans="1:49">
      <c r="A5145" s="1">
        <f>HYPERLINK("https://lsnyc.legalserver.org/matter/dynamic-profile/view/1912167","19-1912167")</f>
        <v>0</v>
      </c>
      <c r="B5145" t="s">
        <v>168</v>
      </c>
      <c r="C5145" t="s">
        <v>559</v>
      </c>
      <c r="E5145" t="s">
        <v>1357</v>
      </c>
      <c r="F5145" t="s">
        <v>6128</v>
      </c>
      <c r="G5145" t="s">
        <v>10225</v>
      </c>
      <c r="I5145" t="s">
        <v>11384</v>
      </c>
      <c r="J5145">
        <v>10314</v>
      </c>
      <c r="K5145" t="s">
        <v>11446</v>
      </c>
      <c r="L5145" t="s">
        <v>14630</v>
      </c>
      <c r="M5145" t="s">
        <v>14743</v>
      </c>
      <c r="N5145" t="s">
        <v>14781</v>
      </c>
      <c r="P5145" t="s">
        <v>14808</v>
      </c>
      <c r="Q5145" t="s">
        <v>11448</v>
      </c>
      <c r="S5145" t="s">
        <v>14827</v>
      </c>
      <c r="U5145" t="s">
        <v>559</v>
      </c>
      <c r="V5145">
        <v>950</v>
      </c>
      <c r="W5145" t="s">
        <v>14862</v>
      </c>
      <c r="X5145" t="s">
        <v>14863</v>
      </c>
      <c r="Z5145" t="s">
        <v>19102</v>
      </c>
      <c r="AB5145" t="s">
        <v>24344</v>
      </c>
      <c r="AC5145">
        <v>2</v>
      </c>
      <c r="AD5145" t="s">
        <v>24600</v>
      </c>
      <c r="AE5145" t="s">
        <v>11459</v>
      </c>
      <c r="AF5145">
        <v>-1</v>
      </c>
      <c r="AG5145">
        <v>2</v>
      </c>
      <c r="AH5145">
        <v>3</v>
      </c>
      <c r="AI5145">
        <v>60.32</v>
      </c>
      <c r="AL5145" t="s">
        <v>5011</v>
      </c>
      <c r="AM5145">
        <v>18200</v>
      </c>
      <c r="AS5145">
        <v>8.800000000000001</v>
      </c>
      <c r="AT5145" t="s">
        <v>537</v>
      </c>
      <c r="AU5145" t="s">
        <v>221</v>
      </c>
      <c r="AV5145" t="s">
        <v>25335</v>
      </c>
      <c r="AW5145" t="s">
        <v>11447</v>
      </c>
    </row>
    <row r="5146" spans="1:49">
      <c r="A5146" s="1">
        <f>HYPERLINK("https://lsnyc.legalserver.org/matter/dynamic-profile/view/1912159","19-1912159")</f>
        <v>0</v>
      </c>
      <c r="B5146" t="s">
        <v>166</v>
      </c>
      <c r="C5146" t="s">
        <v>559</v>
      </c>
      <c r="E5146" t="s">
        <v>1392</v>
      </c>
      <c r="F5146" t="s">
        <v>6129</v>
      </c>
      <c r="G5146" t="s">
        <v>7778</v>
      </c>
      <c r="H5146" t="s">
        <v>11335</v>
      </c>
      <c r="I5146" t="s">
        <v>11384</v>
      </c>
      <c r="J5146">
        <v>10303</v>
      </c>
      <c r="K5146" t="s">
        <v>11446</v>
      </c>
      <c r="L5146" t="s">
        <v>14631</v>
      </c>
      <c r="M5146" t="s">
        <v>14743</v>
      </c>
      <c r="N5146" t="s">
        <v>14781</v>
      </c>
      <c r="P5146" t="s">
        <v>14808</v>
      </c>
      <c r="Q5146" t="s">
        <v>11448</v>
      </c>
      <c r="S5146" t="s">
        <v>14827</v>
      </c>
      <c r="T5146" t="s">
        <v>14832</v>
      </c>
      <c r="U5146" t="s">
        <v>559</v>
      </c>
      <c r="V5146">
        <v>1485</v>
      </c>
      <c r="W5146" t="s">
        <v>14862</v>
      </c>
      <c r="X5146" t="s">
        <v>14863</v>
      </c>
      <c r="Z5146" t="s">
        <v>19103</v>
      </c>
      <c r="AB5146" t="s">
        <v>24345</v>
      </c>
      <c r="AC5146">
        <v>200</v>
      </c>
      <c r="AD5146" t="s">
        <v>11479</v>
      </c>
      <c r="AE5146" t="s">
        <v>11459</v>
      </c>
      <c r="AF5146">
        <v>-1</v>
      </c>
      <c r="AG5146">
        <v>1</v>
      </c>
      <c r="AH5146">
        <v>0</v>
      </c>
      <c r="AI5146">
        <v>100.02</v>
      </c>
      <c r="AL5146" t="s">
        <v>5011</v>
      </c>
      <c r="AM5146">
        <v>12492</v>
      </c>
      <c r="AS5146">
        <v>3.95</v>
      </c>
      <c r="AT5146" t="s">
        <v>592</v>
      </c>
      <c r="AU5146" t="s">
        <v>25270</v>
      </c>
      <c r="AV5146" t="s">
        <v>25335</v>
      </c>
      <c r="AW5146" t="s">
        <v>11447</v>
      </c>
    </row>
    <row r="5147" spans="1:49">
      <c r="A5147" s="1">
        <f>HYPERLINK("https://lsnyc.legalserver.org/matter/dynamic-profile/view/1912565","19-1912565")</f>
        <v>0</v>
      </c>
      <c r="B5147" t="s">
        <v>168</v>
      </c>
      <c r="C5147" t="s">
        <v>472</v>
      </c>
      <c r="E5147" t="s">
        <v>3447</v>
      </c>
      <c r="F5147" t="s">
        <v>4176</v>
      </c>
      <c r="G5147" t="s">
        <v>8086</v>
      </c>
      <c r="H5147" t="s">
        <v>10524</v>
      </c>
      <c r="I5147" t="s">
        <v>11384</v>
      </c>
      <c r="J5147">
        <v>10314</v>
      </c>
      <c r="K5147" t="s">
        <v>11446</v>
      </c>
      <c r="L5147" t="s">
        <v>14632</v>
      </c>
      <c r="M5147" t="s">
        <v>14744</v>
      </c>
      <c r="N5147" t="s">
        <v>14781</v>
      </c>
      <c r="P5147" t="s">
        <v>14808</v>
      </c>
      <c r="Q5147" t="s">
        <v>11448</v>
      </c>
      <c r="S5147" t="s">
        <v>14828</v>
      </c>
      <c r="T5147" t="s">
        <v>14832</v>
      </c>
      <c r="U5147" t="s">
        <v>472</v>
      </c>
      <c r="V5147">
        <v>283</v>
      </c>
      <c r="W5147" t="s">
        <v>14862</v>
      </c>
      <c r="X5147" t="s">
        <v>14863</v>
      </c>
      <c r="Z5147" t="s">
        <v>19104</v>
      </c>
      <c r="AB5147" t="s">
        <v>24346</v>
      </c>
      <c r="AC5147">
        <v>504</v>
      </c>
      <c r="AD5147" t="s">
        <v>24597</v>
      </c>
      <c r="AE5147" t="s">
        <v>24610</v>
      </c>
      <c r="AF5147">
        <v>5</v>
      </c>
      <c r="AG5147">
        <v>1</v>
      </c>
      <c r="AH5147">
        <v>0</v>
      </c>
      <c r="AI5147">
        <v>17.49</v>
      </c>
      <c r="AL5147" t="s">
        <v>5011</v>
      </c>
      <c r="AM5147">
        <v>2184</v>
      </c>
      <c r="AS5147">
        <v>5.1</v>
      </c>
      <c r="AT5147" t="s">
        <v>539</v>
      </c>
      <c r="AU5147" t="s">
        <v>25265</v>
      </c>
      <c r="AV5147" t="s">
        <v>25335</v>
      </c>
      <c r="AW5147" t="s">
        <v>11447</v>
      </c>
    </row>
    <row r="5148" spans="1:49">
      <c r="A5148" s="1">
        <f>HYPERLINK("https://lsnyc.legalserver.org/matter/dynamic-profile/view/1912550","19-1912550")</f>
        <v>0</v>
      </c>
      <c r="B5148" t="s">
        <v>87</v>
      </c>
      <c r="C5148" t="s">
        <v>472</v>
      </c>
      <c r="E5148" t="s">
        <v>2837</v>
      </c>
      <c r="F5148" t="s">
        <v>3877</v>
      </c>
      <c r="G5148" t="s">
        <v>10226</v>
      </c>
      <c r="H5148" t="s">
        <v>10450</v>
      </c>
      <c r="I5148" t="s">
        <v>11384</v>
      </c>
      <c r="J5148">
        <v>10310</v>
      </c>
      <c r="K5148" t="s">
        <v>11446</v>
      </c>
      <c r="L5148" t="s">
        <v>14633</v>
      </c>
      <c r="M5148" t="s">
        <v>14744</v>
      </c>
      <c r="N5148" t="s">
        <v>14781</v>
      </c>
      <c r="P5148" t="s">
        <v>14808</v>
      </c>
      <c r="Q5148" t="s">
        <v>11448</v>
      </c>
      <c r="S5148" t="s">
        <v>14828</v>
      </c>
      <c r="T5148" t="s">
        <v>14832</v>
      </c>
      <c r="U5148" t="s">
        <v>472</v>
      </c>
      <c r="V5148">
        <v>328</v>
      </c>
      <c r="W5148" t="s">
        <v>14862</v>
      </c>
      <c r="X5148" t="s">
        <v>14863</v>
      </c>
      <c r="Z5148" t="s">
        <v>17126</v>
      </c>
      <c r="AB5148" t="s">
        <v>24347</v>
      </c>
      <c r="AC5148">
        <v>634</v>
      </c>
      <c r="AD5148" t="s">
        <v>24597</v>
      </c>
      <c r="AE5148" t="s">
        <v>24610</v>
      </c>
      <c r="AF5148">
        <v>19</v>
      </c>
      <c r="AG5148">
        <v>3</v>
      </c>
      <c r="AH5148">
        <v>1</v>
      </c>
      <c r="AI5148">
        <v>80.48</v>
      </c>
      <c r="AL5148" t="s">
        <v>5011</v>
      </c>
      <c r="AM5148">
        <v>20724</v>
      </c>
      <c r="AS5148">
        <v>2.9</v>
      </c>
      <c r="AT5148" t="s">
        <v>592</v>
      </c>
      <c r="AU5148" t="s">
        <v>25265</v>
      </c>
      <c r="AV5148" t="s">
        <v>25335</v>
      </c>
      <c r="AW5148" t="s">
        <v>11447</v>
      </c>
    </row>
    <row r="5149" spans="1:49">
      <c r="A5149" s="1">
        <f>HYPERLINK("https://lsnyc.legalserver.org/matter/dynamic-profile/view/1912547","19-1912547")</f>
        <v>0</v>
      </c>
      <c r="B5149" t="s">
        <v>164</v>
      </c>
      <c r="C5149" t="s">
        <v>472</v>
      </c>
      <c r="E5149" t="s">
        <v>2312</v>
      </c>
      <c r="F5149" t="s">
        <v>4012</v>
      </c>
      <c r="G5149" t="s">
        <v>10189</v>
      </c>
      <c r="H5149" t="s">
        <v>10552</v>
      </c>
      <c r="I5149" t="s">
        <v>11384</v>
      </c>
      <c r="J5149">
        <v>10303</v>
      </c>
      <c r="K5149" t="s">
        <v>11446</v>
      </c>
      <c r="L5149" t="s">
        <v>14634</v>
      </c>
      <c r="M5149" t="s">
        <v>14744</v>
      </c>
      <c r="N5149" t="s">
        <v>14781</v>
      </c>
      <c r="P5149" t="s">
        <v>14808</v>
      </c>
      <c r="Q5149" t="s">
        <v>11448</v>
      </c>
      <c r="S5149" t="s">
        <v>14828</v>
      </c>
      <c r="T5149" t="s">
        <v>14832</v>
      </c>
      <c r="U5149" t="s">
        <v>472</v>
      </c>
      <c r="V5149">
        <v>663</v>
      </c>
      <c r="W5149" t="s">
        <v>14862</v>
      </c>
      <c r="X5149" t="s">
        <v>14863</v>
      </c>
      <c r="Z5149" t="s">
        <v>15534</v>
      </c>
      <c r="AB5149" t="s">
        <v>24348</v>
      </c>
      <c r="AC5149">
        <v>265</v>
      </c>
      <c r="AD5149" t="s">
        <v>24597</v>
      </c>
      <c r="AE5149" t="s">
        <v>11459</v>
      </c>
      <c r="AF5149">
        <v>7</v>
      </c>
      <c r="AG5149">
        <v>3</v>
      </c>
      <c r="AH5149">
        <v>1</v>
      </c>
      <c r="AI5149">
        <v>121.17</v>
      </c>
      <c r="AL5149" t="s">
        <v>5011</v>
      </c>
      <c r="AM5149">
        <v>31200</v>
      </c>
      <c r="AS5149">
        <v>2.9</v>
      </c>
      <c r="AT5149" t="s">
        <v>509</v>
      </c>
      <c r="AU5149" t="s">
        <v>25270</v>
      </c>
      <c r="AV5149" t="s">
        <v>25335</v>
      </c>
      <c r="AW5149" t="s">
        <v>11447</v>
      </c>
    </row>
    <row r="5150" spans="1:49">
      <c r="A5150" s="1">
        <f>HYPERLINK("https://lsnyc.legalserver.org/matter/dynamic-profile/view/1912544","19-1912544")</f>
        <v>0</v>
      </c>
      <c r="B5150" t="s">
        <v>166</v>
      </c>
      <c r="C5150" t="s">
        <v>472</v>
      </c>
      <c r="E5150" t="s">
        <v>1642</v>
      </c>
      <c r="F5150" t="s">
        <v>6093</v>
      </c>
      <c r="G5150" t="s">
        <v>10194</v>
      </c>
      <c r="H5150" t="s">
        <v>10569</v>
      </c>
      <c r="I5150" t="s">
        <v>11384</v>
      </c>
      <c r="J5150">
        <v>10303</v>
      </c>
      <c r="K5150" t="s">
        <v>11446</v>
      </c>
      <c r="L5150" t="s">
        <v>14635</v>
      </c>
      <c r="M5150" t="s">
        <v>14744</v>
      </c>
      <c r="N5150" t="s">
        <v>14781</v>
      </c>
      <c r="P5150" t="s">
        <v>14808</v>
      </c>
      <c r="Q5150" t="s">
        <v>11448</v>
      </c>
      <c r="S5150" t="s">
        <v>14828</v>
      </c>
      <c r="T5150" t="s">
        <v>14832</v>
      </c>
      <c r="U5150" t="s">
        <v>472</v>
      </c>
      <c r="V5150">
        <v>588</v>
      </c>
      <c r="W5150" t="s">
        <v>14862</v>
      </c>
      <c r="X5150" t="s">
        <v>14863</v>
      </c>
      <c r="Z5150" t="s">
        <v>19105</v>
      </c>
      <c r="AB5150" t="s">
        <v>24349</v>
      </c>
      <c r="AC5150">
        <v>265</v>
      </c>
      <c r="AD5150" t="s">
        <v>24597</v>
      </c>
      <c r="AE5150" t="s">
        <v>24610</v>
      </c>
      <c r="AF5150">
        <v>-1</v>
      </c>
      <c r="AG5150">
        <v>1</v>
      </c>
      <c r="AH5150">
        <v>2</v>
      </c>
      <c r="AI5150">
        <v>121.5</v>
      </c>
      <c r="AL5150" t="s">
        <v>5011</v>
      </c>
      <c r="AM5150">
        <v>25915.8</v>
      </c>
      <c r="AP5150" t="s">
        <v>24941</v>
      </c>
      <c r="AQ5150" t="s">
        <v>24986</v>
      </c>
      <c r="AR5150" t="s">
        <v>25114</v>
      </c>
      <c r="AS5150">
        <v>3.8</v>
      </c>
      <c r="AT5150" t="s">
        <v>537</v>
      </c>
      <c r="AU5150" t="s">
        <v>25265</v>
      </c>
      <c r="AV5150" t="s">
        <v>25335</v>
      </c>
      <c r="AW5150" t="s">
        <v>11447</v>
      </c>
    </row>
    <row r="5151" spans="1:49">
      <c r="A5151" s="1">
        <f>HYPERLINK("https://lsnyc.legalserver.org/matter/dynamic-profile/view/1912553","19-1912553")</f>
        <v>0</v>
      </c>
      <c r="B5151" t="s">
        <v>168</v>
      </c>
      <c r="C5151" t="s">
        <v>472</v>
      </c>
      <c r="E5151" t="s">
        <v>3448</v>
      </c>
      <c r="F5151" t="s">
        <v>6130</v>
      </c>
      <c r="G5151" t="s">
        <v>10227</v>
      </c>
      <c r="I5151" t="s">
        <v>11384</v>
      </c>
      <c r="J5151">
        <v>10303</v>
      </c>
      <c r="K5151" t="s">
        <v>11446</v>
      </c>
      <c r="L5151" t="s">
        <v>14636</v>
      </c>
      <c r="M5151" t="s">
        <v>14743</v>
      </c>
      <c r="N5151" t="s">
        <v>14781</v>
      </c>
      <c r="P5151" t="s">
        <v>14808</v>
      </c>
      <c r="Q5151" t="s">
        <v>11448</v>
      </c>
      <c r="S5151" t="s">
        <v>14827</v>
      </c>
      <c r="T5151" t="s">
        <v>14832</v>
      </c>
      <c r="U5151" t="s">
        <v>472</v>
      </c>
      <c r="V5151">
        <v>1750</v>
      </c>
      <c r="W5151" t="s">
        <v>14862</v>
      </c>
      <c r="X5151" t="s">
        <v>14863</v>
      </c>
      <c r="Z5151" t="s">
        <v>19106</v>
      </c>
      <c r="AB5151" t="s">
        <v>24350</v>
      </c>
      <c r="AC5151">
        <v>1</v>
      </c>
      <c r="AD5151" t="s">
        <v>24600</v>
      </c>
      <c r="AE5151" t="s">
        <v>11459</v>
      </c>
      <c r="AF5151">
        <v>5</v>
      </c>
      <c r="AG5151">
        <v>2</v>
      </c>
      <c r="AH5151">
        <v>3</v>
      </c>
      <c r="AI5151">
        <v>139.21</v>
      </c>
      <c r="AL5151" t="s">
        <v>5011</v>
      </c>
      <c r="AM5151">
        <v>42000</v>
      </c>
      <c r="AS5151">
        <v>4.15</v>
      </c>
      <c r="AT5151" t="s">
        <v>506</v>
      </c>
      <c r="AU5151" t="s">
        <v>25270</v>
      </c>
      <c r="AV5151" t="s">
        <v>25335</v>
      </c>
      <c r="AW5151" t="s">
        <v>11447</v>
      </c>
    </row>
    <row r="5152" spans="1:49">
      <c r="A5152" s="1">
        <f>HYPERLINK("https://lsnyc.legalserver.org/matter/dynamic-profile/view/1912539","19-1912539")</f>
        <v>0</v>
      </c>
      <c r="B5152" t="s">
        <v>87</v>
      </c>
      <c r="C5152" t="s">
        <v>472</v>
      </c>
      <c r="E5152" t="s">
        <v>1556</v>
      </c>
      <c r="F5152" t="s">
        <v>5706</v>
      </c>
      <c r="G5152" t="s">
        <v>8048</v>
      </c>
      <c r="H5152" t="s">
        <v>10589</v>
      </c>
      <c r="I5152" t="s">
        <v>11384</v>
      </c>
      <c r="J5152">
        <v>10314</v>
      </c>
      <c r="K5152" t="s">
        <v>11446</v>
      </c>
      <c r="L5152" t="s">
        <v>14637</v>
      </c>
      <c r="M5152" t="s">
        <v>14744</v>
      </c>
      <c r="N5152" t="s">
        <v>14781</v>
      </c>
      <c r="P5152" t="s">
        <v>14808</v>
      </c>
      <c r="Q5152" t="s">
        <v>11448</v>
      </c>
      <c r="S5152" t="s">
        <v>14828</v>
      </c>
      <c r="T5152" t="s">
        <v>14832</v>
      </c>
      <c r="U5152" t="s">
        <v>472</v>
      </c>
      <c r="V5152">
        <v>617</v>
      </c>
      <c r="W5152" t="s">
        <v>14862</v>
      </c>
      <c r="X5152" t="s">
        <v>14868</v>
      </c>
      <c r="Z5152" t="s">
        <v>15621</v>
      </c>
      <c r="AB5152" t="s">
        <v>24351</v>
      </c>
      <c r="AC5152">
        <v>37</v>
      </c>
      <c r="AD5152" t="s">
        <v>24597</v>
      </c>
      <c r="AE5152" t="s">
        <v>11459</v>
      </c>
      <c r="AF5152">
        <v>14</v>
      </c>
      <c r="AG5152">
        <v>1</v>
      </c>
      <c r="AH5152">
        <v>2</v>
      </c>
      <c r="AI5152">
        <v>146.27</v>
      </c>
      <c r="AL5152" t="s">
        <v>5011</v>
      </c>
      <c r="AM5152">
        <v>31200</v>
      </c>
      <c r="AS5152">
        <v>3.45</v>
      </c>
      <c r="AT5152" t="s">
        <v>592</v>
      </c>
      <c r="AU5152" t="s">
        <v>25270</v>
      </c>
      <c r="AV5152" t="s">
        <v>25335</v>
      </c>
      <c r="AW5152" t="s">
        <v>11447</v>
      </c>
    </row>
    <row r="5153" spans="1:49">
      <c r="A5153" s="1">
        <f>HYPERLINK("https://lsnyc.legalserver.org/matter/dynamic-profile/view/1912902","19-1912902")</f>
        <v>0</v>
      </c>
      <c r="B5153" t="s">
        <v>165</v>
      </c>
      <c r="C5153" t="s">
        <v>574</v>
      </c>
      <c r="E5153" t="s">
        <v>1243</v>
      </c>
      <c r="F5153" t="s">
        <v>6131</v>
      </c>
      <c r="G5153" t="s">
        <v>10228</v>
      </c>
      <c r="H5153" t="s">
        <v>10486</v>
      </c>
      <c r="I5153" t="s">
        <v>11384</v>
      </c>
      <c r="J5153">
        <v>10314</v>
      </c>
      <c r="K5153" t="s">
        <v>11446</v>
      </c>
      <c r="L5153" t="s">
        <v>14638</v>
      </c>
      <c r="M5153" t="s">
        <v>14744</v>
      </c>
      <c r="N5153" t="s">
        <v>14781</v>
      </c>
      <c r="P5153" t="s">
        <v>14808</v>
      </c>
      <c r="Q5153" t="s">
        <v>11448</v>
      </c>
      <c r="S5153" t="s">
        <v>14827</v>
      </c>
      <c r="T5153" t="s">
        <v>14832</v>
      </c>
      <c r="U5153" t="s">
        <v>574</v>
      </c>
      <c r="V5153">
        <v>2200</v>
      </c>
      <c r="W5153" t="s">
        <v>14862</v>
      </c>
      <c r="X5153" t="s">
        <v>14863</v>
      </c>
      <c r="Z5153" t="s">
        <v>19107</v>
      </c>
      <c r="AB5153" t="s">
        <v>24352</v>
      </c>
      <c r="AC5153">
        <v>2</v>
      </c>
      <c r="AD5153" t="s">
        <v>24600</v>
      </c>
      <c r="AE5153" t="s">
        <v>11459</v>
      </c>
      <c r="AF5153">
        <v>2</v>
      </c>
      <c r="AG5153">
        <v>1</v>
      </c>
      <c r="AH5153">
        <v>3</v>
      </c>
      <c r="AI5153">
        <v>146.88</v>
      </c>
      <c r="AL5153" t="s">
        <v>5011</v>
      </c>
      <c r="AM5153">
        <v>37821.24</v>
      </c>
      <c r="AS5153">
        <v>3.8</v>
      </c>
      <c r="AT5153" t="s">
        <v>516</v>
      </c>
      <c r="AU5153" t="s">
        <v>25270</v>
      </c>
      <c r="AV5153" t="s">
        <v>25335</v>
      </c>
      <c r="AW5153" t="s">
        <v>11447</v>
      </c>
    </row>
    <row r="5154" spans="1:49">
      <c r="A5154" s="1">
        <f>HYPERLINK("https://lsnyc.legalserver.org/matter/dynamic-profile/view/1913217","19-1913217")</f>
        <v>0</v>
      </c>
      <c r="B5154" t="s">
        <v>166</v>
      </c>
      <c r="C5154" t="s">
        <v>515</v>
      </c>
      <c r="E5154" t="s">
        <v>1661</v>
      </c>
      <c r="F5154" t="s">
        <v>6120</v>
      </c>
      <c r="G5154" t="s">
        <v>10182</v>
      </c>
      <c r="H5154" t="s">
        <v>11173</v>
      </c>
      <c r="I5154" t="s">
        <v>11384</v>
      </c>
      <c r="J5154">
        <v>10303</v>
      </c>
      <c r="K5154" t="s">
        <v>11446</v>
      </c>
      <c r="L5154" t="s">
        <v>14639</v>
      </c>
      <c r="M5154" t="s">
        <v>14744</v>
      </c>
      <c r="N5154" t="s">
        <v>14781</v>
      </c>
      <c r="P5154" t="s">
        <v>14808</v>
      </c>
      <c r="Q5154" t="s">
        <v>11448</v>
      </c>
      <c r="S5154" t="s">
        <v>14827</v>
      </c>
      <c r="T5154" t="s">
        <v>14832</v>
      </c>
      <c r="U5154" t="s">
        <v>515</v>
      </c>
      <c r="V5154">
        <v>283</v>
      </c>
      <c r="W5154" t="s">
        <v>14862</v>
      </c>
      <c r="X5154" t="s">
        <v>14863</v>
      </c>
      <c r="Z5154" t="s">
        <v>19108</v>
      </c>
      <c r="AA5154" t="s">
        <v>20087</v>
      </c>
      <c r="AB5154" t="s">
        <v>24353</v>
      </c>
      <c r="AC5154">
        <v>568</v>
      </c>
      <c r="AD5154" t="s">
        <v>24596</v>
      </c>
      <c r="AE5154" t="s">
        <v>11459</v>
      </c>
      <c r="AF5154">
        <v>5</v>
      </c>
      <c r="AG5154">
        <v>1</v>
      </c>
      <c r="AH5154">
        <v>1</v>
      </c>
      <c r="AI5154">
        <v>20.01</v>
      </c>
      <c r="AM5154">
        <v>3384</v>
      </c>
      <c r="AP5154" t="s">
        <v>24976</v>
      </c>
      <c r="AQ5154" t="s">
        <v>24986</v>
      </c>
      <c r="AR5154" t="s">
        <v>25101</v>
      </c>
      <c r="AS5154">
        <v>5.15</v>
      </c>
      <c r="AT5154" t="s">
        <v>654</v>
      </c>
      <c r="AU5154" t="s">
        <v>25270</v>
      </c>
      <c r="AV5154" t="s">
        <v>25335</v>
      </c>
      <c r="AW5154" t="s">
        <v>11447</v>
      </c>
    </row>
    <row r="5155" spans="1:49">
      <c r="A5155" s="1">
        <f>HYPERLINK("https://lsnyc.legalserver.org/matter/dynamic-profile/view/1913203","19-1913203")</f>
        <v>0</v>
      </c>
      <c r="B5155" t="s">
        <v>165</v>
      </c>
      <c r="C5155" t="s">
        <v>515</v>
      </c>
      <c r="E5155" t="s">
        <v>3449</v>
      </c>
      <c r="F5155" t="s">
        <v>6132</v>
      </c>
      <c r="G5155" t="s">
        <v>10229</v>
      </c>
      <c r="H5155" t="s">
        <v>10604</v>
      </c>
      <c r="I5155" t="s">
        <v>11384</v>
      </c>
      <c r="J5155">
        <v>10310</v>
      </c>
      <c r="K5155" t="s">
        <v>11446</v>
      </c>
      <c r="L5155" t="s">
        <v>14640</v>
      </c>
      <c r="M5155" t="s">
        <v>14744</v>
      </c>
      <c r="N5155" t="s">
        <v>14781</v>
      </c>
      <c r="P5155" t="s">
        <v>14808</v>
      </c>
      <c r="Q5155" t="s">
        <v>11448</v>
      </c>
      <c r="S5155" t="s">
        <v>14827</v>
      </c>
      <c r="T5155" t="s">
        <v>14832</v>
      </c>
      <c r="U5155" t="s">
        <v>515</v>
      </c>
      <c r="V5155">
        <v>2200</v>
      </c>
      <c r="W5155" t="s">
        <v>14862</v>
      </c>
      <c r="X5155" t="s">
        <v>14863</v>
      </c>
      <c r="Z5155" t="s">
        <v>19109</v>
      </c>
      <c r="AA5155" t="s">
        <v>20088</v>
      </c>
      <c r="AB5155" t="s">
        <v>24354</v>
      </c>
      <c r="AC5155">
        <v>2</v>
      </c>
      <c r="AD5155" t="s">
        <v>24600</v>
      </c>
      <c r="AE5155" t="s">
        <v>24616</v>
      </c>
      <c r="AF5155">
        <v>3</v>
      </c>
      <c r="AG5155">
        <v>2</v>
      </c>
      <c r="AH5155">
        <v>4</v>
      </c>
      <c r="AI5155">
        <v>48.36</v>
      </c>
      <c r="AL5155" t="s">
        <v>5011</v>
      </c>
      <c r="AM5155">
        <v>16728</v>
      </c>
      <c r="AS5155">
        <v>1.65</v>
      </c>
      <c r="AT5155" t="s">
        <v>521</v>
      </c>
      <c r="AU5155" t="s">
        <v>25270</v>
      </c>
      <c r="AV5155" t="s">
        <v>25335</v>
      </c>
      <c r="AW5155" t="s">
        <v>11447</v>
      </c>
    </row>
    <row r="5156" spans="1:49">
      <c r="A5156" s="1">
        <f>HYPERLINK("https://lsnyc.legalserver.org/matter/dynamic-profile/view/1913223","19-1913223")</f>
        <v>0</v>
      </c>
      <c r="B5156" t="s">
        <v>168</v>
      </c>
      <c r="C5156" t="s">
        <v>515</v>
      </c>
      <c r="E5156" t="s">
        <v>2192</v>
      </c>
      <c r="F5156" t="s">
        <v>6133</v>
      </c>
      <c r="G5156" t="s">
        <v>8047</v>
      </c>
      <c r="H5156" t="s">
        <v>10667</v>
      </c>
      <c r="I5156" t="s">
        <v>11384</v>
      </c>
      <c r="J5156">
        <v>10303</v>
      </c>
      <c r="K5156" t="s">
        <v>11446</v>
      </c>
      <c r="L5156" t="s">
        <v>14641</v>
      </c>
      <c r="M5156" t="s">
        <v>14744</v>
      </c>
      <c r="N5156" t="s">
        <v>14781</v>
      </c>
      <c r="P5156" t="s">
        <v>14808</v>
      </c>
      <c r="Q5156" t="s">
        <v>11448</v>
      </c>
      <c r="S5156" t="s">
        <v>14830</v>
      </c>
      <c r="T5156" t="s">
        <v>14832</v>
      </c>
      <c r="U5156" t="s">
        <v>515</v>
      </c>
      <c r="V5156">
        <v>1070</v>
      </c>
      <c r="W5156" t="s">
        <v>14862</v>
      </c>
      <c r="X5156" t="s">
        <v>14863</v>
      </c>
      <c r="Z5156" t="s">
        <v>19110</v>
      </c>
      <c r="AB5156" t="s">
        <v>24355</v>
      </c>
      <c r="AC5156">
        <v>568</v>
      </c>
      <c r="AD5156" t="s">
        <v>24596</v>
      </c>
      <c r="AE5156" t="s">
        <v>11459</v>
      </c>
      <c r="AF5156">
        <v>4</v>
      </c>
      <c r="AG5156">
        <v>1</v>
      </c>
      <c r="AH5156">
        <v>1</v>
      </c>
      <c r="AI5156">
        <v>217.29</v>
      </c>
      <c r="AJ5156" t="s">
        <v>476</v>
      </c>
      <c r="AK5156" t="s">
        <v>24629</v>
      </c>
      <c r="AL5156" t="s">
        <v>5011</v>
      </c>
      <c r="AM5156">
        <v>36744</v>
      </c>
      <c r="AS5156">
        <v>2.15</v>
      </c>
      <c r="AT5156" t="s">
        <v>537</v>
      </c>
      <c r="AU5156" t="s">
        <v>25270</v>
      </c>
      <c r="AV5156" t="s">
        <v>25335</v>
      </c>
      <c r="AW5156" t="s">
        <v>11447</v>
      </c>
    </row>
    <row r="5157" spans="1:49">
      <c r="A5157" s="1">
        <f>HYPERLINK("https://lsnyc.legalserver.org/matter/dynamic-profile/view/1913782","19-1913782")</f>
        <v>0</v>
      </c>
      <c r="B5157" t="s">
        <v>166</v>
      </c>
      <c r="C5157" t="s">
        <v>533</v>
      </c>
      <c r="E5157" t="s">
        <v>1281</v>
      </c>
      <c r="F5157" t="s">
        <v>3796</v>
      </c>
      <c r="G5157" t="s">
        <v>10230</v>
      </c>
      <c r="H5157" t="s">
        <v>10655</v>
      </c>
      <c r="I5157" t="s">
        <v>11384</v>
      </c>
      <c r="J5157">
        <v>10303</v>
      </c>
      <c r="K5157" t="s">
        <v>11446</v>
      </c>
      <c r="L5157" t="s">
        <v>14642</v>
      </c>
      <c r="M5157" t="s">
        <v>14743</v>
      </c>
      <c r="N5157" t="s">
        <v>14781</v>
      </c>
      <c r="P5157" t="s">
        <v>14808</v>
      </c>
      <c r="Q5157" t="s">
        <v>11448</v>
      </c>
      <c r="S5157" t="s">
        <v>14827</v>
      </c>
      <c r="T5157" t="s">
        <v>14837</v>
      </c>
      <c r="U5157" t="s">
        <v>533</v>
      </c>
      <c r="V5157">
        <v>1900</v>
      </c>
      <c r="W5157" t="s">
        <v>14862</v>
      </c>
      <c r="X5157" t="s">
        <v>14863</v>
      </c>
      <c r="Z5157" t="s">
        <v>19111</v>
      </c>
      <c r="AA5157" t="s">
        <v>20089</v>
      </c>
      <c r="AB5157" t="s">
        <v>24356</v>
      </c>
      <c r="AC5157">
        <v>8</v>
      </c>
      <c r="AE5157" t="s">
        <v>24616</v>
      </c>
      <c r="AF5157">
        <v>1</v>
      </c>
      <c r="AG5157">
        <v>2</v>
      </c>
      <c r="AH5157">
        <v>4</v>
      </c>
      <c r="AI5157">
        <v>9.779999999999999</v>
      </c>
      <c r="AL5157" t="s">
        <v>5011</v>
      </c>
      <c r="AM5157">
        <v>3384</v>
      </c>
      <c r="AS5157">
        <v>4.65</v>
      </c>
      <c r="AT5157" t="s">
        <v>592</v>
      </c>
      <c r="AU5157" t="s">
        <v>25265</v>
      </c>
      <c r="AV5157" t="s">
        <v>25334</v>
      </c>
      <c r="AW5157" t="s">
        <v>11447</v>
      </c>
    </row>
    <row r="5158" spans="1:49">
      <c r="A5158" s="1">
        <f>HYPERLINK("https://lsnyc.legalserver.org/matter/dynamic-profile/view/1913810","19-1913810")</f>
        <v>0</v>
      </c>
      <c r="B5158" t="s">
        <v>166</v>
      </c>
      <c r="C5158" t="s">
        <v>533</v>
      </c>
      <c r="E5158" t="s">
        <v>1034</v>
      </c>
      <c r="F5158" t="s">
        <v>3628</v>
      </c>
      <c r="G5158" t="s">
        <v>10231</v>
      </c>
      <c r="I5158" t="s">
        <v>11384</v>
      </c>
      <c r="J5158">
        <v>10303</v>
      </c>
      <c r="K5158" t="s">
        <v>11446</v>
      </c>
      <c r="L5158" t="s">
        <v>14643</v>
      </c>
      <c r="M5158" t="s">
        <v>14744</v>
      </c>
      <c r="N5158" t="s">
        <v>14781</v>
      </c>
      <c r="P5158" t="s">
        <v>14808</v>
      </c>
      <c r="Q5158" t="s">
        <v>11448</v>
      </c>
      <c r="S5158" t="s">
        <v>14827</v>
      </c>
      <c r="T5158" t="s">
        <v>14832</v>
      </c>
      <c r="U5158" t="s">
        <v>533</v>
      </c>
      <c r="V5158">
        <v>2000</v>
      </c>
      <c r="W5158" t="s">
        <v>14862</v>
      </c>
      <c r="X5158" t="s">
        <v>14863</v>
      </c>
      <c r="Z5158" t="s">
        <v>19112</v>
      </c>
      <c r="AB5158" t="s">
        <v>24357</v>
      </c>
      <c r="AC5158">
        <v>1</v>
      </c>
      <c r="AD5158" t="s">
        <v>24600</v>
      </c>
      <c r="AE5158" t="s">
        <v>11459</v>
      </c>
      <c r="AF5158">
        <v>0</v>
      </c>
      <c r="AG5158">
        <v>2</v>
      </c>
      <c r="AH5158">
        <v>1</v>
      </c>
      <c r="AI5158">
        <v>168.78</v>
      </c>
      <c r="AL5158" t="s">
        <v>5011</v>
      </c>
      <c r="AM5158">
        <v>36000</v>
      </c>
      <c r="AS5158">
        <v>5.1</v>
      </c>
      <c r="AT5158" t="s">
        <v>495</v>
      </c>
      <c r="AU5158" t="s">
        <v>25265</v>
      </c>
      <c r="AV5158" t="s">
        <v>25335</v>
      </c>
      <c r="AW5158" t="s">
        <v>11447</v>
      </c>
    </row>
    <row r="5159" spans="1:49">
      <c r="A5159" s="1">
        <f>HYPERLINK("https://lsnyc.legalserver.org/matter/dynamic-profile/view/1914080","19-1914080")</f>
        <v>0</v>
      </c>
      <c r="B5159" t="s">
        <v>169</v>
      </c>
      <c r="C5159" t="s">
        <v>580</v>
      </c>
      <c r="E5159" t="s">
        <v>3450</v>
      </c>
      <c r="F5159" t="s">
        <v>3692</v>
      </c>
      <c r="G5159" t="s">
        <v>10232</v>
      </c>
      <c r="H5159" t="s">
        <v>10762</v>
      </c>
      <c r="I5159" t="s">
        <v>11384</v>
      </c>
      <c r="J5159">
        <v>10310</v>
      </c>
      <c r="K5159" t="s">
        <v>11446</v>
      </c>
      <c r="L5159" t="s">
        <v>14644</v>
      </c>
      <c r="M5159" t="s">
        <v>14744</v>
      </c>
      <c r="N5159" t="s">
        <v>14781</v>
      </c>
      <c r="P5159" t="s">
        <v>14808</v>
      </c>
      <c r="Q5159" t="s">
        <v>11448</v>
      </c>
      <c r="S5159" t="s">
        <v>14828</v>
      </c>
      <c r="T5159" t="s">
        <v>14832</v>
      </c>
      <c r="U5159" t="s">
        <v>580</v>
      </c>
      <c r="V5159">
        <v>1400</v>
      </c>
      <c r="W5159" t="s">
        <v>14862</v>
      </c>
      <c r="X5159" t="s">
        <v>14863</v>
      </c>
      <c r="Z5159" t="s">
        <v>19113</v>
      </c>
      <c r="AB5159" t="s">
        <v>24358</v>
      </c>
      <c r="AC5159">
        <v>0</v>
      </c>
      <c r="AD5159" t="s">
        <v>24597</v>
      </c>
      <c r="AE5159" t="s">
        <v>11459</v>
      </c>
      <c r="AF5159">
        <v>3</v>
      </c>
      <c r="AG5159">
        <v>3</v>
      </c>
      <c r="AH5159">
        <v>0</v>
      </c>
      <c r="AI5159">
        <v>0</v>
      </c>
      <c r="AL5159" t="s">
        <v>5011</v>
      </c>
      <c r="AM5159">
        <v>0</v>
      </c>
      <c r="AS5159">
        <v>1.15</v>
      </c>
      <c r="AT5159" t="s">
        <v>521</v>
      </c>
      <c r="AU5159" t="s">
        <v>25270</v>
      </c>
      <c r="AV5159" t="s">
        <v>25335</v>
      </c>
      <c r="AW5159" t="s">
        <v>11447</v>
      </c>
    </row>
    <row r="5160" spans="1:49">
      <c r="A5160" s="1">
        <f>HYPERLINK("https://lsnyc.legalserver.org/matter/dynamic-profile/view/1914069","19-1914069")</f>
        <v>0</v>
      </c>
      <c r="B5160" t="s">
        <v>169</v>
      </c>
      <c r="C5160" t="s">
        <v>580</v>
      </c>
      <c r="E5160" t="s">
        <v>1393</v>
      </c>
      <c r="F5160" t="s">
        <v>1983</v>
      </c>
      <c r="G5160" t="s">
        <v>10233</v>
      </c>
      <c r="H5160" t="s">
        <v>10450</v>
      </c>
      <c r="I5160" t="s">
        <v>11384</v>
      </c>
      <c r="J5160">
        <v>10303</v>
      </c>
      <c r="K5160" t="s">
        <v>11446</v>
      </c>
      <c r="L5160" t="s">
        <v>14645</v>
      </c>
      <c r="M5160" t="s">
        <v>14743</v>
      </c>
      <c r="N5160" t="s">
        <v>14781</v>
      </c>
      <c r="P5160" t="s">
        <v>14808</v>
      </c>
      <c r="Q5160" t="s">
        <v>11448</v>
      </c>
      <c r="S5160" t="s">
        <v>14828</v>
      </c>
      <c r="T5160" t="s">
        <v>14832</v>
      </c>
      <c r="U5160" t="s">
        <v>580</v>
      </c>
      <c r="V5160">
        <v>215</v>
      </c>
      <c r="W5160" t="s">
        <v>14862</v>
      </c>
      <c r="X5160" t="s">
        <v>14863</v>
      </c>
      <c r="Z5160" t="s">
        <v>17939</v>
      </c>
      <c r="AB5160" t="s">
        <v>24359</v>
      </c>
      <c r="AC5160">
        <v>0</v>
      </c>
      <c r="AD5160" t="s">
        <v>24597</v>
      </c>
      <c r="AE5160" t="s">
        <v>11459</v>
      </c>
      <c r="AF5160">
        <v>46</v>
      </c>
      <c r="AG5160">
        <v>3</v>
      </c>
      <c r="AH5160">
        <v>2</v>
      </c>
      <c r="AI5160">
        <v>15.83</v>
      </c>
      <c r="AL5160" t="s">
        <v>5011</v>
      </c>
      <c r="AM5160">
        <v>4776</v>
      </c>
      <c r="AS5160">
        <v>0.3</v>
      </c>
      <c r="AT5160" t="s">
        <v>506</v>
      </c>
      <c r="AU5160" t="s">
        <v>25270</v>
      </c>
      <c r="AV5160" t="s">
        <v>25335</v>
      </c>
      <c r="AW5160" t="s">
        <v>11447</v>
      </c>
    </row>
    <row r="5161" spans="1:49">
      <c r="A5161" s="1">
        <f>HYPERLINK("https://lsnyc.legalserver.org/matter/dynamic-profile/view/1914082","19-1914082")</f>
        <v>0</v>
      </c>
      <c r="B5161" t="s">
        <v>169</v>
      </c>
      <c r="C5161" t="s">
        <v>580</v>
      </c>
      <c r="E5161" t="s">
        <v>1210</v>
      </c>
      <c r="F5161" t="s">
        <v>5327</v>
      </c>
      <c r="G5161" t="s">
        <v>8042</v>
      </c>
      <c r="H5161" t="s">
        <v>10467</v>
      </c>
      <c r="I5161" t="s">
        <v>11384</v>
      </c>
      <c r="J5161">
        <v>10314</v>
      </c>
      <c r="K5161" t="s">
        <v>11446</v>
      </c>
      <c r="L5161" t="s">
        <v>14646</v>
      </c>
      <c r="M5161" t="s">
        <v>14744</v>
      </c>
      <c r="N5161" t="s">
        <v>14781</v>
      </c>
      <c r="P5161" t="s">
        <v>14808</v>
      </c>
      <c r="Q5161" t="s">
        <v>11448</v>
      </c>
      <c r="S5161" t="s">
        <v>14828</v>
      </c>
      <c r="T5161" t="s">
        <v>14832</v>
      </c>
      <c r="U5161" t="s">
        <v>580</v>
      </c>
      <c r="V5161">
        <v>668.52</v>
      </c>
      <c r="W5161" t="s">
        <v>14862</v>
      </c>
      <c r="Z5161" t="s">
        <v>19114</v>
      </c>
      <c r="AB5161" t="s">
        <v>24360</v>
      </c>
      <c r="AC5161">
        <v>0</v>
      </c>
      <c r="AD5161" t="s">
        <v>24597</v>
      </c>
      <c r="AF5161">
        <v>17</v>
      </c>
      <c r="AG5161">
        <v>1</v>
      </c>
      <c r="AH5161">
        <v>0</v>
      </c>
      <c r="AI5161">
        <v>72.86</v>
      </c>
      <c r="AL5161" t="s">
        <v>5011</v>
      </c>
      <c r="AM5161">
        <v>9100</v>
      </c>
      <c r="AS5161">
        <v>0</v>
      </c>
      <c r="AU5161" t="s">
        <v>221</v>
      </c>
      <c r="AV5161" t="s">
        <v>25335</v>
      </c>
      <c r="AW5161" t="s">
        <v>11447</v>
      </c>
    </row>
    <row r="5162" spans="1:49">
      <c r="A5162" s="1">
        <f>HYPERLINK("https://lsnyc.legalserver.org/matter/dynamic-profile/view/1914068","19-1914068")</f>
        <v>0</v>
      </c>
      <c r="B5162" t="s">
        <v>166</v>
      </c>
      <c r="C5162" t="s">
        <v>580</v>
      </c>
      <c r="E5162" t="s">
        <v>1441</v>
      </c>
      <c r="F5162" t="s">
        <v>2002</v>
      </c>
      <c r="G5162" t="s">
        <v>10234</v>
      </c>
      <c r="H5162" t="s">
        <v>10484</v>
      </c>
      <c r="I5162" t="s">
        <v>11384</v>
      </c>
      <c r="J5162">
        <v>10314</v>
      </c>
      <c r="K5162" t="s">
        <v>11446</v>
      </c>
      <c r="L5162" t="s">
        <v>14647</v>
      </c>
      <c r="M5162" t="s">
        <v>14744</v>
      </c>
      <c r="N5162" t="s">
        <v>14781</v>
      </c>
      <c r="P5162" t="s">
        <v>14808</v>
      </c>
      <c r="Q5162" t="s">
        <v>11448</v>
      </c>
      <c r="S5162" t="s">
        <v>14828</v>
      </c>
      <c r="T5162" t="s">
        <v>14832</v>
      </c>
      <c r="U5162" t="s">
        <v>580</v>
      </c>
      <c r="V5162">
        <v>0</v>
      </c>
      <c r="W5162" t="s">
        <v>14862</v>
      </c>
      <c r="X5162" t="s">
        <v>14863</v>
      </c>
      <c r="Z5162" t="s">
        <v>18534</v>
      </c>
      <c r="AB5162" t="s">
        <v>24361</v>
      </c>
      <c r="AC5162">
        <v>0</v>
      </c>
      <c r="AD5162" t="s">
        <v>24597</v>
      </c>
      <c r="AE5162" t="s">
        <v>11459</v>
      </c>
      <c r="AF5162">
        <v>0</v>
      </c>
      <c r="AG5162">
        <v>2</v>
      </c>
      <c r="AH5162">
        <v>1</v>
      </c>
      <c r="AI5162">
        <v>123.72</v>
      </c>
      <c r="AL5162" t="s">
        <v>5011</v>
      </c>
      <c r="AM5162">
        <v>26390</v>
      </c>
      <c r="AS5162">
        <v>1.15</v>
      </c>
      <c r="AT5162" t="s">
        <v>495</v>
      </c>
      <c r="AU5162" t="s">
        <v>221</v>
      </c>
      <c r="AV5162" t="s">
        <v>25335</v>
      </c>
      <c r="AW5162" t="s">
        <v>11447</v>
      </c>
    </row>
    <row r="5163" spans="1:49">
      <c r="A5163" s="1">
        <f>HYPERLINK("https://lsnyc.legalserver.org/matter/dynamic-profile/view/1914493","19-1914493")</f>
        <v>0</v>
      </c>
      <c r="B5163" t="s">
        <v>87</v>
      </c>
      <c r="C5163" t="s">
        <v>516</v>
      </c>
      <c r="E5163" t="s">
        <v>1554</v>
      </c>
      <c r="F5163" t="s">
        <v>4175</v>
      </c>
      <c r="G5163" t="s">
        <v>10235</v>
      </c>
      <c r="H5163" t="s">
        <v>10501</v>
      </c>
      <c r="I5163" t="s">
        <v>11384</v>
      </c>
      <c r="J5163">
        <v>10303</v>
      </c>
      <c r="K5163" t="s">
        <v>11446</v>
      </c>
      <c r="L5163" t="s">
        <v>14648</v>
      </c>
      <c r="M5163" t="s">
        <v>14743</v>
      </c>
      <c r="N5163" t="s">
        <v>14781</v>
      </c>
      <c r="P5163" t="s">
        <v>14808</v>
      </c>
      <c r="Q5163" t="s">
        <v>11448</v>
      </c>
      <c r="S5163" t="s">
        <v>14827</v>
      </c>
      <c r="T5163" t="s">
        <v>14832</v>
      </c>
      <c r="U5163" t="s">
        <v>478</v>
      </c>
      <c r="V5163">
        <v>1250</v>
      </c>
      <c r="W5163" t="s">
        <v>14862</v>
      </c>
      <c r="X5163" t="s">
        <v>14863</v>
      </c>
      <c r="Z5163" t="s">
        <v>19115</v>
      </c>
      <c r="AB5163" t="s">
        <v>24362</v>
      </c>
      <c r="AC5163">
        <v>2</v>
      </c>
      <c r="AD5163" t="s">
        <v>24600</v>
      </c>
      <c r="AE5163" t="s">
        <v>11459</v>
      </c>
      <c r="AF5163">
        <v>-1</v>
      </c>
      <c r="AG5163">
        <v>1</v>
      </c>
      <c r="AH5163">
        <v>0</v>
      </c>
      <c r="AI5163">
        <v>0</v>
      </c>
      <c r="AL5163" t="s">
        <v>5011</v>
      </c>
      <c r="AM5163">
        <v>0</v>
      </c>
      <c r="AS5163">
        <v>0.2</v>
      </c>
      <c r="AT5163" t="s">
        <v>516</v>
      </c>
      <c r="AU5163" t="s">
        <v>25270</v>
      </c>
      <c r="AV5163" t="s">
        <v>25335</v>
      </c>
      <c r="AW5163" t="s">
        <v>11447</v>
      </c>
    </row>
    <row r="5164" spans="1:49">
      <c r="A5164" s="1">
        <f>HYPERLINK("https://lsnyc.legalserver.org/matter/dynamic-profile/view/1914501","19-1914501")</f>
        <v>0</v>
      </c>
      <c r="B5164" t="s">
        <v>166</v>
      </c>
      <c r="C5164" t="s">
        <v>478</v>
      </c>
      <c r="E5164" t="s">
        <v>3108</v>
      </c>
      <c r="F5164" t="s">
        <v>6134</v>
      </c>
      <c r="G5164" t="s">
        <v>10236</v>
      </c>
      <c r="H5164" t="s">
        <v>10619</v>
      </c>
      <c r="I5164" t="s">
        <v>11384</v>
      </c>
      <c r="J5164">
        <v>10302</v>
      </c>
      <c r="K5164" t="s">
        <v>11446</v>
      </c>
      <c r="L5164" t="s">
        <v>14649</v>
      </c>
      <c r="M5164" t="s">
        <v>14744</v>
      </c>
      <c r="N5164" t="s">
        <v>14781</v>
      </c>
      <c r="P5164" t="s">
        <v>14808</v>
      </c>
      <c r="Q5164" t="s">
        <v>11448</v>
      </c>
      <c r="S5164" t="s">
        <v>14827</v>
      </c>
      <c r="T5164" t="s">
        <v>14832</v>
      </c>
      <c r="U5164" t="s">
        <v>478</v>
      </c>
      <c r="V5164">
        <v>1246</v>
      </c>
      <c r="W5164" t="s">
        <v>14862</v>
      </c>
      <c r="X5164" t="s">
        <v>14863</v>
      </c>
      <c r="Z5164" t="s">
        <v>19116</v>
      </c>
      <c r="AA5164" t="s">
        <v>20090</v>
      </c>
      <c r="AB5164" t="s">
        <v>24363</v>
      </c>
      <c r="AC5164">
        <v>2</v>
      </c>
      <c r="AD5164" t="s">
        <v>24600</v>
      </c>
      <c r="AE5164" t="s">
        <v>24616</v>
      </c>
      <c r="AF5164">
        <v>-1</v>
      </c>
      <c r="AG5164">
        <v>1</v>
      </c>
      <c r="AH5164">
        <v>0</v>
      </c>
      <c r="AI5164">
        <v>109.7</v>
      </c>
      <c r="AL5164" t="s">
        <v>5011</v>
      </c>
      <c r="AM5164">
        <v>13701.96</v>
      </c>
      <c r="AS5164">
        <v>0</v>
      </c>
      <c r="AU5164" t="s">
        <v>25270</v>
      </c>
      <c r="AV5164" t="s">
        <v>25335</v>
      </c>
      <c r="AW5164" t="s">
        <v>11447</v>
      </c>
    </row>
    <row r="5165" spans="1:49">
      <c r="A5165" s="1">
        <f>HYPERLINK("https://lsnyc.legalserver.org/matter/dynamic-profile/view/1914507","19-1914507")</f>
        <v>0</v>
      </c>
      <c r="B5165" t="s">
        <v>169</v>
      </c>
      <c r="C5165" t="s">
        <v>478</v>
      </c>
      <c r="E5165" t="s">
        <v>1025</v>
      </c>
      <c r="F5165" t="s">
        <v>6135</v>
      </c>
      <c r="G5165" t="s">
        <v>10237</v>
      </c>
      <c r="I5165" t="s">
        <v>11384</v>
      </c>
      <c r="J5165">
        <v>10310</v>
      </c>
      <c r="K5165" t="s">
        <v>11446</v>
      </c>
      <c r="L5165" t="s">
        <v>14650</v>
      </c>
      <c r="M5165" t="s">
        <v>14743</v>
      </c>
      <c r="N5165" t="s">
        <v>14781</v>
      </c>
      <c r="P5165" t="s">
        <v>14808</v>
      </c>
      <c r="Q5165" t="s">
        <v>11448</v>
      </c>
      <c r="S5165" t="s">
        <v>14827</v>
      </c>
      <c r="T5165" t="s">
        <v>14832</v>
      </c>
      <c r="U5165" t="s">
        <v>478</v>
      </c>
      <c r="V5165">
        <v>1650</v>
      </c>
      <c r="W5165" t="s">
        <v>14862</v>
      </c>
      <c r="X5165" t="s">
        <v>14863</v>
      </c>
      <c r="Z5165" t="s">
        <v>19117</v>
      </c>
      <c r="AB5165" t="s">
        <v>24364</v>
      </c>
      <c r="AC5165">
        <v>1</v>
      </c>
      <c r="AD5165" t="s">
        <v>24600</v>
      </c>
      <c r="AE5165" t="s">
        <v>11459</v>
      </c>
      <c r="AF5165">
        <v>5</v>
      </c>
      <c r="AG5165">
        <v>2</v>
      </c>
      <c r="AH5165">
        <v>3</v>
      </c>
      <c r="AI5165">
        <v>179.44</v>
      </c>
      <c r="AL5165" t="s">
        <v>5011</v>
      </c>
      <c r="AM5165">
        <v>54137.76</v>
      </c>
      <c r="AS5165">
        <v>0</v>
      </c>
      <c r="AU5165" t="s">
        <v>25270</v>
      </c>
      <c r="AV5165" t="s">
        <v>25335</v>
      </c>
      <c r="AW5165" t="s">
        <v>11447</v>
      </c>
    </row>
    <row r="5166" spans="1:49">
      <c r="A5166" s="1">
        <f>HYPERLINK("https://lsnyc.legalserver.org/matter/dynamic-profile/view/1914837","19-1914837")</f>
        <v>0</v>
      </c>
      <c r="B5166" t="s">
        <v>168</v>
      </c>
      <c r="C5166" t="s">
        <v>537</v>
      </c>
      <c r="E5166" t="s">
        <v>1085</v>
      </c>
      <c r="F5166" t="s">
        <v>6136</v>
      </c>
      <c r="G5166" t="s">
        <v>8054</v>
      </c>
      <c r="H5166" t="s">
        <v>10524</v>
      </c>
      <c r="I5166" t="s">
        <v>11384</v>
      </c>
      <c r="J5166">
        <v>10303</v>
      </c>
      <c r="K5166" t="s">
        <v>11446</v>
      </c>
      <c r="L5166" t="s">
        <v>14651</v>
      </c>
      <c r="M5166" t="s">
        <v>14744</v>
      </c>
      <c r="N5166" t="s">
        <v>14781</v>
      </c>
      <c r="P5166" t="s">
        <v>14808</v>
      </c>
      <c r="Q5166" t="s">
        <v>11448</v>
      </c>
      <c r="S5166" t="s">
        <v>14830</v>
      </c>
      <c r="U5166" t="s">
        <v>537</v>
      </c>
      <c r="V5166">
        <v>740</v>
      </c>
      <c r="W5166" t="s">
        <v>14862</v>
      </c>
      <c r="Z5166" t="s">
        <v>19118</v>
      </c>
      <c r="AB5166" t="s">
        <v>24365</v>
      </c>
      <c r="AC5166">
        <v>0</v>
      </c>
      <c r="AD5166" t="s">
        <v>24595</v>
      </c>
      <c r="AE5166" t="s">
        <v>24610</v>
      </c>
      <c r="AF5166">
        <v>8</v>
      </c>
      <c r="AG5166">
        <v>2</v>
      </c>
      <c r="AH5166">
        <v>1</v>
      </c>
      <c r="AI5166">
        <v>0</v>
      </c>
      <c r="AL5166" t="s">
        <v>5011</v>
      </c>
      <c r="AM5166">
        <v>0</v>
      </c>
      <c r="AS5166">
        <v>0</v>
      </c>
      <c r="AU5166" t="s">
        <v>25270</v>
      </c>
      <c r="AV5166" t="s">
        <v>25335</v>
      </c>
      <c r="AW5166" t="s">
        <v>11447</v>
      </c>
    </row>
    <row r="5167" spans="1:49">
      <c r="A5167" s="1">
        <f>HYPERLINK("https://lsnyc.legalserver.org/matter/dynamic-profile/view/1913466","19-1913466")</f>
        <v>0</v>
      </c>
      <c r="B5167" t="s">
        <v>169</v>
      </c>
      <c r="C5167" t="s">
        <v>537</v>
      </c>
      <c r="E5167" t="s">
        <v>3112</v>
      </c>
      <c r="F5167" t="s">
        <v>4151</v>
      </c>
      <c r="G5167" t="s">
        <v>10238</v>
      </c>
      <c r="H5167" t="s">
        <v>10486</v>
      </c>
      <c r="I5167" t="s">
        <v>11384</v>
      </c>
      <c r="J5167">
        <v>10303</v>
      </c>
      <c r="K5167" t="s">
        <v>11446</v>
      </c>
      <c r="L5167" t="s">
        <v>14652</v>
      </c>
      <c r="M5167" t="s">
        <v>14743</v>
      </c>
      <c r="P5167" t="s">
        <v>14808</v>
      </c>
      <c r="Q5167" t="s">
        <v>11448</v>
      </c>
      <c r="S5167" t="s">
        <v>14827</v>
      </c>
      <c r="U5167" t="s">
        <v>537</v>
      </c>
      <c r="V5167">
        <v>1470</v>
      </c>
      <c r="W5167" t="s">
        <v>14862</v>
      </c>
      <c r="X5167" t="s">
        <v>14880</v>
      </c>
      <c r="Z5167" t="s">
        <v>19119</v>
      </c>
      <c r="AB5167" t="s">
        <v>24366</v>
      </c>
      <c r="AC5167">
        <v>0</v>
      </c>
      <c r="AD5167" t="s">
        <v>24600</v>
      </c>
      <c r="AE5167" t="s">
        <v>24610</v>
      </c>
      <c r="AF5167">
        <v>9</v>
      </c>
      <c r="AG5167">
        <v>2</v>
      </c>
      <c r="AH5167">
        <v>1</v>
      </c>
      <c r="AI5167">
        <v>73.87</v>
      </c>
      <c r="AL5167" t="s">
        <v>5011</v>
      </c>
      <c r="AM5167">
        <v>15756</v>
      </c>
      <c r="AS5167">
        <v>0</v>
      </c>
      <c r="AU5167" t="s">
        <v>25270</v>
      </c>
      <c r="AV5167" t="s">
        <v>25335</v>
      </c>
      <c r="AW5167" t="s">
        <v>11447</v>
      </c>
    </row>
    <row r="5168" spans="1:49">
      <c r="A5168" s="1">
        <f>HYPERLINK("https://lsnyc.legalserver.org/matter/dynamic-profile/view/1914895","19-1914895")</f>
        <v>0</v>
      </c>
      <c r="B5168" t="s">
        <v>148</v>
      </c>
      <c r="C5168" t="s">
        <v>537</v>
      </c>
      <c r="E5168" t="s">
        <v>3451</v>
      </c>
      <c r="F5168" t="s">
        <v>6137</v>
      </c>
      <c r="G5168" t="s">
        <v>10239</v>
      </c>
      <c r="H5168" t="s">
        <v>11336</v>
      </c>
      <c r="I5168" t="s">
        <v>11384</v>
      </c>
      <c r="J5168">
        <v>10305</v>
      </c>
      <c r="K5168" t="s">
        <v>11446</v>
      </c>
      <c r="L5168" t="s">
        <v>14653</v>
      </c>
      <c r="M5168" t="s">
        <v>14743</v>
      </c>
      <c r="N5168" t="s">
        <v>14781</v>
      </c>
      <c r="P5168" t="s">
        <v>14808</v>
      </c>
      <c r="Q5168" t="s">
        <v>11448</v>
      </c>
      <c r="S5168" t="s">
        <v>14827</v>
      </c>
      <c r="U5168" t="s">
        <v>537</v>
      </c>
      <c r="V5168">
        <v>457</v>
      </c>
      <c r="W5168" t="s">
        <v>14862</v>
      </c>
      <c r="X5168" t="s">
        <v>14863</v>
      </c>
      <c r="Z5168" t="s">
        <v>19120</v>
      </c>
      <c r="AB5168" t="s">
        <v>24367</v>
      </c>
      <c r="AC5168">
        <v>0</v>
      </c>
      <c r="AD5168" t="s">
        <v>24596</v>
      </c>
      <c r="AE5168" t="s">
        <v>24614</v>
      </c>
      <c r="AF5168">
        <v>3</v>
      </c>
      <c r="AG5168">
        <v>1</v>
      </c>
      <c r="AH5168">
        <v>0</v>
      </c>
      <c r="AI5168">
        <v>163.33</v>
      </c>
      <c r="AM5168">
        <v>20400</v>
      </c>
      <c r="AS5168">
        <v>5.2</v>
      </c>
      <c r="AT5168" t="s">
        <v>654</v>
      </c>
      <c r="AU5168" t="s">
        <v>25270</v>
      </c>
      <c r="AV5168" t="s">
        <v>25335</v>
      </c>
      <c r="AW5168" t="s">
        <v>11447</v>
      </c>
    </row>
    <row r="5169" spans="1:49">
      <c r="A5169" s="1">
        <f>HYPERLINK("https://lsnyc.legalserver.org/matter/dynamic-profile/view/1914883","19-1914883")</f>
        <v>0</v>
      </c>
      <c r="B5169" t="s">
        <v>87</v>
      </c>
      <c r="C5169" t="s">
        <v>537</v>
      </c>
      <c r="E5169" t="s">
        <v>3452</v>
      </c>
      <c r="F5169" t="s">
        <v>6138</v>
      </c>
      <c r="G5169" t="s">
        <v>10240</v>
      </c>
      <c r="H5169" t="s">
        <v>10496</v>
      </c>
      <c r="I5169" t="s">
        <v>11384</v>
      </c>
      <c r="J5169">
        <v>10314</v>
      </c>
      <c r="K5169" t="s">
        <v>11446</v>
      </c>
      <c r="L5169" t="s">
        <v>14654</v>
      </c>
      <c r="M5169" t="s">
        <v>14743</v>
      </c>
      <c r="N5169" t="s">
        <v>14781</v>
      </c>
      <c r="P5169" t="s">
        <v>14808</v>
      </c>
      <c r="Q5169" t="s">
        <v>11448</v>
      </c>
      <c r="S5169" t="s">
        <v>14827</v>
      </c>
      <c r="U5169" t="s">
        <v>537</v>
      </c>
      <c r="V5169">
        <v>2100</v>
      </c>
      <c r="W5169" t="s">
        <v>14862</v>
      </c>
      <c r="X5169" t="s">
        <v>14863</v>
      </c>
      <c r="Z5169" t="s">
        <v>19121</v>
      </c>
      <c r="AB5169" t="s">
        <v>24368</v>
      </c>
      <c r="AC5169">
        <v>2</v>
      </c>
      <c r="AD5169" t="s">
        <v>24600</v>
      </c>
      <c r="AE5169" t="s">
        <v>11459</v>
      </c>
      <c r="AF5169">
        <v>1989</v>
      </c>
      <c r="AG5169">
        <v>1</v>
      </c>
      <c r="AH5169">
        <v>0</v>
      </c>
      <c r="AI5169">
        <v>209.35</v>
      </c>
      <c r="AL5169" t="s">
        <v>5011</v>
      </c>
      <c r="AM5169">
        <v>26148</v>
      </c>
      <c r="AS5169">
        <v>0</v>
      </c>
      <c r="AU5169" t="s">
        <v>25270</v>
      </c>
      <c r="AV5169" t="s">
        <v>25335</v>
      </c>
      <c r="AW5169" t="s">
        <v>11447</v>
      </c>
    </row>
    <row r="5170" spans="1:49">
      <c r="A5170" s="1">
        <f>HYPERLINK("https://lsnyc.legalserver.org/matter/dynamic-profile/view/1913795","19-1913795")</f>
        <v>0</v>
      </c>
      <c r="B5170" t="s">
        <v>169</v>
      </c>
      <c r="C5170" t="s">
        <v>516</v>
      </c>
      <c r="E5170" t="s">
        <v>1653</v>
      </c>
      <c r="F5170" t="s">
        <v>6139</v>
      </c>
      <c r="G5170" t="s">
        <v>10241</v>
      </c>
      <c r="H5170" t="s">
        <v>10522</v>
      </c>
      <c r="I5170" t="s">
        <v>11384</v>
      </c>
      <c r="J5170">
        <v>10314</v>
      </c>
      <c r="K5170" t="s">
        <v>11446</v>
      </c>
      <c r="L5170" t="s">
        <v>14655</v>
      </c>
      <c r="M5170" t="s">
        <v>14743</v>
      </c>
      <c r="N5170" t="s">
        <v>14781</v>
      </c>
      <c r="P5170" t="s">
        <v>14808</v>
      </c>
      <c r="Q5170" t="s">
        <v>11448</v>
      </c>
      <c r="S5170" t="s">
        <v>14827</v>
      </c>
      <c r="T5170" t="s">
        <v>14832</v>
      </c>
      <c r="U5170" t="s">
        <v>516</v>
      </c>
      <c r="V5170">
        <v>1466.66</v>
      </c>
      <c r="W5170" t="s">
        <v>14862</v>
      </c>
      <c r="X5170" t="s">
        <v>14863</v>
      </c>
      <c r="Z5170" t="s">
        <v>19122</v>
      </c>
      <c r="AB5170" t="s">
        <v>24369</v>
      </c>
      <c r="AC5170">
        <v>8</v>
      </c>
      <c r="AD5170" t="s">
        <v>24595</v>
      </c>
      <c r="AE5170" t="s">
        <v>11459</v>
      </c>
      <c r="AF5170">
        <v>1</v>
      </c>
      <c r="AG5170">
        <v>2</v>
      </c>
      <c r="AH5170">
        <v>0</v>
      </c>
      <c r="AI5170">
        <v>215.02</v>
      </c>
      <c r="AJ5170" t="s">
        <v>592</v>
      </c>
      <c r="AK5170" t="s">
        <v>24629</v>
      </c>
      <c r="AL5170" t="s">
        <v>5011</v>
      </c>
      <c r="AM5170">
        <v>36360</v>
      </c>
      <c r="AS5170">
        <v>1.2</v>
      </c>
      <c r="AT5170" t="s">
        <v>516</v>
      </c>
      <c r="AU5170" t="s">
        <v>25265</v>
      </c>
      <c r="AV5170" t="s">
        <v>25335</v>
      </c>
      <c r="AW5170" t="s">
        <v>11447</v>
      </c>
    </row>
    <row r="5171" spans="1:49">
      <c r="A5171" s="1">
        <f>HYPERLINK("https://lsnyc.legalserver.org/matter/dynamic-profile/view/1915207","19-1915207")</f>
        <v>0</v>
      </c>
      <c r="B5171" t="s">
        <v>168</v>
      </c>
      <c r="C5171" t="s">
        <v>509</v>
      </c>
      <c r="E5171" t="s">
        <v>1501</v>
      </c>
      <c r="F5171" t="s">
        <v>3978</v>
      </c>
      <c r="G5171" t="s">
        <v>10242</v>
      </c>
      <c r="H5171" t="s">
        <v>11337</v>
      </c>
      <c r="I5171" t="s">
        <v>11384</v>
      </c>
      <c r="J5171">
        <v>10303</v>
      </c>
      <c r="K5171" t="s">
        <v>11446</v>
      </c>
      <c r="L5171" t="s">
        <v>14656</v>
      </c>
      <c r="M5171" t="s">
        <v>14744</v>
      </c>
      <c r="N5171" t="s">
        <v>14781</v>
      </c>
      <c r="P5171" t="s">
        <v>14808</v>
      </c>
      <c r="Q5171" t="s">
        <v>11448</v>
      </c>
      <c r="S5171" t="s">
        <v>14827</v>
      </c>
      <c r="T5171" t="s">
        <v>14832</v>
      </c>
      <c r="U5171" t="s">
        <v>509</v>
      </c>
      <c r="V5171">
        <v>2206</v>
      </c>
      <c r="W5171" t="s">
        <v>14862</v>
      </c>
      <c r="X5171" t="s">
        <v>14863</v>
      </c>
      <c r="Z5171" t="s">
        <v>19123</v>
      </c>
      <c r="AB5171" t="s">
        <v>24370</v>
      </c>
      <c r="AC5171">
        <v>1</v>
      </c>
      <c r="AD5171" t="s">
        <v>24600</v>
      </c>
      <c r="AE5171" t="s">
        <v>24610</v>
      </c>
      <c r="AF5171">
        <v>1</v>
      </c>
      <c r="AG5171">
        <v>1</v>
      </c>
      <c r="AH5171">
        <v>3</v>
      </c>
      <c r="AI5171">
        <v>25.24</v>
      </c>
      <c r="AL5171" t="s">
        <v>5011</v>
      </c>
      <c r="AM5171">
        <v>6500</v>
      </c>
      <c r="AS5171">
        <v>0</v>
      </c>
      <c r="AU5171" t="s">
        <v>25270</v>
      </c>
      <c r="AV5171" t="s">
        <v>25335</v>
      </c>
      <c r="AW5171" t="s">
        <v>11447</v>
      </c>
    </row>
    <row r="5172" spans="1:49">
      <c r="A5172" s="1">
        <f>HYPERLINK("https://lsnyc.legalserver.org/matter/dynamic-profile/view/1910288","19-1910288")</f>
        <v>0</v>
      </c>
      <c r="B5172" t="s">
        <v>169</v>
      </c>
      <c r="C5172" t="s">
        <v>467</v>
      </c>
      <c r="E5172" t="s">
        <v>1598</v>
      </c>
      <c r="F5172" t="s">
        <v>4941</v>
      </c>
      <c r="G5172" t="s">
        <v>8071</v>
      </c>
      <c r="H5172" t="s">
        <v>10568</v>
      </c>
      <c r="I5172" t="s">
        <v>11384</v>
      </c>
      <c r="J5172">
        <v>10314</v>
      </c>
      <c r="K5172" t="s">
        <v>11447</v>
      </c>
      <c r="L5172" t="s">
        <v>14657</v>
      </c>
      <c r="M5172" t="s">
        <v>14750</v>
      </c>
      <c r="P5172" t="s">
        <v>14808</v>
      </c>
      <c r="Q5172" t="s">
        <v>11448</v>
      </c>
      <c r="S5172" t="s">
        <v>14827</v>
      </c>
      <c r="V5172">
        <v>231</v>
      </c>
      <c r="W5172" t="s">
        <v>14862</v>
      </c>
      <c r="X5172" t="s">
        <v>14880</v>
      </c>
      <c r="Z5172" t="s">
        <v>17046</v>
      </c>
      <c r="AB5172" t="s">
        <v>22069</v>
      </c>
      <c r="AC5172">
        <v>504</v>
      </c>
      <c r="AD5172" t="s">
        <v>24596</v>
      </c>
      <c r="AE5172" t="s">
        <v>24610</v>
      </c>
      <c r="AF5172">
        <v>6</v>
      </c>
      <c r="AG5172">
        <v>1</v>
      </c>
      <c r="AH5172">
        <v>0</v>
      </c>
      <c r="AI5172">
        <v>0</v>
      </c>
      <c r="AL5172" t="s">
        <v>5011</v>
      </c>
      <c r="AM5172">
        <v>0</v>
      </c>
      <c r="AS5172">
        <v>5.1</v>
      </c>
      <c r="AT5172" t="s">
        <v>476</v>
      </c>
      <c r="AU5172" t="s">
        <v>25270</v>
      </c>
      <c r="AW5172" t="s">
        <v>11447</v>
      </c>
    </row>
    <row r="5173" spans="1:49">
      <c r="A5173" s="1">
        <f>HYPERLINK("https://lsnyc.legalserver.org/matter/dynamic-profile/view/1914189","19-1914189")</f>
        <v>0</v>
      </c>
      <c r="B5173" t="s">
        <v>87</v>
      </c>
      <c r="C5173" t="s">
        <v>592</v>
      </c>
      <c r="E5173" t="s">
        <v>2297</v>
      </c>
      <c r="F5173" t="s">
        <v>4721</v>
      </c>
      <c r="G5173" t="s">
        <v>7288</v>
      </c>
      <c r="H5173" t="s">
        <v>10593</v>
      </c>
      <c r="I5173" t="s">
        <v>11384</v>
      </c>
      <c r="J5173">
        <v>10301</v>
      </c>
      <c r="K5173" t="s">
        <v>11447</v>
      </c>
      <c r="L5173" t="s">
        <v>14658</v>
      </c>
      <c r="M5173" t="s">
        <v>14744</v>
      </c>
      <c r="P5173" t="s">
        <v>14808</v>
      </c>
      <c r="Q5173" t="s">
        <v>11448</v>
      </c>
      <c r="S5173" t="s">
        <v>14830</v>
      </c>
      <c r="V5173">
        <v>269</v>
      </c>
      <c r="W5173" t="s">
        <v>14862</v>
      </c>
      <c r="X5173" t="s">
        <v>14863</v>
      </c>
      <c r="Z5173" t="s">
        <v>16271</v>
      </c>
      <c r="AB5173" t="s">
        <v>24371</v>
      </c>
      <c r="AC5173">
        <v>0</v>
      </c>
      <c r="AD5173" t="s">
        <v>24595</v>
      </c>
      <c r="AE5173" t="s">
        <v>24610</v>
      </c>
      <c r="AF5173">
        <v>-1</v>
      </c>
      <c r="AG5173">
        <v>1</v>
      </c>
      <c r="AH5173">
        <v>0</v>
      </c>
      <c r="AI5173">
        <v>4</v>
      </c>
      <c r="AL5173" t="s">
        <v>5011</v>
      </c>
      <c r="AM5173">
        <v>500</v>
      </c>
      <c r="AS5173">
        <v>0</v>
      </c>
      <c r="AU5173" t="s">
        <v>25270</v>
      </c>
      <c r="AW5173" t="s">
        <v>11447</v>
      </c>
    </row>
    <row r="5174" spans="1:49">
      <c r="A5174" s="1">
        <f>HYPERLINK("https://lsnyc.legalserver.org/matter/dynamic-profile/view/1911370","19-1911370")</f>
        <v>0</v>
      </c>
      <c r="B5174" t="s">
        <v>169</v>
      </c>
      <c r="C5174" t="s">
        <v>467</v>
      </c>
      <c r="E5174" t="s">
        <v>1062</v>
      </c>
      <c r="F5174" t="s">
        <v>6140</v>
      </c>
      <c r="G5174" t="s">
        <v>8044</v>
      </c>
      <c r="H5174" t="s">
        <v>10585</v>
      </c>
      <c r="I5174" t="s">
        <v>11384</v>
      </c>
      <c r="J5174">
        <v>10310</v>
      </c>
      <c r="K5174" t="s">
        <v>11447</v>
      </c>
      <c r="L5174" t="s">
        <v>14659</v>
      </c>
      <c r="P5174" t="s">
        <v>14808</v>
      </c>
      <c r="S5174" t="s">
        <v>14828</v>
      </c>
      <c r="V5174">
        <v>0</v>
      </c>
      <c r="W5174" t="s">
        <v>14862</v>
      </c>
      <c r="Z5174" t="s">
        <v>16518</v>
      </c>
      <c r="AB5174" t="s">
        <v>24372</v>
      </c>
      <c r="AC5174">
        <v>0</v>
      </c>
      <c r="AF5174">
        <v>0</v>
      </c>
      <c r="AG5174">
        <v>2</v>
      </c>
      <c r="AH5174">
        <v>0</v>
      </c>
      <c r="AI5174">
        <v>54.86</v>
      </c>
      <c r="AL5174" t="s">
        <v>24632</v>
      </c>
      <c r="AM5174">
        <v>9276</v>
      </c>
      <c r="AS5174">
        <v>30.9</v>
      </c>
      <c r="AT5174" t="s">
        <v>516</v>
      </c>
      <c r="AU5174" t="s">
        <v>25271</v>
      </c>
      <c r="AW5174" t="s">
        <v>11447</v>
      </c>
    </row>
    <row r="5175" spans="1:49">
      <c r="A5175" s="1">
        <f>HYPERLINK("https://lsnyc.legalserver.org/matter/dynamic-profile/view/1872566","18-1872566")</f>
        <v>0</v>
      </c>
      <c r="B5175" t="s">
        <v>117</v>
      </c>
      <c r="C5175" t="s">
        <v>582</v>
      </c>
      <c r="E5175" t="s">
        <v>1409</v>
      </c>
      <c r="F5175" t="s">
        <v>6141</v>
      </c>
      <c r="G5175" t="s">
        <v>10243</v>
      </c>
      <c r="H5175" t="s">
        <v>10460</v>
      </c>
      <c r="I5175" t="s">
        <v>11384</v>
      </c>
      <c r="J5175">
        <v>10314</v>
      </c>
      <c r="K5175" t="s">
        <v>11446</v>
      </c>
      <c r="L5175" t="s">
        <v>14660</v>
      </c>
      <c r="M5175" t="s">
        <v>14744</v>
      </c>
      <c r="N5175" t="s">
        <v>14781</v>
      </c>
      <c r="P5175" t="s">
        <v>14808</v>
      </c>
      <c r="Q5175" t="s">
        <v>11448</v>
      </c>
      <c r="S5175" t="s">
        <v>14828</v>
      </c>
      <c r="T5175" t="s">
        <v>14832</v>
      </c>
      <c r="V5175">
        <v>549</v>
      </c>
      <c r="W5175" t="s">
        <v>14862</v>
      </c>
      <c r="X5175" t="s">
        <v>14874</v>
      </c>
      <c r="Z5175" t="s">
        <v>19124</v>
      </c>
      <c r="AB5175" t="s">
        <v>24373</v>
      </c>
      <c r="AC5175">
        <v>0</v>
      </c>
      <c r="AD5175" t="s">
        <v>24597</v>
      </c>
      <c r="AE5175" t="s">
        <v>11459</v>
      </c>
      <c r="AF5175">
        <v>35</v>
      </c>
      <c r="AG5175">
        <v>1</v>
      </c>
      <c r="AH5175">
        <v>0</v>
      </c>
      <c r="AI5175">
        <v>85.67</v>
      </c>
      <c r="AK5175" t="s">
        <v>24631</v>
      </c>
      <c r="AM5175">
        <v>10400</v>
      </c>
      <c r="AS5175">
        <v>6.2</v>
      </c>
      <c r="AT5175" t="s">
        <v>444</v>
      </c>
      <c r="AU5175" t="s">
        <v>61</v>
      </c>
      <c r="AW5175" t="s">
        <v>11446</v>
      </c>
    </row>
    <row r="5176" spans="1:49">
      <c r="A5176" s="1">
        <f>HYPERLINK("https://lsnyc.legalserver.org/matter/dynamic-profile/view/1886930","19-1886930")</f>
        <v>0</v>
      </c>
      <c r="B5176" t="s">
        <v>148</v>
      </c>
      <c r="C5176" t="s">
        <v>577</v>
      </c>
      <c r="E5176" t="s">
        <v>1328</v>
      </c>
      <c r="F5176" t="s">
        <v>5075</v>
      </c>
      <c r="G5176" t="s">
        <v>10244</v>
      </c>
      <c r="H5176">
        <v>141</v>
      </c>
      <c r="I5176" t="s">
        <v>11384</v>
      </c>
      <c r="J5176">
        <v>10305</v>
      </c>
      <c r="K5176" t="s">
        <v>11447</v>
      </c>
      <c r="L5176" t="s">
        <v>14661</v>
      </c>
      <c r="M5176" t="s">
        <v>14744</v>
      </c>
      <c r="N5176" t="s">
        <v>14781</v>
      </c>
      <c r="P5176" t="s">
        <v>14808</v>
      </c>
      <c r="Q5176" t="s">
        <v>11448</v>
      </c>
      <c r="S5176" t="s">
        <v>14827</v>
      </c>
      <c r="T5176" t="s">
        <v>14832</v>
      </c>
      <c r="V5176">
        <v>1150</v>
      </c>
      <c r="W5176" t="s">
        <v>14862</v>
      </c>
      <c r="X5176" t="s">
        <v>14876</v>
      </c>
      <c r="Z5176" t="s">
        <v>19125</v>
      </c>
      <c r="AB5176" t="s">
        <v>24374</v>
      </c>
      <c r="AC5176">
        <v>4</v>
      </c>
      <c r="AD5176" t="s">
        <v>24600</v>
      </c>
      <c r="AE5176" t="s">
        <v>11459</v>
      </c>
      <c r="AF5176">
        <v>3</v>
      </c>
      <c r="AG5176">
        <v>3</v>
      </c>
      <c r="AH5176">
        <v>0</v>
      </c>
      <c r="AI5176">
        <v>92.29000000000001</v>
      </c>
      <c r="AL5176" t="s">
        <v>5011</v>
      </c>
      <c r="AM5176">
        <v>19177.2</v>
      </c>
      <c r="AS5176">
        <v>6.3</v>
      </c>
      <c r="AT5176" t="s">
        <v>503</v>
      </c>
      <c r="AU5176" t="s">
        <v>25318</v>
      </c>
      <c r="AW5176" t="s">
        <v>11447</v>
      </c>
    </row>
    <row r="5177" spans="1:49">
      <c r="A5177" s="1">
        <f>HYPERLINK("https://lsnyc.legalserver.org/matter/dynamic-profile/view/1914522","19-1914522")</f>
        <v>0</v>
      </c>
      <c r="B5177" t="s">
        <v>168</v>
      </c>
      <c r="C5177" t="s">
        <v>478</v>
      </c>
      <c r="E5177" t="s">
        <v>1104</v>
      </c>
      <c r="F5177" t="s">
        <v>3864</v>
      </c>
      <c r="G5177" t="s">
        <v>10245</v>
      </c>
      <c r="H5177" t="s">
        <v>10604</v>
      </c>
      <c r="I5177" t="s">
        <v>11384</v>
      </c>
      <c r="J5177">
        <v>10305</v>
      </c>
      <c r="K5177" t="s">
        <v>11447</v>
      </c>
      <c r="M5177" t="s">
        <v>14743</v>
      </c>
      <c r="N5177" t="s">
        <v>14781</v>
      </c>
      <c r="P5177" t="s">
        <v>14808</v>
      </c>
      <c r="Q5177" t="s">
        <v>11448</v>
      </c>
      <c r="S5177" t="s">
        <v>14827</v>
      </c>
      <c r="T5177" t="s">
        <v>14832</v>
      </c>
      <c r="V5177">
        <v>760</v>
      </c>
      <c r="W5177" t="s">
        <v>14862</v>
      </c>
      <c r="X5177" t="s">
        <v>14863</v>
      </c>
      <c r="Z5177" t="s">
        <v>19126</v>
      </c>
      <c r="AB5177" t="s">
        <v>24375</v>
      </c>
      <c r="AC5177">
        <v>2</v>
      </c>
      <c r="AD5177" t="s">
        <v>24600</v>
      </c>
      <c r="AE5177" t="s">
        <v>11459</v>
      </c>
      <c r="AF5177">
        <v>9</v>
      </c>
      <c r="AG5177">
        <v>1</v>
      </c>
      <c r="AH5177">
        <v>0</v>
      </c>
      <c r="AI5177">
        <v>96.73</v>
      </c>
      <c r="AL5177" t="s">
        <v>5011</v>
      </c>
      <c r="AM5177">
        <v>12081.6</v>
      </c>
      <c r="AS5177">
        <v>0.1</v>
      </c>
      <c r="AT5177" t="s">
        <v>592</v>
      </c>
      <c r="AU5177" t="s">
        <v>25270</v>
      </c>
      <c r="AW5177" t="s">
        <v>11447</v>
      </c>
    </row>
    <row r="5178" spans="1:49">
      <c r="A5178" s="1">
        <f>HYPERLINK("https://lsnyc.legalserver.org/matter/dynamic-profile/view/1905484","19-1905484")</f>
        <v>0</v>
      </c>
      <c r="B5178" t="s">
        <v>168</v>
      </c>
      <c r="C5178" t="s">
        <v>500</v>
      </c>
      <c r="E5178" t="s">
        <v>1204</v>
      </c>
      <c r="F5178" t="s">
        <v>6142</v>
      </c>
      <c r="G5178" t="s">
        <v>10246</v>
      </c>
      <c r="H5178" t="s">
        <v>10589</v>
      </c>
      <c r="I5178" t="s">
        <v>11384</v>
      </c>
      <c r="J5178">
        <v>10314</v>
      </c>
      <c r="K5178" t="s">
        <v>11446</v>
      </c>
      <c r="L5178" t="s">
        <v>14662</v>
      </c>
      <c r="M5178" t="s">
        <v>14744</v>
      </c>
      <c r="P5178" t="s">
        <v>14808</v>
      </c>
      <c r="Q5178" t="s">
        <v>11448</v>
      </c>
      <c r="S5178" t="s">
        <v>14827</v>
      </c>
      <c r="T5178" t="s">
        <v>14834</v>
      </c>
      <c r="V5178">
        <v>953</v>
      </c>
      <c r="W5178" t="s">
        <v>14862</v>
      </c>
      <c r="X5178" t="s">
        <v>14868</v>
      </c>
      <c r="Z5178" t="s">
        <v>19127</v>
      </c>
      <c r="AB5178" t="s">
        <v>24376</v>
      </c>
      <c r="AC5178">
        <v>8</v>
      </c>
      <c r="AD5178" t="s">
        <v>24600</v>
      </c>
      <c r="AE5178" t="s">
        <v>11459</v>
      </c>
      <c r="AF5178">
        <v>7</v>
      </c>
      <c r="AG5178">
        <v>2</v>
      </c>
      <c r="AH5178">
        <v>2</v>
      </c>
      <c r="AI5178">
        <v>97.09</v>
      </c>
      <c r="AL5178" t="s">
        <v>5011</v>
      </c>
      <c r="AM5178">
        <v>25000</v>
      </c>
      <c r="AS5178">
        <v>27.9</v>
      </c>
      <c r="AT5178" t="s">
        <v>495</v>
      </c>
      <c r="AU5178" t="s">
        <v>25270</v>
      </c>
      <c r="AV5178" t="s">
        <v>25335</v>
      </c>
      <c r="AW5178" t="s">
        <v>11447</v>
      </c>
    </row>
    <row r="5179" spans="1:49">
      <c r="A5179" s="1">
        <f>HYPERLINK("https://lsnyc.legalserver.org/matter/dynamic-profile/view/1911572","19-1911572")</f>
        <v>0</v>
      </c>
      <c r="B5179" t="s">
        <v>169</v>
      </c>
      <c r="C5179" t="s">
        <v>473</v>
      </c>
      <c r="E5179" t="s">
        <v>1056</v>
      </c>
      <c r="F5179" t="s">
        <v>6143</v>
      </c>
      <c r="G5179" t="s">
        <v>10247</v>
      </c>
      <c r="H5179" t="s">
        <v>10486</v>
      </c>
      <c r="I5179" t="s">
        <v>11384</v>
      </c>
      <c r="J5179">
        <v>10314</v>
      </c>
      <c r="K5179" t="s">
        <v>11446</v>
      </c>
      <c r="L5179" t="s">
        <v>14663</v>
      </c>
      <c r="M5179" t="s">
        <v>14744</v>
      </c>
      <c r="N5179" t="s">
        <v>14781</v>
      </c>
      <c r="P5179" t="s">
        <v>14808</v>
      </c>
      <c r="Q5179" t="s">
        <v>11448</v>
      </c>
      <c r="S5179" t="s">
        <v>14827</v>
      </c>
      <c r="T5179" t="s">
        <v>14832</v>
      </c>
      <c r="V5179">
        <v>2500</v>
      </c>
      <c r="W5179" t="s">
        <v>14862</v>
      </c>
      <c r="X5179" t="s">
        <v>14863</v>
      </c>
      <c r="Z5179" t="s">
        <v>19128</v>
      </c>
      <c r="AB5179" t="s">
        <v>24377</v>
      </c>
      <c r="AC5179">
        <v>2</v>
      </c>
      <c r="AF5179">
        <v>2</v>
      </c>
      <c r="AG5179">
        <v>2</v>
      </c>
      <c r="AH5179">
        <v>3</v>
      </c>
      <c r="AI5179">
        <v>152.23</v>
      </c>
      <c r="AL5179" t="s">
        <v>5011</v>
      </c>
      <c r="AM5179">
        <v>45928</v>
      </c>
      <c r="AS5179">
        <v>12.45</v>
      </c>
      <c r="AT5179" t="s">
        <v>521</v>
      </c>
      <c r="AU5179" t="s">
        <v>221</v>
      </c>
      <c r="AW5179" t="s">
        <v>11447</v>
      </c>
    </row>
    <row r="5180" spans="1:49">
      <c r="A5180" s="1">
        <f>HYPERLINK("https://lsnyc.legalserver.org/matter/dynamic-profile/view/1914049","19-1914049")</f>
        <v>0</v>
      </c>
      <c r="B5180" t="s">
        <v>87</v>
      </c>
      <c r="C5180" t="s">
        <v>580</v>
      </c>
      <c r="E5180" t="s">
        <v>3453</v>
      </c>
      <c r="F5180" t="s">
        <v>3890</v>
      </c>
      <c r="G5180" t="s">
        <v>10248</v>
      </c>
      <c r="H5180" t="s">
        <v>10448</v>
      </c>
      <c r="I5180" t="s">
        <v>11384</v>
      </c>
      <c r="J5180">
        <v>10310</v>
      </c>
      <c r="K5180" t="s">
        <v>11446</v>
      </c>
      <c r="L5180" t="s">
        <v>14664</v>
      </c>
      <c r="M5180" t="s">
        <v>14744</v>
      </c>
      <c r="N5180" t="s">
        <v>14781</v>
      </c>
      <c r="P5180" t="s">
        <v>14808</v>
      </c>
      <c r="Q5180" t="s">
        <v>11448</v>
      </c>
      <c r="S5180" t="s">
        <v>14827</v>
      </c>
      <c r="T5180" t="s">
        <v>14832</v>
      </c>
      <c r="V5180">
        <v>1050</v>
      </c>
      <c r="W5180" t="s">
        <v>14862</v>
      </c>
      <c r="X5180" t="s">
        <v>14863</v>
      </c>
      <c r="Z5180" t="s">
        <v>19129</v>
      </c>
      <c r="AB5180" t="s">
        <v>24378</v>
      </c>
      <c r="AC5180">
        <v>0</v>
      </c>
      <c r="AD5180" t="s">
        <v>24595</v>
      </c>
      <c r="AF5180">
        <v>10</v>
      </c>
      <c r="AG5180">
        <v>1</v>
      </c>
      <c r="AH5180">
        <v>2</v>
      </c>
      <c r="AI5180">
        <v>172.11</v>
      </c>
      <c r="AL5180" t="s">
        <v>5011</v>
      </c>
      <c r="AM5180">
        <v>36710</v>
      </c>
      <c r="AS5180">
        <v>1.3</v>
      </c>
      <c r="AT5180" t="s">
        <v>654</v>
      </c>
      <c r="AU5180" t="s">
        <v>221</v>
      </c>
      <c r="AW5180" t="s">
        <v>11447</v>
      </c>
    </row>
    <row r="5181" spans="1:49">
      <c r="A5181" s="1">
        <f>HYPERLINK("https://lsnyc.legalserver.org/matter/dynamic-profile/view/1886093","18-1886093")</f>
        <v>0</v>
      </c>
      <c r="B5181" t="s">
        <v>165</v>
      </c>
      <c r="C5181" t="s">
        <v>549</v>
      </c>
      <c r="E5181" t="s">
        <v>3454</v>
      </c>
      <c r="F5181" t="s">
        <v>6144</v>
      </c>
      <c r="G5181" t="s">
        <v>10249</v>
      </c>
      <c r="H5181" t="s">
        <v>10460</v>
      </c>
      <c r="I5181" t="s">
        <v>11384</v>
      </c>
      <c r="J5181">
        <v>10310</v>
      </c>
      <c r="K5181" t="s">
        <v>11447</v>
      </c>
      <c r="L5181" t="s">
        <v>14665</v>
      </c>
      <c r="M5181" t="s">
        <v>14744</v>
      </c>
      <c r="N5181" t="s">
        <v>14782</v>
      </c>
      <c r="P5181" t="s">
        <v>14808</v>
      </c>
      <c r="Q5181" t="s">
        <v>11448</v>
      </c>
      <c r="S5181" t="s">
        <v>14830</v>
      </c>
      <c r="T5181" t="s">
        <v>14832</v>
      </c>
      <c r="V5181">
        <v>1320</v>
      </c>
      <c r="W5181" t="s">
        <v>14862</v>
      </c>
      <c r="X5181" t="s">
        <v>14863</v>
      </c>
      <c r="Z5181" t="s">
        <v>19130</v>
      </c>
      <c r="AB5181" t="s">
        <v>24379</v>
      </c>
      <c r="AC5181">
        <v>0</v>
      </c>
      <c r="AD5181" t="s">
        <v>24596</v>
      </c>
      <c r="AE5181" t="s">
        <v>24610</v>
      </c>
      <c r="AF5181">
        <v>8</v>
      </c>
      <c r="AG5181">
        <v>6</v>
      </c>
      <c r="AH5181">
        <v>0</v>
      </c>
      <c r="AI5181">
        <v>184.94</v>
      </c>
      <c r="AL5181" t="s">
        <v>5011</v>
      </c>
      <c r="AM5181">
        <v>62400</v>
      </c>
      <c r="AS5181">
        <v>15.1</v>
      </c>
      <c r="AT5181" t="s">
        <v>469</v>
      </c>
      <c r="AU5181" t="s">
        <v>25318</v>
      </c>
      <c r="AW5181" t="s">
        <v>11447</v>
      </c>
    </row>
    <row r="5182" spans="1:49">
      <c r="A5182" s="1">
        <f>HYPERLINK("https://lsnyc.legalserver.org/matter/dynamic-profile/view/1914095","19-1914095")</f>
        <v>0</v>
      </c>
      <c r="B5182" t="s">
        <v>87</v>
      </c>
      <c r="C5182" t="s">
        <v>580</v>
      </c>
      <c r="E5182" t="s">
        <v>3455</v>
      </c>
      <c r="F5182" t="s">
        <v>6145</v>
      </c>
      <c r="G5182" t="s">
        <v>10250</v>
      </c>
      <c r="H5182" t="s">
        <v>10450</v>
      </c>
      <c r="I5182" t="s">
        <v>11384</v>
      </c>
      <c r="J5182">
        <v>10303</v>
      </c>
      <c r="K5182" t="s">
        <v>11446</v>
      </c>
      <c r="L5182" t="s">
        <v>14666</v>
      </c>
      <c r="M5182" t="s">
        <v>14744</v>
      </c>
      <c r="N5182" t="s">
        <v>14781</v>
      </c>
      <c r="P5182" t="s">
        <v>14808</v>
      </c>
      <c r="Q5182" t="s">
        <v>11448</v>
      </c>
      <c r="S5182" t="s">
        <v>14828</v>
      </c>
      <c r="T5182" t="s">
        <v>14832</v>
      </c>
      <c r="V5182">
        <v>627</v>
      </c>
      <c r="W5182" t="s">
        <v>14862</v>
      </c>
      <c r="X5182" t="s">
        <v>14863</v>
      </c>
      <c r="Z5182" t="s">
        <v>18639</v>
      </c>
      <c r="AB5182" t="s">
        <v>24380</v>
      </c>
      <c r="AC5182">
        <v>0</v>
      </c>
      <c r="AD5182" t="s">
        <v>24597</v>
      </c>
      <c r="AF5182">
        <v>7</v>
      </c>
      <c r="AG5182">
        <v>1</v>
      </c>
      <c r="AH5182">
        <v>3</v>
      </c>
      <c r="AI5182">
        <v>187.5</v>
      </c>
      <c r="AL5182" t="s">
        <v>5011</v>
      </c>
      <c r="AM5182">
        <v>48280</v>
      </c>
      <c r="AS5182">
        <v>1.15</v>
      </c>
      <c r="AT5182" t="s">
        <v>509</v>
      </c>
      <c r="AU5182" t="s">
        <v>221</v>
      </c>
      <c r="AW5182" t="s">
        <v>11447</v>
      </c>
    </row>
    <row r="5183" spans="1:49">
      <c r="A5183" s="1">
        <f>HYPERLINK("https://lsnyc.legalserver.org/matter/dynamic-profile/view/1885335","18-1885335")</f>
        <v>0</v>
      </c>
      <c r="B5183" t="s">
        <v>117</v>
      </c>
      <c r="C5183" t="s">
        <v>352</v>
      </c>
      <c r="E5183" t="s">
        <v>1816</v>
      </c>
      <c r="F5183" t="s">
        <v>6146</v>
      </c>
      <c r="G5183" t="s">
        <v>10251</v>
      </c>
      <c r="H5183" t="s">
        <v>10522</v>
      </c>
      <c r="I5183" t="s">
        <v>11384</v>
      </c>
      <c r="J5183">
        <v>10310</v>
      </c>
      <c r="K5183" t="s">
        <v>11447</v>
      </c>
      <c r="P5183" t="s">
        <v>14808</v>
      </c>
      <c r="S5183" t="s">
        <v>14827</v>
      </c>
      <c r="V5183">
        <v>0</v>
      </c>
      <c r="W5183" t="s">
        <v>14862</v>
      </c>
      <c r="Z5183" t="s">
        <v>15352</v>
      </c>
      <c r="AB5183" t="s">
        <v>24381</v>
      </c>
      <c r="AC5183">
        <v>0</v>
      </c>
      <c r="AF5183">
        <v>0</v>
      </c>
      <c r="AG5183">
        <v>1</v>
      </c>
      <c r="AH5183">
        <v>0</v>
      </c>
      <c r="AI5183">
        <v>214.17</v>
      </c>
      <c r="AL5183" t="s">
        <v>5011</v>
      </c>
      <c r="AM5183">
        <v>26000</v>
      </c>
      <c r="AS5183">
        <v>0</v>
      </c>
      <c r="AU5183" t="s">
        <v>25265</v>
      </c>
      <c r="AW5183" t="s">
        <v>11447</v>
      </c>
    </row>
    <row r="5184" spans="1:49">
      <c r="A5184" s="1">
        <f>HYPERLINK("https://lsnyc.legalserver.org/matter/dynamic-profile/view/1893587","19-1893587")</f>
        <v>0</v>
      </c>
      <c r="B5184" t="s">
        <v>117</v>
      </c>
      <c r="C5184" t="s">
        <v>870</v>
      </c>
      <c r="E5184" t="s">
        <v>1784</v>
      </c>
      <c r="F5184" t="s">
        <v>6147</v>
      </c>
      <c r="G5184" t="s">
        <v>8054</v>
      </c>
      <c r="H5184" t="s">
        <v>10523</v>
      </c>
      <c r="I5184" t="s">
        <v>11384</v>
      </c>
      <c r="J5184">
        <v>10303</v>
      </c>
      <c r="K5184" t="s">
        <v>11446</v>
      </c>
      <c r="L5184" t="s">
        <v>14667</v>
      </c>
      <c r="M5184" t="s">
        <v>14744</v>
      </c>
      <c r="N5184" t="s">
        <v>14778</v>
      </c>
      <c r="P5184" t="s">
        <v>14808</v>
      </c>
      <c r="S5184" t="s">
        <v>14827</v>
      </c>
      <c r="T5184" t="s">
        <v>14832</v>
      </c>
      <c r="V5184">
        <v>0</v>
      </c>
      <c r="W5184" t="s">
        <v>14862</v>
      </c>
      <c r="X5184" t="s">
        <v>14863</v>
      </c>
      <c r="Z5184" t="s">
        <v>19131</v>
      </c>
      <c r="AB5184" t="s">
        <v>24382</v>
      </c>
      <c r="AC5184">
        <v>0</v>
      </c>
      <c r="AF5184">
        <v>0</v>
      </c>
      <c r="AG5184">
        <v>1</v>
      </c>
      <c r="AH5184">
        <v>0</v>
      </c>
      <c r="AI5184">
        <v>244.93</v>
      </c>
      <c r="AL5184" t="s">
        <v>5011</v>
      </c>
      <c r="AM5184">
        <v>30591.6</v>
      </c>
      <c r="AS5184">
        <v>0</v>
      </c>
      <c r="AU5184" t="s">
        <v>25265</v>
      </c>
      <c r="AW5184" t="s">
        <v>11446</v>
      </c>
    </row>
    <row r="5185" spans="1:49">
      <c r="A5185" s="1">
        <f>HYPERLINK("https://lsnyc.legalserver.org/matter/dynamic-profile/view/1912153","19-1912153")</f>
        <v>0</v>
      </c>
      <c r="B5185" t="s">
        <v>165</v>
      </c>
      <c r="C5185" t="s">
        <v>489</v>
      </c>
      <c r="E5185" t="s">
        <v>1982</v>
      </c>
      <c r="F5185" t="s">
        <v>6148</v>
      </c>
      <c r="G5185" t="s">
        <v>10252</v>
      </c>
      <c r="I5185" t="s">
        <v>11384</v>
      </c>
      <c r="J5185">
        <v>10303</v>
      </c>
      <c r="K5185" t="s">
        <v>11446</v>
      </c>
      <c r="L5185" t="s">
        <v>14668</v>
      </c>
      <c r="M5185" t="s">
        <v>14743</v>
      </c>
      <c r="N5185" t="s">
        <v>14781</v>
      </c>
      <c r="P5185" t="s">
        <v>14808</v>
      </c>
      <c r="Q5185" t="s">
        <v>11448</v>
      </c>
      <c r="S5185" t="s">
        <v>14827</v>
      </c>
      <c r="T5185" t="s">
        <v>14832</v>
      </c>
      <c r="V5185">
        <v>2250</v>
      </c>
      <c r="W5185" t="s">
        <v>14862</v>
      </c>
      <c r="X5185" t="s">
        <v>14863</v>
      </c>
      <c r="Z5185" t="s">
        <v>17244</v>
      </c>
      <c r="AB5185" t="s">
        <v>24383</v>
      </c>
      <c r="AC5185">
        <v>2</v>
      </c>
      <c r="AF5185">
        <v>2</v>
      </c>
      <c r="AG5185">
        <v>2</v>
      </c>
      <c r="AH5185">
        <v>2</v>
      </c>
      <c r="AI5185">
        <v>252.43</v>
      </c>
      <c r="AL5185" t="s">
        <v>5011</v>
      </c>
      <c r="AM5185">
        <v>65000</v>
      </c>
      <c r="AS5185">
        <v>7.6</v>
      </c>
      <c r="AT5185" t="s">
        <v>495</v>
      </c>
      <c r="AU5185" t="s">
        <v>221</v>
      </c>
      <c r="AW5185" t="s">
        <v>11447</v>
      </c>
    </row>
    <row r="5186" spans="1:49">
      <c r="A5186" s="1">
        <f>HYPERLINK("https://lsnyc.legalserver.org/matter/dynamic-profile/view/1913713","19-1913713")</f>
        <v>0</v>
      </c>
      <c r="B5186" t="s">
        <v>87</v>
      </c>
      <c r="C5186" t="s">
        <v>580</v>
      </c>
      <c r="E5186" t="s">
        <v>1879</v>
      </c>
      <c r="F5186" t="s">
        <v>3650</v>
      </c>
      <c r="G5186" t="s">
        <v>10253</v>
      </c>
      <c r="H5186" t="s">
        <v>10448</v>
      </c>
      <c r="I5186" t="s">
        <v>11384</v>
      </c>
      <c r="J5186">
        <v>10303</v>
      </c>
      <c r="K5186" t="s">
        <v>11447</v>
      </c>
      <c r="L5186" t="s">
        <v>14669</v>
      </c>
      <c r="M5186" t="s">
        <v>14743</v>
      </c>
      <c r="P5186" t="s">
        <v>14808</v>
      </c>
      <c r="Q5186" t="s">
        <v>11448</v>
      </c>
      <c r="S5186" t="s">
        <v>14828</v>
      </c>
      <c r="T5186" t="s">
        <v>14832</v>
      </c>
      <c r="V5186">
        <v>241.6</v>
      </c>
      <c r="W5186" t="s">
        <v>14862</v>
      </c>
      <c r="X5186" t="s">
        <v>14868</v>
      </c>
      <c r="Z5186" t="s">
        <v>19132</v>
      </c>
      <c r="AB5186" t="s">
        <v>24384</v>
      </c>
      <c r="AC5186">
        <v>0</v>
      </c>
      <c r="AD5186" t="s">
        <v>24597</v>
      </c>
      <c r="AE5186" t="s">
        <v>11459</v>
      </c>
      <c r="AF5186">
        <v>16</v>
      </c>
      <c r="AG5186">
        <v>1</v>
      </c>
      <c r="AH5186">
        <v>0</v>
      </c>
      <c r="AI5186">
        <v>284.15</v>
      </c>
      <c r="AJ5186" t="s">
        <v>592</v>
      </c>
      <c r="AK5186" t="s">
        <v>24629</v>
      </c>
      <c r="AL5186" t="s">
        <v>5011</v>
      </c>
      <c r="AM5186">
        <v>35490</v>
      </c>
      <c r="AS5186">
        <v>2.3</v>
      </c>
      <c r="AT5186" t="s">
        <v>654</v>
      </c>
      <c r="AU5186" t="s">
        <v>25270</v>
      </c>
      <c r="AW5186" t="s">
        <v>11447</v>
      </c>
    </row>
    <row r="5187" spans="1:49">
      <c r="A5187" s="1">
        <f>HYPERLINK("https://lsnyc.legalserver.org/matter/dynamic-profile/view/0812888","16-0812888")</f>
        <v>0</v>
      </c>
      <c r="B5187" t="s">
        <v>62</v>
      </c>
      <c r="C5187" t="s">
        <v>879</v>
      </c>
      <c r="D5187" t="s">
        <v>640</v>
      </c>
      <c r="E5187" t="s">
        <v>1135</v>
      </c>
      <c r="F5187" t="s">
        <v>6149</v>
      </c>
      <c r="G5187" t="s">
        <v>10254</v>
      </c>
      <c r="H5187" t="s">
        <v>10589</v>
      </c>
      <c r="I5187" t="s">
        <v>11396</v>
      </c>
      <c r="J5187">
        <v>11365</v>
      </c>
      <c r="K5187" t="s">
        <v>11447</v>
      </c>
      <c r="L5187" t="s">
        <v>14670</v>
      </c>
      <c r="M5187" t="s">
        <v>14743</v>
      </c>
      <c r="N5187" t="s">
        <v>14781</v>
      </c>
      <c r="O5187" t="s">
        <v>14788</v>
      </c>
      <c r="P5187" t="s">
        <v>14809</v>
      </c>
      <c r="Q5187" t="s">
        <v>11448</v>
      </c>
      <c r="S5187" t="s">
        <v>14827</v>
      </c>
      <c r="T5187" t="s">
        <v>14832</v>
      </c>
      <c r="V5187">
        <v>1750</v>
      </c>
      <c r="W5187" t="s">
        <v>14861</v>
      </c>
      <c r="Y5187" t="s">
        <v>14887</v>
      </c>
      <c r="Z5187" t="s">
        <v>19133</v>
      </c>
      <c r="AB5187" t="s">
        <v>24385</v>
      </c>
      <c r="AC5187">
        <v>0</v>
      </c>
      <c r="AD5187" t="s">
        <v>24600</v>
      </c>
      <c r="AF5187">
        <v>3</v>
      </c>
      <c r="AG5187">
        <v>3</v>
      </c>
      <c r="AH5187">
        <v>1</v>
      </c>
      <c r="AI5187">
        <v>98.44</v>
      </c>
      <c r="AL5187" t="s">
        <v>24632</v>
      </c>
      <c r="AM5187">
        <v>23920</v>
      </c>
      <c r="AP5187" t="s">
        <v>24942</v>
      </c>
      <c r="AQ5187" t="s">
        <v>24986</v>
      </c>
      <c r="AR5187" t="s">
        <v>25115</v>
      </c>
      <c r="AS5187">
        <v>7.2</v>
      </c>
      <c r="AT5187" t="s">
        <v>410</v>
      </c>
      <c r="AU5187" t="s">
        <v>25319</v>
      </c>
      <c r="AW5187" t="s">
        <v>11447</v>
      </c>
    </row>
    <row r="5188" spans="1:49">
      <c r="A5188" s="1">
        <f>HYPERLINK("https://lsnyc.legalserver.org/matter/dynamic-profile/view/1842149","17-1842149")</f>
        <v>0</v>
      </c>
      <c r="B5188" t="s">
        <v>68</v>
      </c>
      <c r="C5188" t="s">
        <v>880</v>
      </c>
      <c r="D5188" t="s">
        <v>505</v>
      </c>
      <c r="E5188" t="s">
        <v>1361</v>
      </c>
      <c r="F5188" t="s">
        <v>5953</v>
      </c>
      <c r="G5188" t="s">
        <v>10137</v>
      </c>
      <c r="H5188" t="s">
        <v>10501</v>
      </c>
      <c r="I5188" t="s">
        <v>11387</v>
      </c>
      <c r="J5188">
        <v>11434</v>
      </c>
      <c r="K5188" t="s">
        <v>11448</v>
      </c>
      <c r="L5188" t="s">
        <v>11465</v>
      </c>
      <c r="M5188" t="s">
        <v>14764</v>
      </c>
      <c r="N5188" t="s">
        <v>14778</v>
      </c>
      <c r="O5188" t="s">
        <v>14786</v>
      </c>
      <c r="P5188" t="s">
        <v>14809</v>
      </c>
      <c r="Q5188" t="s">
        <v>11448</v>
      </c>
      <c r="S5188" t="s">
        <v>14827</v>
      </c>
      <c r="V5188">
        <v>700</v>
      </c>
      <c r="W5188" t="s">
        <v>14861</v>
      </c>
      <c r="X5188" t="s">
        <v>14874</v>
      </c>
      <c r="Y5188" t="s">
        <v>14883</v>
      </c>
      <c r="Z5188" t="s">
        <v>19134</v>
      </c>
      <c r="AA5188" t="s">
        <v>11465</v>
      </c>
      <c r="AB5188" t="s">
        <v>24386</v>
      </c>
      <c r="AC5188">
        <v>3</v>
      </c>
      <c r="AD5188" t="s">
        <v>24600</v>
      </c>
      <c r="AE5188" t="s">
        <v>11459</v>
      </c>
      <c r="AF5188">
        <v>1</v>
      </c>
      <c r="AG5188">
        <v>1</v>
      </c>
      <c r="AH5188">
        <v>0</v>
      </c>
      <c r="AI5188">
        <v>0</v>
      </c>
      <c r="AL5188" t="s">
        <v>24632</v>
      </c>
      <c r="AM5188">
        <v>0</v>
      </c>
      <c r="AS5188">
        <v>1</v>
      </c>
      <c r="AT5188" t="s">
        <v>880</v>
      </c>
      <c r="AU5188" t="s">
        <v>289</v>
      </c>
      <c r="AW5188" t="s">
        <v>11447</v>
      </c>
    </row>
    <row r="5189" spans="1:49">
      <c r="A5189" s="1">
        <f>HYPERLINK("https://lsnyc.legalserver.org/matter/dynamic-profile/view/1903792","19-1903792")</f>
        <v>0</v>
      </c>
      <c r="B5189" t="s">
        <v>179</v>
      </c>
      <c r="C5189" t="s">
        <v>545</v>
      </c>
      <c r="E5189" t="s">
        <v>1277</v>
      </c>
      <c r="F5189" t="s">
        <v>3686</v>
      </c>
      <c r="G5189" t="s">
        <v>10255</v>
      </c>
      <c r="H5189" t="s">
        <v>10520</v>
      </c>
      <c r="I5189" t="s">
        <v>11418</v>
      </c>
      <c r="J5189">
        <v>11412</v>
      </c>
      <c r="K5189" t="s">
        <v>11448</v>
      </c>
      <c r="L5189" t="s">
        <v>14671</v>
      </c>
      <c r="M5189" t="s">
        <v>14743</v>
      </c>
      <c r="N5189" t="s">
        <v>14781</v>
      </c>
      <c r="P5189" t="s">
        <v>14809</v>
      </c>
      <c r="Q5189" t="s">
        <v>11448</v>
      </c>
      <c r="S5189" t="s">
        <v>14827</v>
      </c>
      <c r="T5189" t="s">
        <v>14832</v>
      </c>
      <c r="U5189" t="s">
        <v>545</v>
      </c>
      <c r="V5189">
        <v>1000</v>
      </c>
      <c r="W5189" t="s">
        <v>14861</v>
      </c>
      <c r="Z5189" t="s">
        <v>19135</v>
      </c>
      <c r="AB5189" t="s">
        <v>24387</v>
      </c>
      <c r="AC5189">
        <v>0</v>
      </c>
      <c r="AD5189" t="s">
        <v>24603</v>
      </c>
      <c r="AF5189">
        <v>2</v>
      </c>
      <c r="AG5189">
        <v>1</v>
      </c>
      <c r="AH5189">
        <v>0</v>
      </c>
      <c r="AI5189">
        <v>72.06</v>
      </c>
      <c r="AL5189" t="s">
        <v>5011</v>
      </c>
      <c r="AM5189">
        <v>9000</v>
      </c>
      <c r="AS5189">
        <v>25.35</v>
      </c>
      <c r="AT5189" t="s">
        <v>537</v>
      </c>
      <c r="AU5189" t="s">
        <v>179</v>
      </c>
      <c r="AW5189" t="s">
        <v>11447</v>
      </c>
    </row>
    <row r="5190" spans="1:49">
      <c r="A5190" s="1">
        <f>HYPERLINK("https://lsnyc.legalserver.org/matter/dynamic-profile/view/0813166","16-0813166")</f>
        <v>0</v>
      </c>
      <c r="B5190" t="s">
        <v>122</v>
      </c>
      <c r="C5190" t="s">
        <v>535</v>
      </c>
      <c r="E5190" t="s">
        <v>1528</v>
      </c>
      <c r="F5190" t="s">
        <v>6150</v>
      </c>
      <c r="G5190" t="s">
        <v>10256</v>
      </c>
      <c r="H5190" t="s">
        <v>10848</v>
      </c>
      <c r="I5190" t="s">
        <v>11394</v>
      </c>
      <c r="J5190">
        <v>11694</v>
      </c>
      <c r="K5190" t="s">
        <v>11447</v>
      </c>
      <c r="M5190" t="s">
        <v>14743</v>
      </c>
      <c r="N5190" t="s">
        <v>14778</v>
      </c>
      <c r="P5190" t="s">
        <v>14809</v>
      </c>
      <c r="S5190" t="s">
        <v>14827</v>
      </c>
      <c r="V5190">
        <v>500</v>
      </c>
      <c r="W5190" t="s">
        <v>14861</v>
      </c>
      <c r="Z5190" t="s">
        <v>19136</v>
      </c>
      <c r="AB5190" t="s">
        <v>24388</v>
      </c>
      <c r="AC5190">
        <v>2</v>
      </c>
      <c r="AD5190" t="s">
        <v>24600</v>
      </c>
      <c r="AF5190">
        <v>0</v>
      </c>
      <c r="AG5190">
        <v>1</v>
      </c>
      <c r="AH5190">
        <v>0</v>
      </c>
      <c r="AI5190">
        <v>0</v>
      </c>
      <c r="AM5190">
        <v>0</v>
      </c>
      <c r="AS5190">
        <v>1.1</v>
      </c>
      <c r="AT5190" t="s">
        <v>535</v>
      </c>
      <c r="AU5190" t="s">
        <v>122</v>
      </c>
      <c r="AW5190" t="s">
        <v>11447</v>
      </c>
    </row>
    <row r="5191" spans="1:49">
      <c r="A5191" s="1">
        <f>HYPERLINK("https://lsnyc.legalserver.org/matter/dynamic-profile/view/0815413","16-0815413")</f>
        <v>0</v>
      </c>
      <c r="B5191" t="s">
        <v>229</v>
      </c>
      <c r="C5191" t="s">
        <v>881</v>
      </c>
      <c r="E5191" t="s">
        <v>3456</v>
      </c>
      <c r="F5191" t="s">
        <v>6151</v>
      </c>
      <c r="G5191" t="s">
        <v>10257</v>
      </c>
      <c r="I5191" t="s">
        <v>11387</v>
      </c>
      <c r="J5191">
        <v>11432</v>
      </c>
      <c r="K5191" t="s">
        <v>11447</v>
      </c>
      <c r="M5191" t="s">
        <v>14763</v>
      </c>
      <c r="N5191" t="s">
        <v>14781</v>
      </c>
      <c r="P5191" t="s">
        <v>14809</v>
      </c>
      <c r="S5191" t="s">
        <v>14827</v>
      </c>
      <c r="V5191">
        <v>1635</v>
      </c>
      <c r="W5191" t="s">
        <v>14861</v>
      </c>
      <c r="X5191" t="s">
        <v>14872</v>
      </c>
      <c r="Z5191" t="s">
        <v>19137</v>
      </c>
      <c r="AC5191">
        <v>0</v>
      </c>
      <c r="AF5191">
        <v>1</v>
      </c>
      <c r="AG5191">
        <v>2</v>
      </c>
      <c r="AH5191">
        <v>1</v>
      </c>
      <c r="AI5191">
        <v>0</v>
      </c>
      <c r="AL5191" t="s">
        <v>24647</v>
      </c>
      <c r="AM5191">
        <v>0</v>
      </c>
      <c r="AS5191">
        <v>0</v>
      </c>
      <c r="AU5191" t="s">
        <v>202</v>
      </c>
      <c r="AW5191" t="s">
        <v>11447</v>
      </c>
    </row>
    <row r="5192" spans="1:49">
      <c r="A5192" s="1">
        <f>HYPERLINK("https://lsnyc.legalserver.org/matter/dynamic-profile/view/0795812","16-0795812")</f>
        <v>0</v>
      </c>
      <c r="B5192" t="s">
        <v>229</v>
      </c>
      <c r="C5192" t="s">
        <v>882</v>
      </c>
      <c r="E5192" t="s">
        <v>3457</v>
      </c>
      <c r="F5192" t="s">
        <v>6152</v>
      </c>
      <c r="G5192" t="s">
        <v>10258</v>
      </c>
      <c r="H5192" t="s">
        <v>10582</v>
      </c>
      <c r="I5192" t="s">
        <v>11387</v>
      </c>
      <c r="J5192">
        <v>11432</v>
      </c>
      <c r="K5192" t="s">
        <v>11448</v>
      </c>
      <c r="N5192" t="s">
        <v>14779</v>
      </c>
      <c r="P5192" t="s">
        <v>14809</v>
      </c>
      <c r="S5192" t="s">
        <v>14827</v>
      </c>
      <c r="V5192">
        <v>0</v>
      </c>
      <c r="W5192" t="s">
        <v>14861</v>
      </c>
      <c r="X5192" t="s">
        <v>14867</v>
      </c>
      <c r="Z5192" t="s">
        <v>19138</v>
      </c>
      <c r="AC5192">
        <v>0</v>
      </c>
      <c r="AD5192" t="s">
        <v>24595</v>
      </c>
      <c r="AF5192">
        <v>7</v>
      </c>
      <c r="AG5192">
        <v>2</v>
      </c>
      <c r="AH5192">
        <v>0</v>
      </c>
      <c r="AI5192">
        <v>0</v>
      </c>
      <c r="AL5192" t="s">
        <v>24647</v>
      </c>
      <c r="AM5192">
        <v>0</v>
      </c>
      <c r="AS5192">
        <v>8.449999999999999</v>
      </c>
      <c r="AT5192" t="s">
        <v>519</v>
      </c>
      <c r="AU5192" t="s">
        <v>229</v>
      </c>
      <c r="AW5192" t="s">
        <v>11447</v>
      </c>
    </row>
    <row r="5193" spans="1:49">
      <c r="A5193" s="1">
        <f>HYPERLINK("https://lsnyc.legalserver.org/matter/dynamic-profile/view/1848007","17-1848007")</f>
        <v>0</v>
      </c>
      <c r="B5193" t="s">
        <v>124</v>
      </c>
      <c r="C5193" t="s">
        <v>514</v>
      </c>
      <c r="E5193" t="s">
        <v>3458</v>
      </c>
      <c r="F5193" t="s">
        <v>6153</v>
      </c>
      <c r="G5193" t="s">
        <v>6331</v>
      </c>
      <c r="H5193" t="s">
        <v>11338</v>
      </c>
      <c r="I5193" t="s">
        <v>11392</v>
      </c>
      <c r="J5193">
        <v>11372</v>
      </c>
      <c r="K5193" t="s">
        <v>11447</v>
      </c>
      <c r="M5193" t="s">
        <v>14745</v>
      </c>
      <c r="N5193" t="s">
        <v>14778</v>
      </c>
      <c r="P5193" t="s">
        <v>14809</v>
      </c>
      <c r="S5193" t="s">
        <v>14827</v>
      </c>
      <c r="V5193">
        <v>813.3099999999999</v>
      </c>
      <c r="W5193" t="s">
        <v>14861</v>
      </c>
      <c r="X5193" t="s">
        <v>14755</v>
      </c>
      <c r="Z5193" t="s">
        <v>19139</v>
      </c>
      <c r="AC5193">
        <v>0</v>
      </c>
      <c r="AD5193" t="s">
        <v>24595</v>
      </c>
      <c r="AE5193" t="s">
        <v>11459</v>
      </c>
      <c r="AF5193">
        <v>16</v>
      </c>
      <c r="AG5193">
        <v>3</v>
      </c>
      <c r="AH5193">
        <v>0</v>
      </c>
      <c r="AI5193">
        <v>0</v>
      </c>
      <c r="AL5193" t="s">
        <v>24632</v>
      </c>
      <c r="AM5193">
        <v>0</v>
      </c>
      <c r="AS5193">
        <v>3.85</v>
      </c>
      <c r="AT5193" t="s">
        <v>525</v>
      </c>
      <c r="AU5193" t="s">
        <v>124</v>
      </c>
      <c r="AW5193" t="s">
        <v>11447</v>
      </c>
    </row>
    <row r="5194" spans="1:49">
      <c r="A5194" s="1">
        <f>HYPERLINK("https://lsnyc.legalserver.org/matter/dynamic-profile/view/0816152","16-0816152")</f>
        <v>0</v>
      </c>
      <c r="B5194" t="s">
        <v>229</v>
      </c>
      <c r="C5194" t="s">
        <v>883</v>
      </c>
      <c r="E5194" t="s">
        <v>1856</v>
      </c>
      <c r="F5194" t="s">
        <v>5140</v>
      </c>
      <c r="G5194" t="s">
        <v>10259</v>
      </c>
      <c r="I5194" t="s">
        <v>11392</v>
      </c>
      <c r="J5194">
        <v>11372</v>
      </c>
      <c r="K5194" t="s">
        <v>11447</v>
      </c>
      <c r="N5194" t="s">
        <v>14779</v>
      </c>
      <c r="P5194" t="s">
        <v>14809</v>
      </c>
      <c r="Q5194" t="s">
        <v>11448</v>
      </c>
      <c r="S5194" t="s">
        <v>14827</v>
      </c>
      <c r="V5194">
        <v>450</v>
      </c>
      <c r="W5194" t="s">
        <v>14861</v>
      </c>
      <c r="X5194" t="s">
        <v>14874</v>
      </c>
      <c r="Z5194" t="s">
        <v>19140</v>
      </c>
      <c r="AB5194" t="s">
        <v>24389</v>
      </c>
      <c r="AC5194">
        <v>12</v>
      </c>
      <c r="AD5194" t="s">
        <v>24595</v>
      </c>
      <c r="AE5194" t="s">
        <v>11459</v>
      </c>
      <c r="AF5194">
        <v>11</v>
      </c>
      <c r="AG5194">
        <v>1</v>
      </c>
      <c r="AH5194">
        <v>0</v>
      </c>
      <c r="AI5194">
        <v>0</v>
      </c>
      <c r="AM5194">
        <v>0</v>
      </c>
      <c r="AS5194">
        <v>1.45</v>
      </c>
      <c r="AT5194" t="s">
        <v>25180</v>
      </c>
      <c r="AU5194" t="s">
        <v>229</v>
      </c>
      <c r="AW5194" t="s">
        <v>11447</v>
      </c>
    </row>
    <row r="5195" spans="1:49">
      <c r="A5195" s="1">
        <f>HYPERLINK("https://lsnyc.legalserver.org/matter/dynamic-profile/view/0804200","16-0804200")</f>
        <v>0</v>
      </c>
      <c r="B5195" t="s">
        <v>179</v>
      </c>
      <c r="C5195" t="s">
        <v>884</v>
      </c>
      <c r="E5195" t="s">
        <v>1321</v>
      </c>
      <c r="F5195" t="s">
        <v>6154</v>
      </c>
      <c r="G5195" t="s">
        <v>10260</v>
      </c>
      <c r="H5195">
        <v>2</v>
      </c>
      <c r="I5195" t="s">
        <v>11390</v>
      </c>
      <c r="J5195">
        <v>11368</v>
      </c>
      <c r="K5195" t="s">
        <v>11447</v>
      </c>
      <c r="N5195" t="s">
        <v>14778</v>
      </c>
      <c r="P5195" t="s">
        <v>14809</v>
      </c>
      <c r="S5195" t="s">
        <v>14827</v>
      </c>
      <c r="V5195">
        <v>0</v>
      </c>
      <c r="W5195" t="s">
        <v>14861</v>
      </c>
      <c r="Z5195" t="s">
        <v>19141</v>
      </c>
      <c r="AB5195" t="s">
        <v>24390</v>
      </c>
      <c r="AC5195">
        <v>0</v>
      </c>
      <c r="AF5195">
        <v>0</v>
      </c>
      <c r="AG5195">
        <v>1</v>
      </c>
      <c r="AH5195">
        <v>0</v>
      </c>
      <c r="AI5195">
        <v>0</v>
      </c>
      <c r="AL5195" t="s">
        <v>24632</v>
      </c>
      <c r="AM5195">
        <v>0</v>
      </c>
      <c r="AS5195">
        <v>1</v>
      </c>
      <c r="AT5195" t="s">
        <v>884</v>
      </c>
      <c r="AU5195" t="s">
        <v>179</v>
      </c>
      <c r="AW5195" t="s">
        <v>11447</v>
      </c>
    </row>
    <row r="5196" spans="1:49">
      <c r="A5196" s="1">
        <f>HYPERLINK("https://lsnyc.legalserver.org/matter/dynamic-profile/view/0809248","16-0809248")</f>
        <v>0</v>
      </c>
      <c r="B5196" t="s">
        <v>122</v>
      </c>
      <c r="C5196" t="s">
        <v>885</v>
      </c>
      <c r="E5196" t="s">
        <v>1408</v>
      </c>
      <c r="F5196" t="s">
        <v>6155</v>
      </c>
      <c r="G5196" t="s">
        <v>10261</v>
      </c>
      <c r="I5196" t="s">
        <v>11389</v>
      </c>
      <c r="J5196">
        <v>11355</v>
      </c>
      <c r="K5196" t="s">
        <v>11447</v>
      </c>
      <c r="P5196" t="s">
        <v>14809</v>
      </c>
      <c r="S5196" t="s">
        <v>14827</v>
      </c>
      <c r="V5196">
        <v>0</v>
      </c>
      <c r="W5196" t="s">
        <v>14861</v>
      </c>
      <c r="Z5196" t="s">
        <v>19142</v>
      </c>
      <c r="AC5196">
        <v>0</v>
      </c>
      <c r="AF5196">
        <v>0</v>
      </c>
      <c r="AG5196">
        <v>1</v>
      </c>
      <c r="AH5196">
        <v>0</v>
      </c>
      <c r="AI5196">
        <v>0</v>
      </c>
      <c r="AM5196">
        <v>0</v>
      </c>
      <c r="AS5196">
        <v>0.5</v>
      </c>
      <c r="AT5196" t="s">
        <v>885</v>
      </c>
      <c r="AU5196" t="s">
        <v>122</v>
      </c>
      <c r="AW5196" t="s">
        <v>11447</v>
      </c>
    </row>
    <row r="5197" spans="1:49">
      <c r="A5197" s="1">
        <f>HYPERLINK("https://lsnyc.legalserver.org/matter/dynamic-profile/view/0799846","16-0799846")</f>
        <v>0</v>
      </c>
      <c r="B5197" t="s">
        <v>138</v>
      </c>
      <c r="C5197" t="s">
        <v>886</v>
      </c>
      <c r="E5197" t="s">
        <v>3459</v>
      </c>
      <c r="F5197" t="s">
        <v>6156</v>
      </c>
      <c r="G5197" t="s">
        <v>10262</v>
      </c>
      <c r="H5197" t="s">
        <v>10598</v>
      </c>
      <c r="I5197" t="s">
        <v>11408</v>
      </c>
      <c r="J5197">
        <v>11101</v>
      </c>
      <c r="K5197" t="s">
        <v>11447</v>
      </c>
      <c r="L5197" t="s">
        <v>14672</v>
      </c>
      <c r="M5197" t="s">
        <v>14750</v>
      </c>
      <c r="N5197" t="s">
        <v>14781</v>
      </c>
      <c r="P5197" t="s">
        <v>14809</v>
      </c>
      <c r="S5197" t="s">
        <v>14828</v>
      </c>
      <c r="V5197">
        <v>0</v>
      </c>
      <c r="W5197" t="s">
        <v>14861</v>
      </c>
      <c r="X5197" t="s">
        <v>14874</v>
      </c>
      <c r="Z5197" t="s">
        <v>19143</v>
      </c>
      <c r="AB5197" t="s">
        <v>24391</v>
      </c>
      <c r="AC5197">
        <v>0</v>
      </c>
      <c r="AD5197" t="s">
        <v>24602</v>
      </c>
      <c r="AF5197">
        <v>0</v>
      </c>
      <c r="AG5197">
        <v>2</v>
      </c>
      <c r="AH5197">
        <v>0</v>
      </c>
      <c r="AI5197">
        <v>0</v>
      </c>
      <c r="AL5197" t="s">
        <v>24647</v>
      </c>
      <c r="AM5197">
        <v>0</v>
      </c>
      <c r="AS5197">
        <v>22</v>
      </c>
      <c r="AT5197" t="s">
        <v>25181</v>
      </c>
      <c r="AU5197" t="s">
        <v>25320</v>
      </c>
      <c r="AW5197" t="s">
        <v>11447</v>
      </c>
    </row>
    <row r="5198" spans="1:49">
      <c r="A5198" s="1">
        <f>HYPERLINK("https://lsnyc.legalserver.org/matter/dynamic-profile/view/0779164","15-0779164")</f>
        <v>0</v>
      </c>
      <c r="B5198" t="s">
        <v>122</v>
      </c>
      <c r="C5198" t="s">
        <v>887</v>
      </c>
      <c r="E5198" t="s">
        <v>3460</v>
      </c>
      <c r="F5198" t="s">
        <v>6157</v>
      </c>
      <c r="G5198" t="s">
        <v>10263</v>
      </c>
      <c r="H5198">
        <v>25</v>
      </c>
      <c r="I5198" t="s">
        <v>11386</v>
      </c>
      <c r="J5198">
        <v>10031</v>
      </c>
      <c r="K5198" t="s">
        <v>11447</v>
      </c>
      <c r="P5198" t="s">
        <v>14809</v>
      </c>
      <c r="S5198" t="s">
        <v>14827</v>
      </c>
      <c r="V5198">
        <v>0</v>
      </c>
      <c r="W5198" t="s">
        <v>14861</v>
      </c>
      <c r="Z5198" t="s">
        <v>19144</v>
      </c>
      <c r="AB5198" t="s">
        <v>24392</v>
      </c>
      <c r="AC5198">
        <v>0</v>
      </c>
      <c r="AF5198">
        <v>0</v>
      </c>
      <c r="AG5198">
        <v>1</v>
      </c>
      <c r="AH5198">
        <v>0</v>
      </c>
      <c r="AI5198">
        <v>0</v>
      </c>
      <c r="AL5198" t="s">
        <v>5011</v>
      </c>
      <c r="AM5198">
        <v>0</v>
      </c>
      <c r="AS5198">
        <v>1</v>
      </c>
      <c r="AT5198" t="s">
        <v>25182</v>
      </c>
      <c r="AU5198" t="s">
        <v>99</v>
      </c>
      <c r="AW5198" t="s">
        <v>11447</v>
      </c>
    </row>
    <row r="5199" spans="1:49">
      <c r="A5199" s="1">
        <f>HYPERLINK("https://lsnyc.legalserver.org/matter/dynamic-profile/view/0786035","15-0786035")</f>
        <v>0</v>
      </c>
      <c r="B5199" t="s">
        <v>179</v>
      </c>
      <c r="C5199" t="s">
        <v>888</v>
      </c>
      <c r="E5199" t="s">
        <v>1859</v>
      </c>
      <c r="F5199" t="s">
        <v>6158</v>
      </c>
      <c r="G5199" t="s">
        <v>10264</v>
      </c>
      <c r="I5199" t="s">
        <v>11418</v>
      </c>
      <c r="J5199">
        <v>11412</v>
      </c>
      <c r="K5199" t="s">
        <v>11448</v>
      </c>
      <c r="M5199" t="s">
        <v>14743</v>
      </c>
      <c r="N5199" t="s">
        <v>14779</v>
      </c>
      <c r="P5199" t="s">
        <v>14809</v>
      </c>
      <c r="S5199" t="s">
        <v>14827</v>
      </c>
      <c r="V5199">
        <v>0</v>
      </c>
      <c r="W5199" t="s">
        <v>14861</v>
      </c>
      <c r="Z5199" t="s">
        <v>15108</v>
      </c>
      <c r="AB5199" t="s">
        <v>24393</v>
      </c>
      <c r="AC5199">
        <v>0</v>
      </c>
      <c r="AF5199">
        <v>0</v>
      </c>
      <c r="AG5199">
        <v>1</v>
      </c>
      <c r="AH5199">
        <v>1</v>
      </c>
      <c r="AI5199">
        <v>12.57</v>
      </c>
      <c r="AL5199" t="s">
        <v>5011</v>
      </c>
      <c r="AM5199">
        <v>2002</v>
      </c>
      <c r="AS5199">
        <v>1.3</v>
      </c>
      <c r="AT5199" t="s">
        <v>25183</v>
      </c>
      <c r="AU5199" t="s">
        <v>179</v>
      </c>
      <c r="AW5199" t="s">
        <v>11447</v>
      </c>
    </row>
    <row r="5200" spans="1:49">
      <c r="A5200" s="1">
        <f>HYPERLINK("https://lsnyc.legalserver.org/matter/dynamic-profile/view/1833357","17-1833357")</f>
        <v>0</v>
      </c>
      <c r="B5200" t="s">
        <v>179</v>
      </c>
      <c r="C5200" t="s">
        <v>797</v>
      </c>
      <c r="E5200" t="s">
        <v>1683</v>
      </c>
      <c r="F5200" t="s">
        <v>6159</v>
      </c>
      <c r="G5200" t="s">
        <v>8610</v>
      </c>
      <c r="H5200" t="s">
        <v>10470</v>
      </c>
      <c r="I5200" t="s">
        <v>11390</v>
      </c>
      <c r="J5200">
        <v>11368</v>
      </c>
      <c r="K5200" t="s">
        <v>11447</v>
      </c>
      <c r="P5200" t="s">
        <v>14809</v>
      </c>
      <c r="R5200" t="s">
        <v>14809</v>
      </c>
      <c r="S5200" t="s">
        <v>14827</v>
      </c>
      <c r="V5200">
        <v>0</v>
      </c>
      <c r="W5200" t="s">
        <v>14861</v>
      </c>
      <c r="Z5200" t="s">
        <v>19145</v>
      </c>
      <c r="AB5200" t="s">
        <v>24394</v>
      </c>
      <c r="AC5200">
        <v>0</v>
      </c>
      <c r="AF5200">
        <v>0</v>
      </c>
      <c r="AG5200">
        <v>1</v>
      </c>
      <c r="AH5200">
        <v>0</v>
      </c>
      <c r="AI5200">
        <v>12.72</v>
      </c>
      <c r="AL5200" t="s">
        <v>5011</v>
      </c>
      <c r="AM5200">
        <v>1534</v>
      </c>
      <c r="AS5200">
        <v>25.2</v>
      </c>
      <c r="AT5200" t="s">
        <v>394</v>
      </c>
      <c r="AU5200" t="s">
        <v>179</v>
      </c>
      <c r="AW5200" t="s">
        <v>11447</v>
      </c>
    </row>
    <row r="5201" spans="1:49">
      <c r="A5201" s="1">
        <f>HYPERLINK("https://lsnyc.legalserver.org/matter/dynamic-profile/view/1840685","17-1840685")</f>
        <v>0</v>
      </c>
      <c r="B5201" t="s">
        <v>122</v>
      </c>
      <c r="C5201" t="s">
        <v>572</v>
      </c>
      <c r="E5201" t="s">
        <v>3461</v>
      </c>
      <c r="F5201" t="s">
        <v>4958</v>
      </c>
      <c r="G5201" t="s">
        <v>10265</v>
      </c>
      <c r="H5201" t="s">
        <v>10604</v>
      </c>
      <c r="I5201" t="s">
        <v>11387</v>
      </c>
      <c r="J5201">
        <v>11434</v>
      </c>
      <c r="K5201" t="s">
        <v>11447</v>
      </c>
      <c r="N5201" t="s">
        <v>14782</v>
      </c>
      <c r="P5201" t="s">
        <v>14809</v>
      </c>
      <c r="S5201" t="s">
        <v>14827</v>
      </c>
      <c r="V5201">
        <v>0</v>
      </c>
      <c r="W5201" t="s">
        <v>14861</v>
      </c>
      <c r="Z5201" t="s">
        <v>19146</v>
      </c>
      <c r="AB5201" t="s">
        <v>24395</v>
      </c>
      <c r="AC5201">
        <v>0</v>
      </c>
      <c r="AF5201">
        <v>0</v>
      </c>
      <c r="AG5201">
        <v>1</v>
      </c>
      <c r="AH5201">
        <v>0</v>
      </c>
      <c r="AI5201">
        <v>19.62</v>
      </c>
      <c r="AL5201" t="s">
        <v>5011</v>
      </c>
      <c r="AM5201">
        <v>2366</v>
      </c>
      <c r="AS5201">
        <v>1.5</v>
      </c>
      <c r="AT5201" t="s">
        <v>572</v>
      </c>
      <c r="AU5201" t="s">
        <v>122</v>
      </c>
      <c r="AW5201" t="s">
        <v>11447</v>
      </c>
    </row>
    <row r="5202" spans="1:49">
      <c r="A5202" s="1">
        <f>HYPERLINK("https://lsnyc.legalserver.org/matter/dynamic-profile/view/0817134","16-0817134")</f>
        <v>0</v>
      </c>
      <c r="B5202" t="s">
        <v>99</v>
      </c>
      <c r="C5202" t="s">
        <v>567</v>
      </c>
      <c r="E5202" t="s">
        <v>1321</v>
      </c>
      <c r="F5202" t="s">
        <v>6160</v>
      </c>
      <c r="G5202" t="s">
        <v>10266</v>
      </c>
      <c r="H5202" t="s">
        <v>10522</v>
      </c>
      <c r="I5202" t="s">
        <v>11392</v>
      </c>
      <c r="J5202">
        <v>11372</v>
      </c>
      <c r="K5202" t="s">
        <v>11447</v>
      </c>
      <c r="M5202" t="s">
        <v>14748</v>
      </c>
      <c r="N5202" t="s">
        <v>14778</v>
      </c>
      <c r="P5202" t="s">
        <v>14809</v>
      </c>
      <c r="R5202" t="s">
        <v>14801</v>
      </c>
      <c r="S5202" t="s">
        <v>14827</v>
      </c>
      <c r="V5202">
        <v>873.75</v>
      </c>
      <c r="W5202" t="s">
        <v>14861</v>
      </c>
      <c r="X5202" t="s">
        <v>14868</v>
      </c>
      <c r="Z5202" t="s">
        <v>18850</v>
      </c>
      <c r="AB5202" t="s">
        <v>24396</v>
      </c>
      <c r="AC5202">
        <v>0</v>
      </c>
      <c r="AD5202" t="s">
        <v>24595</v>
      </c>
      <c r="AF5202">
        <v>40</v>
      </c>
      <c r="AG5202">
        <v>2</v>
      </c>
      <c r="AH5202">
        <v>0</v>
      </c>
      <c r="AI5202">
        <v>20.97</v>
      </c>
      <c r="AL5202" t="s">
        <v>24632</v>
      </c>
      <c r="AM5202">
        <v>3360</v>
      </c>
      <c r="AS5202">
        <v>4.2</v>
      </c>
      <c r="AT5202" t="s">
        <v>664</v>
      </c>
      <c r="AU5202" t="s">
        <v>229</v>
      </c>
      <c r="AW5202" t="s">
        <v>11447</v>
      </c>
    </row>
    <row r="5203" spans="1:49">
      <c r="A5203" s="1">
        <f>HYPERLINK("https://lsnyc.legalserver.org/matter/dynamic-profile/view/1834379","17-1834379")</f>
        <v>0</v>
      </c>
      <c r="B5203" t="s">
        <v>179</v>
      </c>
      <c r="C5203" t="s">
        <v>889</v>
      </c>
      <c r="E5203" t="s">
        <v>3462</v>
      </c>
      <c r="F5203" t="s">
        <v>6161</v>
      </c>
      <c r="G5203" t="s">
        <v>10267</v>
      </c>
      <c r="H5203" t="s">
        <v>10581</v>
      </c>
      <c r="I5203" t="s">
        <v>11387</v>
      </c>
      <c r="J5203">
        <v>11435</v>
      </c>
      <c r="K5203" t="s">
        <v>11447</v>
      </c>
      <c r="N5203" t="s">
        <v>14781</v>
      </c>
      <c r="P5203" t="s">
        <v>14809</v>
      </c>
      <c r="S5203" t="s">
        <v>14827</v>
      </c>
      <c r="V5203">
        <v>0</v>
      </c>
      <c r="W5203" t="s">
        <v>14861</v>
      </c>
      <c r="Z5203" t="s">
        <v>19147</v>
      </c>
      <c r="AB5203" t="s">
        <v>24397</v>
      </c>
      <c r="AC5203">
        <v>0</v>
      </c>
      <c r="AF5203">
        <v>0</v>
      </c>
      <c r="AG5203">
        <v>2</v>
      </c>
      <c r="AH5203">
        <v>2</v>
      </c>
      <c r="AI5203">
        <v>24.39</v>
      </c>
      <c r="AM5203">
        <v>6000</v>
      </c>
      <c r="AS5203">
        <v>40.9</v>
      </c>
      <c r="AT5203" t="s">
        <v>25184</v>
      </c>
      <c r="AU5203" t="s">
        <v>179</v>
      </c>
      <c r="AW5203" t="s">
        <v>11447</v>
      </c>
    </row>
    <row r="5204" spans="1:49">
      <c r="A5204" s="1">
        <f>HYPERLINK("https://lsnyc.legalserver.org/matter/dynamic-profile/view/1838469","17-1838469")</f>
        <v>0</v>
      </c>
      <c r="B5204" t="s">
        <v>179</v>
      </c>
      <c r="C5204" t="s">
        <v>890</v>
      </c>
      <c r="E5204" t="s">
        <v>2399</v>
      </c>
      <c r="F5204" t="s">
        <v>6162</v>
      </c>
      <c r="G5204" t="s">
        <v>10268</v>
      </c>
      <c r="H5204" t="s">
        <v>10450</v>
      </c>
      <c r="I5204" t="s">
        <v>11387</v>
      </c>
      <c r="J5204">
        <v>11433</v>
      </c>
      <c r="K5204" t="s">
        <v>11447</v>
      </c>
      <c r="L5204" t="s">
        <v>14673</v>
      </c>
      <c r="M5204" t="s">
        <v>14744</v>
      </c>
      <c r="N5204" t="s">
        <v>14779</v>
      </c>
      <c r="P5204" t="s">
        <v>14809</v>
      </c>
      <c r="Q5204" t="s">
        <v>11448</v>
      </c>
      <c r="S5204" t="s">
        <v>14828</v>
      </c>
      <c r="V5204">
        <v>247</v>
      </c>
      <c r="W5204" t="s">
        <v>14861</v>
      </c>
      <c r="X5204" t="s">
        <v>14873</v>
      </c>
      <c r="Z5204" t="s">
        <v>19148</v>
      </c>
      <c r="AB5204" t="s">
        <v>24398</v>
      </c>
      <c r="AC5204">
        <v>6</v>
      </c>
      <c r="AD5204" t="s">
        <v>24602</v>
      </c>
      <c r="AE5204" t="s">
        <v>11459</v>
      </c>
      <c r="AF5204">
        <v>15</v>
      </c>
      <c r="AG5204">
        <v>3</v>
      </c>
      <c r="AH5204">
        <v>3</v>
      </c>
      <c r="AI5204">
        <v>27.31</v>
      </c>
      <c r="AL5204" t="s">
        <v>5011</v>
      </c>
      <c r="AM5204">
        <v>9000</v>
      </c>
      <c r="AS5204">
        <v>1.75</v>
      </c>
      <c r="AT5204" t="s">
        <v>776</v>
      </c>
      <c r="AU5204" t="s">
        <v>85</v>
      </c>
      <c r="AW5204" t="s">
        <v>11447</v>
      </c>
    </row>
    <row r="5205" spans="1:49">
      <c r="A5205" s="1">
        <f>HYPERLINK("https://lsnyc.legalserver.org/matter/dynamic-profile/view/0786872","15-0786872")</f>
        <v>0</v>
      </c>
      <c r="B5205" t="s">
        <v>68</v>
      </c>
      <c r="C5205" t="s">
        <v>891</v>
      </c>
      <c r="E5205" t="s">
        <v>1372</v>
      </c>
      <c r="F5205" t="s">
        <v>6163</v>
      </c>
      <c r="G5205" t="s">
        <v>10269</v>
      </c>
      <c r="H5205" t="s">
        <v>10481</v>
      </c>
      <c r="I5205" t="s">
        <v>11404</v>
      </c>
      <c r="J5205">
        <v>11105</v>
      </c>
      <c r="K5205" t="s">
        <v>11448</v>
      </c>
      <c r="L5205" t="s">
        <v>14674</v>
      </c>
      <c r="M5205" t="s">
        <v>14756</v>
      </c>
      <c r="N5205" t="s">
        <v>14783</v>
      </c>
      <c r="P5205" t="s">
        <v>14809</v>
      </c>
      <c r="S5205" t="s">
        <v>14827</v>
      </c>
      <c r="V5205">
        <v>0</v>
      </c>
      <c r="W5205" t="s">
        <v>14861</v>
      </c>
      <c r="Z5205" t="s">
        <v>19149</v>
      </c>
      <c r="AC5205">
        <v>0</v>
      </c>
      <c r="AD5205" t="s">
        <v>24595</v>
      </c>
      <c r="AF5205">
        <v>0</v>
      </c>
      <c r="AG5205">
        <v>3</v>
      </c>
      <c r="AH5205">
        <v>0</v>
      </c>
      <c r="AI5205">
        <v>28.67</v>
      </c>
      <c r="AL5205" t="s">
        <v>24632</v>
      </c>
      <c r="AM5205">
        <v>7200</v>
      </c>
      <c r="AS5205">
        <v>8.300000000000001</v>
      </c>
      <c r="AT5205" t="s">
        <v>654</v>
      </c>
      <c r="AU5205" t="s">
        <v>63</v>
      </c>
      <c r="AW5205" t="s">
        <v>11447</v>
      </c>
    </row>
    <row r="5206" spans="1:49">
      <c r="A5206" s="1">
        <f>HYPERLINK("https://lsnyc.legalserver.org/matter/dynamic-profile/view/0797435","16-0797435")</f>
        <v>0</v>
      </c>
      <c r="B5206" t="s">
        <v>229</v>
      </c>
      <c r="C5206" t="s">
        <v>892</v>
      </c>
      <c r="E5206" t="s">
        <v>1025</v>
      </c>
      <c r="F5206" t="s">
        <v>5827</v>
      </c>
      <c r="G5206" t="s">
        <v>10270</v>
      </c>
      <c r="H5206" t="s">
        <v>10450</v>
      </c>
      <c r="I5206" t="s">
        <v>11387</v>
      </c>
      <c r="J5206">
        <v>11432</v>
      </c>
      <c r="K5206" t="s">
        <v>11448</v>
      </c>
      <c r="N5206" t="s">
        <v>14781</v>
      </c>
      <c r="P5206" t="s">
        <v>14809</v>
      </c>
      <c r="S5206" t="s">
        <v>14827</v>
      </c>
      <c r="V5206">
        <v>1025</v>
      </c>
      <c r="W5206" t="s">
        <v>14861</v>
      </c>
      <c r="X5206" t="s">
        <v>14873</v>
      </c>
      <c r="Z5206" t="s">
        <v>19150</v>
      </c>
      <c r="AB5206" t="s">
        <v>24399</v>
      </c>
      <c r="AC5206">
        <v>190</v>
      </c>
      <c r="AD5206" t="s">
        <v>24595</v>
      </c>
      <c r="AF5206">
        <v>30</v>
      </c>
      <c r="AG5206">
        <v>2</v>
      </c>
      <c r="AH5206">
        <v>1</v>
      </c>
      <c r="AI5206">
        <v>32.74</v>
      </c>
      <c r="AL5206" t="s">
        <v>24632</v>
      </c>
      <c r="AM5206">
        <v>6600</v>
      </c>
      <c r="AS5206">
        <v>3.75</v>
      </c>
      <c r="AT5206" t="s">
        <v>629</v>
      </c>
      <c r="AU5206" t="s">
        <v>63</v>
      </c>
      <c r="AW5206" t="s">
        <v>11447</v>
      </c>
    </row>
    <row r="5207" spans="1:49">
      <c r="A5207" s="1">
        <f>HYPERLINK("https://lsnyc.legalserver.org/matter/dynamic-profile/view/0790978","15-0790978")</f>
        <v>0</v>
      </c>
      <c r="B5207" t="s">
        <v>68</v>
      </c>
      <c r="C5207" t="s">
        <v>893</v>
      </c>
      <c r="E5207" t="s">
        <v>1372</v>
      </c>
      <c r="F5207" t="s">
        <v>6163</v>
      </c>
      <c r="G5207" t="s">
        <v>10269</v>
      </c>
      <c r="H5207" t="s">
        <v>10481</v>
      </c>
      <c r="I5207" t="s">
        <v>11404</v>
      </c>
      <c r="J5207">
        <v>11105</v>
      </c>
      <c r="K5207" t="s">
        <v>11448</v>
      </c>
      <c r="L5207" t="s">
        <v>14675</v>
      </c>
      <c r="M5207" t="s">
        <v>14756</v>
      </c>
      <c r="N5207" t="s">
        <v>14783</v>
      </c>
      <c r="P5207" t="s">
        <v>14809</v>
      </c>
      <c r="S5207" t="s">
        <v>14829</v>
      </c>
      <c r="V5207">
        <v>0</v>
      </c>
      <c r="W5207" t="s">
        <v>14861</v>
      </c>
      <c r="Z5207" t="s">
        <v>19149</v>
      </c>
      <c r="AC5207">
        <v>0</v>
      </c>
      <c r="AD5207" t="s">
        <v>24595</v>
      </c>
      <c r="AF5207">
        <v>0</v>
      </c>
      <c r="AG5207">
        <v>3</v>
      </c>
      <c r="AH5207">
        <v>0</v>
      </c>
      <c r="AI5207">
        <v>35.84</v>
      </c>
      <c r="AL5207" t="s">
        <v>24632</v>
      </c>
      <c r="AM5207">
        <v>7200</v>
      </c>
      <c r="AS5207">
        <v>6.66</v>
      </c>
      <c r="AT5207" t="s">
        <v>537</v>
      </c>
      <c r="AU5207" t="s">
        <v>63</v>
      </c>
      <c r="AW5207" t="s">
        <v>11447</v>
      </c>
    </row>
    <row r="5208" spans="1:49">
      <c r="A5208" s="1">
        <f>HYPERLINK("https://lsnyc.legalserver.org/matter/dynamic-profile/view/0820682","16-0820682")</f>
        <v>0</v>
      </c>
      <c r="B5208" t="s">
        <v>179</v>
      </c>
      <c r="C5208" t="s">
        <v>894</v>
      </c>
      <c r="E5208" t="s">
        <v>1374</v>
      </c>
      <c r="F5208" t="s">
        <v>3799</v>
      </c>
      <c r="G5208" t="s">
        <v>10271</v>
      </c>
      <c r="H5208" t="s">
        <v>10730</v>
      </c>
      <c r="I5208" t="s">
        <v>11388</v>
      </c>
      <c r="J5208">
        <v>11385</v>
      </c>
      <c r="K5208" t="s">
        <v>11447</v>
      </c>
      <c r="N5208" t="s">
        <v>14781</v>
      </c>
      <c r="P5208" t="s">
        <v>14809</v>
      </c>
      <c r="S5208" t="s">
        <v>14827</v>
      </c>
      <c r="V5208">
        <v>0</v>
      </c>
      <c r="W5208" t="s">
        <v>14861</v>
      </c>
      <c r="Z5208" t="s">
        <v>17401</v>
      </c>
      <c r="AB5208" t="s">
        <v>24400</v>
      </c>
      <c r="AC5208">
        <v>0</v>
      </c>
      <c r="AF5208">
        <v>0</v>
      </c>
      <c r="AG5208">
        <v>2</v>
      </c>
      <c r="AH5208">
        <v>0</v>
      </c>
      <c r="AI5208">
        <v>37.6</v>
      </c>
      <c r="AL5208" t="s">
        <v>24632</v>
      </c>
      <c r="AM5208">
        <v>6024</v>
      </c>
      <c r="AS5208">
        <v>66.05</v>
      </c>
      <c r="AT5208" t="s">
        <v>25128</v>
      </c>
      <c r="AU5208" t="s">
        <v>179</v>
      </c>
      <c r="AW5208" t="s">
        <v>11447</v>
      </c>
    </row>
    <row r="5209" spans="1:49">
      <c r="A5209" s="1">
        <f>HYPERLINK("https://lsnyc.legalserver.org/matter/dynamic-profile/view/0776229","15-0776229")</f>
        <v>0</v>
      </c>
      <c r="B5209" t="s">
        <v>122</v>
      </c>
      <c r="C5209" t="s">
        <v>895</v>
      </c>
      <c r="E5209" t="s">
        <v>3463</v>
      </c>
      <c r="F5209" t="s">
        <v>3607</v>
      </c>
      <c r="G5209" t="s">
        <v>10272</v>
      </c>
      <c r="H5209" t="s">
        <v>11339</v>
      </c>
      <c r="I5209" t="s">
        <v>11391</v>
      </c>
      <c r="J5209">
        <v>11691</v>
      </c>
      <c r="K5209" t="s">
        <v>11447</v>
      </c>
      <c r="P5209" t="s">
        <v>14809</v>
      </c>
      <c r="S5209" t="s">
        <v>14827</v>
      </c>
      <c r="V5209">
        <v>0</v>
      </c>
      <c r="W5209" t="s">
        <v>14861</v>
      </c>
      <c r="Z5209" t="s">
        <v>19151</v>
      </c>
      <c r="AB5209" t="s">
        <v>24401</v>
      </c>
      <c r="AC5209">
        <v>0</v>
      </c>
      <c r="AF5209">
        <v>0</v>
      </c>
      <c r="AG5209">
        <v>1</v>
      </c>
      <c r="AH5209">
        <v>1</v>
      </c>
      <c r="AI5209">
        <v>41.13</v>
      </c>
      <c r="AL5209" t="s">
        <v>5011</v>
      </c>
      <c r="AM5209">
        <v>6552</v>
      </c>
      <c r="AS5209">
        <v>0.5</v>
      </c>
      <c r="AT5209" t="s">
        <v>895</v>
      </c>
      <c r="AU5209" t="s">
        <v>99</v>
      </c>
      <c r="AW5209" t="s">
        <v>11447</v>
      </c>
    </row>
    <row r="5210" spans="1:49">
      <c r="A5210" s="1">
        <f>HYPERLINK("https://lsnyc.legalserver.org/matter/dynamic-profile/view/0827782","17-0827782")</f>
        <v>0</v>
      </c>
      <c r="B5210" t="s">
        <v>179</v>
      </c>
      <c r="C5210" t="s">
        <v>896</v>
      </c>
      <c r="E5210" t="s">
        <v>1144</v>
      </c>
      <c r="F5210" t="s">
        <v>4130</v>
      </c>
      <c r="G5210" t="s">
        <v>10273</v>
      </c>
      <c r="H5210" t="s">
        <v>10749</v>
      </c>
      <c r="I5210" t="s">
        <v>11389</v>
      </c>
      <c r="J5210">
        <v>11354</v>
      </c>
      <c r="K5210" t="s">
        <v>11448</v>
      </c>
      <c r="L5210" t="s">
        <v>14676</v>
      </c>
      <c r="M5210" t="s">
        <v>14744</v>
      </c>
      <c r="N5210" t="s">
        <v>14781</v>
      </c>
      <c r="P5210" t="s">
        <v>14809</v>
      </c>
      <c r="S5210" t="s">
        <v>14828</v>
      </c>
      <c r="V5210">
        <v>433.6</v>
      </c>
      <c r="W5210" t="s">
        <v>14861</v>
      </c>
      <c r="X5210" t="s">
        <v>14873</v>
      </c>
      <c r="Z5210" t="s">
        <v>16597</v>
      </c>
      <c r="AB5210" t="s">
        <v>24402</v>
      </c>
      <c r="AC5210">
        <v>0</v>
      </c>
      <c r="AD5210" t="s">
        <v>11479</v>
      </c>
      <c r="AF5210">
        <v>7</v>
      </c>
      <c r="AG5210">
        <v>1</v>
      </c>
      <c r="AH5210">
        <v>2</v>
      </c>
      <c r="AI5210">
        <v>41.14</v>
      </c>
      <c r="AL5210" t="s">
        <v>5011</v>
      </c>
      <c r="AM5210">
        <v>8400</v>
      </c>
      <c r="AS5210">
        <v>0</v>
      </c>
      <c r="AU5210" t="s">
        <v>179</v>
      </c>
      <c r="AW5210" t="s">
        <v>11447</v>
      </c>
    </row>
    <row r="5211" spans="1:49">
      <c r="A5211" s="1">
        <f>HYPERLINK("https://lsnyc.legalserver.org/matter/dynamic-profile/view/0806583","16-0806583")</f>
        <v>0</v>
      </c>
      <c r="B5211" t="s">
        <v>138</v>
      </c>
      <c r="C5211" t="s">
        <v>731</v>
      </c>
      <c r="E5211" t="s">
        <v>3464</v>
      </c>
      <c r="F5211" t="s">
        <v>6164</v>
      </c>
      <c r="G5211" t="s">
        <v>10274</v>
      </c>
      <c r="H5211" t="s">
        <v>10557</v>
      </c>
      <c r="I5211" t="s">
        <v>11407</v>
      </c>
      <c r="J5211">
        <v>11415</v>
      </c>
      <c r="K5211" t="s">
        <v>11447</v>
      </c>
      <c r="L5211" t="s">
        <v>14677</v>
      </c>
      <c r="M5211" t="s">
        <v>14744</v>
      </c>
      <c r="N5211" t="s">
        <v>14781</v>
      </c>
      <c r="P5211" t="s">
        <v>14809</v>
      </c>
      <c r="S5211" t="s">
        <v>14827</v>
      </c>
      <c r="V5211">
        <v>1047.68</v>
      </c>
      <c r="W5211" t="s">
        <v>14861</v>
      </c>
      <c r="X5211" t="s">
        <v>14874</v>
      </c>
      <c r="Z5211" t="s">
        <v>19152</v>
      </c>
      <c r="AB5211" t="s">
        <v>24403</v>
      </c>
      <c r="AC5211">
        <v>0</v>
      </c>
      <c r="AF5211">
        <v>15</v>
      </c>
      <c r="AG5211">
        <v>1</v>
      </c>
      <c r="AH5211">
        <v>0</v>
      </c>
      <c r="AI5211">
        <v>42.93</v>
      </c>
      <c r="AL5211" t="s">
        <v>24632</v>
      </c>
      <c r="AM5211">
        <v>5100</v>
      </c>
      <c r="AS5211">
        <v>7.85</v>
      </c>
      <c r="AT5211" t="s">
        <v>922</v>
      </c>
      <c r="AU5211" t="s">
        <v>202</v>
      </c>
      <c r="AW5211" t="s">
        <v>11447</v>
      </c>
    </row>
    <row r="5212" spans="1:49">
      <c r="A5212" s="1">
        <f>HYPERLINK("https://lsnyc.legalserver.org/matter/dynamic-profile/view/1850264","17-1850264")</f>
        <v>0</v>
      </c>
      <c r="B5212" t="s">
        <v>179</v>
      </c>
      <c r="C5212" t="s">
        <v>897</v>
      </c>
      <c r="E5212" t="s">
        <v>3465</v>
      </c>
      <c r="F5212" t="s">
        <v>2719</v>
      </c>
      <c r="G5212" t="s">
        <v>10275</v>
      </c>
      <c r="H5212" t="s">
        <v>10648</v>
      </c>
      <c r="I5212" t="s">
        <v>11388</v>
      </c>
      <c r="J5212">
        <v>11385</v>
      </c>
      <c r="K5212" t="s">
        <v>11447</v>
      </c>
      <c r="L5212" t="s">
        <v>14678</v>
      </c>
      <c r="M5212" t="s">
        <v>14743</v>
      </c>
      <c r="N5212" t="s">
        <v>14781</v>
      </c>
      <c r="P5212" t="s">
        <v>14809</v>
      </c>
      <c r="Q5212" t="s">
        <v>11448</v>
      </c>
      <c r="S5212" t="s">
        <v>14827</v>
      </c>
      <c r="V5212">
        <v>1273.29</v>
      </c>
      <c r="W5212" t="s">
        <v>14861</v>
      </c>
      <c r="X5212" t="s">
        <v>14868</v>
      </c>
      <c r="Z5212" t="s">
        <v>19153</v>
      </c>
      <c r="AB5212" t="s">
        <v>24404</v>
      </c>
      <c r="AC5212">
        <v>3</v>
      </c>
      <c r="AD5212" t="s">
        <v>24600</v>
      </c>
      <c r="AE5212" t="s">
        <v>24610</v>
      </c>
      <c r="AF5212">
        <v>19</v>
      </c>
      <c r="AG5212">
        <v>2</v>
      </c>
      <c r="AH5212">
        <v>1</v>
      </c>
      <c r="AI5212">
        <v>43.08</v>
      </c>
      <c r="AL5212" t="s">
        <v>5011</v>
      </c>
      <c r="AM5212">
        <v>26628</v>
      </c>
      <c r="AS5212">
        <v>7</v>
      </c>
      <c r="AT5212" t="s">
        <v>25185</v>
      </c>
      <c r="AU5212" t="s">
        <v>25320</v>
      </c>
      <c r="AW5212" t="s">
        <v>11447</v>
      </c>
    </row>
    <row r="5213" spans="1:49">
      <c r="A5213" s="1">
        <f>HYPERLINK("https://lsnyc.legalserver.org/matter/dynamic-profile/view/0813707","16-0813707")</f>
        <v>0</v>
      </c>
      <c r="B5213" t="s">
        <v>62</v>
      </c>
      <c r="C5213" t="s">
        <v>898</v>
      </c>
      <c r="E5213" t="s">
        <v>2929</v>
      </c>
      <c r="F5213" t="s">
        <v>1983</v>
      </c>
      <c r="G5213" t="s">
        <v>7859</v>
      </c>
      <c r="H5213" t="s">
        <v>11340</v>
      </c>
      <c r="I5213" t="s">
        <v>11392</v>
      </c>
      <c r="J5213">
        <v>11372</v>
      </c>
      <c r="K5213" t="s">
        <v>11447</v>
      </c>
      <c r="L5213" t="s">
        <v>14679</v>
      </c>
      <c r="M5213" t="s">
        <v>14743</v>
      </c>
      <c r="N5213" t="s">
        <v>14781</v>
      </c>
      <c r="P5213" t="s">
        <v>14809</v>
      </c>
      <c r="Q5213" t="s">
        <v>11446</v>
      </c>
      <c r="S5213" t="s">
        <v>14827</v>
      </c>
      <c r="V5213">
        <v>0</v>
      </c>
      <c r="W5213" t="s">
        <v>14861</v>
      </c>
      <c r="Z5213" t="s">
        <v>19154</v>
      </c>
      <c r="AB5213" t="s">
        <v>24405</v>
      </c>
      <c r="AC5213">
        <v>0</v>
      </c>
      <c r="AE5213" t="s">
        <v>14755</v>
      </c>
      <c r="AF5213">
        <v>8</v>
      </c>
      <c r="AG5213">
        <v>1</v>
      </c>
      <c r="AH5213">
        <v>2</v>
      </c>
      <c r="AI5213">
        <v>44.82</v>
      </c>
      <c r="AL5213" t="s">
        <v>5011</v>
      </c>
      <c r="AM5213">
        <v>9036</v>
      </c>
      <c r="AP5213" t="s">
        <v>24958</v>
      </c>
      <c r="AQ5213" t="s">
        <v>24986</v>
      </c>
      <c r="AR5213" t="s">
        <v>25041</v>
      </c>
      <c r="AS5213">
        <v>4.3</v>
      </c>
      <c r="AT5213" t="s">
        <v>644</v>
      </c>
      <c r="AU5213" t="s">
        <v>99</v>
      </c>
      <c r="AW5213" t="s">
        <v>11447</v>
      </c>
    </row>
    <row r="5214" spans="1:49">
      <c r="A5214" s="1">
        <f>HYPERLINK("https://lsnyc.legalserver.org/matter/dynamic-profile/view/0800319","16-0800319")</f>
        <v>0</v>
      </c>
      <c r="B5214" t="s">
        <v>138</v>
      </c>
      <c r="C5214" t="s">
        <v>899</v>
      </c>
      <c r="E5214" t="s">
        <v>3466</v>
      </c>
      <c r="F5214" t="s">
        <v>6165</v>
      </c>
      <c r="G5214" t="s">
        <v>10276</v>
      </c>
      <c r="H5214" t="s">
        <v>10506</v>
      </c>
      <c r="I5214" t="s">
        <v>11416</v>
      </c>
      <c r="J5214">
        <v>11361</v>
      </c>
      <c r="K5214" t="s">
        <v>11447</v>
      </c>
      <c r="P5214" t="s">
        <v>14809</v>
      </c>
      <c r="S5214" t="s">
        <v>14827</v>
      </c>
      <c r="V5214">
        <v>0</v>
      </c>
      <c r="W5214" t="s">
        <v>14861</v>
      </c>
      <c r="Z5214" t="s">
        <v>19155</v>
      </c>
      <c r="AB5214" t="s">
        <v>24406</v>
      </c>
      <c r="AC5214">
        <v>0</v>
      </c>
      <c r="AF5214">
        <v>0</v>
      </c>
      <c r="AG5214">
        <v>1</v>
      </c>
      <c r="AH5214">
        <v>2</v>
      </c>
      <c r="AI5214">
        <v>47.71</v>
      </c>
      <c r="AL5214" t="s">
        <v>24632</v>
      </c>
      <c r="AM5214">
        <v>9618.84</v>
      </c>
      <c r="AS5214">
        <v>2.31</v>
      </c>
      <c r="AT5214" t="s">
        <v>25186</v>
      </c>
      <c r="AU5214" t="s">
        <v>99</v>
      </c>
      <c r="AW5214" t="s">
        <v>11447</v>
      </c>
    </row>
    <row r="5215" spans="1:49">
      <c r="A5215" s="1">
        <f>HYPERLINK("https://lsnyc.legalserver.org/matter/dynamic-profile/view/0792332","15-0792332")</f>
        <v>0</v>
      </c>
      <c r="B5215" t="s">
        <v>138</v>
      </c>
      <c r="C5215" t="s">
        <v>900</v>
      </c>
      <c r="E5215" t="s">
        <v>1258</v>
      </c>
      <c r="F5215" t="s">
        <v>4776</v>
      </c>
      <c r="G5215" t="s">
        <v>6543</v>
      </c>
      <c r="H5215" t="s">
        <v>11223</v>
      </c>
      <c r="I5215" t="s">
        <v>11404</v>
      </c>
      <c r="J5215">
        <v>11106</v>
      </c>
      <c r="K5215" t="s">
        <v>11447</v>
      </c>
      <c r="N5215" t="s">
        <v>14781</v>
      </c>
      <c r="P5215" t="s">
        <v>14809</v>
      </c>
      <c r="S5215" t="s">
        <v>14827</v>
      </c>
      <c r="V5215">
        <v>0</v>
      </c>
      <c r="W5215" t="s">
        <v>14861</v>
      </c>
      <c r="Z5215" t="s">
        <v>18074</v>
      </c>
      <c r="AB5215" t="s">
        <v>24407</v>
      </c>
      <c r="AC5215">
        <v>0</v>
      </c>
      <c r="AF5215">
        <v>0</v>
      </c>
      <c r="AG5215">
        <v>1</v>
      </c>
      <c r="AH5215">
        <v>2</v>
      </c>
      <c r="AI5215">
        <v>51.37</v>
      </c>
      <c r="AL5215" t="s">
        <v>24632</v>
      </c>
      <c r="AM5215">
        <v>10320</v>
      </c>
      <c r="AS5215">
        <v>62.83</v>
      </c>
      <c r="AT5215" t="s">
        <v>369</v>
      </c>
      <c r="AU5215" t="s">
        <v>99</v>
      </c>
      <c r="AW5215" t="s">
        <v>11447</v>
      </c>
    </row>
    <row r="5216" spans="1:49">
      <c r="A5216" s="1">
        <f>HYPERLINK("https://lsnyc.legalserver.org/matter/dynamic-profile/view/0778715","15-0778715")</f>
        <v>0</v>
      </c>
      <c r="B5216" t="s">
        <v>122</v>
      </c>
      <c r="C5216" t="s">
        <v>901</v>
      </c>
      <c r="E5216" t="s">
        <v>2003</v>
      </c>
      <c r="F5216" t="s">
        <v>6166</v>
      </c>
      <c r="G5216" t="s">
        <v>10277</v>
      </c>
      <c r="H5216">
        <v>4</v>
      </c>
      <c r="I5216" t="s">
        <v>11404</v>
      </c>
      <c r="J5216">
        <v>11103</v>
      </c>
      <c r="K5216" t="s">
        <v>11446</v>
      </c>
      <c r="M5216" t="s">
        <v>14743</v>
      </c>
      <c r="N5216" t="s">
        <v>14781</v>
      </c>
      <c r="P5216" t="s">
        <v>14809</v>
      </c>
      <c r="R5216" t="s">
        <v>14801</v>
      </c>
      <c r="S5216" t="s">
        <v>14827</v>
      </c>
      <c r="V5216">
        <v>0</v>
      </c>
      <c r="W5216" t="s">
        <v>14861</v>
      </c>
      <c r="Z5216" t="s">
        <v>19156</v>
      </c>
      <c r="AB5216" t="s">
        <v>24408</v>
      </c>
      <c r="AC5216">
        <v>0</v>
      </c>
      <c r="AD5216" t="s">
        <v>24595</v>
      </c>
      <c r="AF5216">
        <v>0</v>
      </c>
      <c r="AG5216">
        <v>2</v>
      </c>
      <c r="AH5216">
        <v>0</v>
      </c>
      <c r="AI5216">
        <v>54.46</v>
      </c>
      <c r="AL5216" t="s">
        <v>5011</v>
      </c>
      <c r="AM5216">
        <v>8676</v>
      </c>
      <c r="AS5216">
        <v>235.55</v>
      </c>
      <c r="AT5216" t="s">
        <v>347</v>
      </c>
      <c r="AU5216" t="s">
        <v>99</v>
      </c>
      <c r="AW5216" t="s">
        <v>11447</v>
      </c>
    </row>
    <row r="5217" spans="1:49">
      <c r="A5217" s="1">
        <f>HYPERLINK("https://lsnyc.legalserver.org/matter/dynamic-profile/view/0809224","16-0809224")</f>
        <v>0</v>
      </c>
      <c r="B5217" t="s">
        <v>122</v>
      </c>
      <c r="C5217" t="s">
        <v>885</v>
      </c>
      <c r="E5217" t="s">
        <v>3467</v>
      </c>
      <c r="F5217" t="s">
        <v>6167</v>
      </c>
      <c r="G5217" t="s">
        <v>10278</v>
      </c>
      <c r="I5217" t="s">
        <v>11393</v>
      </c>
      <c r="J5217">
        <v>11374</v>
      </c>
      <c r="K5217" t="s">
        <v>11447</v>
      </c>
      <c r="P5217" t="s">
        <v>14809</v>
      </c>
      <c r="S5217" t="s">
        <v>14827</v>
      </c>
      <c r="V5217">
        <v>0</v>
      </c>
      <c r="W5217" t="s">
        <v>14861</v>
      </c>
      <c r="Z5217" t="s">
        <v>19157</v>
      </c>
      <c r="AC5217">
        <v>0</v>
      </c>
      <c r="AF5217">
        <v>0</v>
      </c>
      <c r="AG5217">
        <v>1</v>
      </c>
      <c r="AH5217">
        <v>0</v>
      </c>
      <c r="AI5217">
        <v>56.46</v>
      </c>
      <c r="AL5217" t="s">
        <v>24634</v>
      </c>
      <c r="AM5217">
        <v>6708</v>
      </c>
      <c r="AS5217">
        <v>1</v>
      </c>
      <c r="AT5217" t="s">
        <v>885</v>
      </c>
      <c r="AU5217" t="s">
        <v>122</v>
      </c>
      <c r="AW5217" t="s">
        <v>11447</v>
      </c>
    </row>
    <row r="5218" spans="1:49">
      <c r="A5218" s="1">
        <f>HYPERLINK("https://lsnyc.legalserver.org/matter/dynamic-profile/view/0763622","14-0763622")</f>
        <v>0</v>
      </c>
      <c r="B5218" t="s">
        <v>179</v>
      </c>
      <c r="C5218" t="s">
        <v>902</v>
      </c>
      <c r="E5218" t="s">
        <v>3468</v>
      </c>
      <c r="F5218" t="s">
        <v>3706</v>
      </c>
      <c r="G5218" t="s">
        <v>8446</v>
      </c>
      <c r="H5218" t="s">
        <v>11011</v>
      </c>
      <c r="I5218" t="s">
        <v>11396</v>
      </c>
      <c r="J5218">
        <v>11365</v>
      </c>
      <c r="K5218" t="s">
        <v>11447</v>
      </c>
      <c r="P5218" t="s">
        <v>14809</v>
      </c>
      <c r="R5218" t="s">
        <v>14809</v>
      </c>
      <c r="S5218" t="s">
        <v>14827</v>
      </c>
      <c r="V5218">
        <v>0</v>
      </c>
      <c r="W5218" t="s">
        <v>14861</v>
      </c>
      <c r="Z5218" t="s">
        <v>19158</v>
      </c>
      <c r="AB5218" t="s">
        <v>24409</v>
      </c>
      <c r="AC5218">
        <v>0</v>
      </c>
      <c r="AF5218">
        <v>0</v>
      </c>
      <c r="AG5218">
        <v>2</v>
      </c>
      <c r="AH5218">
        <v>2</v>
      </c>
      <c r="AI5218">
        <v>60.38</v>
      </c>
      <c r="AL5218" t="s">
        <v>5011</v>
      </c>
      <c r="AM5218">
        <v>14400</v>
      </c>
      <c r="AS5218">
        <v>64.65000000000001</v>
      </c>
      <c r="AT5218" t="s">
        <v>529</v>
      </c>
      <c r="AU5218" t="s">
        <v>25234</v>
      </c>
      <c r="AW5218" t="s">
        <v>11447</v>
      </c>
    </row>
    <row r="5219" spans="1:49">
      <c r="A5219" s="1">
        <f>HYPERLINK("https://lsnyc.legalserver.org/matter/dynamic-profile/view/0799906","16-0799906")</f>
        <v>0</v>
      </c>
      <c r="B5219" t="s">
        <v>99</v>
      </c>
      <c r="C5219" t="s">
        <v>903</v>
      </c>
      <c r="E5219" t="s">
        <v>3469</v>
      </c>
      <c r="F5219" t="s">
        <v>4330</v>
      </c>
      <c r="G5219" t="s">
        <v>10097</v>
      </c>
      <c r="H5219">
        <v>437</v>
      </c>
      <c r="I5219" t="s">
        <v>11395</v>
      </c>
      <c r="J5219">
        <v>11373</v>
      </c>
      <c r="K5219" t="s">
        <v>11447</v>
      </c>
      <c r="N5219" t="s">
        <v>14778</v>
      </c>
      <c r="P5219" t="s">
        <v>14809</v>
      </c>
      <c r="S5219" t="s">
        <v>14827</v>
      </c>
      <c r="V5219">
        <v>0</v>
      </c>
      <c r="W5219" t="s">
        <v>14861</v>
      </c>
      <c r="Z5219" t="s">
        <v>19159</v>
      </c>
      <c r="AB5219" t="s">
        <v>24410</v>
      </c>
      <c r="AC5219">
        <v>0</v>
      </c>
      <c r="AF5219">
        <v>0</v>
      </c>
      <c r="AG5219">
        <v>2</v>
      </c>
      <c r="AH5219">
        <v>0</v>
      </c>
      <c r="AI5219">
        <v>64.92</v>
      </c>
      <c r="AL5219" t="s">
        <v>24647</v>
      </c>
      <c r="AM5219">
        <v>10400</v>
      </c>
      <c r="AS5219">
        <v>0.1</v>
      </c>
      <c r="AT5219" t="s">
        <v>25143</v>
      </c>
      <c r="AU5219" t="s">
        <v>99</v>
      </c>
      <c r="AW5219" t="s">
        <v>11447</v>
      </c>
    </row>
    <row r="5220" spans="1:49">
      <c r="A5220" s="1">
        <f>HYPERLINK("https://lsnyc.legalserver.org/matter/dynamic-profile/view/0823996","17-0823996")</f>
        <v>0</v>
      </c>
      <c r="B5220" t="s">
        <v>122</v>
      </c>
      <c r="C5220" t="s">
        <v>904</v>
      </c>
      <c r="E5220" t="s">
        <v>3470</v>
      </c>
      <c r="F5220" t="s">
        <v>6168</v>
      </c>
      <c r="G5220" t="s">
        <v>10279</v>
      </c>
      <c r="H5220">
        <v>412</v>
      </c>
      <c r="I5220" t="s">
        <v>11445</v>
      </c>
      <c r="J5220">
        <v>11355</v>
      </c>
      <c r="K5220" t="s">
        <v>11447</v>
      </c>
      <c r="P5220" t="s">
        <v>14809</v>
      </c>
      <c r="S5220" t="s">
        <v>14827</v>
      </c>
      <c r="V5220">
        <v>0</v>
      </c>
      <c r="W5220" t="s">
        <v>14861</v>
      </c>
      <c r="Z5220" t="s">
        <v>19160</v>
      </c>
      <c r="AB5220" t="s">
        <v>24411</v>
      </c>
      <c r="AC5220">
        <v>0</v>
      </c>
      <c r="AF5220">
        <v>0</v>
      </c>
      <c r="AG5220">
        <v>2</v>
      </c>
      <c r="AH5220">
        <v>0</v>
      </c>
      <c r="AI5220">
        <v>65.02</v>
      </c>
      <c r="AM5220">
        <v>10416</v>
      </c>
      <c r="AS5220">
        <v>0.5</v>
      </c>
      <c r="AT5220" t="s">
        <v>904</v>
      </c>
      <c r="AU5220" t="s">
        <v>122</v>
      </c>
      <c r="AW5220" t="s">
        <v>11447</v>
      </c>
    </row>
    <row r="5221" spans="1:49">
      <c r="A5221" s="1">
        <f>HYPERLINK("https://lsnyc.legalserver.org/matter/dynamic-profile/view/0787087","15-0787087")</f>
        <v>0</v>
      </c>
      <c r="B5221" t="s">
        <v>179</v>
      </c>
      <c r="C5221" t="s">
        <v>905</v>
      </c>
      <c r="E5221" t="s">
        <v>3471</v>
      </c>
      <c r="F5221" t="s">
        <v>6169</v>
      </c>
      <c r="G5221" t="s">
        <v>10280</v>
      </c>
      <c r="I5221" t="s">
        <v>11387</v>
      </c>
      <c r="J5221">
        <v>11435</v>
      </c>
      <c r="K5221" t="s">
        <v>11447</v>
      </c>
      <c r="N5221" t="s">
        <v>14779</v>
      </c>
      <c r="P5221" t="s">
        <v>14809</v>
      </c>
      <c r="S5221" t="s">
        <v>14827</v>
      </c>
      <c r="V5221">
        <v>0</v>
      </c>
      <c r="W5221" t="s">
        <v>14861</v>
      </c>
      <c r="Z5221" t="s">
        <v>19161</v>
      </c>
      <c r="AB5221" t="s">
        <v>24412</v>
      </c>
      <c r="AC5221">
        <v>0</v>
      </c>
      <c r="AF5221">
        <v>0</v>
      </c>
      <c r="AG5221">
        <v>1</v>
      </c>
      <c r="AH5221">
        <v>2</v>
      </c>
      <c r="AI5221">
        <v>67.81</v>
      </c>
      <c r="AL5221" t="s">
        <v>14755</v>
      </c>
      <c r="AM5221">
        <v>13624</v>
      </c>
      <c r="AS5221">
        <v>11.15</v>
      </c>
      <c r="AT5221" t="s">
        <v>25187</v>
      </c>
      <c r="AU5221" t="s">
        <v>122</v>
      </c>
      <c r="AW5221" t="s">
        <v>11447</v>
      </c>
    </row>
    <row r="5222" spans="1:49">
      <c r="A5222" s="1">
        <f>HYPERLINK("https://lsnyc.legalserver.org/matter/dynamic-profile/view/0804554","16-0804554")</f>
        <v>0</v>
      </c>
      <c r="B5222" t="s">
        <v>229</v>
      </c>
      <c r="C5222" t="s">
        <v>906</v>
      </c>
      <c r="E5222" t="s">
        <v>3472</v>
      </c>
      <c r="F5222" t="s">
        <v>6170</v>
      </c>
      <c r="G5222" t="s">
        <v>10281</v>
      </c>
      <c r="H5222" t="s">
        <v>10604</v>
      </c>
      <c r="I5222" t="s">
        <v>11411</v>
      </c>
      <c r="J5222">
        <v>11418</v>
      </c>
      <c r="K5222" t="s">
        <v>11447</v>
      </c>
      <c r="L5222" t="s">
        <v>14680</v>
      </c>
      <c r="M5222" t="s">
        <v>14743</v>
      </c>
      <c r="N5222" t="s">
        <v>14781</v>
      </c>
      <c r="P5222" t="s">
        <v>14809</v>
      </c>
      <c r="S5222" t="s">
        <v>14827</v>
      </c>
      <c r="V5222">
        <v>1250</v>
      </c>
      <c r="W5222" t="s">
        <v>14861</v>
      </c>
      <c r="X5222" t="s">
        <v>14874</v>
      </c>
      <c r="Z5222" t="s">
        <v>19162</v>
      </c>
      <c r="AB5222" t="s">
        <v>24413</v>
      </c>
      <c r="AC5222">
        <v>3</v>
      </c>
      <c r="AF5222">
        <v>4</v>
      </c>
      <c r="AG5222">
        <v>2</v>
      </c>
      <c r="AH5222">
        <v>0</v>
      </c>
      <c r="AI5222">
        <v>71.61</v>
      </c>
      <c r="AL5222" t="s">
        <v>5011</v>
      </c>
      <c r="AM5222">
        <v>11472</v>
      </c>
      <c r="AS5222">
        <v>27.6</v>
      </c>
      <c r="AT5222" t="s">
        <v>983</v>
      </c>
      <c r="AU5222" t="s">
        <v>99</v>
      </c>
      <c r="AW5222" t="s">
        <v>11447</v>
      </c>
    </row>
    <row r="5223" spans="1:49">
      <c r="A5223" s="1">
        <f>HYPERLINK("https://lsnyc.legalserver.org/matter/dynamic-profile/view/1836921","17-1836921")</f>
        <v>0</v>
      </c>
      <c r="B5223" t="s">
        <v>138</v>
      </c>
      <c r="C5223" t="s">
        <v>907</v>
      </c>
      <c r="E5223" t="s">
        <v>1222</v>
      </c>
      <c r="F5223" t="s">
        <v>3696</v>
      </c>
      <c r="G5223" t="s">
        <v>10282</v>
      </c>
      <c r="H5223" t="s">
        <v>10581</v>
      </c>
      <c r="I5223" t="s">
        <v>11390</v>
      </c>
      <c r="J5223">
        <v>11368</v>
      </c>
      <c r="K5223" t="s">
        <v>11447</v>
      </c>
      <c r="M5223" t="s">
        <v>14744</v>
      </c>
      <c r="N5223" t="s">
        <v>14778</v>
      </c>
      <c r="P5223" t="s">
        <v>14809</v>
      </c>
      <c r="Q5223" t="s">
        <v>11448</v>
      </c>
      <c r="S5223" t="s">
        <v>14827</v>
      </c>
      <c r="V5223">
        <v>1166.52</v>
      </c>
      <c r="W5223" t="s">
        <v>14861</v>
      </c>
      <c r="X5223" t="s">
        <v>14868</v>
      </c>
      <c r="Z5223" t="s">
        <v>19163</v>
      </c>
      <c r="AB5223" t="s">
        <v>24414</v>
      </c>
      <c r="AC5223">
        <v>0</v>
      </c>
      <c r="AD5223" t="s">
        <v>24595</v>
      </c>
      <c r="AE5223" t="s">
        <v>24610</v>
      </c>
      <c r="AF5223">
        <v>15</v>
      </c>
      <c r="AG5223">
        <v>1</v>
      </c>
      <c r="AH5223">
        <v>0</v>
      </c>
      <c r="AI5223">
        <v>73.43000000000001</v>
      </c>
      <c r="AL5223" t="s">
        <v>24632</v>
      </c>
      <c r="AM5223">
        <v>8856</v>
      </c>
      <c r="AS5223">
        <v>9.5</v>
      </c>
      <c r="AT5223" t="s">
        <v>957</v>
      </c>
      <c r="AU5223" t="s">
        <v>289</v>
      </c>
      <c r="AW5223" t="s">
        <v>11447</v>
      </c>
    </row>
    <row r="5224" spans="1:49">
      <c r="A5224" s="1">
        <f>HYPERLINK("https://lsnyc.legalserver.org/matter/dynamic-profile/view/0815349","16-0815349")</f>
        <v>0</v>
      </c>
      <c r="B5224" t="s">
        <v>122</v>
      </c>
      <c r="C5224" t="s">
        <v>881</v>
      </c>
      <c r="E5224" t="s">
        <v>3473</v>
      </c>
      <c r="F5224" t="s">
        <v>6171</v>
      </c>
      <c r="G5224" t="s">
        <v>10283</v>
      </c>
      <c r="H5224" t="s">
        <v>11341</v>
      </c>
      <c r="I5224" t="s">
        <v>11411</v>
      </c>
      <c r="J5224">
        <v>11418</v>
      </c>
      <c r="K5224" t="s">
        <v>11447</v>
      </c>
      <c r="P5224" t="s">
        <v>14809</v>
      </c>
      <c r="S5224" t="s">
        <v>14827</v>
      </c>
      <c r="V5224">
        <v>0</v>
      </c>
      <c r="W5224" t="s">
        <v>14861</v>
      </c>
      <c r="Z5224" t="s">
        <v>19164</v>
      </c>
      <c r="AB5224" t="s">
        <v>24415</v>
      </c>
      <c r="AC5224">
        <v>0</v>
      </c>
      <c r="AF5224">
        <v>0</v>
      </c>
      <c r="AG5224">
        <v>2</v>
      </c>
      <c r="AH5224">
        <v>0</v>
      </c>
      <c r="AI5224">
        <v>76.48</v>
      </c>
      <c r="AM5224">
        <v>12252</v>
      </c>
      <c r="AS5224">
        <v>0.4</v>
      </c>
      <c r="AT5224" t="s">
        <v>881</v>
      </c>
      <c r="AU5224" t="s">
        <v>122</v>
      </c>
      <c r="AW5224" t="s">
        <v>11447</v>
      </c>
    </row>
    <row r="5225" spans="1:49">
      <c r="A5225" s="1">
        <f>HYPERLINK("https://lsnyc.legalserver.org/matter/dynamic-profile/view/0817059","16-0817059")</f>
        <v>0</v>
      </c>
      <c r="B5225" t="s">
        <v>179</v>
      </c>
      <c r="C5225" t="s">
        <v>908</v>
      </c>
      <c r="E5225" t="s">
        <v>1642</v>
      </c>
      <c r="F5225" t="s">
        <v>6172</v>
      </c>
      <c r="G5225" t="s">
        <v>10284</v>
      </c>
      <c r="H5225" t="s">
        <v>11007</v>
      </c>
      <c r="I5225" t="s">
        <v>11433</v>
      </c>
      <c r="J5225">
        <v>11369</v>
      </c>
      <c r="K5225" t="s">
        <v>11447</v>
      </c>
      <c r="N5225" t="s">
        <v>14781</v>
      </c>
      <c r="P5225" t="s">
        <v>14809</v>
      </c>
      <c r="S5225" t="s">
        <v>14827</v>
      </c>
      <c r="V5225">
        <v>800</v>
      </c>
      <c r="W5225" t="s">
        <v>14861</v>
      </c>
      <c r="Z5225" t="s">
        <v>19165</v>
      </c>
      <c r="AB5225" t="s">
        <v>24416</v>
      </c>
      <c r="AC5225">
        <v>60</v>
      </c>
      <c r="AF5225">
        <v>4</v>
      </c>
      <c r="AG5225">
        <v>1</v>
      </c>
      <c r="AH5225">
        <v>0</v>
      </c>
      <c r="AI5225">
        <v>78.75</v>
      </c>
      <c r="AL5225" t="s">
        <v>5011</v>
      </c>
      <c r="AM5225">
        <v>9355.200000000001</v>
      </c>
      <c r="AS5225">
        <v>12</v>
      </c>
      <c r="AT5225" t="s">
        <v>25188</v>
      </c>
      <c r="AU5225" t="s">
        <v>179</v>
      </c>
      <c r="AW5225" t="s">
        <v>11447</v>
      </c>
    </row>
    <row r="5226" spans="1:49">
      <c r="A5226" s="1">
        <f>HYPERLINK("https://lsnyc.legalserver.org/matter/dynamic-profile/view/0789151","15-0789151")</f>
        <v>0</v>
      </c>
      <c r="B5226" t="s">
        <v>179</v>
      </c>
      <c r="C5226" t="s">
        <v>909</v>
      </c>
      <c r="E5226" t="s">
        <v>1452</v>
      </c>
      <c r="F5226" t="s">
        <v>6173</v>
      </c>
      <c r="G5226" t="s">
        <v>10285</v>
      </c>
      <c r="H5226" t="s">
        <v>10569</v>
      </c>
      <c r="I5226" t="s">
        <v>11407</v>
      </c>
      <c r="J5226">
        <v>11415</v>
      </c>
      <c r="K5226" t="s">
        <v>11447</v>
      </c>
      <c r="L5226" t="s">
        <v>14681</v>
      </c>
      <c r="M5226" t="s">
        <v>14743</v>
      </c>
      <c r="N5226" t="s">
        <v>14781</v>
      </c>
      <c r="P5226" t="s">
        <v>14809</v>
      </c>
      <c r="S5226" t="s">
        <v>14827</v>
      </c>
      <c r="V5226">
        <v>950</v>
      </c>
      <c r="W5226" t="s">
        <v>14861</v>
      </c>
      <c r="Z5226" t="s">
        <v>19166</v>
      </c>
      <c r="AB5226" t="s">
        <v>24417</v>
      </c>
      <c r="AC5226">
        <v>0</v>
      </c>
      <c r="AF5226">
        <v>0</v>
      </c>
      <c r="AG5226">
        <v>1</v>
      </c>
      <c r="AH5226">
        <v>1</v>
      </c>
      <c r="AI5226">
        <v>79</v>
      </c>
      <c r="AL5226" t="s">
        <v>5011</v>
      </c>
      <c r="AM5226">
        <v>12584</v>
      </c>
      <c r="AS5226">
        <v>5.5</v>
      </c>
      <c r="AT5226" t="s">
        <v>25189</v>
      </c>
      <c r="AU5226" t="s">
        <v>99</v>
      </c>
      <c r="AW5226" t="s">
        <v>11447</v>
      </c>
    </row>
    <row r="5227" spans="1:49">
      <c r="A5227" s="1">
        <f>HYPERLINK("https://lsnyc.legalserver.org/matter/dynamic-profile/view/0797504","16-0797504")</f>
        <v>0</v>
      </c>
      <c r="B5227" t="s">
        <v>229</v>
      </c>
      <c r="C5227" t="s">
        <v>892</v>
      </c>
      <c r="E5227" t="s">
        <v>1516</v>
      </c>
      <c r="F5227" t="s">
        <v>4013</v>
      </c>
      <c r="G5227" t="s">
        <v>10286</v>
      </c>
      <c r="I5227" t="s">
        <v>11387</v>
      </c>
      <c r="J5227">
        <v>11432</v>
      </c>
      <c r="K5227" t="s">
        <v>11447</v>
      </c>
      <c r="P5227" t="s">
        <v>14809</v>
      </c>
      <c r="S5227" t="s">
        <v>14827</v>
      </c>
      <c r="V5227">
        <v>0</v>
      </c>
      <c r="W5227" t="s">
        <v>14861</v>
      </c>
      <c r="X5227" t="s">
        <v>14872</v>
      </c>
      <c r="Z5227" t="s">
        <v>16813</v>
      </c>
      <c r="AC5227">
        <v>0</v>
      </c>
      <c r="AF5227">
        <v>1</v>
      </c>
      <c r="AG5227">
        <v>2</v>
      </c>
      <c r="AH5227">
        <v>1</v>
      </c>
      <c r="AI5227">
        <v>79.37</v>
      </c>
      <c r="AM5227">
        <v>16000</v>
      </c>
      <c r="AS5227">
        <v>1.2</v>
      </c>
      <c r="AT5227" t="s">
        <v>951</v>
      </c>
      <c r="AU5227" t="s">
        <v>202</v>
      </c>
      <c r="AW5227" t="s">
        <v>11447</v>
      </c>
    </row>
    <row r="5228" spans="1:49">
      <c r="A5228" s="1">
        <f>HYPERLINK("https://lsnyc.legalserver.org/matter/dynamic-profile/view/0822115","16-0822115")</f>
        <v>0</v>
      </c>
      <c r="B5228" t="s">
        <v>179</v>
      </c>
      <c r="C5228" t="s">
        <v>910</v>
      </c>
      <c r="E5228" t="s">
        <v>1784</v>
      </c>
      <c r="F5228" t="s">
        <v>6174</v>
      </c>
      <c r="G5228" t="s">
        <v>10287</v>
      </c>
      <c r="H5228" t="s">
        <v>10485</v>
      </c>
      <c r="I5228" t="s">
        <v>11387</v>
      </c>
      <c r="J5228">
        <v>11432</v>
      </c>
      <c r="K5228" t="s">
        <v>11447</v>
      </c>
      <c r="L5228" t="s">
        <v>14682</v>
      </c>
      <c r="M5228" t="s">
        <v>14744</v>
      </c>
      <c r="N5228" t="s">
        <v>14779</v>
      </c>
      <c r="P5228" t="s">
        <v>14809</v>
      </c>
      <c r="S5228" t="s">
        <v>14827</v>
      </c>
      <c r="V5228">
        <v>1088</v>
      </c>
      <c r="W5228" t="s">
        <v>14861</v>
      </c>
      <c r="X5228" t="s">
        <v>14865</v>
      </c>
      <c r="Z5228" t="s">
        <v>19167</v>
      </c>
      <c r="AB5228" t="s">
        <v>24418</v>
      </c>
      <c r="AC5228">
        <v>0</v>
      </c>
      <c r="AF5228">
        <v>0</v>
      </c>
      <c r="AG5228">
        <v>1</v>
      </c>
      <c r="AH5228">
        <v>0</v>
      </c>
      <c r="AI5228">
        <v>80.81</v>
      </c>
      <c r="AL5228" t="s">
        <v>5011</v>
      </c>
      <c r="AM5228">
        <v>9600</v>
      </c>
      <c r="AS5228">
        <v>6.2</v>
      </c>
      <c r="AT5228" t="s">
        <v>738</v>
      </c>
      <c r="AU5228" t="s">
        <v>25319</v>
      </c>
      <c r="AW5228" t="s">
        <v>11447</v>
      </c>
    </row>
    <row r="5229" spans="1:49">
      <c r="A5229" s="1">
        <f>HYPERLINK("https://lsnyc.legalserver.org/matter/dynamic-profile/view/0796279","16-0796279")</f>
        <v>0</v>
      </c>
      <c r="B5229" t="s">
        <v>138</v>
      </c>
      <c r="C5229" t="s">
        <v>911</v>
      </c>
      <c r="E5229" t="s">
        <v>1703</v>
      </c>
      <c r="F5229" t="s">
        <v>6175</v>
      </c>
      <c r="G5229" t="s">
        <v>10288</v>
      </c>
      <c r="H5229" t="s">
        <v>11342</v>
      </c>
      <c r="I5229" t="s">
        <v>11388</v>
      </c>
      <c r="J5229">
        <v>11385</v>
      </c>
      <c r="K5229" t="s">
        <v>11448</v>
      </c>
      <c r="M5229" t="s">
        <v>14746</v>
      </c>
      <c r="N5229" t="s">
        <v>14783</v>
      </c>
      <c r="P5229" t="s">
        <v>14809</v>
      </c>
      <c r="S5229" t="s">
        <v>14827</v>
      </c>
      <c r="V5229">
        <v>550</v>
      </c>
      <c r="W5229" t="s">
        <v>14861</v>
      </c>
      <c r="X5229" t="s">
        <v>14873</v>
      </c>
      <c r="Z5229" t="s">
        <v>19168</v>
      </c>
      <c r="AB5229" t="s">
        <v>24419</v>
      </c>
      <c r="AC5229">
        <v>0</v>
      </c>
      <c r="AD5229" t="s">
        <v>24600</v>
      </c>
      <c r="AF5229">
        <v>6</v>
      </c>
      <c r="AG5229">
        <v>1</v>
      </c>
      <c r="AH5229">
        <v>0</v>
      </c>
      <c r="AI5229">
        <v>81.27</v>
      </c>
      <c r="AL5229" t="s">
        <v>24636</v>
      </c>
      <c r="AM5229">
        <v>9566</v>
      </c>
      <c r="AS5229">
        <v>2.84</v>
      </c>
      <c r="AT5229" t="s">
        <v>925</v>
      </c>
      <c r="AU5229" t="s">
        <v>138</v>
      </c>
      <c r="AW5229" t="s">
        <v>11447</v>
      </c>
    </row>
    <row r="5230" spans="1:49">
      <c r="A5230" s="1">
        <f>HYPERLINK("https://lsnyc.legalserver.org/matter/dynamic-profile/view/0795147","15-0795147")</f>
        <v>0</v>
      </c>
      <c r="B5230" t="s">
        <v>179</v>
      </c>
      <c r="C5230" t="s">
        <v>912</v>
      </c>
      <c r="E5230" t="s">
        <v>3474</v>
      </c>
      <c r="F5230" t="s">
        <v>4600</v>
      </c>
      <c r="G5230" t="s">
        <v>10289</v>
      </c>
      <c r="H5230" t="s">
        <v>11140</v>
      </c>
      <c r="I5230" t="s">
        <v>11391</v>
      </c>
      <c r="J5230">
        <v>11691</v>
      </c>
      <c r="K5230" t="s">
        <v>11448</v>
      </c>
      <c r="M5230" t="s">
        <v>14744</v>
      </c>
      <c r="N5230" t="s">
        <v>14778</v>
      </c>
      <c r="P5230" t="s">
        <v>14809</v>
      </c>
      <c r="S5230" t="s">
        <v>14827</v>
      </c>
      <c r="V5230">
        <v>0</v>
      </c>
      <c r="W5230" t="s">
        <v>14861</v>
      </c>
      <c r="Z5230" t="s">
        <v>19169</v>
      </c>
      <c r="AB5230" t="s">
        <v>24420</v>
      </c>
      <c r="AC5230">
        <v>0</v>
      </c>
      <c r="AF5230">
        <v>0</v>
      </c>
      <c r="AG5230">
        <v>1</v>
      </c>
      <c r="AH5230">
        <v>0</v>
      </c>
      <c r="AI5230">
        <v>85.47</v>
      </c>
      <c r="AL5230" t="s">
        <v>5011</v>
      </c>
      <c r="AM5230">
        <v>10060</v>
      </c>
      <c r="AS5230">
        <v>0.5</v>
      </c>
      <c r="AT5230" t="s">
        <v>912</v>
      </c>
      <c r="AU5230" t="s">
        <v>179</v>
      </c>
      <c r="AW5230" t="s">
        <v>11447</v>
      </c>
    </row>
    <row r="5231" spans="1:49">
      <c r="A5231" s="1">
        <f>HYPERLINK("https://lsnyc.legalserver.org/matter/dynamic-profile/view/0789362","15-0789362")</f>
        <v>0</v>
      </c>
      <c r="B5231" t="s">
        <v>229</v>
      </c>
      <c r="C5231" t="s">
        <v>913</v>
      </c>
      <c r="E5231" t="s">
        <v>3475</v>
      </c>
      <c r="F5231" t="s">
        <v>6176</v>
      </c>
      <c r="G5231" t="s">
        <v>10290</v>
      </c>
      <c r="H5231" t="s">
        <v>10627</v>
      </c>
      <c r="I5231" t="s">
        <v>11420</v>
      </c>
      <c r="J5231">
        <v>11104</v>
      </c>
      <c r="K5231" t="s">
        <v>11448</v>
      </c>
      <c r="P5231" t="s">
        <v>14809</v>
      </c>
      <c r="S5231" t="s">
        <v>14827</v>
      </c>
      <c r="V5231">
        <v>0</v>
      </c>
      <c r="W5231" t="s">
        <v>14861</v>
      </c>
      <c r="Z5231" t="s">
        <v>19170</v>
      </c>
      <c r="AB5231" t="s">
        <v>24421</v>
      </c>
      <c r="AC5231">
        <v>0</v>
      </c>
      <c r="AF5231">
        <v>0</v>
      </c>
      <c r="AG5231">
        <v>1</v>
      </c>
      <c r="AH5231">
        <v>0</v>
      </c>
      <c r="AI5231">
        <v>85.64</v>
      </c>
      <c r="AL5231" t="s">
        <v>5011</v>
      </c>
      <c r="AM5231">
        <v>10080</v>
      </c>
      <c r="AS5231">
        <v>0.15</v>
      </c>
      <c r="AT5231" t="s">
        <v>913</v>
      </c>
      <c r="AU5231" t="s">
        <v>229</v>
      </c>
      <c r="AW5231" t="s">
        <v>11447</v>
      </c>
    </row>
    <row r="5232" spans="1:49">
      <c r="A5232" s="1">
        <f>HYPERLINK("https://lsnyc.legalserver.org/matter/dynamic-profile/view/0797528","16-0797528")</f>
        <v>0</v>
      </c>
      <c r="B5232" t="s">
        <v>122</v>
      </c>
      <c r="C5232" t="s">
        <v>914</v>
      </c>
      <c r="E5232" t="s">
        <v>2060</v>
      </c>
      <c r="F5232" t="s">
        <v>6177</v>
      </c>
      <c r="G5232" t="s">
        <v>10291</v>
      </c>
      <c r="H5232" t="s">
        <v>10594</v>
      </c>
      <c r="I5232" t="s">
        <v>11387</v>
      </c>
      <c r="J5232">
        <v>11435</v>
      </c>
      <c r="K5232" t="s">
        <v>11448</v>
      </c>
      <c r="M5232" t="s">
        <v>14756</v>
      </c>
      <c r="N5232" t="s">
        <v>14783</v>
      </c>
      <c r="P5232" t="s">
        <v>14809</v>
      </c>
      <c r="S5232" t="s">
        <v>14827</v>
      </c>
      <c r="V5232">
        <v>0</v>
      </c>
      <c r="W5232" t="s">
        <v>14861</v>
      </c>
      <c r="X5232" t="s">
        <v>14868</v>
      </c>
      <c r="Z5232" t="s">
        <v>19171</v>
      </c>
      <c r="AB5232" t="s">
        <v>19344</v>
      </c>
      <c r="AC5232">
        <v>0</v>
      </c>
      <c r="AD5232" t="s">
        <v>24595</v>
      </c>
      <c r="AF5232">
        <v>0</v>
      </c>
      <c r="AG5232">
        <v>1</v>
      </c>
      <c r="AH5232">
        <v>0</v>
      </c>
      <c r="AI5232">
        <v>86.97</v>
      </c>
      <c r="AL5232" t="s">
        <v>24632</v>
      </c>
      <c r="AM5232">
        <v>10332</v>
      </c>
      <c r="AS5232">
        <v>0.9</v>
      </c>
      <c r="AT5232" t="s">
        <v>25190</v>
      </c>
      <c r="AU5232" t="s">
        <v>68</v>
      </c>
      <c r="AW5232" t="s">
        <v>11447</v>
      </c>
    </row>
    <row r="5233" spans="1:49">
      <c r="A5233" s="1">
        <f>HYPERLINK("https://lsnyc.legalserver.org/matter/dynamic-profile/view/0762634","14-0762634")</f>
        <v>0</v>
      </c>
      <c r="B5233" t="s">
        <v>229</v>
      </c>
      <c r="C5233" t="s">
        <v>915</v>
      </c>
      <c r="E5233" t="s">
        <v>1075</v>
      </c>
      <c r="F5233" t="s">
        <v>3598</v>
      </c>
      <c r="G5233" t="s">
        <v>10292</v>
      </c>
      <c r="H5233" t="s">
        <v>11221</v>
      </c>
      <c r="I5233" t="s">
        <v>11387</v>
      </c>
      <c r="J5233">
        <v>11432</v>
      </c>
      <c r="K5233" t="s">
        <v>11447</v>
      </c>
      <c r="L5233" t="s">
        <v>14683</v>
      </c>
      <c r="N5233" t="s">
        <v>14783</v>
      </c>
      <c r="P5233" t="s">
        <v>14809</v>
      </c>
      <c r="S5233" t="s">
        <v>14828</v>
      </c>
      <c r="V5233">
        <v>0</v>
      </c>
      <c r="W5233" t="s">
        <v>14861</v>
      </c>
      <c r="Z5233" t="s">
        <v>19172</v>
      </c>
      <c r="AB5233" t="s">
        <v>24422</v>
      </c>
      <c r="AC5233">
        <v>0</v>
      </c>
      <c r="AF5233">
        <v>0</v>
      </c>
      <c r="AG5233">
        <v>2</v>
      </c>
      <c r="AH5233">
        <v>0</v>
      </c>
      <c r="AI5233">
        <v>87.73</v>
      </c>
      <c r="AL5233" t="s">
        <v>5011</v>
      </c>
      <c r="AM5233">
        <v>13800</v>
      </c>
      <c r="AS5233">
        <v>46.1</v>
      </c>
      <c r="AT5233" t="s">
        <v>25191</v>
      </c>
      <c r="AU5233" t="s">
        <v>124</v>
      </c>
      <c r="AW5233" t="s">
        <v>11447</v>
      </c>
    </row>
    <row r="5234" spans="1:49">
      <c r="A5234" s="1">
        <f>HYPERLINK("https://lsnyc.legalserver.org/matter/dynamic-profile/view/0798031","16-0798031")</f>
        <v>0</v>
      </c>
      <c r="B5234" t="s">
        <v>179</v>
      </c>
      <c r="C5234" t="s">
        <v>916</v>
      </c>
      <c r="E5234" t="s">
        <v>1688</v>
      </c>
      <c r="F5234" t="s">
        <v>6178</v>
      </c>
      <c r="G5234" t="s">
        <v>10293</v>
      </c>
      <c r="H5234" t="s">
        <v>10589</v>
      </c>
      <c r="I5234" t="s">
        <v>11389</v>
      </c>
      <c r="J5234">
        <v>11367</v>
      </c>
      <c r="K5234" t="s">
        <v>11448</v>
      </c>
      <c r="N5234" t="s">
        <v>14778</v>
      </c>
      <c r="P5234" t="s">
        <v>14809</v>
      </c>
      <c r="S5234" t="s">
        <v>14827</v>
      </c>
      <c r="V5234">
        <v>0</v>
      </c>
      <c r="W5234" t="s">
        <v>14861</v>
      </c>
      <c r="Z5234" t="s">
        <v>19173</v>
      </c>
      <c r="AB5234" t="s">
        <v>24423</v>
      </c>
      <c r="AC5234">
        <v>0</v>
      </c>
      <c r="AF5234">
        <v>0</v>
      </c>
      <c r="AG5234">
        <v>1</v>
      </c>
      <c r="AH5234">
        <v>0</v>
      </c>
      <c r="AI5234">
        <v>88.38</v>
      </c>
      <c r="AL5234" t="s">
        <v>5011</v>
      </c>
      <c r="AM5234">
        <v>10500</v>
      </c>
      <c r="AS5234">
        <v>1.05</v>
      </c>
      <c r="AT5234" t="s">
        <v>25192</v>
      </c>
      <c r="AU5234" t="s">
        <v>179</v>
      </c>
      <c r="AW5234" t="s">
        <v>11447</v>
      </c>
    </row>
    <row r="5235" spans="1:49">
      <c r="A5235" s="1">
        <f>HYPERLINK("https://lsnyc.legalserver.org/matter/dynamic-profile/view/0816928","16-0816928")</f>
        <v>0</v>
      </c>
      <c r="B5235" t="s">
        <v>179</v>
      </c>
      <c r="C5235" t="s">
        <v>917</v>
      </c>
      <c r="E5235" t="s">
        <v>1717</v>
      </c>
      <c r="F5235" t="s">
        <v>4213</v>
      </c>
      <c r="G5235" t="s">
        <v>10294</v>
      </c>
      <c r="H5235" t="s">
        <v>10569</v>
      </c>
      <c r="I5235" t="s">
        <v>11434</v>
      </c>
      <c r="J5235">
        <v>11419</v>
      </c>
      <c r="K5235" t="s">
        <v>11447</v>
      </c>
      <c r="L5235" t="s">
        <v>14684</v>
      </c>
      <c r="M5235" t="s">
        <v>14744</v>
      </c>
      <c r="N5235" t="s">
        <v>14781</v>
      </c>
      <c r="P5235" t="s">
        <v>14809</v>
      </c>
      <c r="S5235" t="s">
        <v>14827</v>
      </c>
      <c r="V5235">
        <v>1350</v>
      </c>
      <c r="W5235" t="s">
        <v>14861</v>
      </c>
      <c r="Z5235" t="s">
        <v>15829</v>
      </c>
      <c r="AB5235" t="s">
        <v>24424</v>
      </c>
      <c r="AC5235">
        <v>0</v>
      </c>
      <c r="AD5235" t="s">
        <v>24595</v>
      </c>
      <c r="AF5235">
        <v>1</v>
      </c>
      <c r="AG5235">
        <v>1</v>
      </c>
      <c r="AH5235">
        <v>1</v>
      </c>
      <c r="AI5235">
        <v>89.89</v>
      </c>
      <c r="AM5235">
        <v>14400</v>
      </c>
      <c r="AS5235">
        <v>0.6</v>
      </c>
      <c r="AT5235" t="s">
        <v>627</v>
      </c>
      <c r="AU5235" t="s">
        <v>179</v>
      </c>
      <c r="AW5235" t="s">
        <v>11447</v>
      </c>
    </row>
    <row r="5236" spans="1:49">
      <c r="A5236" s="1">
        <f>HYPERLINK("https://lsnyc.legalserver.org/matter/dynamic-profile/view/0832136","17-0832136")</f>
        <v>0</v>
      </c>
      <c r="B5236" t="s">
        <v>179</v>
      </c>
      <c r="C5236" t="s">
        <v>918</v>
      </c>
      <c r="E5236" t="s">
        <v>1872</v>
      </c>
      <c r="F5236" t="s">
        <v>6179</v>
      </c>
      <c r="G5236" t="s">
        <v>10295</v>
      </c>
      <c r="I5236" t="s">
        <v>11388</v>
      </c>
      <c r="J5236">
        <v>11385</v>
      </c>
      <c r="K5236" t="s">
        <v>11447</v>
      </c>
      <c r="N5236" t="s">
        <v>14778</v>
      </c>
      <c r="P5236" t="s">
        <v>14809</v>
      </c>
      <c r="S5236" t="s">
        <v>14827</v>
      </c>
      <c r="V5236">
        <v>0</v>
      </c>
      <c r="W5236" t="s">
        <v>14861</v>
      </c>
      <c r="Z5236" t="s">
        <v>19174</v>
      </c>
      <c r="AB5236" t="s">
        <v>24425</v>
      </c>
      <c r="AC5236">
        <v>0</v>
      </c>
      <c r="AF5236">
        <v>0</v>
      </c>
      <c r="AG5236">
        <v>1</v>
      </c>
      <c r="AH5236">
        <v>0</v>
      </c>
      <c r="AI5236">
        <v>97.65000000000001</v>
      </c>
      <c r="AL5236" t="s">
        <v>5011</v>
      </c>
      <c r="AM5236">
        <v>11776.32</v>
      </c>
      <c r="AS5236">
        <v>5</v>
      </c>
      <c r="AT5236" t="s">
        <v>25193</v>
      </c>
      <c r="AU5236" t="s">
        <v>179</v>
      </c>
      <c r="AW5236" t="s">
        <v>11447</v>
      </c>
    </row>
    <row r="5237" spans="1:49">
      <c r="A5237" s="1">
        <f>HYPERLINK("https://lsnyc.legalserver.org/matter/dynamic-profile/view/0789278","15-0789278")</f>
        <v>0</v>
      </c>
      <c r="B5237" t="s">
        <v>229</v>
      </c>
      <c r="C5237" t="s">
        <v>919</v>
      </c>
      <c r="E5237" t="s">
        <v>3476</v>
      </c>
      <c r="F5237" t="s">
        <v>4263</v>
      </c>
      <c r="G5237" t="s">
        <v>6651</v>
      </c>
      <c r="H5237" t="s">
        <v>10794</v>
      </c>
      <c r="I5237" t="s">
        <v>11387</v>
      </c>
      <c r="J5237">
        <v>11432</v>
      </c>
      <c r="K5237" t="s">
        <v>11447</v>
      </c>
      <c r="N5237" t="s">
        <v>14781</v>
      </c>
      <c r="P5237" t="s">
        <v>14809</v>
      </c>
      <c r="S5237" t="s">
        <v>14827</v>
      </c>
      <c r="V5237">
        <v>0</v>
      </c>
      <c r="W5237" t="s">
        <v>14861</v>
      </c>
      <c r="Y5237" t="s">
        <v>14890</v>
      </c>
      <c r="Z5237" t="s">
        <v>18502</v>
      </c>
      <c r="AB5237" t="s">
        <v>24426</v>
      </c>
      <c r="AC5237">
        <v>0</v>
      </c>
      <c r="AF5237">
        <v>0</v>
      </c>
      <c r="AG5237">
        <v>2</v>
      </c>
      <c r="AH5237">
        <v>2</v>
      </c>
      <c r="AI5237">
        <v>98.97</v>
      </c>
      <c r="AL5237" t="s">
        <v>24647</v>
      </c>
      <c r="AM5237">
        <v>24000</v>
      </c>
      <c r="AS5237">
        <v>107.48</v>
      </c>
      <c r="AT5237" t="s">
        <v>559</v>
      </c>
      <c r="AU5237" t="s">
        <v>202</v>
      </c>
      <c r="AW5237" t="s">
        <v>11447</v>
      </c>
    </row>
    <row r="5238" spans="1:49">
      <c r="A5238" s="1">
        <f>HYPERLINK("https://lsnyc.legalserver.org/matter/dynamic-profile/view/0774130","15-0774130")</f>
        <v>0</v>
      </c>
      <c r="B5238" t="s">
        <v>179</v>
      </c>
      <c r="C5238" t="s">
        <v>920</v>
      </c>
      <c r="E5238" t="s">
        <v>3468</v>
      </c>
      <c r="F5238" t="s">
        <v>3706</v>
      </c>
      <c r="G5238" t="s">
        <v>8446</v>
      </c>
      <c r="H5238" t="s">
        <v>11011</v>
      </c>
      <c r="I5238" t="s">
        <v>11396</v>
      </c>
      <c r="J5238">
        <v>11365</v>
      </c>
      <c r="K5238" t="s">
        <v>11447</v>
      </c>
      <c r="P5238" t="s">
        <v>14809</v>
      </c>
      <c r="S5238" t="s">
        <v>14829</v>
      </c>
      <c r="V5238">
        <v>0</v>
      </c>
      <c r="W5238" t="s">
        <v>14861</v>
      </c>
      <c r="Z5238" t="s">
        <v>19158</v>
      </c>
      <c r="AB5238" t="s">
        <v>24409</v>
      </c>
      <c r="AC5238">
        <v>0</v>
      </c>
      <c r="AF5238">
        <v>0</v>
      </c>
      <c r="AG5238">
        <v>2</v>
      </c>
      <c r="AH5238">
        <v>2</v>
      </c>
      <c r="AI5238">
        <v>98.97</v>
      </c>
      <c r="AL5238" t="s">
        <v>5011</v>
      </c>
      <c r="AM5238">
        <v>24000</v>
      </c>
      <c r="AS5238">
        <v>17.6</v>
      </c>
      <c r="AT5238" t="s">
        <v>329</v>
      </c>
      <c r="AU5238" t="s">
        <v>301</v>
      </c>
      <c r="AW5238" t="s">
        <v>11447</v>
      </c>
    </row>
    <row r="5239" spans="1:49">
      <c r="A5239" s="1">
        <f>HYPERLINK("https://lsnyc.legalserver.org/matter/dynamic-profile/view/0803575","16-0803575")</f>
        <v>0</v>
      </c>
      <c r="B5239" t="s">
        <v>179</v>
      </c>
      <c r="C5239" t="s">
        <v>921</v>
      </c>
      <c r="E5239" t="s">
        <v>1872</v>
      </c>
      <c r="F5239" t="s">
        <v>6179</v>
      </c>
      <c r="G5239" t="s">
        <v>10295</v>
      </c>
      <c r="I5239" t="s">
        <v>11388</v>
      </c>
      <c r="J5239">
        <v>11385</v>
      </c>
      <c r="K5239" t="s">
        <v>11447</v>
      </c>
      <c r="P5239" t="s">
        <v>14809</v>
      </c>
      <c r="S5239" t="s">
        <v>14827</v>
      </c>
      <c r="V5239">
        <v>0</v>
      </c>
      <c r="W5239" t="s">
        <v>14861</v>
      </c>
      <c r="Z5239" t="s">
        <v>19174</v>
      </c>
      <c r="AB5239" t="s">
        <v>24425</v>
      </c>
      <c r="AC5239">
        <v>0</v>
      </c>
      <c r="AF5239">
        <v>0</v>
      </c>
      <c r="AG5239">
        <v>1</v>
      </c>
      <c r="AH5239">
        <v>0</v>
      </c>
      <c r="AI5239">
        <v>99.13</v>
      </c>
      <c r="AL5239" t="s">
        <v>5011</v>
      </c>
      <c r="AM5239">
        <v>11776.3</v>
      </c>
      <c r="AS5239">
        <v>15.55</v>
      </c>
      <c r="AT5239" t="s">
        <v>25194</v>
      </c>
      <c r="AU5239" t="s">
        <v>179</v>
      </c>
      <c r="AW5239" t="s">
        <v>11447</v>
      </c>
    </row>
    <row r="5240" spans="1:49">
      <c r="A5240" s="1">
        <f>HYPERLINK("https://lsnyc.legalserver.org/matter/dynamic-profile/view/0826505","17-0826505")</f>
        <v>0</v>
      </c>
      <c r="B5240" t="s">
        <v>99</v>
      </c>
      <c r="C5240" t="s">
        <v>561</v>
      </c>
      <c r="E5240" t="s">
        <v>1487</v>
      </c>
      <c r="F5240" t="s">
        <v>5801</v>
      </c>
      <c r="G5240" t="s">
        <v>10296</v>
      </c>
      <c r="H5240" t="s">
        <v>10522</v>
      </c>
      <c r="I5240" t="s">
        <v>11395</v>
      </c>
      <c r="J5240">
        <v>11373</v>
      </c>
      <c r="K5240" t="s">
        <v>11447</v>
      </c>
      <c r="L5240" t="s">
        <v>14685</v>
      </c>
      <c r="M5240" t="s">
        <v>14744</v>
      </c>
      <c r="P5240" t="s">
        <v>14809</v>
      </c>
      <c r="Q5240" t="s">
        <v>11446</v>
      </c>
      <c r="S5240" t="s">
        <v>14827</v>
      </c>
      <c r="V5240">
        <v>2000</v>
      </c>
      <c r="W5240" t="s">
        <v>14861</v>
      </c>
      <c r="X5240" t="s">
        <v>14868</v>
      </c>
      <c r="Z5240" t="s">
        <v>19175</v>
      </c>
      <c r="AB5240" t="s">
        <v>24427</v>
      </c>
      <c r="AC5240">
        <v>6</v>
      </c>
      <c r="AD5240" t="s">
        <v>24595</v>
      </c>
      <c r="AF5240">
        <v>4</v>
      </c>
      <c r="AG5240">
        <v>1</v>
      </c>
      <c r="AH5240">
        <v>0</v>
      </c>
      <c r="AI5240">
        <v>100.66</v>
      </c>
      <c r="AL5240" t="s">
        <v>5011</v>
      </c>
      <c r="AM5240">
        <v>12140</v>
      </c>
      <c r="AS5240">
        <v>0.5</v>
      </c>
      <c r="AT5240" t="s">
        <v>561</v>
      </c>
      <c r="AU5240" t="s">
        <v>99</v>
      </c>
      <c r="AW5240" t="s">
        <v>11447</v>
      </c>
    </row>
    <row r="5241" spans="1:49">
      <c r="A5241" s="1">
        <f>HYPERLINK("https://lsnyc.legalserver.org/matter/dynamic-profile/view/0808756","16-0808756")</f>
        <v>0</v>
      </c>
      <c r="B5241" t="s">
        <v>122</v>
      </c>
      <c r="C5241" t="s">
        <v>922</v>
      </c>
      <c r="E5241" t="s">
        <v>2645</v>
      </c>
      <c r="F5241" t="s">
        <v>2117</v>
      </c>
      <c r="G5241" t="s">
        <v>10297</v>
      </c>
      <c r="H5241" t="s">
        <v>10579</v>
      </c>
      <c r="I5241" t="s">
        <v>11409</v>
      </c>
      <c r="J5241">
        <v>11377</v>
      </c>
      <c r="K5241" t="s">
        <v>11447</v>
      </c>
      <c r="N5241" t="s">
        <v>14778</v>
      </c>
      <c r="P5241" t="s">
        <v>14809</v>
      </c>
      <c r="S5241" t="s">
        <v>14827</v>
      </c>
      <c r="V5241">
        <v>0</v>
      </c>
      <c r="W5241" t="s">
        <v>14861</v>
      </c>
      <c r="Z5241" t="s">
        <v>19176</v>
      </c>
      <c r="AB5241" t="s">
        <v>24428</v>
      </c>
      <c r="AC5241">
        <v>0</v>
      </c>
      <c r="AF5241">
        <v>0</v>
      </c>
      <c r="AG5241">
        <v>2</v>
      </c>
      <c r="AH5241">
        <v>1</v>
      </c>
      <c r="AI5241">
        <v>103.17</v>
      </c>
      <c r="AM5241">
        <v>20800</v>
      </c>
      <c r="AS5241">
        <v>1</v>
      </c>
      <c r="AT5241" t="s">
        <v>922</v>
      </c>
      <c r="AU5241" t="s">
        <v>122</v>
      </c>
      <c r="AW5241" t="s">
        <v>11447</v>
      </c>
    </row>
    <row r="5242" spans="1:49">
      <c r="A5242" s="1">
        <f>HYPERLINK("https://lsnyc.legalserver.org/matter/dynamic-profile/view/0797992","16-0797992")</f>
        <v>0</v>
      </c>
      <c r="B5242" t="s">
        <v>138</v>
      </c>
      <c r="C5242" t="s">
        <v>903</v>
      </c>
      <c r="E5242" t="s">
        <v>3477</v>
      </c>
      <c r="F5242" t="s">
        <v>4391</v>
      </c>
      <c r="G5242" t="s">
        <v>10298</v>
      </c>
      <c r="H5242" t="s">
        <v>10464</v>
      </c>
      <c r="I5242" t="s">
        <v>11387</v>
      </c>
      <c r="J5242">
        <v>11412</v>
      </c>
      <c r="K5242" t="s">
        <v>11446</v>
      </c>
      <c r="M5242" t="s">
        <v>11601</v>
      </c>
      <c r="N5242" t="s">
        <v>14780</v>
      </c>
      <c r="P5242" t="s">
        <v>14809</v>
      </c>
      <c r="S5242" t="s">
        <v>14827</v>
      </c>
      <c r="V5242">
        <v>1515</v>
      </c>
      <c r="W5242" t="s">
        <v>14861</v>
      </c>
      <c r="X5242" t="s">
        <v>14864</v>
      </c>
      <c r="Z5242" t="s">
        <v>18297</v>
      </c>
      <c r="AA5242" t="s">
        <v>20091</v>
      </c>
      <c r="AB5242" t="s">
        <v>24429</v>
      </c>
      <c r="AC5242">
        <v>0</v>
      </c>
      <c r="AD5242" t="s">
        <v>24600</v>
      </c>
      <c r="AF5242">
        <v>1</v>
      </c>
      <c r="AG5242">
        <v>1</v>
      </c>
      <c r="AH5242">
        <v>2</v>
      </c>
      <c r="AI5242">
        <v>104.58</v>
      </c>
      <c r="AL5242" t="s">
        <v>5011</v>
      </c>
      <c r="AM5242">
        <v>26940</v>
      </c>
      <c r="AS5242">
        <v>20.9</v>
      </c>
      <c r="AT5242" t="s">
        <v>25181</v>
      </c>
      <c r="AU5242" t="s">
        <v>155</v>
      </c>
      <c r="AW5242" t="s">
        <v>11447</v>
      </c>
    </row>
    <row r="5243" spans="1:49">
      <c r="A5243" s="1">
        <f>HYPERLINK("https://lsnyc.legalserver.org/matter/dynamic-profile/view/0797990","16-0797990")</f>
        <v>0</v>
      </c>
      <c r="B5243" t="s">
        <v>229</v>
      </c>
      <c r="C5243" t="s">
        <v>923</v>
      </c>
      <c r="E5243" t="s">
        <v>1982</v>
      </c>
      <c r="F5243" t="s">
        <v>4013</v>
      </c>
      <c r="G5243" t="s">
        <v>6651</v>
      </c>
      <c r="H5243" t="s">
        <v>11343</v>
      </c>
      <c r="I5243" t="s">
        <v>11387</v>
      </c>
      <c r="J5243">
        <v>11432</v>
      </c>
      <c r="K5243" t="s">
        <v>11448</v>
      </c>
      <c r="N5243" t="s">
        <v>14782</v>
      </c>
      <c r="P5243" t="s">
        <v>14809</v>
      </c>
      <c r="S5243" t="s">
        <v>14827</v>
      </c>
      <c r="V5243">
        <v>1844</v>
      </c>
      <c r="W5243" t="s">
        <v>14861</v>
      </c>
      <c r="X5243" t="s">
        <v>14872</v>
      </c>
      <c r="Z5243" t="s">
        <v>19177</v>
      </c>
      <c r="AC5243">
        <v>0</v>
      </c>
      <c r="AD5243" t="s">
        <v>24595</v>
      </c>
      <c r="AF5243">
        <v>15</v>
      </c>
      <c r="AG5243">
        <v>3</v>
      </c>
      <c r="AH5243">
        <v>1</v>
      </c>
      <c r="AI5243">
        <v>108.64</v>
      </c>
      <c r="AL5243" t="s">
        <v>24647</v>
      </c>
      <c r="AM5243">
        <v>26400</v>
      </c>
      <c r="AS5243">
        <v>0.8</v>
      </c>
      <c r="AT5243" t="s">
        <v>368</v>
      </c>
      <c r="AU5243" t="s">
        <v>63</v>
      </c>
      <c r="AW5243" t="s">
        <v>11447</v>
      </c>
    </row>
    <row r="5244" spans="1:49">
      <c r="A5244" s="1">
        <f>HYPERLINK("https://lsnyc.legalserver.org/matter/dynamic-profile/view/0804160","16-0804160")</f>
        <v>0</v>
      </c>
      <c r="B5244" t="s">
        <v>179</v>
      </c>
      <c r="C5244" t="s">
        <v>906</v>
      </c>
      <c r="E5244" t="s">
        <v>1176</v>
      </c>
      <c r="F5244" t="s">
        <v>6180</v>
      </c>
      <c r="G5244" t="s">
        <v>10299</v>
      </c>
      <c r="H5244" t="s">
        <v>10747</v>
      </c>
      <c r="I5244" t="s">
        <v>11401</v>
      </c>
      <c r="J5244">
        <v>11375</v>
      </c>
      <c r="K5244" t="s">
        <v>11447</v>
      </c>
      <c r="P5244" t="s">
        <v>14809</v>
      </c>
      <c r="S5244" t="s">
        <v>14827</v>
      </c>
      <c r="V5244">
        <v>0</v>
      </c>
      <c r="W5244" t="s">
        <v>14861</v>
      </c>
      <c r="Z5244" t="s">
        <v>19178</v>
      </c>
      <c r="AB5244" t="s">
        <v>24430</v>
      </c>
      <c r="AC5244">
        <v>0</v>
      </c>
      <c r="AF5244">
        <v>0</v>
      </c>
      <c r="AG5244">
        <v>2</v>
      </c>
      <c r="AH5244">
        <v>0</v>
      </c>
      <c r="AI5244">
        <v>108.74</v>
      </c>
      <c r="AL5244" t="s">
        <v>5011</v>
      </c>
      <c r="AM5244">
        <v>17420</v>
      </c>
      <c r="AS5244">
        <v>1</v>
      </c>
      <c r="AT5244" t="s">
        <v>884</v>
      </c>
      <c r="AU5244" t="s">
        <v>179</v>
      </c>
      <c r="AW5244" t="s">
        <v>11447</v>
      </c>
    </row>
    <row r="5245" spans="1:49">
      <c r="A5245" s="1">
        <f>HYPERLINK("https://lsnyc.legalserver.org/matter/dynamic-profile/view/1842351","17-1842351")</f>
        <v>0</v>
      </c>
      <c r="B5245" t="s">
        <v>179</v>
      </c>
      <c r="C5245" t="s">
        <v>924</v>
      </c>
      <c r="E5245" t="s">
        <v>1025</v>
      </c>
      <c r="F5245" t="s">
        <v>3965</v>
      </c>
      <c r="G5245" t="s">
        <v>10300</v>
      </c>
      <c r="H5245" t="s">
        <v>10638</v>
      </c>
      <c r="I5245" t="s">
        <v>11388</v>
      </c>
      <c r="J5245">
        <v>11385</v>
      </c>
      <c r="K5245" t="s">
        <v>11447</v>
      </c>
      <c r="N5245" t="s">
        <v>14781</v>
      </c>
      <c r="P5245" t="s">
        <v>14809</v>
      </c>
      <c r="S5245" t="s">
        <v>14827</v>
      </c>
      <c r="V5245">
        <v>1450</v>
      </c>
      <c r="W5245" t="s">
        <v>14861</v>
      </c>
      <c r="Z5245" t="s">
        <v>19179</v>
      </c>
      <c r="AB5245" t="s">
        <v>24431</v>
      </c>
      <c r="AC5245">
        <v>0</v>
      </c>
      <c r="AF5245">
        <v>15</v>
      </c>
      <c r="AG5245">
        <v>3</v>
      </c>
      <c r="AH5245">
        <v>2</v>
      </c>
      <c r="AI5245">
        <v>109.02</v>
      </c>
      <c r="AL5245" t="s">
        <v>24632</v>
      </c>
      <c r="AM5245">
        <v>31376</v>
      </c>
      <c r="AS5245">
        <v>41.8</v>
      </c>
      <c r="AT5245" t="s">
        <v>25195</v>
      </c>
      <c r="AU5245" t="s">
        <v>179</v>
      </c>
      <c r="AW5245" t="s">
        <v>11447</v>
      </c>
    </row>
    <row r="5246" spans="1:49">
      <c r="A5246" s="1">
        <f>HYPERLINK("https://lsnyc.legalserver.org/matter/dynamic-profile/view/0797424","16-0797424")</f>
        <v>0</v>
      </c>
      <c r="B5246" t="s">
        <v>179</v>
      </c>
      <c r="C5246" t="s">
        <v>925</v>
      </c>
      <c r="E5246" t="s">
        <v>1925</v>
      </c>
      <c r="F5246" t="s">
        <v>4522</v>
      </c>
      <c r="G5246" t="s">
        <v>10301</v>
      </c>
      <c r="H5246" t="s">
        <v>10493</v>
      </c>
      <c r="I5246" t="s">
        <v>11388</v>
      </c>
      <c r="J5246">
        <v>11386</v>
      </c>
      <c r="K5246" t="s">
        <v>11447</v>
      </c>
      <c r="N5246" t="s">
        <v>14781</v>
      </c>
      <c r="P5246" t="s">
        <v>14809</v>
      </c>
      <c r="S5246" t="s">
        <v>14827</v>
      </c>
      <c r="V5246">
        <v>0</v>
      </c>
      <c r="W5246" t="s">
        <v>14861</v>
      </c>
      <c r="Z5246" t="s">
        <v>19180</v>
      </c>
      <c r="AB5246" t="s">
        <v>24432</v>
      </c>
      <c r="AC5246">
        <v>0</v>
      </c>
      <c r="AF5246">
        <v>0</v>
      </c>
      <c r="AG5246">
        <v>4</v>
      </c>
      <c r="AH5246">
        <v>0</v>
      </c>
      <c r="AI5246">
        <v>112.52</v>
      </c>
      <c r="AL5246" t="s">
        <v>24632</v>
      </c>
      <c r="AM5246">
        <v>27343.16</v>
      </c>
      <c r="AS5246">
        <v>181.32</v>
      </c>
      <c r="AT5246" t="s">
        <v>783</v>
      </c>
      <c r="AU5246" t="s">
        <v>99</v>
      </c>
      <c r="AW5246" t="s">
        <v>11447</v>
      </c>
    </row>
    <row r="5247" spans="1:49">
      <c r="A5247" s="1">
        <f>HYPERLINK("https://lsnyc.legalserver.org/matter/dynamic-profile/view/0783248","15-0783248")</f>
        <v>0</v>
      </c>
      <c r="B5247" t="s">
        <v>179</v>
      </c>
      <c r="C5247" t="s">
        <v>926</v>
      </c>
      <c r="E5247" t="s">
        <v>3478</v>
      </c>
      <c r="F5247" t="s">
        <v>6181</v>
      </c>
      <c r="G5247" t="s">
        <v>10302</v>
      </c>
      <c r="H5247" t="s">
        <v>11344</v>
      </c>
      <c r="I5247" t="s">
        <v>11387</v>
      </c>
      <c r="J5247">
        <v>11432</v>
      </c>
      <c r="K5247" t="s">
        <v>11447</v>
      </c>
      <c r="N5247" t="s">
        <v>14781</v>
      </c>
      <c r="P5247" t="s">
        <v>14809</v>
      </c>
      <c r="S5247" t="s">
        <v>14827</v>
      </c>
      <c r="V5247">
        <v>0</v>
      </c>
      <c r="W5247" t="s">
        <v>14861</v>
      </c>
      <c r="AC5247">
        <v>0</v>
      </c>
      <c r="AD5247" t="s">
        <v>24595</v>
      </c>
      <c r="AF5247">
        <v>0</v>
      </c>
      <c r="AG5247">
        <v>1</v>
      </c>
      <c r="AH5247">
        <v>0</v>
      </c>
      <c r="AI5247">
        <v>112.76</v>
      </c>
      <c r="AL5247" t="s">
        <v>5011</v>
      </c>
      <c r="AM5247">
        <v>13272</v>
      </c>
      <c r="AS5247">
        <v>0.5</v>
      </c>
      <c r="AT5247" t="s">
        <v>25196</v>
      </c>
      <c r="AU5247" t="s">
        <v>179</v>
      </c>
      <c r="AW5247" t="s">
        <v>11447</v>
      </c>
    </row>
    <row r="5248" spans="1:49">
      <c r="A5248" s="1">
        <f>HYPERLINK("https://lsnyc.legalserver.org/matter/dynamic-profile/view/0794710","15-0794710")</f>
        <v>0</v>
      </c>
      <c r="B5248" t="s">
        <v>229</v>
      </c>
      <c r="C5248" t="s">
        <v>927</v>
      </c>
      <c r="E5248" t="s">
        <v>3479</v>
      </c>
      <c r="F5248" t="s">
        <v>3038</v>
      </c>
      <c r="G5248" t="s">
        <v>10303</v>
      </c>
      <c r="H5248" t="s">
        <v>10787</v>
      </c>
      <c r="I5248" t="s">
        <v>11387</v>
      </c>
      <c r="J5248">
        <v>11432</v>
      </c>
      <c r="K5248" t="s">
        <v>11447</v>
      </c>
      <c r="P5248" t="s">
        <v>14809</v>
      </c>
      <c r="S5248" t="s">
        <v>14827</v>
      </c>
      <c r="V5248">
        <v>1400</v>
      </c>
      <c r="W5248" t="s">
        <v>14861</v>
      </c>
      <c r="X5248" t="s">
        <v>14872</v>
      </c>
      <c r="Z5248" t="s">
        <v>18654</v>
      </c>
      <c r="AB5248" t="s">
        <v>24433</v>
      </c>
      <c r="AC5248">
        <v>0</v>
      </c>
      <c r="AF5248">
        <v>13</v>
      </c>
      <c r="AG5248">
        <v>4</v>
      </c>
      <c r="AH5248">
        <v>1</v>
      </c>
      <c r="AI5248">
        <v>116.16</v>
      </c>
      <c r="AL5248" t="s">
        <v>24647</v>
      </c>
      <c r="AM5248">
        <v>33000</v>
      </c>
      <c r="AS5248">
        <v>0.7</v>
      </c>
      <c r="AT5248" t="s">
        <v>927</v>
      </c>
      <c r="AU5248" t="s">
        <v>202</v>
      </c>
      <c r="AW5248" t="s">
        <v>11447</v>
      </c>
    </row>
    <row r="5249" spans="1:49">
      <c r="A5249" s="1">
        <f>HYPERLINK("https://lsnyc.legalserver.org/matter/dynamic-profile/view/0788920","15-0788920")</f>
        <v>0</v>
      </c>
      <c r="B5249" t="s">
        <v>179</v>
      </c>
      <c r="C5249" t="s">
        <v>928</v>
      </c>
      <c r="E5249" t="s">
        <v>1430</v>
      </c>
      <c r="F5249" t="s">
        <v>6182</v>
      </c>
      <c r="G5249" t="s">
        <v>10304</v>
      </c>
      <c r="H5249">
        <v>3</v>
      </c>
      <c r="I5249" t="s">
        <v>11411</v>
      </c>
      <c r="J5249">
        <v>11418</v>
      </c>
      <c r="K5249" t="s">
        <v>11448</v>
      </c>
      <c r="N5249" t="s">
        <v>14781</v>
      </c>
      <c r="P5249" t="s">
        <v>14809</v>
      </c>
      <c r="S5249" t="s">
        <v>14827</v>
      </c>
      <c r="V5249">
        <v>0</v>
      </c>
      <c r="W5249" t="s">
        <v>14861</v>
      </c>
      <c r="Z5249" t="s">
        <v>19181</v>
      </c>
      <c r="AB5249" t="s">
        <v>24434</v>
      </c>
      <c r="AC5249">
        <v>0</v>
      </c>
      <c r="AF5249">
        <v>0</v>
      </c>
      <c r="AG5249">
        <v>2</v>
      </c>
      <c r="AH5249">
        <v>2</v>
      </c>
      <c r="AI5249">
        <v>116.76</v>
      </c>
      <c r="AL5249" t="s">
        <v>5011</v>
      </c>
      <c r="AM5249">
        <v>28314</v>
      </c>
      <c r="AS5249">
        <v>1</v>
      </c>
      <c r="AT5249" t="s">
        <v>25197</v>
      </c>
      <c r="AU5249" t="s">
        <v>179</v>
      </c>
      <c r="AW5249" t="s">
        <v>11447</v>
      </c>
    </row>
    <row r="5250" spans="1:49">
      <c r="A5250" s="1">
        <f>HYPERLINK("https://lsnyc.legalserver.org/matter/dynamic-profile/view/0818860","16-0818860")</f>
        <v>0</v>
      </c>
      <c r="B5250" t="s">
        <v>179</v>
      </c>
      <c r="C5250" t="s">
        <v>738</v>
      </c>
      <c r="E5250" t="s">
        <v>3480</v>
      </c>
      <c r="F5250" t="s">
        <v>3975</v>
      </c>
      <c r="G5250" t="s">
        <v>10305</v>
      </c>
      <c r="H5250" t="s">
        <v>10859</v>
      </c>
      <c r="I5250" t="s">
        <v>11390</v>
      </c>
      <c r="J5250">
        <v>11368</v>
      </c>
      <c r="K5250" t="s">
        <v>11447</v>
      </c>
      <c r="P5250" t="s">
        <v>14809</v>
      </c>
      <c r="S5250" t="s">
        <v>14827</v>
      </c>
      <c r="V5250">
        <v>811.97</v>
      </c>
      <c r="W5250" t="s">
        <v>14861</v>
      </c>
      <c r="Z5250" t="s">
        <v>19182</v>
      </c>
      <c r="AB5250" t="s">
        <v>24435</v>
      </c>
      <c r="AC5250">
        <v>324</v>
      </c>
      <c r="AD5250" t="s">
        <v>24595</v>
      </c>
      <c r="AF5250">
        <v>0</v>
      </c>
      <c r="AG5250">
        <v>1</v>
      </c>
      <c r="AH5250">
        <v>0</v>
      </c>
      <c r="AI5250">
        <v>117.58</v>
      </c>
      <c r="AL5250" t="s">
        <v>5011</v>
      </c>
      <c r="AM5250">
        <v>13968</v>
      </c>
      <c r="AS5250">
        <v>1</v>
      </c>
      <c r="AT5250" t="s">
        <v>854</v>
      </c>
      <c r="AU5250" t="s">
        <v>179</v>
      </c>
      <c r="AW5250" t="s">
        <v>11447</v>
      </c>
    </row>
    <row r="5251" spans="1:49">
      <c r="A5251" s="1">
        <f>HYPERLINK("https://lsnyc.legalserver.org/matter/dynamic-profile/view/0816959","16-0816959")</f>
        <v>0</v>
      </c>
      <c r="B5251" t="s">
        <v>138</v>
      </c>
      <c r="C5251" t="s">
        <v>917</v>
      </c>
      <c r="E5251" t="s">
        <v>1861</v>
      </c>
      <c r="F5251" t="s">
        <v>6183</v>
      </c>
      <c r="G5251" t="s">
        <v>10306</v>
      </c>
      <c r="H5251" t="s">
        <v>11345</v>
      </c>
      <c r="I5251" t="s">
        <v>11393</v>
      </c>
      <c r="J5251">
        <v>11374</v>
      </c>
      <c r="K5251" t="s">
        <v>11447</v>
      </c>
      <c r="N5251" t="s">
        <v>14779</v>
      </c>
      <c r="P5251" t="s">
        <v>14809</v>
      </c>
      <c r="S5251" t="s">
        <v>14827</v>
      </c>
      <c r="V5251">
        <v>0</v>
      </c>
      <c r="W5251" t="s">
        <v>14861</v>
      </c>
      <c r="Z5251" t="s">
        <v>16649</v>
      </c>
      <c r="AB5251" t="s">
        <v>24436</v>
      </c>
      <c r="AC5251">
        <v>0</v>
      </c>
      <c r="AF5251">
        <v>0</v>
      </c>
      <c r="AG5251">
        <v>1</v>
      </c>
      <c r="AH5251">
        <v>0</v>
      </c>
      <c r="AI5251">
        <v>126.26</v>
      </c>
      <c r="AM5251">
        <v>15000</v>
      </c>
      <c r="AS5251">
        <v>12.98</v>
      </c>
      <c r="AT5251" t="s">
        <v>627</v>
      </c>
      <c r="AU5251" t="s">
        <v>25234</v>
      </c>
      <c r="AW5251" t="s">
        <v>11447</v>
      </c>
    </row>
    <row r="5252" spans="1:49">
      <c r="A5252" s="1">
        <f>HYPERLINK("https://lsnyc.legalserver.org/matter/dynamic-profile/view/1842289","17-1842289")</f>
        <v>0</v>
      </c>
      <c r="B5252" t="s">
        <v>179</v>
      </c>
      <c r="C5252" t="s">
        <v>924</v>
      </c>
      <c r="E5252" t="s">
        <v>1024</v>
      </c>
      <c r="F5252" t="s">
        <v>3555</v>
      </c>
      <c r="G5252" t="s">
        <v>10275</v>
      </c>
      <c r="H5252" t="s">
        <v>10648</v>
      </c>
      <c r="I5252" t="s">
        <v>11388</v>
      </c>
      <c r="J5252">
        <v>11385</v>
      </c>
      <c r="K5252" t="s">
        <v>11447</v>
      </c>
      <c r="L5252" t="s">
        <v>14686</v>
      </c>
      <c r="M5252" t="s">
        <v>14743</v>
      </c>
      <c r="N5252" t="s">
        <v>14781</v>
      </c>
      <c r="P5252" t="s">
        <v>14809</v>
      </c>
      <c r="Q5252" t="s">
        <v>11448</v>
      </c>
      <c r="S5252" t="s">
        <v>14827</v>
      </c>
      <c r="V5252">
        <v>1273.29</v>
      </c>
      <c r="W5252" t="s">
        <v>14861</v>
      </c>
      <c r="X5252" t="s">
        <v>14873</v>
      </c>
      <c r="Z5252" t="s">
        <v>19183</v>
      </c>
      <c r="AB5252" t="s">
        <v>24404</v>
      </c>
      <c r="AC5252">
        <v>6</v>
      </c>
      <c r="AD5252" t="s">
        <v>24595</v>
      </c>
      <c r="AE5252" t="s">
        <v>24610</v>
      </c>
      <c r="AF5252">
        <v>24</v>
      </c>
      <c r="AG5252">
        <v>2</v>
      </c>
      <c r="AH5252">
        <v>1</v>
      </c>
      <c r="AI5252">
        <v>130.4</v>
      </c>
      <c r="AL5252" t="s">
        <v>5011</v>
      </c>
      <c r="AM5252">
        <v>26628</v>
      </c>
      <c r="AS5252">
        <v>194.9</v>
      </c>
      <c r="AT5252" t="s">
        <v>559</v>
      </c>
      <c r="AU5252" t="s">
        <v>282</v>
      </c>
      <c r="AW5252" t="s">
        <v>11447</v>
      </c>
    </row>
    <row r="5253" spans="1:49">
      <c r="A5253" s="1">
        <f>HYPERLINK("https://lsnyc.legalserver.org/matter/dynamic-profile/view/0824015","17-0824015")</f>
        <v>0</v>
      </c>
      <c r="B5253" t="s">
        <v>122</v>
      </c>
      <c r="C5253" t="s">
        <v>904</v>
      </c>
      <c r="E5253" t="s">
        <v>3481</v>
      </c>
      <c r="F5253" t="s">
        <v>3709</v>
      </c>
      <c r="G5253" t="s">
        <v>10307</v>
      </c>
      <c r="H5253" t="s">
        <v>10448</v>
      </c>
      <c r="I5253" t="s">
        <v>11389</v>
      </c>
      <c r="J5253">
        <v>11355</v>
      </c>
      <c r="K5253" t="s">
        <v>11447</v>
      </c>
      <c r="N5253" t="s">
        <v>14778</v>
      </c>
      <c r="P5253" t="s">
        <v>14809</v>
      </c>
      <c r="S5253" t="s">
        <v>14827</v>
      </c>
      <c r="V5253">
        <v>0</v>
      </c>
      <c r="W5253" t="s">
        <v>14861</v>
      </c>
      <c r="Z5253" t="s">
        <v>19184</v>
      </c>
      <c r="AB5253" t="s">
        <v>24437</v>
      </c>
      <c r="AC5253">
        <v>0</v>
      </c>
      <c r="AF5253">
        <v>0</v>
      </c>
      <c r="AG5253">
        <v>1</v>
      </c>
      <c r="AH5253">
        <v>0</v>
      </c>
      <c r="AI5253">
        <v>130.51</v>
      </c>
      <c r="AM5253">
        <v>15504</v>
      </c>
      <c r="AS5253">
        <v>0.5</v>
      </c>
      <c r="AT5253" t="s">
        <v>904</v>
      </c>
      <c r="AU5253" t="s">
        <v>122</v>
      </c>
      <c r="AW5253" t="s">
        <v>11447</v>
      </c>
    </row>
    <row r="5254" spans="1:49">
      <c r="A5254" s="1">
        <f>HYPERLINK("https://lsnyc.legalserver.org/matter/dynamic-profile/view/0818596","16-0818596")</f>
        <v>0</v>
      </c>
      <c r="B5254" t="s">
        <v>179</v>
      </c>
      <c r="C5254" t="s">
        <v>929</v>
      </c>
      <c r="E5254" t="s">
        <v>1353</v>
      </c>
      <c r="F5254" t="s">
        <v>6184</v>
      </c>
      <c r="G5254" t="s">
        <v>10308</v>
      </c>
      <c r="I5254" t="s">
        <v>11400</v>
      </c>
      <c r="J5254">
        <v>11385</v>
      </c>
      <c r="K5254" t="s">
        <v>11447</v>
      </c>
      <c r="P5254" t="s">
        <v>14809</v>
      </c>
      <c r="S5254" t="s">
        <v>14827</v>
      </c>
      <c r="V5254">
        <v>1510.29</v>
      </c>
      <c r="W5254" t="s">
        <v>14861</v>
      </c>
      <c r="Z5254" t="s">
        <v>16079</v>
      </c>
      <c r="AB5254" t="s">
        <v>24438</v>
      </c>
      <c r="AC5254">
        <v>2</v>
      </c>
      <c r="AF5254">
        <v>13</v>
      </c>
      <c r="AG5254">
        <v>1</v>
      </c>
      <c r="AH5254">
        <v>0</v>
      </c>
      <c r="AI5254">
        <v>131.31</v>
      </c>
      <c r="AL5254" t="s">
        <v>5011</v>
      </c>
      <c r="AM5254">
        <v>15600</v>
      </c>
      <c r="AS5254">
        <v>6.1</v>
      </c>
      <c r="AT5254" t="s">
        <v>965</v>
      </c>
      <c r="AU5254" t="s">
        <v>179</v>
      </c>
      <c r="AW5254" t="s">
        <v>11447</v>
      </c>
    </row>
    <row r="5255" spans="1:49">
      <c r="A5255" s="1">
        <f>HYPERLINK("https://lsnyc.legalserver.org/matter/dynamic-profile/view/0793191","15-0793191")</f>
        <v>0</v>
      </c>
      <c r="B5255" t="s">
        <v>293</v>
      </c>
      <c r="C5255" t="s">
        <v>930</v>
      </c>
      <c r="E5255" t="s">
        <v>2668</v>
      </c>
      <c r="F5255" t="s">
        <v>3639</v>
      </c>
      <c r="G5255" t="s">
        <v>6651</v>
      </c>
      <c r="H5255" t="s">
        <v>10527</v>
      </c>
      <c r="I5255" t="s">
        <v>11387</v>
      </c>
      <c r="J5255">
        <v>11432</v>
      </c>
      <c r="K5255" t="s">
        <v>11448</v>
      </c>
      <c r="M5255" t="s">
        <v>14756</v>
      </c>
      <c r="N5255" t="s">
        <v>14783</v>
      </c>
      <c r="P5255" t="s">
        <v>14809</v>
      </c>
      <c r="S5255" t="s">
        <v>14827</v>
      </c>
      <c r="V5255">
        <v>0</v>
      </c>
      <c r="W5255" t="s">
        <v>14861</v>
      </c>
      <c r="Z5255" t="s">
        <v>15023</v>
      </c>
      <c r="AB5255" t="s">
        <v>22619</v>
      </c>
      <c r="AC5255">
        <v>0</v>
      </c>
      <c r="AF5255">
        <v>0</v>
      </c>
      <c r="AG5255">
        <v>2</v>
      </c>
      <c r="AH5255">
        <v>0</v>
      </c>
      <c r="AI5255">
        <v>131.83</v>
      </c>
      <c r="AL5255" t="s">
        <v>24647</v>
      </c>
      <c r="AM5255">
        <v>21000</v>
      </c>
      <c r="AS5255">
        <v>17.8</v>
      </c>
      <c r="AT5255" t="s">
        <v>410</v>
      </c>
      <c r="AU5255" t="s">
        <v>301</v>
      </c>
      <c r="AW5255" t="s">
        <v>11447</v>
      </c>
    </row>
    <row r="5256" spans="1:49">
      <c r="A5256" s="1">
        <f>HYPERLINK("https://lsnyc.legalserver.org/matter/dynamic-profile/view/0792811","15-0792811")</f>
        <v>0</v>
      </c>
      <c r="B5256" t="s">
        <v>229</v>
      </c>
      <c r="C5256" t="s">
        <v>912</v>
      </c>
      <c r="E5256" t="s">
        <v>1516</v>
      </c>
      <c r="F5256" t="s">
        <v>4013</v>
      </c>
      <c r="G5256" t="s">
        <v>10309</v>
      </c>
      <c r="H5256" t="s">
        <v>10575</v>
      </c>
      <c r="I5256" t="s">
        <v>11387</v>
      </c>
      <c r="J5256">
        <v>11432</v>
      </c>
      <c r="K5256" t="s">
        <v>11447</v>
      </c>
      <c r="N5256" t="s">
        <v>14782</v>
      </c>
      <c r="P5256" t="s">
        <v>14809</v>
      </c>
      <c r="S5256" t="s">
        <v>14827</v>
      </c>
      <c r="V5256">
        <v>1552.95</v>
      </c>
      <c r="W5256" t="s">
        <v>14861</v>
      </c>
      <c r="X5256" t="s">
        <v>14873</v>
      </c>
      <c r="Z5256" t="s">
        <v>18547</v>
      </c>
      <c r="AB5256" t="s">
        <v>24439</v>
      </c>
      <c r="AC5256">
        <v>0</v>
      </c>
      <c r="AF5256">
        <v>1</v>
      </c>
      <c r="AG5256">
        <v>2</v>
      </c>
      <c r="AH5256">
        <v>0</v>
      </c>
      <c r="AI5256">
        <v>131.83</v>
      </c>
      <c r="AL5256" t="s">
        <v>24647</v>
      </c>
      <c r="AM5256">
        <v>21000</v>
      </c>
      <c r="AS5256">
        <v>1.5</v>
      </c>
      <c r="AT5256" t="s">
        <v>912</v>
      </c>
      <c r="AU5256" t="s">
        <v>202</v>
      </c>
      <c r="AW5256" t="s">
        <v>11447</v>
      </c>
    </row>
    <row r="5257" spans="1:49">
      <c r="A5257" s="1">
        <f>HYPERLINK("https://lsnyc.legalserver.org/matter/dynamic-profile/view/0795252","16-0795252")</f>
        <v>0</v>
      </c>
      <c r="B5257" t="s">
        <v>229</v>
      </c>
      <c r="C5257" t="s">
        <v>931</v>
      </c>
      <c r="E5257" t="s">
        <v>1281</v>
      </c>
      <c r="F5257" t="s">
        <v>4997</v>
      </c>
      <c r="G5257" t="s">
        <v>6651</v>
      </c>
      <c r="H5257" t="s">
        <v>10747</v>
      </c>
      <c r="I5257" t="s">
        <v>11387</v>
      </c>
      <c r="J5257">
        <v>11432</v>
      </c>
      <c r="K5257" t="s">
        <v>11447</v>
      </c>
      <c r="N5257" t="s">
        <v>14781</v>
      </c>
      <c r="P5257" t="s">
        <v>14809</v>
      </c>
      <c r="S5257" t="s">
        <v>14827</v>
      </c>
      <c r="V5257">
        <v>1241.24</v>
      </c>
      <c r="W5257" t="s">
        <v>14861</v>
      </c>
      <c r="X5257" t="s">
        <v>14867</v>
      </c>
      <c r="Z5257" t="s">
        <v>19185</v>
      </c>
      <c r="AB5257" t="s">
        <v>24440</v>
      </c>
      <c r="AC5257">
        <v>0</v>
      </c>
      <c r="AD5257" t="s">
        <v>24595</v>
      </c>
      <c r="AF5257">
        <v>25</v>
      </c>
      <c r="AG5257">
        <v>1</v>
      </c>
      <c r="AH5257">
        <v>0</v>
      </c>
      <c r="AI5257">
        <v>133.66</v>
      </c>
      <c r="AL5257" t="s">
        <v>5011</v>
      </c>
      <c r="AM5257">
        <v>15732</v>
      </c>
      <c r="AS5257">
        <v>0.65</v>
      </c>
      <c r="AT5257" t="s">
        <v>723</v>
      </c>
      <c r="AU5257" t="s">
        <v>229</v>
      </c>
      <c r="AW5257" t="s">
        <v>11447</v>
      </c>
    </row>
    <row r="5258" spans="1:49">
      <c r="A5258" s="1">
        <f>HYPERLINK("https://lsnyc.legalserver.org/matter/dynamic-profile/view/0796663","16-0796663")</f>
        <v>0</v>
      </c>
      <c r="B5258" t="s">
        <v>99</v>
      </c>
      <c r="C5258" t="s">
        <v>932</v>
      </c>
      <c r="E5258" t="s">
        <v>1642</v>
      </c>
      <c r="F5258" t="s">
        <v>6185</v>
      </c>
      <c r="G5258" t="s">
        <v>10310</v>
      </c>
      <c r="H5258" t="s">
        <v>11346</v>
      </c>
      <c r="I5258" t="s">
        <v>11436</v>
      </c>
      <c r="J5258">
        <v>11426</v>
      </c>
      <c r="K5258" t="s">
        <v>11447</v>
      </c>
      <c r="P5258" t="s">
        <v>14809</v>
      </c>
      <c r="S5258" t="s">
        <v>14827</v>
      </c>
      <c r="V5258">
        <v>0</v>
      </c>
      <c r="W5258" t="s">
        <v>14861</v>
      </c>
      <c r="Z5258" t="s">
        <v>17156</v>
      </c>
      <c r="AB5258" t="s">
        <v>24441</v>
      </c>
      <c r="AC5258">
        <v>0</v>
      </c>
      <c r="AF5258">
        <v>0</v>
      </c>
      <c r="AG5258">
        <v>1</v>
      </c>
      <c r="AH5258">
        <v>3</v>
      </c>
      <c r="AI5258">
        <v>134.89</v>
      </c>
      <c r="AL5258" t="s">
        <v>5011</v>
      </c>
      <c r="AM5258">
        <v>32712</v>
      </c>
      <c r="AS5258">
        <v>0.25</v>
      </c>
      <c r="AT5258" t="s">
        <v>25143</v>
      </c>
      <c r="AU5258" t="s">
        <v>99</v>
      </c>
      <c r="AW5258" t="s">
        <v>11447</v>
      </c>
    </row>
    <row r="5259" spans="1:49">
      <c r="A5259" s="1">
        <f>HYPERLINK("https://lsnyc.legalserver.org/matter/dynamic-profile/view/1835863","17-1835863")</f>
        <v>0</v>
      </c>
      <c r="B5259" t="s">
        <v>179</v>
      </c>
      <c r="C5259" t="s">
        <v>933</v>
      </c>
      <c r="E5259" t="s">
        <v>2060</v>
      </c>
      <c r="F5259" t="s">
        <v>5092</v>
      </c>
      <c r="G5259" t="s">
        <v>10311</v>
      </c>
      <c r="I5259" t="s">
        <v>11387</v>
      </c>
      <c r="J5259">
        <v>11433</v>
      </c>
      <c r="K5259" t="s">
        <v>11447</v>
      </c>
      <c r="N5259" t="s">
        <v>14781</v>
      </c>
      <c r="P5259" t="s">
        <v>14809</v>
      </c>
      <c r="S5259" t="s">
        <v>14827</v>
      </c>
      <c r="V5259">
        <v>0</v>
      </c>
      <c r="W5259" t="s">
        <v>14861</v>
      </c>
      <c r="Z5259" t="s">
        <v>17302</v>
      </c>
      <c r="AB5259" t="s">
        <v>22337</v>
      </c>
      <c r="AC5259">
        <v>0</v>
      </c>
      <c r="AF5259">
        <v>0</v>
      </c>
      <c r="AG5259">
        <v>3</v>
      </c>
      <c r="AH5259">
        <v>1</v>
      </c>
      <c r="AI5259">
        <v>137.4</v>
      </c>
      <c r="AL5259" t="s">
        <v>24632</v>
      </c>
      <c r="AM5259">
        <v>33800</v>
      </c>
      <c r="AS5259">
        <v>1.5</v>
      </c>
      <c r="AT5259" t="s">
        <v>25198</v>
      </c>
      <c r="AU5259" t="s">
        <v>179</v>
      </c>
      <c r="AW5259" t="s">
        <v>11447</v>
      </c>
    </row>
    <row r="5260" spans="1:49">
      <c r="A5260" s="1">
        <f>HYPERLINK("https://lsnyc.legalserver.org/matter/dynamic-profile/view/0794351","15-0794351")</f>
        <v>0</v>
      </c>
      <c r="B5260" t="s">
        <v>229</v>
      </c>
      <c r="C5260" t="s">
        <v>934</v>
      </c>
      <c r="E5260" t="s">
        <v>2668</v>
      </c>
      <c r="F5260" t="s">
        <v>6186</v>
      </c>
      <c r="G5260" t="s">
        <v>10312</v>
      </c>
      <c r="H5260" t="s">
        <v>10988</v>
      </c>
      <c r="I5260" t="s">
        <v>11387</v>
      </c>
      <c r="J5260">
        <v>11432</v>
      </c>
      <c r="K5260" t="s">
        <v>11448</v>
      </c>
      <c r="L5260">
        <v>1539</v>
      </c>
      <c r="M5260" t="s">
        <v>14746</v>
      </c>
      <c r="N5260" t="s">
        <v>14781</v>
      </c>
      <c r="P5260" t="s">
        <v>14809</v>
      </c>
      <c r="S5260" t="s">
        <v>14827</v>
      </c>
      <c r="V5260">
        <v>1260</v>
      </c>
      <c r="W5260" t="s">
        <v>14861</v>
      </c>
      <c r="X5260" t="s">
        <v>14872</v>
      </c>
      <c r="Z5260" t="s">
        <v>19186</v>
      </c>
      <c r="AC5260">
        <v>0</v>
      </c>
      <c r="AD5260" t="s">
        <v>24595</v>
      </c>
      <c r="AF5260">
        <v>2</v>
      </c>
      <c r="AG5260">
        <v>2</v>
      </c>
      <c r="AH5260">
        <v>2</v>
      </c>
      <c r="AI5260">
        <v>138.56</v>
      </c>
      <c r="AL5260" t="s">
        <v>24647</v>
      </c>
      <c r="AM5260">
        <v>33600</v>
      </c>
      <c r="AS5260">
        <v>1.01</v>
      </c>
      <c r="AT5260" t="s">
        <v>934</v>
      </c>
      <c r="AU5260" t="s">
        <v>63</v>
      </c>
      <c r="AW5260" t="s">
        <v>11447</v>
      </c>
    </row>
    <row r="5261" spans="1:49">
      <c r="A5261" s="1">
        <f>HYPERLINK("https://lsnyc.legalserver.org/matter/dynamic-profile/view/0773278","15-0773278")</f>
        <v>0</v>
      </c>
      <c r="B5261" t="s">
        <v>179</v>
      </c>
      <c r="C5261" t="s">
        <v>935</v>
      </c>
      <c r="E5261" t="s">
        <v>1104</v>
      </c>
      <c r="F5261" t="s">
        <v>6187</v>
      </c>
      <c r="G5261" t="s">
        <v>10313</v>
      </c>
      <c r="H5261" t="s">
        <v>10531</v>
      </c>
      <c r="I5261" t="s">
        <v>11387</v>
      </c>
      <c r="J5261">
        <v>11432</v>
      </c>
      <c r="K5261" t="s">
        <v>11447</v>
      </c>
      <c r="L5261" t="s">
        <v>14687</v>
      </c>
      <c r="M5261" t="s">
        <v>14744</v>
      </c>
      <c r="P5261" t="s">
        <v>14809</v>
      </c>
      <c r="S5261" t="s">
        <v>14827</v>
      </c>
      <c r="V5261">
        <v>0</v>
      </c>
      <c r="W5261" t="s">
        <v>14861</v>
      </c>
      <c r="Z5261" t="s">
        <v>19187</v>
      </c>
      <c r="AC5261">
        <v>0</v>
      </c>
      <c r="AD5261" t="s">
        <v>24595</v>
      </c>
      <c r="AF5261">
        <v>0</v>
      </c>
      <c r="AG5261">
        <v>1</v>
      </c>
      <c r="AH5261">
        <v>0</v>
      </c>
      <c r="AI5261">
        <v>142.41</v>
      </c>
      <c r="AL5261" t="s">
        <v>5011</v>
      </c>
      <c r="AM5261">
        <v>16762</v>
      </c>
      <c r="AS5261">
        <v>8.050000000000001</v>
      </c>
      <c r="AT5261" t="s">
        <v>905</v>
      </c>
      <c r="AU5261" t="s">
        <v>68</v>
      </c>
      <c r="AW5261" t="s">
        <v>11447</v>
      </c>
    </row>
    <row r="5262" spans="1:49">
      <c r="A5262" s="1">
        <f>HYPERLINK("https://lsnyc.legalserver.org/matter/dynamic-profile/view/0799876","16-0799876")</f>
        <v>0</v>
      </c>
      <c r="B5262" t="s">
        <v>138</v>
      </c>
      <c r="C5262" t="s">
        <v>903</v>
      </c>
      <c r="E5262" t="s">
        <v>3482</v>
      </c>
      <c r="F5262" t="s">
        <v>3680</v>
      </c>
      <c r="G5262" t="s">
        <v>10314</v>
      </c>
      <c r="H5262" t="s">
        <v>10514</v>
      </c>
      <c r="I5262" t="s">
        <v>11387</v>
      </c>
      <c r="J5262">
        <v>11435</v>
      </c>
      <c r="K5262" t="s">
        <v>11448</v>
      </c>
      <c r="L5262" t="s">
        <v>14688</v>
      </c>
      <c r="M5262" t="s">
        <v>14744</v>
      </c>
      <c r="N5262" t="s">
        <v>14781</v>
      </c>
      <c r="P5262" t="s">
        <v>14809</v>
      </c>
      <c r="S5262" t="s">
        <v>14827</v>
      </c>
      <c r="V5262">
        <v>1233.88</v>
      </c>
      <c r="W5262" t="s">
        <v>14861</v>
      </c>
      <c r="X5262" t="s">
        <v>14873</v>
      </c>
      <c r="Z5262" t="s">
        <v>19188</v>
      </c>
      <c r="AB5262" t="s">
        <v>24442</v>
      </c>
      <c r="AC5262">
        <v>0</v>
      </c>
      <c r="AD5262" t="s">
        <v>24595</v>
      </c>
      <c r="AF5262">
        <v>21</v>
      </c>
      <c r="AG5262">
        <v>3</v>
      </c>
      <c r="AH5262">
        <v>0</v>
      </c>
      <c r="AI5262">
        <v>142.86</v>
      </c>
      <c r="AL5262" t="s">
        <v>5011</v>
      </c>
      <c r="AM5262">
        <v>28800</v>
      </c>
      <c r="AS5262">
        <v>63.05</v>
      </c>
      <c r="AT5262" t="s">
        <v>25199</v>
      </c>
      <c r="AU5262" t="s">
        <v>25321</v>
      </c>
      <c r="AW5262" t="s">
        <v>11447</v>
      </c>
    </row>
    <row r="5263" spans="1:49">
      <c r="A5263" s="1">
        <f>HYPERLINK("https://lsnyc.legalserver.org/matter/dynamic-profile/view/0796418","16-0796418")</f>
        <v>0</v>
      </c>
      <c r="B5263" t="s">
        <v>179</v>
      </c>
      <c r="C5263" t="s">
        <v>936</v>
      </c>
      <c r="E5263" t="s">
        <v>3483</v>
      </c>
      <c r="F5263" t="s">
        <v>6188</v>
      </c>
      <c r="G5263" t="s">
        <v>10315</v>
      </c>
      <c r="H5263" t="s">
        <v>10493</v>
      </c>
      <c r="I5263" t="s">
        <v>11388</v>
      </c>
      <c r="J5263">
        <v>11385</v>
      </c>
      <c r="K5263" t="s">
        <v>11447</v>
      </c>
      <c r="N5263" t="s">
        <v>14781</v>
      </c>
      <c r="P5263" t="s">
        <v>14809</v>
      </c>
      <c r="S5263" t="s">
        <v>14827</v>
      </c>
      <c r="V5263">
        <v>0</v>
      </c>
      <c r="W5263" t="s">
        <v>14861</v>
      </c>
      <c r="Z5263" t="s">
        <v>19156</v>
      </c>
      <c r="AB5263" t="s">
        <v>24443</v>
      </c>
      <c r="AC5263">
        <v>0</v>
      </c>
      <c r="AF5263">
        <v>0</v>
      </c>
      <c r="AG5263">
        <v>4</v>
      </c>
      <c r="AH5263">
        <v>0</v>
      </c>
      <c r="AI5263">
        <v>143.49</v>
      </c>
      <c r="AL5263" t="s">
        <v>24663</v>
      </c>
      <c r="AM5263">
        <v>34796</v>
      </c>
      <c r="AS5263">
        <v>35.35</v>
      </c>
      <c r="AT5263" t="s">
        <v>723</v>
      </c>
      <c r="AU5263" t="s">
        <v>179</v>
      </c>
      <c r="AW5263" t="s">
        <v>11447</v>
      </c>
    </row>
    <row r="5264" spans="1:49">
      <c r="A5264" s="1">
        <f>HYPERLINK("https://lsnyc.legalserver.org/matter/dynamic-profile/view/0795775","16-0795775")</f>
        <v>0</v>
      </c>
      <c r="B5264" t="s">
        <v>85</v>
      </c>
      <c r="C5264" t="s">
        <v>882</v>
      </c>
      <c r="E5264" t="s">
        <v>3484</v>
      </c>
      <c r="F5264" t="s">
        <v>6189</v>
      </c>
      <c r="G5264" t="s">
        <v>10316</v>
      </c>
      <c r="I5264" t="s">
        <v>11404</v>
      </c>
      <c r="J5264">
        <v>11103</v>
      </c>
      <c r="K5264" t="s">
        <v>11448</v>
      </c>
      <c r="L5264" t="s">
        <v>14689</v>
      </c>
      <c r="M5264" t="s">
        <v>14743</v>
      </c>
      <c r="N5264" t="s">
        <v>14781</v>
      </c>
      <c r="P5264" t="s">
        <v>14809</v>
      </c>
      <c r="S5264" t="s">
        <v>14827</v>
      </c>
      <c r="V5264">
        <v>950</v>
      </c>
      <c r="W5264" t="s">
        <v>14861</v>
      </c>
      <c r="Z5264" t="s">
        <v>19189</v>
      </c>
      <c r="AB5264" t="s">
        <v>24444</v>
      </c>
      <c r="AC5264">
        <v>0</v>
      </c>
      <c r="AD5264" t="s">
        <v>24600</v>
      </c>
      <c r="AF5264">
        <v>15</v>
      </c>
      <c r="AG5264">
        <v>3</v>
      </c>
      <c r="AH5264">
        <v>1</v>
      </c>
      <c r="AI5264">
        <v>144.74</v>
      </c>
      <c r="AL5264" t="s">
        <v>5011</v>
      </c>
      <c r="AM5264">
        <v>35100</v>
      </c>
      <c r="AS5264">
        <v>167.4</v>
      </c>
      <c r="AT5264" t="s">
        <v>585</v>
      </c>
      <c r="AU5264" t="s">
        <v>282</v>
      </c>
      <c r="AW5264" t="s">
        <v>11447</v>
      </c>
    </row>
    <row r="5265" spans="1:49">
      <c r="A5265" s="1">
        <f>HYPERLINK("https://lsnyc.legalserver.org/matter/dynamic-profile/view/0789287","15-0789287")</f>
        <v>0</v>
      </c>
      <c r="B5265" t="s">
        <v>229</v>
      </c>
      <c r="C5265" t="s">
        <v>919</v>
      </c>
      <c r="E5265" t="s">
        <v>3485</v>
      </c>
      <c r="F5265" t="s">
        <v>2538</v>
      </c>
      <c r="G5265" t="s">
        <v>10270</v>
      </c>
      <c r="H5265" t="s">
        <v>11149</v>
      </c>
      <c r="I5265" t="s">
        <v>11387</v>
      </c>
      <c r="J5265">
        <v>11432</v>
      </c>
      <c r="K5265" t="s">
        <v>11448</v>
      </c>
      <c r="P5265" t="s">
        <v>14809</v>
      </c>
      <c r="S5265" t="s">
        <v>14827</v>
      </c>
      <c r="V5265">
        <v>1628</v>
      </c>
      <c r="W5265" t="s">
        <v>14861</v>
      </c>
      <c r="Z5265" t="s">
        <v>19190</v>
      </c>
      <c r="AB5265" t="s">
        <v>24445</v>
      </c>
      <c r="AC5265">
        <v>0</v>
      </c>
      <c r="AD5265" t="s">
        <v>24595</v>
      </c>
      <c r="AF5265">
        <v>15</v>
      </c>
      <c r="AG5265">
        <v>4</v>
      </c>
      <c r="AH5265">
        <v>0</v>
      </c>
      <c r="AI5265">
        <v>148.45</v>
      </c>
      <c r="AL5265" t="s">
        <v>24647</v>
      </c>
      <c r="AM5265">
        <v>36000</v>
      </c>
      <c r="AS5265">
        <v>0.4</v>
      </c>
      <c r="AT5265" t="s">
        <v>919</v>
      </c>
      <c r="AU5265" t="s">
        <v>63</v>
      </c>
      <c r="AW5265" t="s">
        <v>11447</v>
      </c>
    </row>
    <row r="5266" spans="1:49">
      <c r="A5266" s="1">
        <f>HYPERLINK("https://lsnyc.legalserver.org/matter/dynamic-profile/view/0809254","16-0809254")</f>
        <v>0</v>
      </c>
      <c r="B5266" t="s">
        <v>122</v>
      </c>
      <c r="C5266" t="s">
        <v>885</v>
      </c>
      <c r="E5266" t="s">
        <v>2451</v>
      </c>
      <c r="F5266" t="s">
        <v>6190</v>
      </c>
      <c r="G5266" t="s">
        <v>10317</v>
      </c>
      <c r="H5266" t="s">
        <v>10569</v>
      </c>
      <c r="I5266" t="s">
        <v>11389</v>
      </c>
      <c r="J5266">
        <v>11355</v>
      </c>
      <c r="K5266" t="s">
        <v>11447</v>
      </c>
      <c r="P5266" t="s">
        <v>14809</v>
      </c>
      <c r="S5266" t="s">
        <v>14827</v>
      </c>
      <c r="V5266">
        <v>0</v>
      </c>
      <c r="W5266" t="s">
        <v>14861</v>
      </c>
      <c r="Z5266" t="s">
        <v>15345</v>
      </c>
      <c r="AB5266" t="s">
        <v>24446</v>
      </c>
      <c r="AC5266">
        <v>0</v>
      </c>
      <c r="AF5266">
        <v>0</v>
      </c>
      <c r="AG5266">
        <v>2</v>
      </c>
      <c r="AH5266">
        <v>0</v>
      </c>
      <c r="AI5266">
        <v>152.51</v>
      </c>
      <c r="AL5266" t="s">
        <v>5011</v>
      </c>
      <c r="AM5266">
        <v>24432</v>
      </c>
      <c r="AS5266">
        <v>0.5</v>
      </c>
      <c r="AT5266" t="s">
        <v>885</v>
      </c>
      <c r="AU5266" t="s">
        <v>122</v>
      </c>
      <c r="AW5266" t="s">
        <v>11447</v>
      </c>
    </row>
    <row r="5267" spans="1:49">
      <c r="A5267" s="1">
        <f>HYPERLINK("https://lsnyc.legalserver.org/matter/dynamic-profile/view/0794280","15-0794280")</f>
        <v>0</v>
      </c>
      <c r="B5267" t="s">
        <v>229</v>
      </c>
      <c r="C5267" t="s">
        <v>934</v>
      </c>
      <c r="E5267" t="s">
        <v>1516</v>
      </c>
      <c r="F5267" t="s">
        <v>4330</v>
      </c>
      <c r="G5267" t="s">
        <v>6651</v>
      </c>
      <c r="H5267" t="s">
        <v>10667</v>
      </c>
      <c r="I5267" t="s">
        <v>11387</v>
      </c>
      <c r="J5267">
        <v>11432</v>
      </c>
      <c r="K5267" t="s">
        <v>11447</v>
      </c>
      <c r="M5267" t="s">
        <v>14746</v>
      </c>
      <c r="N5267" t="s">
        <v>14781</v>
      </c>
      <c r="P5267" t="s">
        <v>14809</v>
      </c>
      <c r="S5267" t="s">
        <v>14827</v>
      </c>
      <c r="V5267">
        <v>1225</v>
      </c>
      <c r="W5267" t="s">
        <v>14861</v>
      </c>
      <c r="Z5267" t="s">
        <v>19191</v>
      </c>
      <c r="AB5267" t="s">
        <v>24447</v>
      </c>
      <c r="AC5267">
        <v>0</v>
      </c>
      <c r="AD5267" t="s">
        <v>24595</v>
      </c>
      <c r="AF5267">
        <v>3</v>
      </c>
      <c r="AG5267">
        <v>2</v>
      </c>
      <c r="AH5267">
        <v>1</v>
      </c>
      <c r="AI5267">
        <v>155.3</v>
      </c>
      <c r="AL5267" t="s">
        <v>5011</v>
      </c>
      <c r="AM5267">
        <v>31200</v>
      </c>
      <c r="AS5267">
        <v>1</v>
      </c>
      <c r="AT5267" t="s">
        <v>25200</v>
      </c>
      <c r="AU5267" t="s">
        <v>282</v>
      </c>
      <c r="AW5267" t="s">
        <v>11447</v>
      </c>
    </row>
    <row r="5268" spans="1:49">
      <c r="A5268" s="1">
        <f>HYPERLINK("https://lsnyc.legalserver.org/matter/dynamic-profile/view/0819835","16-0819835")</f>
        <v>0</v>
      </c>
      <c r="B5268" t="s">
        <v>122</v>
      </c>
      <c r="C5268" t="s">
        <v>937</v>
      </c>
      <c r="E5268" t="s">
        <v>3486</v>
      </c>
      <c r="F5268" t="s">
        <v>6191</v>
      </c>
      <c r="G5268" t="s">
        <v>10318</v>
      </c>
      <c r="H5268">
        <v>421</v>
      </c>
      <c r="I5268" t="s">
        <v>11392</v>
      </c>
      <c r="J5268">
        <v>11372</v>
      </c>
      <c r="K5268" t="s">
        <v>11447</v>
      </c>
      <c r="P5268" t="s">
        <v>14809</v>
      </c>
      <c r="S5268" t="s">
        <v>14827</v>
      </c>
      <c r="V5268">
        <v>0</v>
      </c>
      <c r="W5268" t="s">
        <v>14861</v>
      </c>
      <c r="Z5268" t="s">
        <v>15795</v>
      </c>
      <c r="AC5268">
        <v>0</v>
      </c>
      <c r="AF5268">
        <v>0</v>
      </c>
      <c r="AG5268">
        <v>2</v>
      </c>
      <c r="AH5268">
        <v>2</v>
      </c>
      <c r="AI5268">
        <v>160.49</v>
      </c>
      <c r="AL5268" t="s">
        <v>24649</v>
      </c>
      <c r="AM5268">
        <v>39000</v>
      </c>
      <c r="AS5268">
        <v>1</v>
      </c>
      <c r="AT5268" t="s">
        <v>937</v>
      </c>
      <c r="AU5268" t="s">
        <v>122</v>
      </c>
      <c r="AW5268" t="s">
        <v>11447</v>
      </c>
    </row>
    <row r="5269" spans="1:49">
      <c r="A5269" s="1">
        <f>HYPERLINK("https://lsnyc.legalserver.org/matter/dynamic-profile/view/0806592","16-0806592")</f>
        <v>0</v>
      </c>
      <c r="B5269" t="s">
        <v>179</v>
      </c>
      <c r="C5269" t="s">
        <v>731</v>
      </c>
      <c r="E5269" t="s">
        <v>3487</v>
      </c>
      <c r="F5269" t="s">
        <v>1395</v>
      </c>
      <c r="G5269" t="s">
        <v>10319</v>
      </c>
      <c r="H5269" t="s">
        <v>11347</v>
      </c>
      <c r="I5269" t="s">
        <v>11387</v>
      </c>
      <c r="J5269">
        <v>11434</v>
      </c>
      <c r="K5269" t="s">
        <v>11447</v>
      </c>
      <c r="M5269" t="s">
        <v>14744</v>
      </c>
      <c r="N5269" t="s">
        <v>14781</v>
      </c>
      <c r="P5269" t="s">
        <v>14809</v>
      </c>
      <c r="S5269" t="s">
        <v>14827</v>
      </c>
      <c r="V5269">
        <v>807.2</v>
      </c>
      <c r="W5269" t="s">
        <v>14861</v>
      </c>
      <c r="Z5269" t="s">
        <v>19192</v>
      </c>
      <c r="AA5269" t="s">
        <v>11704</v>
      </c>
      <c r="AB5269" t="s">
        <v>24448</v>
      </c>
      <c r="AC5269">
        <v>0</v>
      </c>
      <c r="AD5269" t="s">
        <v>24601</v>
      </c>
      <c r="AF5269">
        <v>36</v>
      </c>
      <c r="AG5269">
        <v>1</v>
      </c>
      <c r="AH5269">
        <v>0</v>
      </c>
      <c r="AI5269">
        <v>164.14</v>
      </c>
      <c r="AM5269">
        <v>19500</v>
      </c>
      <c r="AS5269">
        <v>127.6</v>
      </c>
      <c r="AT5269" t="s">
        <v>25201</v>
      </c>
      <c r="AU5269" t="s">
        <v>202</v>
      </c>
      <c r="AW5269" t="s">
        <v>11447</v>
      </c>
    </row>
    <row r="5270" spans="1:49">
      <c r="A5270" s="1">
        <f>HYPERLINK("https://lsnyc.legalserver.org/matter/dynamic-profile/view/0815579","16-0815579")</f>
        <v>0</v>
      </c>
      <c r="B5270" t="s">
        <v>282</v>
      </c>
      <c r="C5270" t="s">
        <v>938</v>
      </c>
      <c r="E5270" t="s">
        <v>3488</v>
      </c>
      <c r="F5270" t="s">
        <v>4330</v>
      </c>
      <c r="G5270" t="s">
        <v>6651</v>
      </c>
      <c r="H5270" t="s">
        <v>10667</v>
      </c>
      <c r="I5270" t="s">
        <v>11387</v>
      </c>
      <c r="J5270">
        <v>11432</v>
      </c>
      <c r="K5270" t="s">
        <v>11448</v>
      </c>
      <c r="L5270" t="s">
        <v>14690</v>
      </c>
      <c r="M5270" t="s">
        <v>14763</v>
      </c>
      <c r="N5270" t="s">
        <v>14781</v>
      </c>
      <c r="P5270" t="s">
        <v>14809</v>
      </c>
      <c r="Q5270" t="s">
        <v>11446</v>
      </c>
      <c r="S5270" t="s">
        <v>14827</v>
      </c>
      <c r="V5270">
        <v>1225</v>
      </c>
      <c r="W5270" t="s">
        <v>14861</v>
      </c>
      <c r="X5270" t="s">
        <v>14873</v>
      </c>
      <c r="Z5270" t="s">
        <v>19191</v>
      </c>
      <c r="AB5270" t="s">
        <v>24447</v>
      </c>
      <c r="AC5270">
        <v>100</v>
      </c>
      <c r="AD5270" t="s">
        <v>24595</v>
      </c>
      <c r="AE5270" t="s">
        <v>11459</v>
      </c>
      <c r="AF5270">
        <v>3</v>
      </c>
      <c r="AG5270">
        <v>2</v>
      </c>
      <c r="AH5270">
        <v>2</v>
      </c>
      <c r="AI5270">
        <v>164.61</v>
      </c>
      <c r="AL5270" t="s">
        <v>5011</v>
      </c>
      <c r="AM5270">
        <v>40000</v>
      </c>
      <c r="AS5270">
        <v>0.1</v>
      </c>
      <c r="AT5270" t="s">
        <v>25202</v>
      </c>
      <c r="AU5270" t="s">
        <v>282</v>
      </c>
      <c r="AW5270" t="s">
        <v>11447</v>
      </c>
    </row>
    <row r="5271" spans="1:49">
      <c r="A5271" s="1">
        <f>HYPERLINK("https://lsnyc.legalserver.org/matter/dynamic-profile/view/0809280","16-0809280")</f>
        <v>0</v>
      </c>
      <c r="B5271" t="s">
        <v>122</v>
      </c>
      <c r="C5271" t="s">
        <v>885</v>
      </c>
      <c r="E5271" t="s">
        <v>1393</v>
      </c>
      <c r="F5271" t="s">
        <v>5273</v>
      </c>
      <c r="G5271" t="s">
        <v>10320</v>
      </c>
      <c r="H5271" t="s">
        <v>10489</v>
      </c>
      <c r="I5271" t="s">
        <v>11401</v>
      </c>
      <c r="J5271">
        <v>11375</v>
      </c>
      <c r="K5271" t="s">
        <v>11447</v>
      </c>
      <c r="P5271" t="s">
        <v>14809</v>
      </c>
      <c r="S5271" t="s">
        <v>14829</v>
      </c>
      <c r="V5271">
        <v>0</v>
      </c>
      <c r="W5271" t="s">
        <v>14861</v>
      </c>
      <c r="Z5271" t="s">
        <v>19193</v>
      </c>
      <c r="AC5271">
        <v>0</v>
      </c>
      <c r="AF5271">
        <v>0</v>
      </c>
      <c r="AG5271">
        <v>1</v>
      </c>
      <c r="AH5271">
        <v>0</v>
      </c>
      <c r="AI5271">
        <v>168.35</v>
      </c>
      <c r="AL5271" t="s">
        <v>24634</v>
      </c>
      <c r="AM5271">
        <v>20000</v>
      </c>
      <c r="AS5271">
        <v>0.5</v>
      </c>
      <c r="AT5271" t="s">
        <v>885</v>
      </c>
      <c r="AU5271" t="s">
        <v>122</v>
      </c>
      <c r="AW5271" t="s">
        <v>11447</v>
      </c>
    </row>
    <row r="5272" spans="1:49">
      <c r="A5272" s="1">
        <f>HYPERLINK("https://lsnyc.legalserver.org/matter/dynamic-profile/view/0808748","16-0808748")</f>
        <v>0</v>
      </c>
      <c r="B5272" t="s">
        <v>99</v>
      </c>
      <c r="C5272" t="s">
        <v>922</v>
      </c>
      <c r="E5272" t="s">
        <v>2504</v>
      </c>
      <c r="F5272" t="s">
        <v>3951</v>
      </c>
      <c r="G5272" t="s">
        <v>10321</v>
      </c>
      <c r="H5272" t="s">
        <v>10527</v>
      </c>
      <c r="I5272" t="s">
        <v>11398</v>
      </c>
      <c r="J5272">
        <v>11693</v>
      </c>
      <c r="K5272" t="s">
        <v>11447</v>
      </c>
      <c r="N5272" t="s">
        <v>14778</v>
      </c>
      <c r="P5272" t="s">
        <v>14809</v>
      </c>
      <c r="S5272" t="s">
        <v>14827</v>
      </c>
      <c r="V5272">
        <v>0</v>
      </c>
      <c r="W5272" t="s">
        <v>14861</v>
      </c>
      <c r="Z5272" t="s">
        <v>17289</v>
      </c>
      <c r="AB5272" t="s">
        <v>22325</v>
      </c>
      <c r="AC5272">
        <v>0</v>
      </c>
      <c r="AF5272">
        <v>0</v>
      </c>
      <c r="AG5272">
        <v>2</v>
      </c>
      <c r="AH5272">
        <v>0</v>
      </c>
      <c r="AI5272">
        <v>172.03</v>
      </c>
      <c r="AM5272">
        <v>27560</v>
      </c>
      <c r="AS5272">
        <v>0.25</v>
      </c>
      <c r="AT5272" t="s">
        <v>25143</v>
      </c>
      <c r="AU5272" t="s">
        <v>99</v>
      </c>
      <c r="AW5272" t="s">
        <v>11447</v>
      </c>
    </row>
    <row r="5273" spans="1:49">
      <c r="A5273" s="1">
        <f>HYPERLINK("https://lsnyc.legalserver.org/matter/dynamic-profile/view/0802108","16-0802108")</f>
        <v>0</v>
      </c>
      <c r="B5273" t="s">
        <v>179</v>
      </c>
      <c r="C5273" t="s">
        <v>939</v>
      </c>
      <c r="E5273" t="s">
        <v>3489</v>
      </c>
      <c r="F5273" t="s">
        <v>6192</v>
      </c>
      <c r="G5273" t="s">
        <v>10322</v>
      </c>
      <c r="I5273" t="s">
        <v>11388</v>
      </c>
      <c r="J5273">
        <v>11385</v>
      </c>
      <c r="K5273" t="s">
        <v>11447</v>
      </c>
      <c r="N5273" t="s">
        <v>14778</v>
      </c>
      <c r="P5273" t="s">
        <v>14809</v>
      </c>
      <c r="S5273" t="s">
        <v>14827</v>
      </c>
      <c r="V5273">
        <v>0</v>
      </c>
      <c r="W5273" t="s">
        <v>14861</v>
      </c>
      <c r="Z5273" t="s">
        <v>19194</v>
      </c>
      <c r="AB5273" t="s">
        <v>24449</v>
      </c>
      <c r="AC5273">
        <v>0</v>
      </c>
      <c r="AF5273">
        <v>0</v>
      </c>
      <c r="AG5273">
        <v>1</v>
      </c>
      <c r="AH5273">
        <v>0</v>
      </c>
      <c r="AI5273">
        <v>186.03</v>
      </c>
      <c r="AM5273">
        <v>22100</v>
      </c>
      <c r="AS5273">
        <v>0</v>
      </c>
      <c r="AU5273" t="s">
        <v>179</v>
      </c>
      <c r="AW5273" t="s">
        <v>11447</v>
      </c>
    </row>
    <row r="5274" spans="1:49">
      <c r="A5274" s="1">
        <f>HYPERLINK("https://lsnyc.legalserver.org/matter/dynamic-profile/view/0797827","16-0797827")</f>
        <v>0</v>
      </c>
      <c r="B5274" t="s">
        <v>229</v>
      </c>
      <c r="C5274" t="s">
        <v>940</v>
      </c>
      <c r="E5274" t="s">
        <v>3490</v>
      </c>
      <c r="F5274" t="s">
        <v>6193</v>
      </c>
      <c r="G5274" t="s">
        <v>10270</v>
      </c>
      <c r="H5274" t="s">
        <v>10485</v>
      </c>
      <c r="I5274" t="s">
        <v>11387</v>
      </c>
      <c r="J5274">
        <v>11435</v>
      </c>
      <c r="K5274" t="s">
        <v>11448</v>
      </c>
      <c r="P5274" t="s">
        <v>14809</v>
      </c>
      <c r="S5274" t="s">
        <v>14827</v>
      </c>
      <c r="V5274">
        <v>0</v>
      </c>
      <c r="W5274" t="s">
        <v>14861</v>
      </c>
      <c r="X5274" t="s">
        <v>14872</v>
      </c>
      <c r="Z5274" t="s">
        <v>17542</v>
      </c>
      <c r="AB5274" t="s">
        <v>24450</v>
      </c>
      <c r="AC5274">
        <v>0</v>
      </c>
      <c r="AD5274" t="s">
        <v>24595</v>
      </c>
      <c r="AF5274">
        <v>0</v>
      </c>
      <c r="AG5274">
        <v>2</v>
      </c>
      <c r="AH5274">
        <v>1</v>
      </c>
      <c r="AI5274">
        <v>190.48</v>
      </c>
      <c r="AL5274" t="s">
        <v>24647</v>
      </c>
      <c r="AM5274">
        <v>38400</v>
      </c>
      <c r="AS5274">
        <v>0.25</v>
      </c>
      <c r="AT5274" t="s">
        <v>940</v>
      </c>
      <c r="AU5274" t="s">
        <v>63</v>
      </c>
      <c r="AW5274" t="s">
        <v>11447</v>
      </c>
    </row>
    <row r="5275" spans="1:49">
      <c r="A5275" s="1">
        <f>HYPERLINK("https://lsnyc.legalserver.org/matter/dynamic-profile/view/0797092","16-0797092")</f>
        <v>0</v>
      </c>
      <c r="B5275" t="s">
        <v>138</v>
      </c>
      <c r="C5275" t="s">
        <v>941</v>
      </c>
      <c r="E5275" t="s">
        <v>1064</v>
      </c>
      <c r="F5275" t="s">
        <v>3662</v>
      </c>
      <c r="G5275" t="s">
        <v>8438</v>
      </c>
      <c r="H5275">
        <v>225</v>
      </c>
      <c r="I5275" t="s">
        <v>11392</v>
      </c>
      <c r="J5275">
        <v>11372</v>
      </c>
      <c r="K5275" t="s">
        <v>11447</v>
      </c>
      <c r="P5275" t="s">
        <v>14809</v>
      </c>
      <c r="S5275" t="s">
        <v>14827</v>
      </c>
      <c r="V5275">
        <v>0</v>
      </c>
      <c r="W5275" t="s">
        <v>14861</v>
      </c>
      <c r="Z5275" t="s">
        <v>19195</v>
      </c>
      <c r="AB5275" t="s">
        <v>24451</v>
      </c>
      <c r="AC5275">
        <v>0</v>
      </c>
      <c r="AF5275">
        <v>0</v>
      </c>
      <c r="AG5275">
        <v>1</v>
      </c>
      <c r="AH5275">
        <v>0</v>
      </c>
      <c r="AI5275">
        <v>190.53</v>
      </c>
      <c r="AL5275" t="s">
        <v>24632</v>
      </c>
      <c r="AM5275">
        <v>22424.88</v>
      </c>
      <c r="AS5275">
        <v>19.5</v>
      </c>
      <c r="AT5275" t="s">
        <v>25203</v>
      </c>
      <c r="AU5275" t="s">
        <v>99</v>
      </c>
      <c r="AW5275" t="s">
        <v>11447</v>
      </c>
    </row>
    <row r="5276" spans="1:49">
      <c r="A5276" s="1">
        <f>HYPERLINK("https://lsnyc.legalserver.org/matter/dynamic-profile/view/0817614","16-0817614")</f>
        <v>0</v>
      </c>
      <c r="B5276" t="s">
        <v>179</v>
      </c>
      <c r="C5276" t="s">
        <v>942</v>
      </c>
      <c r="E5276" t="s">
        <v>1670</v>
      </c>
      <c r="F5276" t="s">
        <v>4539</v>
      </c>
      <c r="G5276" t="s">
        <v>10323</v>
      </c>
      <c r="H5276" t="s">
        <v>10638</v>
      </c>
      <c r="I5276" t="s">
        <v>11388</v>
      </c>
      <c r="J5276">
        <v>11385</v>
      </c>
      <c r="K5276" t="s">
        <v>11447</v>
      </c>
      <c r="L5276" t="s">
        <v>14691</v>
      </c>
      <c r="M5276" t="s">
        <v>14743</v>
      </c>
      <c r="N5276" t="s">
        <v>14781</v>
      </c>
      <c r="P5276" t="s">
        <v>14809</v>
      </c>
      <c r="Q5276" t="s">
        <v>11446</v>
      </c>
      <c r="S5276" t="s">
        <v>14827</v>
      </c>
      <c r="V5276">
        <v>1080</v>
      </c>
      <c r="W5276" t="s">
        <v>14861</v>
      </c>
      <c r="Z5276" t="s">
        <v>19196</v>
      </c>
      <c r="AB5276" t="s">
        <v>24452</v>
      </c>
      <c r="AC5276">
        <v>6</v>
      </c>
      <c r="AD5276" t="s">
        <v>24595</v>
      </c>
      <c r="AF5276">
        <v>25</v>
      </c>
      <c r="AG5276">
        <v>2</v>
      </c>
      <c r="AH5276">
        <v>1</v>
      </c>
      <c r="AI5276">
        <v>197.42</v>
      </c>
      <c r="AM5276">
        <v>39800</v>
      </c>
      <c r="AS5276">
        <v>19.45</v>
      </c>
      <c r="AT5276" t="s">
        <v>742</v>
      </c>
      <c r="AU5276" t="s">
        <v>99</v>
      </c>
      <c r="AW5276" t="s">
        <v>11447</v>
      </c>
    </row>
    <row r="5277" spans="1:49">
      <c r="A5277" s="1">
        <f>HYPERLINK("https://lsnyc.legalserver.org/matter/dynamic-profile/view/0813336","16-0813336")</f>
        <v>0</v>
      </c>
      <c r="B5277" t="s">
        <v>179</v>
      </c>
      <c r="C5277" t="s">
        <v>685</v>
      </c>
      <c r="E5277" t="s">
        <v>1440</v>
      </c>
      <c r="F5277" t="s">
        <v>6194</v>
      </c>
      <c r="G5277" t="s">
        <v>10324</v>
      </c>
      <c r="H5277" t="s">
        <v>10569</v>
      </c>
      <c r="I5277" t="s">
        <v>11389</v>
      </c>
      <c r="J5277">
        <v>11358</v>
      </c>
      <c r="K5277" t="s">
        <v>11447</v>
      </c>
      <c r="M5277" t="s">
        <v>14746</v>
      </c>
      <c r="N5277" t="s">
        <v>14778</v>
      </c>
      <c r="P5277" t="s">
        <v>14809</v>
      </c>
      <c r="S5277" t="s">
        <v>14827</v>
      </c>
      <c r="V5277">
        <v>0</v>
      </c>
      <c r="W5277" t="s">
        <v>14861</v>
      </c>
      <c r="X5277" t="s">
        <v>14755</v>
      </c>
      <c r="Z5277" t="s">
        <v>18510</v>
      </c>
      <c r="AB5277" t="s">
        <v>24453</v>
      </c>
      <c r="AC5277">
        <v>0</v>
      </c>
      <c r="AF5277">
        <v>0</v>
      </c>
      <c r="AG5277">
        <v>2</v>
      </c>
      <c r="AH5277">
        <v>0</v>
      </c>
      <c r="AI5277">
        <v>203.9</v>
      </c>
      <c r="AL5277" t="s">
        <v>5011</v>
      </c>
      <c r="AM5277">
        <v>32664</v>
      </c>
      <c r="AS5277">
        <v>2</v>
      </c>
      <c r="AT5277" t="s">
        <v>978</v>
      </c>
      <c r="AU5277" t="s">
        <v>179</v>
      </c>
      <c r="AW5277" t="s">
        <v>11447</v>
      </c>
    </row>
    <row r="5278" spans="1:49">
      <c r="A5278" s="1">
        <f>HYPERLINK("https://lsnyc.legalserver.org/matter/dynamic-profile/view/0807868","16-0807868")</f>
        <v>0</v>
      </c>
      <c r="B5278" t="s">
        <v>138</v>
      </c>
      <c r="C5278" t="s">
        <v>943</v>
      </c>
      <c r="E5278" t="s">
        <v>1320</v>
      </c>
      <c r="F5278" t="s">
        <v>3683</v>
      </c>
      <c r="G5278" t="s">
        <v>10325</v>
      </c>
      <c r="H5278" t="s">
        <v>11348</v>
      </c>
      <c r="I5278" t="s">
        <v>11387</v>
      </c>
      <c r="J5278">
        <v>11432</v>
      </c>
      <c r="K5278" t="s">
        <v>11447</v>
      </c>
      <c r="N5278" t="s">
        <v>14778</v>
      </c>
      <c r="P5278" t="s">
        <v>14809</v>
      </c>
      <c r="S5278" t="s">
        <v>14827</v>
      </c>
      <c r="V5278">
        <v>0</v>
      </c>
      <c r="W5278" t="s">
        <v>14861</v>
      </c>
      <c r="Z5278" t="s">
        <v>19197</v>
      </c>
      <c r="AB5278" t="s">
        <v>24454</v>
      </c>
      <c r="AC5278">
        <v>0</v>
      </c>
      <c r="AF5278">
        <v>0</v>
      </c>
      <c r="AG5278">
        <v>2</v>
      </c>
      <c r="AH5278">
        <v>0</v>
      </c>
      <c r="AI5278">
        <v>207.99</v>
      </c>
      <c r="AM5278">
        <v>33320</v>
      </c>
      <c r="AS5278">
        <v>1</v>
      </c>
      <c r="AT5278" t="s">
        <v>701</v>
      </c>
      <c r="AU5278" t="s">
        <v>99</v>
      </c>
      <c r="AW5278" t="s">
        <v>11447</v>
      </c>
    </row>
    <row r="5279" spans="1:49">
      <c r="A5279" s="1">
        <f>HYPERLINK("https://lsnyc.legalserver.org/matter/dynamic-profile/view/0818870","16-0818870")</f>
        <v>0</v>
      </c>
      <c r="B5279" t="s">
        <v>179</v>
      </c>
      <c r="C5279" t="s">
        <v>944</v>
      </c>
      <c r="E5279" t="s">
        <v>1243</v>
      </c>
      <c r="F5279" t="s">
        <v>6195</v>
      </c>
      <c r="G5279" t="s">
        <v>10326</v>
      </c>
      <c r="H5279" t="s">
        <v>10598</v>
      </c>
      <c r="I5279" t="s">
        <v>11394</v>
      </c>
      <c r="J5279">
        <v>11694</v>
      </c>
      <c r="K5279" t="s">
        <v>11447</v>
      </c>
      <c r="P5279" t="s">
        <v>14809</v>
      </c>
      <c r="S5279" t="s">
        <v>14827</v>
      </c>
      <c r="V5279">
        <v>0</v>
      </c>
      <c r="W5279" t="s">
        <v>14861</v>
      </c>
      <c r="Z5279" t="s">
        <v>19198</v>
      </c>
      <c r="AB5279" t="s">
        <v>24455</v>
      </c>
      <c r="AC5279">
        <v>0</v>
      </c>
      <c r="AF5279">
        <v>0</v>
      </c>
      <c r="AG5279">
        <v>2</v>
      </c>
      <c r="AH5279">
        <v>0</v>
      </c>
      <c r="AI5279">
        <v>214.73</v>
      </c>
      <c r="AL5279" t="s">
        <v>5011</v>
      </c>
      <c r="AM5279">
        <v>34400</v>
      </c>
      <c r="AS5279">
        <v>1</v>
      </c>
      <c r="AT5279" t="s">
        <v>854</v>
      </c>
      <c r="AU5279" t="s">
        <v>179</v>
      </c>
      <c r="AW5279" t="s">
        <v>11447</v>
      </c>
    </row>
    <row r="5280" spans="1:49">
      <c r="A5280" s="1">
        <f>HYPERLINK("https://lsnyc.legalserver.org/matter/dynamic-profile/view/0792037","15-0792037")</f>
        <v>0</v>
      </c>
      <c r="B5280" t="s">
        <v>138</v>
      </c>
      <c r="C5280" t="s">
        <v>945</v>
      </c>
      <c r="E5280" t="s">
        <v>1372</v>
      </c>
      <c r="F5280" t="s">
        <v>4768</v>
      </c>
      <c r="G5280" t="s">
        <v>7829</v>
      </c>
      <c r="H5280" t="s">
        <v>10731</v>
      </c>
      <c r="I5280" t="s">
        <v>11388</v>
      </c>
      <c r="J5280">
        <v>11385</v>
      </c>
      <c r="K5280" t="s">
        <v>11448</v>
      </c>
      <c r="N5280" t="s">
        <v>14781</v>
      </c>
      <c r="P5280" t="s">
        <v>14809</v>
      </c>
      <c r="S5280" t="s">
        <v>14827</v>
      </c>
      <c r="V5280">
        <v>0</v>
      </c>
      <c r="W5280" t="s">
        <v>14861</v>
      </c>
      <c r="Z5280" t="s">
        <v>16758</v>
      </c>
      <c r="AB5280" t="s">
        <v>21786</v>
      </c>
      <c r="AC5280">
        <v>0</v>
      </c>
      <c r="AF5280">
        <v>0</v>
      </c>
      <c r="AG5280">
        <v>1</v>
      </c>
      <c r="AH5280">
        <v>0</v>
      </c>
      <c r="AI5280">
        <v>216.48</v>
      </c>
      <c r="AL5280" t="s">
        <v>24632</v>
      </c>
      <c r="AM5280">
        <v>25480</v>
      </c>
      <c r="AS5280">
        <v>79.95</v>
      </c>
      <c r="AT5280" t="s">
        <v>433</v>
      </c>
      <c r="AU5280" t="s">
        <v>25234</v>
      </c>
      <c r="AW5280" t="s">
        <v>11447</v>
      </c>
    </row>
    <row r="5281" spans="1:49">
      <c r="A5281" s="1">
        <f>HYPERLINK("https://lsnyc.legalserver.org/matter/dynamic-profile/view/0816234","16-0816234")</f>
        <v>0</v>
      </c>
      <c r="B5281" t="s">
        <v>99</v>
      </c>
      <c r="C5281" t="s">
        <v>883</v>
      </c>
      <c r="E5281" t="s">
        <v>3491</v>
      </c>
      <c r="F5281" t="s">
        <v>6196</v>
      </c>
      <c r="G5281" t="s">
        <v>10327</v>
      </c>
      <c r="H5281" t="s">
        <v>11212</v>
      </c>
      <c r="I5281" t="s">
        <v>11387</v>
      </c>
      <c r="J5281">
        <v>11434</v>
      </c>
      <c r="K5281" t="s">
        <v>11447</v>
      </c>
      <c r="L5281" t="s">
        <v>14692</v>
      </c>
      <c r="M5281" t="s">
        <v>14744</v>
      </c>
      <c r="N5281" t="s">
        <v>14780</v>
      </c>
      <c r="P5281" t="s">
        <v>14809</v>
      </c>
      <c r="Q5281" t="s">
        <v>11448</v>
      </c>
      <c r="S5281" t="s">
        <v>14827</v>
      </c>
      <c r="V5281">
        <v>1600</v>
      </c>
      <c r="W5281" t="s">
        <v>14861</v>
      </c>
      <c r="X5281" t="s">
        <v>14874</v>
      </c>
      <c r="Z5281" t="s">
        <v>19199</v>
      </c>
      <c r="AB5281" t="s">
        <v>24456</v>
      </c>
      <c r="AC5281">
        <v>2</v>
      </c>
      <c r="AD5281" t="s">
        <v>24607</v>
      </c>
      <c r="AF5281">
        <v>9</v>
      </c>
      <c r="AG5281">
        <v>2</v>
      </c>
      <c r="AH5281">
        <v>0</v>
      </c>
      <c r="AI5281">
        <v>222.73</v>
      </c>
      <c r="AM5281">
        <v>35681.28</v>
      </c>
      <c r="AS5281">
        <v>0.5</v>
      </c>
      <c r="AT5281" t="s">
        <v>883</v>
      </c>
      <c r="AU5281" t="s">
        <v>99</v>
      </c>
      <c r="AW5281" t="s">
        <v>11447</v>
      </c>
    </row>
    <row r="5282" spans="1:49">
      <c r="A5282" s="1">
        <f>HYPERLINK("https://lsnyc.legalserver.org/matter/dynamic-profile/view/0816166","16-0816166")</f>
        <v>0</v>
      </c>
      <c r="B5282" t="s">
        <v>179</v>
      </c>
      <c r="C5282" t="s">
        <v>883</v>
      </c>
      <c r="E5282" t="s">
        <v>1334</v>
      </c>
      <c r="F5282" t="s">
        <v>6197</v>
      </c>
      <c r="G5282" t="s">
        <v>10328</v>
      </c>
      <c r="H5282" t="s">
        <v>10552</v>
      </c>
      <c r="I5282" t="s">
        <v>11433</v>
      </c>
      <c r="J5282">
        <v>11370</v>
      </c>
      <c r="K5282" t="s">
        <v>11447</v>
      </c>
      <c r="L5282" t="s">
        <v>14693</v>
      </c>
      <c r="M5282" t="s">
        <v>14744</v>
      </c>
      <c r="N5282" t="s">
        <v>14783</v>
      </c>
      <c r="P5282" t="s">
        <v>14809</v>
      </c>
      <c r="Q5282" t="s">
        <v>11448</v>
      </c>
      <c r="S5282" t="s">
        <v>14827</v>
      </c>
      <c r="V5282">
        <v>1500</v>
      </c>
      <c r="W5282" t="s">
        <v>14861</v>
      </c>
      <c r="X5282" t="s">
        <v>14873</v>
      </c>
      <c r="Z5282" t="s">
        <v>19200</v>
      </c>
      <c r="AB5282" t="s">
        <v>24457</v>
      </c>
      <c r="AC5282">
        <v>2</v>
      </c>
      <c r="AD5282" t="s">
        <v>24598</v>
      </c>
      <c r="AF5282">
        <v>3</v>
      </c>
      <c r="AG5282">
        <v>1</v>
      </c>
      <c r="AH5282">
        <v>1</v>
      </c>
      <c r="AI5282">
        <v>227.22</v>
      </c>
      <c r="AM5282">
        <v>36400</v>
      </c>
      <c r="AS5282">
        <v>29.7</v>
      </c>
      <c r="AT5282" t="s">
        <v>457</v>
      </c>
      <c r="AU5282" t="s">
        <v>99</v>
      </c>
      <c r="AW5282" t="s">
        <v>11447</v>
      </c>
    </row>
    <row r="5283" spans="1:49">
      <c r="A5283" s="1">
        <f>HYPERLINK("https://lsnyc.legalserver.org/matter/dynamic-profile/view/0802243","16-0802243")</f>
        <v>0</v>
      </c>
      <c r="B5283" t="s">
        <v>179</v>
      </c>
      <c r="C5283" t="s">
        <v>939</v>
      </c>
      <c r="E5283" t="s">
        <v>1025</v>
      </c>
      <c r="F5283" t="s">
        <v>6198</v>
      </c>
      <c r="G5283" t="s">
        <v>10292</v>
      </c>
      <c r="H5283" t="s">
        <v>10644</v>
      </c>
      <c r="I5283" t="s">
        <v>11387</v>
      </c>
      <c r="J5283">
        <v>11432</v>
      </c>
      <c r="K5283" t="s">
        <v>11447</v>
      </c>
      <c r="P5283" t="s">
        <v>14809</v>
      </c>
      <c r="S5283" t="s">
        <v>14829</v>
      </c>
      <c r="V5283">
        <v>0</v>
      </c>
      <c r="W5283" t="s">
        <v>14861</v>
      </c>
      <c r="Z5283" t="s">
        <v>19201</v>
      </c>
      <c r="AB5283" t="s">
        <v>24458</v>
      </c>
      <c r="AC5283">
        <v>0</v>
      </c>
      <c r="AF5283">
        <v>0</v>
      </c>
      <c r="AG5283">
        <v>2</v>
      </c>
      <c r="AH5283">
        <v>0</v>
      </c>
      <c r="AI5283">
        <v>240.32</v>
      </c>
      <c r="AL5283" t="s">
        <v>24632</v>
      </c>
      <c r="AM5283">
        <v>38500</v>
      </c>
      <c r="AS5283">
        <v>20.85</v>
      </c>
      <c r="AT5283" t="s">
        <v>820</v>
      </c>
      <c r="AU5283" t="s">
        <v>301</v>
      </c>
      <c r="AW5283" t="s">
        <v>11447</v>
      </c>
    </row>
    <row r="5284" spans="1:49">
      <c r="A5284" s="1">
        <f>HYPERLINK("https://lsnyc.legalserver.org/matter/dynamic-profile/view/0803738","16-0803738")</f>
        <v>0</v>
      </c>
      <c r="B5284" t="s">
        <v>179</v>
      </c>
      <c r="C5284" t="s">
        <v>921</v>
      </c>
      <c r="E5284" t="s">
        <v>1181</v>
      </c>
      <c r="F5284" t="s">
        <v>4985</v>
      </c>
      <c r="G5284" t="s">
        <v>10329</v>
      </c>
      <c r="H5284" t="s">
        <v>10569</v>
      </c>
      <c r="I5284" t="s">
        <v>11391</v>
      </c>
      <c r="J5284">
        <v>11691</v>
      </c>
      <c r="K5284" t="s">
        <v>11447</v>
      </c>
      <c r="P5284" t="s">
        <v>14809</v>
      </c>
      <c r="S5284" t="s">
        <v>14827</v>
      </c>
      <c r="V5284">
        <v>0</v>
      </c>
      <c r="W5284" t="s">
        <v>14861</v>
      </c>
      <c r="Z5284" t="s">
        <v>19202</v>
      </c>
      <c r="AB5284" t="s">
        <v>24459</v>
      </c>
      <c r="AC5284">
        <v>0</v>
      </c>
      <c r="AF5284">
        <v>0</v>
      </c>
      <c r="AG5284">
        <v>1</v>
      </c>
      <c r="AH5284">
        <v>0</v>
      </c>
      <c r="AI5284">
        <v>242.42</v>
      </c>
      <c r="AL5284" t="s">
        <v>5011</v>
      </c>
      <c r="AM5284">
        <v>28800</v>
      </c>
      <c r="AS5284">
        <v>22.4</v>
      </c>
      <c r="AT5284" t="s">
        <v>25143</v>
      </c>
      <c r="AU5284" t="s">
        <v>179</v>
      </c>
      <c r="AW5284" t="s">
        <v>11447</v>
      </c>
    </row>
    <row r="5285" spans="1:49">
      <c r="A5285" s="1">
        <f>HYPERLINK("https://lsnyc.legalserver.org/matter/dynamic-profile/view/0832350","17-0832350")</f>
        <v>0</v>
      </c>
      <c r="B5285" t="s">
        <v>138</v>
      </c>
      <c r="C5285" t="s">
        <v>946</v>
      </c>
      <c r="E5285" t="s">
        <v>1086</v>
      </c>
      <c r="F5285" t="s">
        <v>6199</v>
      </c>
      <c r="G5285" t="s">
        <v>10330</v>
      </c>
      <c r="H5285" t="s">
        <v>10506</v>
      </c>
      <c r="I5285" t="s">
        <v>11404</v>
      </c>
      <c r="J5285">
        <v>11106</v>
      </c>
      <c r="K5285" t="s">
        <v>11447</v>
      </c>
      <c r="L5285" t="s">
        <v>14694</v>
      </c>
      <c r="M5285" t="s">
        <v>14743</v>
      </c>
      <c r="N5285" t="s">
        <v>14778</v>
      </c>
      <c r="P5285" t="s">
        <v>14809</v>
      </c>
      <c r="Q5285" t="s">
        <v>11446</v>
      </c>
      <c r="S5285" t="s">
        <v>14827</v>
      </c>
      <c r="V5285">
        <v>1450</v>
      </c>
      <c r="W5285" t="s">
        <v>14861</v>
      </c>
      <c r="X5285" t="s">
        <v>14866</v>
      </c>
      <c r="Z5285" t="s">
        <v>19203</v>
      </c>
      <c r="AC5285">
        <v>4</v>
      </c>
      <c r="AD5285" t="s">
        <v>11479</v>
      </c>
      <c r="AF5285">
        <v>4</v>
      </c>
      <c r="AG5285">
        <v>3</v>
      </c>
      <c r="AH5285">
        <v>2</v>
      </c>
      <c r="AI5285">
        <v>242.53</v>
      </c>
      <c r="AL5285" t="s">
        <v>5011</v>
      </c>
      <c r="AM5285">
        <v>69800</v>
      </c>
      <c r="AS5285">
        <v>1.9</v>
      </c>
      <c r="AT5285" t="s">
        <v>25204</v>
      </c>
      <c r="AU5285" t="s">
        <v>25244</v>
      </c>
      <c r="AW5285" t="s">
        <v>11447</v>
      </c>
    </row>
    <row r="5286" spans="1:49">
      <c r="A5286" s="1">
        <f>HYPERLINK("https://lsnyc.legalserver.org/matter/dynamic-profile/view/0810590","16-0810590")</f>
        <v>0</v>
      </c>
      <c r="B5286" t="s">
        <v>179</v>
      </c>
      <c r="C5286" t="s">
        <v>718</v>
      </c>
      <c r="E5286" t="s">
        <v>1032</v>
      </c>
      <c r="F5286" t="s">
        <v>6200</v>
      </c>
      <c r="G5286" t="s">
        <v>10331</v>
      </c>
      <c r="H5286" t="s">
        <v>10495</v>
      </c>
      <c r="I5286" t="s">
        <v>11392</v>
      </c>
      <c r="J5286">
        <v>11372</v>
      </c>
      <c r="K5286" t="s">
        <v>11447</v>
      </c>
      <c r="P5286" t="s">
        <v>14809</v>
      </c>
      <c r="S5286" t="s">
        <v>14827</v>
      </c>
      <c r="V5286">
        <v>0</v>
      </c>
      <c r="W5286" t="s">
        <v>14861</v>
      </c>
      <c r="Z5286" t="s">
        <v>19204</v>
      </c>
      <c r="AB5286" t="s">
        <v>24460</v>
      </c>
      <c r="AC5286">
        <v>0</v>
      </c>
      <c r="AF5286">
        <v>0</v>
      </c>
      <c r="AG5286">
        <v>2</v>
      </c>
      <c r="AH5286">
        <v>0</v>
      </c>
      <c r="AI5286">
        <v>243.45</v>
      </c>
      <c r="AL5286" t="s">
        <v>24632</v>
      </c>
      <c r="AM5286">
        <v>39000</v>
      </c>
      <c r="AS5286">
        <v>1.25</v>
      </c>
      <c r="AT5286" t="s">
        <v>25205</v>
      </c>
      <c r="AU5286" t="s">
        <v>179</v>
      </c>
      <c r="AW5286" t="s">
        <v>11447</v>
      </c>
    </row>
    <row r="5287" spans="1:49">
      <c r="A5287" s="1">
        <f>HYPERLINK("https://lsnyc.legalserver.org/matter/dynamic-profile/view/0830841","17-0830841")</f>
        <v>0</v>
      </c>
      <c r="B5287" t="s">
        <v>74</v>
      </c>
      <c r="C5287" t="s">
        <v>947</v>
      </c>
      <c r="E5287" t="s">
        <v>3492</v>
      </c>
      <c r="F5287" t="s">
        <v>2218</v>
      </c>
      <c r="G5287" t="s">
        <v>10332</v>
      </c>
      <c r="H5287" t="s">
        <v>11349</v>
      </c>
      <c r="I5287" t="s">
        <v>11391</v>
      </c>
      <c r="J5287">
        <v>11691</v>
      </c>
      <c r="K5287" t="s">
        <v>11447</v>
      </c>
      <c r="L5287" t="s">
        <v>14695</v>
      </c>
      <c r="M5287" t="s">
        <v>14744</v>
      </c>
      <c r="N5287" t="s">
        <v>14781</v>
      </c>
      <c r="P5287" t="s">
        <v>14809</v>
      </c>
      <c r="Q5287" t="s">
        <v>11448</v>
      </c>
      <c r="S5287" t="s">
        <v>14829</v>
      </c>
      <c r="V5287">
        <v>1020</v>
      </c>
      <c r="W5287" t="s">
        <v>14861</v>
      </c>
      <c r="X5287" t="s">
        <v>14873</v>
      </c>
      <c r="Z5287" t="s">
        <v>19205</v>
      </c>
      <c r="AB5287" t="s">
        <v>24461</v>
      </c>
      <c r="AC5287">
        <v>462</v>
      </c>
      <c r="AD5287" t="s">
        <v>24600</v>
      </c>
      <c r="AE5287" t="s">
        <v>11459</v>
      </c>
      <c r="AF5287">
        <v>6</v>
      </c>
      <c r="AG5287">
        <v>1</v>
      </c>
      <c r="AH5287">
        <v>0</v>
      </c>
      <c r="AI5287">
        <v>258.71</v>
      </c>
      <c r="AL5287" t="s">
        <v>5011</v>
      </c>
      <c r="AM5287">
        <v>31200</v>
      </c>
      <c r="AS5287">
        <v>0.05</v>
      </c>
      <c r="AT5287" t="s">
        <v>716</v>
      </c>
      <c r="AU5287" t="s">
        <v>229</v>
      </c>
      <c r="AW5287" t="s">
        <v>11447</v>
      </c>
    </row>
    <row r="5288" spans="1:49">
      <c r="A5288" s="1">
        <f>HYPERLINK("https://lsnyc.legalserver.org/matter/dynamic-profile/view/0799750","16-0799750")</f>
        <v>0</v>
      </c>
      <c r="B5288" t="s">
        <v>138</v>
      </c>
      <c r="C5288" t="s">
        <v>886</v>
      </c>
      <c r="E5288" t="s">
        <v>1801</v>
      </c>
      <c r="F5288" t="s">
        <v>6201</v>
      </c>
      <c r="G5288" t="s">
        <v>10333</v>
      </c>
      <c r="H5288">
        <v>190</v>
      </c>
      <c r="I5288" t="s">
        <v>11395</v>
      </c>
      <c r="J5288">
        <v>11373</v>
      </c>
      <c r="K5288" t="s">
        <v>11448</v>
      </c>
      <c r="L5288" t="s">
        <v>14696</v>
      </c>
      <c r="M5288" t="s">
        <v>14743</v>
      </c>
      <c r="N5288" t="s">
        <v>14781</v>
      </c>
      <c r="P5288" t="s">
        <v>14809</v>
      </c>
      <c r="S5288" t="s">
        <v>14827</v>
      </c>
      <c r="V5288">
        <v>905</v>
      </c>
      <c r="W5288" t="s">
        <v>14861</v>
      </c>
      <c r="X5288" t="s">
        <v>14867</v>
      </c>
      <c r="Z5288" t="s">
        <v>19206</v>
      </c>
      <c r="AB5288" t="s">
        <v>24462</v>
      </c>
      <c r="AC5288">
        <v>0</v>
      </c>
      <c r="AD5288" t="s">
        <v>24595</v>
      </c>
      <c r="AF5288">
        <v>5</v>
      </c>
      <c r="AG5288">
        <v>2</v>
      </c>
      <c r="AH5288">
        <v>0</v>
      </c>
      <c r="AI5288">
        <v>275.91</v>
      </c>
      <c r="AL5288" t="s">
        <v>24632</v>
      </c>
      <c r="AM5288">
        <v>44200</v>
      </c>
      <c r="AS5288">
        <v>0.92</v>
      </c>
      <c r="AT5288" t="s">
        <v>25206</v>
      </c>
      <c r="AU5288" t="s">
        <v>138</v>
      </c>
      <c r="AW5288" t="s">
        <v>11447</v>
      </c>
    </row>
    <row r="5289" spans="1:49">
      <c r="A5289" s="1">
        <f>HYPERLINK("https://lsnyc.legalserver.org/matter/dynamic-profile/view/0793567","15-0793567")</f>
        <v>0</v>
      </c>
      <c r="B5289" t="s">
        <v>179</v>
      </c>
      <c r="C5289" t="s">
        <v>948</v>
      </c>
      <c r="E5289" t="s">
        <v>2492</v>
      </c>
      <c r="F5289" t="s">
        <v>4300</v>
      </c>
      <c r="G5289" t="s">
        <v>10334</v>
      </c>
      <c r="H5289" t="s">
        <v>10910</v>
      </c>
      <c r="I5289" t="s">
        <v>11389</v>
      </c>
      <c r="J5289">
        <v>11354</v>
      </c>
      <c r="K5289" t="s">
        <v>11446</v>
      </c>
      <c r="L5289" t="s">
        <v>14697</v>
      </c>
      <c r="M5289" t="s">
        <v>14744</v>
      </c>
      <c r="N5289" t="s">
        <v>14781</v>
      </c>
      <c r="P5289" t="s">
        <v>14809</v>
      </c>
      <c r="S5289" t="s">
        <v>14827</v>
      </c>
      <c r="V5289">
        <v>1248</v>
      </c>
      <c r="W5289" t="s">
        <v>14861</v>
      </c>
      <c r="Z5289" t="s">
        <v>19207</v>
      </c>
      <c r="AB5289" t="s">
        <v>24463</v>
      </c>
      <c r="AC5289">
        <v>0</v>
      </c>
      <c r="AD5289" t="s">
        <v>24595</v>
      </c>
      <c r="AF5289">
        <v>0</v>
      </c>
      <c r="AG5289">
        <v>1</v>
      </c>
      <c r="AH5289">
        <v>0</v>
      </c>
      <c r="AI5289">
        <v>287.17</v>
      </c>
      <c r="AL5289" t="s">
        <v>5011</v>
      </c>
      <c r="AM5289">
        <v>33800</v>
      </c>
      <c r="AS5289">
        <v>11.2</v>
      </c>
      <c r="AT5289" t="s">
        <v>25161</v>
      </c>
      <c r="AU5289" t="s">
        <v>179</v>
      </c>
      <c r="AW5289" t="s">
        <v>11447</v>
      </c>
    </row>
    <row r="5290" spans="1:49">
      <c r="A5290" s="1">
        <f>HYPERLINK("https://lsnyc.legalserver.org/matter/dynamic-profile/view/0829240","17-0829240")</f>
        <v>0</v>
      </c>
      <c r="B5290" t="s">
        <v>179</v>
      </c>
      <c r="C5290" t="s">
        <v>949</v>
      </c>
      <c r="E5290" t="s">
        <v>2190</v>
      </c>
      <c r="F5290" t="s">
        <v>6202</v>
      </c>
      <c r="G5290" t="s">
        <v>10335</v>
      </c>
      <c r="H5290" t="s">
        <v>10639</v>
      </c>
      <c r="I5290" t="s">
        <v>11388</v>
      </c>
      <c r="J5290">
        <v>11385</v>
      </c>
      <c r="K5290" t="s">
        <v>11448</v>
      </c>
      <c r="M5290" t="s">
        <v>14744</v>
      </c>
      <c r="N5290" t="s">
        <v>14781</v>
      </c>
      <c r="P5290" t="s">
        <v>14809</v>
      </c>
      <c r="S5290" t="s">
        <v>14827</v>
      </c>
      <c r="V5290">
        <v>0</v>
      </c>
      <c r="W5290" t="s">
        <v>14861</v>
      </c>
      <c r="Z5290" t="s">
        <v>17341</v>
      </c>
      <c r="AB5290" t="s">
        <v>24464</v>
      </c>
      <c r="AC5290">
        <v>0</v>
      </c>
      <c r="AF5290">
        <v>0</v>
      </c>
      <c r="AG5290">
        <v>1</v>
      </c>
      <c r="AH5290">
        <v>0</v>
      </c>
      <c r="AI5290">
        <v>290.22</v>
      </c>
      <c r="AL5290" t="s">
        <v>5011</v>
      </c>
      <c r="AM5290">
        <v>35000</v>
      </c>
      <c r="AS5290">
        <v>22.2</v>
      </c>
      <c r="AT5290" t="s">
        <v>735</v>
      </c>
      <c r="AU5290" t="s">
        <v>179</v>
      </c>
      <c r="AW5290" t="s">
        <v>11447</v>
      </c>
    </row>
    <row r="5291" spans="1:49">
      <c r="A5291" s="1">
        <f>HYPERLINK("https://lsnyc.legalserver.org/matter/dynamic-profile/view/0827666","17-0827666")</f>
        <v>0</v>
      </c>
      <c r="B5291" t="s">
        <v>179</v>
      </c>
      <c r="C5291" t="s">
        <v>950</v>
      </c>
      <c r="E5291" t="s">
        <v>2190</v>
      </c>
      <c r="F5291" t="s">
        <v>6202</v>
      </c>
      <c r="G5291" t="s">
        <v>10335</v>
      </c>
      <c r="H5291" t="s">
        <v>10639</v>
      </c>
      <c r="I5291" t="s">
        <v>11388</v>
      </c>
      <c r="J5291">
        <v>11385</v>
      </c>
      <c r="K5291" t="s">
        <v>11447</v>
      </c>
      <c r="N5291" t="s">
        <v>14781</v>
      </c>
      <c r="P5291" t="s">
        <v>14809</v>
      </c>
      <c r="S5291" t="s">
        <v>14827</v>
      </c>
      <c r="V5291">
        <v>0</v>
      </c>
      <c r="W5291" t="s">
        <v>14861</v>
      </c>
      <c r="Z5291" t="s">
        <v>17341</v>
      </c>
      <c r="AB5291" t="s">
        <v>24464</v>
      </c>
      <c r="AC5291">
        <v>0</v>
      </c>
      <c r="AF5291">
        <v>0</v>
      </c>
      <c r="AG5291">
        <v>1</v>
      </c>
      <c r="AH5291">
        <v>0</v>
      </c>
      <c r="AI5291">
        <v>290.22</v>
      </c>
      <c r="AL5291" t="s">
        <v>5011</v>
      </c>
      <c r="AM5291">
        <v>35000</v>
      </c>
      <c r="AS5291">
        <v>51.55</v>
      </c>
      <c r="AT5291" t="s">
        <v>25207</v>
      </c>
      <c r="AU5291" t="s">
        <v>179</v>
      </c>
      <c r="AW5291" t="s">
        <v>11447</v>
      </c>
    </row>
    <row r="5292" spans="1:49">
      <c r="A5292" s="1">
        <f>HYPERLINK("https://lsnyc.legalserver.org/matter/dynamic-profile/view/0802391","16-0802391")</f>
        <v>0</v>
      </c>
      <c r="B5292" t="s">
        <v>179</v>
      </c>
      <c r="C5292" t="s">
        <v>951</v>
      </c>
      <c r="E5292" t="s">
        <v>3493</v>
      </c>
      <c r="F5292" t="s">
        <v>4152</v>
      </c>
      <c r="G5292" t="s">
        <v>10336</v>
      </c>
      <c r="I5292" t="s">
        <v>11390</v>
      </c>
      <c r="J5292">
        <v>11368</v>
      </c>
      <c r="K5292" t="s">
        <v>11447</v>
      </c>
      <c r="P5292" t="s">
        <v>14809</v>
      </c>
      <c r="S5292" t="s">
        <v>14827</v>
      </c>
      <c r="V5292">
        <v>0</v>
      </c>
      <c r="W5292" t="s">
        <v>14861</v>
      </c>
      <c r="Z5292" t="s">
        <v>15617</v>
      </c>
      <c r="AB5292" t="s">
        <v>24465</v>
      </c>
      <c r="AC5292">
        <v>0</v>
      </c>
      <c r="AF5292">
        <v>0</v>
      </c>
      <c r="AG5292">
        <v>1</v>
      </c>
      <c r="AH5292">
        <v>1</v>
      </c>
      <c r="AI5292">
        <v>292.13</v>
      </c>
      <c r="AL5292" t="s">
        <v>24632</v>
      </c>
      <c r="AM5292">
        <v>46800</v>
      </c>
      <c r="AS5292">
        <v>1.7</v>
      </c>
      <c r="AT5292" t="s">
        <v>25208</v>
      </c>
      <c r="AU5292" t="s">
        <v>179</v>
      </c>
      <c r="AW5292" t="s">
        <v>11447</v>
      </c>
    </row>
    <row r="5293" spans="1:49">
      <c r="A5293" s="1">
        <f>HYPERLINK("https://lsnyc.legalserver.org/matter/dynamic-profile/view/0803969","16-0803969")</f>
        <v>0</v>
      </c>
      <c r="B5293" t="s">
        <v>179</v>
      </c>
      <c r="C5293" t="s">
        <v>952</v>
      </c>
      <c r="E5293" t="s">
        <v>3494</v>
      </c>
      <c r="F5293" t="s">
        <v>3662</v>
      </c>
      <c r="G5293" t="s">
        <v>10337</v>
      </c>
      <c r="H5293" t="s">
        <v>10476</v>
      </c>
      <c r="I5293" t="s">
        <v>11396</v>
      </c>
      <c r="J5293">
        <v>11365</v>
      </c>
      <c r="K5293" t="s">
        <v>11447</v>
      </c>
      <c r="N5293" t="s">
        <v>14778</v>
      </c>
      <c r="P5293" t="s">
        <v>14809</v>
      </c>
      <c r="S5293" t="s">
        <v>14828</v>
      </c>
      <c r="V5293">
        <v>0</v>
      </c>
      <c r="W5293" t="s">
        <v>14861</v>
      </c>
      <c r="Z5293" t="s">
        <v>19208</v>
      </c>
      <c r="AB5293" t="s">
        <v>24466</v>
      </c>
      <c r="AC5293">
        <v>0</v>
      </c>
      <c r="AF5293">
        <v>0</v>
      </c>
      <c r="AG5293">
        <v>1</v>
      </c>
      <c r="AH5293">
        <v>0</v>
      </c>
      <c r="AI5293">
        <v>372.05</v>
      </c>
      <c r="AL5293" t="s">
        <v>24632</v>
      </c>
      <c r="AM5293">
        <v>44200</v>
      </c>
      <c r="AS5293">
        <v>2.95</v>
      </c>
      <c r="AT5293" t="s">
        <v>420</v>
      </c>
      <c r="AU5293" t="s">
        <v>179</v>
      </c>
      <c r="AW5293" t="s">
        <v>11447</v>
      </c>
    </row>
    <row r="5294" spans="1:49">
      <c r="A5294" s="1">
        <f>HYPERLINK("https://lsnyc.legalserver.org/matter/dynamic-profile/view/0804460","16-0804460")</f>
        <v>0</v>
      </c>
      <c r="B5294" t="s">
        <v>179</v>
      </c>
      <c r="C5294" t="s">
        <v>906</v>
      </c>
      <c r="E5294" t="s">
        <v>3495</v>
      </c>
      <c r="F5294" t="s">
        <v>6203</v>
      </c>
      <c r="G5294" t="s">
        <v>10338</v>
      </c>
      <c r="H5294" t="s">
        <v>10522</v>
      </c>
      <c r="I5294" t="s">
        <v>11401</v>
      </c>
      <c r="J5294">
        <v>11375</v>
      </c>
      <c r="K5294" t="s">
        <v>11447</v>
      </c>
      <c r="N5294" t="s">
        <v>14781</v>
      </c>
      <c r="P5294" t="s">
        <v>14809</v>
      </c>
      <c r="S5294" t="s">
        <v>14827</v>
      </c>
      <c r="V5294">
        <v>0</v>
      </c>
      <c r="W5294" t="s">
        <v>14861</v>
      </c>
      <c r="Z5294" t="s">
        <v>19209</v>
      </c>
      <c r="AB5294" t="s">
        <v>24467</v>
      </c>
      <c r="AC5294">
        <v>0</v>
      </c>
      <c r="AF5294">
        <v>0</v>
      </c>
      <c r="AG5294">
        <v>1</v>
      </c>
      <c r="AH5294">
        <v>0</v>
      </c>
      <c r="AI5294">
        <v>390.07</v>
      </c>
      <c r="AL5294" t="s">
        <v>5011</v>
      </c>
      <c r="AM5294">
        <v>46340</v>
      </c>
      <c r="AS5294">
        <v>37.85</v>
      </c>
      <c r="AT5294" t="s">
        <v>614</v>
      </c>
      <c r="AU5294" t="s">
        <v>99</v>
      </c>
      <c r="AW5294" t="s">
        <v>11447</v>
      </c>
    </row>
    <row r="5295" spans="1:49">
      <c r="A5295" s="1">
        <f>HYPERLINK("https://lsnyc.legalserver.org/matter/dynamic-profile/view/0794363","15-0794363")</f>
        <v>0</v>
      </c>
      <c r="B5295" t="s">
        <v>179</v>
      </c>
      <c r="C5295" t="s">
        <v>738</v>
      </c>
      <c r="E5295" t="s">
        <v>3496</v>
      </c>
      <c r="F5295" t="s">
        <v>6204</v>
      </c>
      <c r="G5295" t="s">
        <v>10339</v>
      </c>
      <c r="H5295" t="s">
        <v>10468</v>
      </c>
      <c r="I5295" t="s">
        <v>11391</v>
      </c>
      <c r="J5295">
        <v>11691</v>
      </c>
      <c r="K5295" t="s">
        <v>11447</v>
      </c>
      <c r="P5295" t="s">
        <v>14809</v>
      </c>
      <c r="S5295" t="s">
        <v>14827</v>
      </c>
      <c r="V5295">
        <v>0</v>
      </c>
      <c r="W5295" t="s">
        <v>14861</v>
      </c>
      <c r="Z5295" t="s">
        <v>19210</v>
      </c>
      <c r="AB5295" t="s">
        <v>24468</v>
      </c>
      <c r="AC5295">
        <v>0</v>
      </c>
      <c r="AF5295">
        <v>0</v>
      </c>
      <c r="AG5295">
        <v>2</v>
      </c>
      <c r="AH5295">
        <v>0</v>
      </c>
      <c r="AI5295">
        <v>522.28</v>
      </c>
      <c r="AL5295" t="s">
        <v>5011</v>
      </c>
      <c r="AM5295">
        <v>83200</v>
      </c>
      <c r="AS5295">
        <v>1</v>
      </c>
      <c r="AT5295" t="s">
        <v>651</v>
      </c>
      <c r="AU5295" t="s">
        <v>179</v>
      </c>
      <c r="AW5295" t="s">
        <v>11447</v>
      </c>
    </row>
    <row r="5296" spans="1:49">
      <c r="A5296" s="1">
        <f>HYPERLINK("https://lsnyc.legalserver.org/matter/dynamic-profile/view/0808168","16-0808168")</f>
        <v>0</v>
      </c>
      <c r="B5296" t="s">
        <v>297</v>
      </c>
      <c r="C5296" t="s">
        <v>855</v>
      </c>
      <c r="D5296" t="s">
        <v>526</v>
      </c>
      <c r="E5296" t="s">
        <v>1912</v>
      </c>
      <c r="F5296" t="s">
        <v>3783</v>
      </c>
      <c r="G5296" t="s">
        <v>8794</v>
      </c>
      <c r="H5296" t="s">
        <v>10593</v>
      </c>
      <c r="I5296" t="s">
        <v>11383</v>
      </c>
      <c r="J5296">
        <v>10454</v>
      </c>
      <c r="K5296" t="s">
        <v>11446</v>
      </c>
      <c r="L5296" t="s">
        <v>14698</v>
      </c>
      <c r="M5296" t="s">
        <v>14743</v>
      </c>
      <c r="N5296" t="s">
        <v>14781</v>
      </c>
      <c r="O5296" t="s">
        <v>14793</v>
      </c>
      <c r="P5296" t="s">
        <v>14810</v>
      </c>
      <c r="Q5296" t="s">
        <v>11448</v>
      </c>
      <c r="S5296" t="s">
        <v>14827</v>
      </c>
      <c r="V5296">
        <v>1499.34</v>
      </c>
      <c r="W5296" t="s">
        <v>14858</v>
      </c>
      <c r="X5296" t="s">
        <v>14874</v>
      </c>
      <c r="Y5296" t="s">
        <v>14887</v>
      </c>
      <c r="Z5296" t="s">
        <v>17712</v>
      </c>
      <c r="AB5296" t="s">
        <v>22783</v>
      </c>
      <c r="AC5296">
        <v>50</v>
      </c>
      <c r="AD5296" t="s">
        <v>24595</v>
      </c>
      <c r="AE5296" t="s">
        <v>24610</v>
      </c>
      <c r="AF5296">
        <v>32</v>
      </c>
      <c r="AG5296">
        <v>1</v>
      </c>
      <c r="AH5296">
        <v>0</v>
      </c>
      <c r="AI5296">
        <v>65.86</v>
      </c>
      <c r="AL5296" t="s">
        <v>5011</v>
      </c>
      <c r="AM5296">
        <v>7824</v>
      </c>
      <c r="AO5296" t="s">
        <v>24940</v>
      </c>
      <c r="AP5296" t="s">
        <v>24941</v>
      </c>
      <c r="AQ5296" t="s">
        <v>24986</v>
      </c>
      <c r="AR5296" t="s">
        <v>25086</v>
      </c>
      <c r="AS5296">
        <v>158.55</v>
      </c>
      <c r="AT5296" t="s">
        <v>366</v>
      </c>
      <c r="AU5296" t="s">
        <v>25322</v>
      </c>
      <c r="AV5296" t="s">
        <v>25335</v>
      </c>
      <c r="AW5296" t="s">
        <v>11447</v>
      </c>
    </row>
    <row r="5297" spans="1:49">
      <c r="A5297" s="1">
        <f>HYPERLINK("https://lsnyc.legalserver.org/matter/dynamic-profile/view/0795256","16-0795256")</f>
        <v>0</v>
      </c>
      <c r="B5297" t="s">
        <v>321</v>
      </c>
      <c r="C5297" t="s">
        <v>911</v>
      </c>
      <c r="E5297" t="s">
        <v>1462</v>
      </c>
      <c r="F5297" t="s">
        <v>6205</v>
      </c>
      <c r="G5297" t="s">
        <v>10340</v>
      </c>
      <c r="H5297" t="s">
        <v>10493</v>
      </c>
      <c r="I5297" t="s">
        <v>11383</v>
      </c>
      <c r="J5297">
        <v>10463</v>
      </c>
      <c r="K5297" t="s">
        <v>11447</v>
      </c>
      <c r="L5297" t="s">
        <v>14699</v>
      </c>
      <c r="M5297" t="s">
        <v>14743</v>
      </c>
      <c r="N5297" t="s">
        <v>14781</v>
      </c>
      <c r="P5297" t="s">
        <v>14810</v>
      </c>
      <c r="S5297" t="s">
        <v>14827</v>
      </c>
      <c r="V5297">
        <v>1200</v>
      </c>
      <c r="W5297" t="s">
        <v>14858</v>
      </c>
      <c r="X5297" t="s">
        <v>14867</v>
      </c>
      <c r="Z5297" t="s">
        <v>16508</v>
      </c>
      <c r="AB5297" t="s">
        <v>24469</v>
      </c>
      <c r="AC5297">
        <v>0</v>
      </c>
      <c r="AD5297" t="s">
        <v>11479</v>
      </c>
      <c r="AF5297">
        <v>7</v>
      </c>
      <c r="AG5297">
        <v>1</v>
      </c>
      <c r="AH5297">
        <v>0</v>
      </c>
      <c r="AI5297">
        <v>82.38</v>
      </c>
      <c r="AL5297" t="s">
        <v>5011</v>
      </c>
      <c r="AM5297">
        <v>9696</v>
      </c>
      <c r="AS5297">
        <v>273.5</v>
      </c>
      <c r="AT5297" t="s">
        <v>592</v>
      </c>
      <c r="AU5297" t="s">
        <v>25267</v>
      </c>
      <c r="AW5297" t="s">
        <v>11447</v>
      </c>
    </row>
    <row r="5298" spans="1:49">
      <c r="A5298" s="1">
        <f>HYPERLINK("https://lsnyc.legalserver.org/matter/dynamic-profile/view/0811717","16-0811717")</f>
        <v>0</v>
      </c>
      <c r="B5298" t="s">
        <v>157</v>
      </c>
      <c r="C5298" t="s">
        <v>953</v>
      </c>
      <c r="E5298" t="s">
        <v>1538</v>
      </c>
      <c r="F5298" t="s">
        <v>3510</v>
      </c>
      <c r="G5298" t="s">
        <v>10341</v>
      </c>
      <c r="H5298" t="s">
        <v>11181</v>
      </c>
      <c r="I5298" t="s">
        <v>11383</v>
      </c>
      <c r="J5298">
        <v>10456</v>
      </c>
      <c r="K5298" t="s">
        <v>11446</v>
      </c>
      <c r="L5298" t="s">
        <v>14700</v>
      </c>
      <c r="M5298" t="s">
        <v>14743</v>
      </c>
      <c r="N5298" t="s">
        <v>14781</v>
      </c>
      <c r="P5298" t="s">
        <v>14810</v>
      </c>
      <c r="S5298" t="s">
        <v>14828</v>
      </c>
      <c r="V5298">
        <v>300</v>
      </c>
      <c r="W5298" t="s">
        <v>14858</v>
      </c>
      <c r="X5298" t="s">
        <v>14874</v>
      </c>
      <c r="Z5298" t="s">
        <v>19211</v>
      </c>
      <c r="AA5298" t="s">
        <v>20092</v>
      </c>
      <c r="AC5298">
        <v>112</v>
      </c>
      <c r="AD5298" t="s">
        <v>24602</v>
      </c>
      <c r="AE5298" t="s">
        <v>11459</v>
      </c>
      <c r="AF5298">
        <v>23</v>
      </c>
      <c r="AG5298">
        <v>1</v>
      </c>
      <c r="AH5298">
        <v>1</v>
      </c>
      <c r="AI5298">
        <v>129.84</v>
      </c>
      <c r="AL5298" t="s">
        <v>5011</v>
      </c>
      <c r="AM5298">
        <v>20800</v>
      </c>
      <c r="AN5298" t="s">
        <v>24921</v>
      </c>
      <c r="AS5298">
        <v>87.15000000000001</v>
      </c>
      <c r="AT5298" t="s">
        <v>596</v>
      </c>
      <c r="AU5298" t="s">
        <v>25225</v>
      </c>
      <c r="AW5298" t="s">
        <v>11447</v>
      </c>
    </row>
    <row r="5299" spans="1:49">
      <c r="A5299" s="1">
        <f>HYPERLINK("https://lsnyc.legalserver.org/matter/dynamic-profile/view/2001056","M12E-62001056")</f>
        <v>0</v>
      </c>
      <c r="B5299" t="s">
        <v>182</v>
      </c>
      <c r="C5299" t="s">
        <v>954</v>
      </c>
      <c r="D5299" t="s">
        <v>618</v>
      </c>
      <c r="E5299" t="s">
        <v>3497</v>
      </c>
      <c r="F5299" t="s">
        <v>5063</v>
      </c>
      <c r="G5299" t="s">
        <v>10342</v>
      </c>
      <c r="I5299" t="s">
        <v>11386</v>
      </c>
      <c r="J5299">
        <v>10025</v>
      </c>
      <c r="K5299" t="s">
        <v>11447</v>
      </c>
      <c r="L5299" t="s">
        <v>14701</v>
      </c>
      <c r="M5299" t="s">
        <v>14743</v>
      </c>
      <c r="N5299" t="s">
        <v>14781</v>
      </c>
      <c r="O5299" t="s">
        <v>14788</v>
      </c>
      <c r="P5299" t="s">
        <v>14811</v>
      </c>
      <c r="Q5299" t="s">
        <v>11448</v>
      </c>
      <c r="R5299" t="s">
        <v>14811</v>
      </c>
      <c r="S5299" t="s">
        <v>14827</v>
      </c>
      <c r="V5299">
        <v>0</v>
      </c>
      <c r="W5299" t="s">
        <v>14860</v>
      </c>
      <c r="Y5299" t="s">
        <v>14887</v>
      </c>
      <c r="Z5299" t="s">
        <v>19212</v>
      </c>
      <c r="AB5299" t="s">
        <v>19344</v>
      </c>
      <c r="AC5299">
        <v>0</v>
      </c>
      <c r="AF5299">
        <v>0</v>
      </c>
      <c r="AG5299">
        <v>2</v>
      </c>
      <c r="AH5299">
        <v>0</v>
      </c>
      <c r="AI5299">
        <v>149.9</v>
      </c>
      <c r="AL5299" t="s">
        <v>24632</v>
      </c>
      <c r="AM5299">
        <v>22680</v>
      </c>
      <c r="AS5299">
        <v>131.75</v>
      </c>
      <c r="AT5299" t="s">
        <v>456</v>
      </c>
      <c r="AU5299" t="s">
        <v>25266</v>
      </c>
      <c r="AW5299" t="s">
        <v>11447</v>
      </c>
    </row>
    <row r="5300" spans="1:49">
      <c r="A5300" s="1">
        <f>HYPERLINK("https://lsnyc.legalserver.org/matter/dynamic-profile/view/0822423","16-0822423")</f>
        <v>0</v>
      </c>
      <c r="B5300" t="s">
        <v>206</v>
      </c>
      <c r="C5300" t="s">
        <v>955</v>
      </c>
      <c r="D5300" t="s">
        <v>377</v>
      </c>
      <c r="E5300" t="s">
        <v>3498</v>
      </c>
      <c r="F5300" t="s">
        <v>6206</v>
      </c>
      <c r="G5300" t="s">
        <v>10343</v>
      </c>
      <c r="H5300">
        <v>12</v>
      </c>
      <c r="I5300" t="s">
        <v>11386</v>
      </c>
      <c r="J5300">
        <v>10012</v>
      </c>
      <c r="K5300" t="s">
        <v>11447</v>
      </c>
      <c r="N5300" t="s">
        <v>14783</v>
      </c>
      <c r="O5300" t="s">
        <v>14790</v>
      </c>
      <c r="P5300" t="s">
        <v>14811</v>
      </c>
      <c r="S5300" t="s">
        <v>14827</v>
      </c>
      <c r="V5300">
        <v>0</v>
      </c>
      <c r="W5300" t="s">
        <v>14860</v>
      </c>
      <c r="Y5300" t="s">
        <v>14895</v>
      </c>
      <c r="Z5300" t="s">
        <v>19213</v>
      </c>
      <c r="AB5300" t="s">
        <v>24470</v>
      </c>
      <c r="AC5300">
        <v>0</v>
      </c>
      <c r="AF5300">
        <v>0</v>
      </c>
      <c r="AG5300">
        <v>2</v>
      </c>
      <c r="AH5300">
        <v>0</v>
      </c>
      <c r="AI5300">
        <v>82.40000000000001</v>
      </c>
      <c r="AL5300" t="s">
        <v>24645</v>
      </c>
      <c r="AM5300">
        <v>19800</v>
      </c>
      <c r="AS5300">
        <v>7.28</v>
      </c>
      <c r="AT5300" t="s">
        <v>618</v>
      </c>
      <c r="AU5300" t="s">
        <v>25286</v>
      </c>
      <c r="AW5300" t="s">
        <v>11447</v>
      </c>
    </row>
    <row r="5301" spans="1:49">
      <c r="A5301" s="1">
        <f>HYPERLINK("https://lsnyc.legalserver.org/matter/dynamic-profile/view/0793666","15-0793666")</f>
        <v>0</v>
      </c>
      <c r="B5301" t="s">
        <v>261</v>
      </c>
      <c r="C5301" t="s">
        <v>956</v>
      </c>
      <c r="D5301" t="s">
        <v>504</v>
      </c>
      <c r="E5301" t="s">
        <v>3499</v>
      </c>
      <c r="F5301" t="s">
        <v>6207</v>
      </c>
      <c r="G5301" t="s">
        <v>10344</v>
      </c>
      <c r="H5301">
        <v>601</v>
      </c>
      <c r="I5301" t="s">
        <v>11386</v>
      </c>
      <c r="J5301">
        <v>10009</v>
      </c>
      <c r="K5301" t="s">
        <v>11447</v>
      </c>
      <c r="N5301" t="s">
        <v>14778</v>
      </c>
      <c r="O5301" t="s">
        <v>14786</v>
      </c>
      <c r="P5301" t="s">
        <v>14811</v>
      </c>
      <c r="S5301" t="s">
        <v>14828</v>
      </c>
      <c r="V5301">
        <v>0</v>
      </c>
      <c r="W5301" t="s">
        <v>14860</v>
      </c>
      <c r="Y5301" t="s">
        <v>14884</v>
      </c>
      <c r="Z5301" t="s">
        <v>19214</v>
      </c>
      <c r="AB5301" t="s">
        <v>24471</v>
      </c>
      <c r="AC5301">
        <v>0</v>
      </c>
      <c r="AF5301">
        <v>0</v>
      </c>
      <c r="AG5301">
        <v>1</v>
      </c>
      <c r="AH5301">
        <v>0</v>
      </c>
      <c r="AI5301">
        <v>74.73</v>
      </c>
      <c r="AL5301" t="s">
        <v>5011</v>
      </c>
      <c r="AM5301">
        <v>8796</v>
      </c>
      <c r="AS5301">
        <v>5.7</v>
      </c>
      <c r="AT5301" t="s">
        <v>471</v>
      </c>
      <c r="AU5301" t="s">
        <v>25278</v>
      </c>
      <c r="AW5301" t="s">
        <v>11447</v>
      </c>
    </row>
    <row r="5302" spans="1:49">
      <c r="A5302" s="1">
        <f>HYPERLINK("https://lsnyc.legalserver.org/matter/dynamic-profile/view/1837591","17-1837591")</f>
        <v>0</v>
      </c>
      <c r="B5302" t="s">
        <v>64</v>
      </c>
      <c r="C5302" t="s">
        <v>957</v>
      </c>
      <c r="D5302" t="s">
        <v>490</v>
      </c>
      <c r="E5302" t="s">
        <v>3500</v>
      </c>
      <c r="F5302" t="s">
        <v>6208</v>
      </c>
      <c r="G5302" t="s">
        <v>10345</v>
      </c>
      <c r="H5302" t="s">
        <v>11350</v>
      </c>
      <c r="I5302" t="s">
        <v>11386</v>
      </c>
      <c r="J5302">
        <v>10011</v>
      </c>
      <c r="K5302" t="s">
        <v>11447</v>
      </c>
      <c r="N5302" t="s">
        <v>14781</v>
      </c>
      <c r="O5302" t="s">
        <v>14788</v>
      </c>
      <c r="P5302" t="s">
        <v>14811</v>
      </c>
      <c r="S5302" t="s">
        <v>14827</v>
      </c>
      <c r="V5302">
        <v>0</v>
      </c>
      <c r="W5302" t="s">
        <v>14860</v>
      </c>
      <c r="Y5302" t="s">
        <v>14887</v>
      </c>
      <c r="Z5302" t="s">
        <v>19215</v>
      </c>
      <c r="AB5302" t="s">
        <v>24472</v>
      </c>
      <c r="AC5302">
        <v>0</v>
      </c>
      <c r="AF5302">
        <v>0</v>
      </c>
      <c r="AG5302">
        <v>1</v>
      </c>
      <c r="AH5302">
        <v>0</v>
      </c>
      <c r="AI5302">
        <v>215.59</v>
      </c>
      <c r="AM5302">
        <v>26000</v>
      </c>
      <c r="AS5302">
        <v>92.17</v>
      </c>
      <c r="AT5302" t="s">
        <v>366</v>
      </c>
      <c r="AU5302" t="s">
        <v>324</v>
      </c>
      <c r="AW5302" t="s">
        <v>11447</v>
      </c>
    </row>
    <row r="5303" spans="1:49">
      <c r="A5303" s="1">
        <f>HYPERLINK("https://lsnyc.legalserver.org/matter/dynamic-profile/view/0817004","16-0817004")</f>
        <v>0</v>
      </c>
      <c r="B5303" t="s">
        <v>252</v>
      </c>
      <c r="C5303" t="s">
        <v>908</v>
      </c>
      <c r="D5303" t="s">
        <v>506</v>
      </c>
      <c r="E5303" t="s">
        <v>1056</v>
      </c>
      <c r="F5303" t="s">
        <v>6209</v>
      </c>
      <c r="G5303" t="s">
        <v>10346</v>
      </c>
      <c r="H5303" t="s">
        <v>10760</v>
      </c>
      <c r="I5303" t="s">
        <v>11386</v>
      </c>
      <c r="J5303">
        <v>10035</v>
      </c>
      <c r="K5303" t="s">
        <v>11447</v>
      </c>
      <c r="L5303" t="s">
        <v>14702</v>
      </c>
      <c r="M5303" t="s">
        <v>14744</v>
      </c>
      <c r="N5303" t="s">
        <v>14778</v>
      </c>
      <c r="O5303" t="s">
        <v>14786</v>
      </c>
      <c r="P5303" t="s">
        <v>14811</v>
      </c>
      <c r="Q5303" t="s">
        <v>11448</v>
      </c>
      <c r="S5303" t="s">
        <v>14827</v>
      </c>
      <c r="V5303">
        <v>3000</v>
      </c>
      <c r="W5303" t="s">
        <v>14860</v>
      </c>
      <c r="X5303" t="s">
        <v>14867</v>
      </c>
      <c r="Y5303" t="s">
        <v>14883</v>
      </c>
      <c r="Z5303" t="s">
        <v>19216</v>
      </c>
      <c r="AB5303" t="s">
        <v>24473</v>
      </c>
      <c r="AC5303">
        <v>20</v>
      </c>
      <c r="AD5303" t="s">
        <v>24595</v>
      </c>
      <c r="AE5303" t="s">
        <v>11459</v>
      </c>
      <c r="AF5303">
        <v>3</v>
      </c>
      <c r="AG5303">
        <v>1</v>
      </c>
      <c r="AH5303">
        <v>0</v>
      </c>
      <c r="AI5303">
        <v>336.7</v>
      </c>
      <c r="AM5303">
        <v>40000</v>
      </c>
      <c r="AS5303">
        <v>3.02</v>
      </c>
      <c r="AT5303" t="s">
        <v>25209</v>
      </c>
      <c r="AU5303" t="s">
        <v>25266</v>
      </c>
      <c r="AW5303" t="s">
        <v>11447</v>
      </c>
    </row>
    <row r="5304" spans="1:49">
      <c r="A5304" s="1">
        <f>HYPERLINK("https://lsnyc.legalserver.org/matter/dynamic-profile/view/1911626","19-1911626")</f>
        <v>0</v>
      </c>
      <c r="B5304" t="s">
        <v>104</v>
      </c>
      <c r="C5304" t="s">
        <v>526</v>
      </c>
      <c r="D5304" t="s">
        <v>537</v>
      </c>
      <c r="E5304" t="s">
        <v>3501</v>
      </c>
      <c r="F5304" t="s">
        <v>3662</v>
      </c>
      <c r="G5304" t="s">
        <v>10347</v>
      </c>
      <c r="I5304" t="s">
        <v>11386</v>
      </c>
      <c r="J5304">
        <v>10029</v>
      </c>
      <c r="K5304" t="s">
        <v>11446</v>
      </c>
      <c r="M5304" t="s">
        <v>11601</v>
      </c>
      <c r="N5304" t="s">
        <v>14778</v>
      </c>
      <c r="O5304" t="s">
        <v>14786</v>
      </c>
      <c r="P5304" t="s">
        <v>14811</v>
      </c>
      <c r="Q5304" t="s">
        <v>11448</v>
      </c>
      <c r="S5304" t="s">
        <v>14828</v>
      </c>
      <c r="T5304" t="s">
        <v>14832</v>
      </c>
      <c r="U5304" t="s">
        <v>468</v>
      </c>
      <c r="V5304">
        <v>1231.75</v>
      </c>
      <c r="W5304" t="s">
        <v>14860</v>
      </c>
      <c r="X5304" t="s">
        <v>14864</v>
      </c>
      <c r="Y5304" t="s">
        <v>14883</v>
      </c>
      <c r="Z5304" t="s">
        <v>17478</v>
      </c>
      <c r="AB5304" t="s">
        <v>24474</v>
      </c>
      <c r="AC5304">
        <v>0</v>
      </c>
      <c r="AD5304" t="s">
        <v>24602</v>
      </c>
      <c r="AE5304" t="s">
        <v>11459</v>
      </c>
      <c r="AF5304">
        <v>1</v>
      </c>
      <c r="AG5304">
        <v>2</v>
      </c>
      <c r="AH5304">
        <v>0</v>
      </c>
      <c r="AI5304">
        <v>230.63</v>
      </c>
      <c r="AL5304" t="s">
        <v>5011</v>
      </c>
      <c r="AM5304">
        <v>39000</v>
      </c>
      <c r="AS5304">
        <v>0.2</v>
      </c>
      <c r="AT5304" t="s">
        <v>592</v>
      </c>
      <c r="AU5304" t="s">
        <v>25266</v>
      </c>
      <c r="AV5304" t="s">
        <v>25335</v>
      </c>
      <c r="AW5304" t="s">
        <v>11447</v>
      </c>
    </row>
    <row r="5305" spans="1:49">
      <c r="A5305" s="1">
        <f>HYPERLINK("https://lsnyc.legalserver.org/matter/dynamic-profile/view/0750018","14-0750018")</f>
        <v>0</v>
      </c>
      <c r="B5305" t="s">
        <v>182</v>
      </c>
      <c r="C5305" t="s">
        <v>958</v>
      </c>
      <c r="D5305" t="s">
        <v>521</v>
      </c>
      <c r="E5305" t="s">
        <v>3502</v>
      </c>
      <c r="F5305" t="s">
        <v>4079</v>
      </c>
      <c r="G5305" t="s">
        <v>7423</v>
      </c>
      <c r="H5305" t="s">
        <v>11351</v>
      </c>
      <c r="I5305" t="s">
        <v>11386</v>
      </c>
      <c r="J5305">
        <v>10033</v>
      </c>
      <c r="K5305" t="s">
        <v>11447</v>
      </c>
      <c r="O5305" t="s">
        <v>14786</v>
      </c>
      <c r="P5305" t="s">
        <v>14811</v>
      </c>
      <c r="S5305" t="s">
        <v>14827</v>
      </c>
      <c r="V5305">
        <v>0</v>
      </c>
      <c r="W5305" t="s">
        <v>14860</v>
      </c>
      <c r="Y5305" t="s">
        <v>14883</v>
      </c>
      <c r="Z5305" t="s">
        <v>18835</v>
      </c>
      <c r="AB5305" t="s">
        <v>24475</v>
      </c>
      <c r="AC5305">
        <v>0</v>
      </c>
      <c r="AF5305">
        <v>0</v>
      </c>
      <c r="AG5305">
        <v>2</v>
      </c>
      <c r="AH5305">
        <v>0</v>
      </c>
      <c r="AI5305">
        <v>66.12</v>
      </c>
      <c r="AL5305" t="s">
        <v>24632</v>
      </c>
      <c r="AM5305">
        <v>10400</v>
      </c>
      <c r="AS5305">
        <v>2.5</v>
      </c>
      <c r="AT5305" t="s">
        <v>25210</v>
      </c>
      <c r="AU5305" t="s">
        <v>25266</v>
      </c>
      <c r="AW5305" t="s">
        <v>11447</v>
      </c>
    </row>
    <row r="5306" spans="1:49">
      <c r="A5306" s="1">
        <f>HYPERLINK("https://lsnyc.legalserver.org/matter/dynamic-profile/view/0831809","17-0831809")</f>
        <v>0</v>
      </c>
      <c r="B5306" t="s">
        <v>208</v>
      </c>
      <c r="C5306" t="s">
        <v>959</v>
      </c>
      <c r="D5306" t="s">
        <v>521</v>
      </c>
      <c r="E5306" t="s">
        <v>1170</v>
      </c>
      <c r="F5306" t="s">
        <v>6210</v>
      </c>
      <c r="G5306" t="s">
        <v>10348</v>
      </c>
      <c r="H5306" t="s">
        <v>10484</v>
      </c>
      <c r="I5306" t="s">
        <v>11386</v>
      </c>
      <c r="J5306">
        <v>10029</v>
      </c>
      <c r="K5306" t="s">
        <v>11447</v>
      </c>
      <c r="M5306" t="s">
        <v>14755</v>
      </c>
      <c r="N5306" t="s">
        <v>14779</v>
      </c>
      <c r="O5306" t="s">
        <v>14786</v>
      </c>
      <c r="P5306" t="s">
        <v>14811</v>
      </c>
      <c r="Q5306" t="s">
        <v>11448</v>
      </c>
      <c r="S5306" t="s">
        <v>14828</v>
      </c>
      <c r="V5306">
        <v>353</v>
      </c>
      <c r="W5306" t="s">
        <v>14860</v>
      </c>
      <c r="X5306" t="s">
        <v>14755</v>
      </c>
      <c r="Y5306" t="s">
        <v>14883</v>
      </c>
      <c r="Z5306" t="s">
        <v>19217</v>
      </c>
      <c r="AC5306">
        <v>80</v>
      </c>
      <c r="AD5306" t="s">
        <v>11479</v>
      </c>
      <c r="AE5306" t="s">
        <v>11459</v>
      </c>
      <c r="AF5306">
        <v>6</v>
      </c>
      <c r="AG5306">
        <v>1</v>
      </c>
      <c r="AH5306">
        <v>1</v>
      </c>
      <c r="AI5306">
        <v>84.16</v>
      </c>
      <c r="AL5306" t="s">
        <v>5011</v>
      </c>
      <c r="AM5306">
        <v>13668</v>
      </c>
      <c r="AS5306">
        <v>1</v>
      </c>
      <c r="AT5306" t="s">
        <v>918</v>
      </c>
      <c r="AU5306" t="s">
        <v>25244</v>
      </c>
      <c r="AW5306" t="s">
        <v>11447</v>
      </c>
    </row>
    <row r="5307" spans="1:49">
      <c r="A5307" s="1">
        <f>HYPERLINK("https://lsnyc.legalserver.org/matter/dynamic-profile/view/0756115","14-0756115")</f>
        <v>0</v>
      </c>
      <c r="B5307" t="s">
        <v>182</v>
      </c>
      <c r="C5307" t="s">
        <v>960</v>
      </c>
      <c r="D5307" t="s">
        <v>521</v>
      </c>
      <c r="E5307" t="s">
        <v>1054</v>
      </c>
      <c r="F5307" t="s">
        <v>5904</v>
      </c>
      <c r="G5307" t="s">
        <v>10349</v>
      </c>
      <c r="H5307" t="s">
        <v>10470</v>
      </c>
      <c r="I5307" t="s">
        <v>11386</v>
      </c>
      <c r="J5307">
        <v>10019</v>
      </c>
      <c r="K5307" t="s">
        <v>11447</v>
      </c>
      <c r="O5307" t="s">
        <v>14786</v>
      </c>
      <c r="P5307" t="s">
        <v>14811</v>
      </c>
      <c r="R5307" t="s">
        <v>14811</v>
      </c>
      <c r="S5307" t="s">
        <v>14827</v>
      </c>
      <c r="V5307">
        <v>0</v>
      </c>
      <c r="W5307" t="s">
        <v>14860</v>
      </c>
      <c r="Y5307" t="s">
        <v>14883</v>
      </c>
      <c r="Z5307" t="s">
        <v>19218</v>
      </c>
      <c r="AB5307" t="s">
        <v>24476</v>
      </c>
      <c r="AC5307">
        <v>0</v>
      </c>
      <c r="AF5307">
        <v>0</v>
      </c>
      <c r="AG5307">
        <v>1</v>
      </c>
      <c r="AH5307">
        <v>0</v>
      </c>
      <c r="AI5307">
        <v>146.02</v>
      </c>
      <c r="AL5307" t="s">
        <v>5011</v>
      </c>
      <c r="AM5307">
        <v>17040</v>
      </c>
      <c r="AS5307">
        <v>0.5</v>
      </c>
      <c r="AT5307" t="s">
        <v>960</v>
      </c>
      <c r="AU5307" t="s">
        <v>25266</v>
      </c>
      <c r="AW5307" t="s">
        <v>11447</v>
      </c>
    </row>
    <row r="5308" spans="1:49">
      <c r="A5308" s="1">
        <f>HYPERLINK("https://lsnyc.legalserver.org/matter/dynamic-profile/view/0750569","14-0750569")</f>
        <v>0</v>
      </c>
      <c r="B5308" t="s">
        <v>182</v>
      </c>
      <c r="C5308" t="s">
        <v>961</v>
      </c>
      <c r="E5308" t="s">
        <v>3503</v>
      </c>
      <c r="F5308" t="s">
        <v>6211</v>
      </c>
      <c r="G5308" t="s">
        <v>10350</v>
      </c>
      <c r="H5308" t="s">
        <v>10574</v>
      </c>
      <c r="I5308" t="s">
        <v>11386</v>
      </c>
      <c r="J5308">
        <v>10039</v>
      </c>
      <c r="K5308" t="s">
        <v>11447</v>
      </c>
      <c r="P5308" t="s">
        <v>14811</v>
      </c>
      <c r="S5308" t="s">
        <v>14828</v>
      </c>
      <c r="V5308">
        <v>0</v>
      </c>
      <c r="W5308" t="s">
        <v>14860</v>
      </c>
      <c r="Z5308" t="s">
        <v>19219</v>
      </c>
      <c r="AB5308" t="s">
        <v>24477</v>
      </c>
      <c r="AC5308">
        <v>0</v>
      </c>
      <c r="AF5308">
        <v>0</v>
      </c>
      <c r="AG5308">
        <v>1</v>
      </c>
      <c r="AH5308">
        <v>0</v>
      </c>
      <c r="AI5308">
        <v>0</v>
      </c>
      <c r="AL5308" t="s">
        <v>5011</v>
      </c>
      <c r="AM5308">
        <v>0</v>
      </c>
      <c r="AS5308">
        <v>1.5</v>
      </c>
      <c r="AT5308" t="s">
        <v>352</v>
      </c>
      <c r="AU5308" t="s">
        <v>25266</v>
      </c>
      <c r="AW5308" t="s">
        <v>11447</v>
      </c>
    </row>
    <row r="5309" spans="1:49">
      <c r="A5309" s="1">
        <f>HYPERLINK("https://lsnyc.legalserver.org/matter/dynamic-profile/view/1834773","17-1834773")</f>
        <v>0</v>
      </c>
      <c r="B5309" t="s">
        <v>253</v>
      </c>
      <c r="C5309" t="s">
        <v>962</v>
      </c>
      <c r="E5309" t="s">
        <v>1025</v>
      </c>
      <c r="F5309" t="s">
        <v>5858</v>
      </c>
      <c r="G5309" t="s">
        <v>7423</v>
      </c>
      <c r="H5309" t="s">
        <v>11143</v>
      </c>
      <c r="I5309" t="s">
        <v>11386</v>
      </c>
      <c r="J5309">
        <v>10033</v>
      </c>
      <c r="K5309" t="s">
        <v>11447</v>
      </c>
      <c r="L5309" t="s">
        <v>14703</v>
      </c>
      <c r="M5309" t="s">
        <v>14743</v>
      </c>
      <c r="N5309" t="s">
        <v>14778</v>
      </c>
      <c r="P5309" t="s">
        <v>14811</v>
      </c>
      <c r="S5309" t="s">
        <v>14827</v>
      </c>
      <c r="V5309">
        <v>0</v>
      </c>
      <c r="W5309" t="s">
        <v>14860</v>
      </c>
      <c r="Z5309" t="s">
        <v>19220</v>
      </c>
      <c r="AB5309" t="s">
        <v>24478</v>
      </c>
      <c r="AC5309">
        <v>0</v>
      </c>
      <c r="AF5309">
        <v>3</v>
      </c>
      <c r="AG5309">
        <v>2</v>
      </c>
      <c r="AH5309">
        <v>0</v>
      </c>
      <c r="AI5309">
        <v>0</v>
      </c>
      <c r="AL5309" t="s">
        <v>5011</v>
      </c>
      <c r="AM5309">
        <v>0.01</v>
      </c>
      <c r="AS5309">
        <v>3.95</v>
      </c>
      <c r="AT5309" t="s">
        <v>705</v>
      </c>
      <c r="AU5309" t="s">
        <v>25286</v>
      </c>
      <c r="AW5309" t="s">
        <v>11447</v>
      </c>
    </row>
    <row r="5310" spans="1:49">
      <c r="A5310" s="1">
        <f>HYPERLINK("https://lsnyc.legalserver.org/matter/dynamic-profile/view/0761596","14-0761596")</f>
        <v>0</v>
      </c>
      <c r="B5310" t="s">
        <v>208</v>
      </c>
      <c r="C5310" t="s">
        <v>963</v>
      </c>
      <c r="G5310" t="s">
        <v>9123</v>
      </c>
      <c r="I5310" t="s">
        <v>11386</v>
      </c>
      <c r="J5310">
        <v>10031</v>
      </c>
      <c r="K5310" t="s">
        <v>11447</v>
      </c>
      <c r="P5310" t="s">
        <v>14811</v>
      </c>
      <c r="S5310" t="s">
        <v>14827</v>
      </c>
      <c r="V5310">
        <v>0</v>
      </c>
      <c r="W5310" t="s">
        <v>14860</v>
      </c>
      <c r="AC5310">
        <v>0</v>
      </c>
      <c r="AF5310">
        <v>0</v>
      </c>
      <c r="AG5310">
        <v>0</v>
      </c>
      <c r="AH5310">
        <v>0</v>
      </c>
      <c r="AI5310">
        <v>0</v>
      </c>
      <c r="AM5310">
        <v>0</v>
      </c>
      <c r="AS5310">
        <v>307.1</v>
      </c>
      <c r="AT5310" t="s">
        <v>25211</v>
      </c>
      <c r="AU5310" t="s">
        <v>325</v>
      </c>
      <c r="AW5310" t="s">
        <v>11447</v>
      </c>
    </row>
    <row r="5311" spans="1:49">
      <c r="A5311" s="1">
        <f>HYPERLINK("https://lsnyc.legalserver.org/matter/dynamic-profile/view/0827493","17-0827493")</f>
        <v>0</v>
      </c>
      <c r="B5311" t="s">
        <v>188</v>
      </c>
      <c r="C5311" t="s">
        <v>964</v>
      </c>
      <c r="E5311" t="s">
        <v>2235</v>
      </c>
      <c r="F5311" t="s">
        <v>6212</v>
      </c>
      <c r="G5311" t="s">
        <v>10351</v>
      </c>
      <c r="H5311">
        <v>3503</v>
      </c>
      <c r="I5311" t="s">
        <v>11386</v>
      </c>
      <c r="J5311">
        <v>10018</v>
      </c>
      <c r="K5311" t="s">
        <v>11447</v>
      </c>
      <c r="N5311" t="s">
        <v>14781</v>
      </c>
      <c r="P5311" t="s">
        <v>14811</v>
      </c>
      <c r="S5311" t="s">
        <v>14827</v>
      </c>
      <c r="V5311">
        <v>0</v>
      </c>
      <c r="W5311" t="s">
        <v>14860</v>
      </c>
      <c r="Z5311" t="s">
        <v>19221</v>
      </c>
      <c r="AB5311" t="s">
        <v>24479</v>
      </c>
      <c r="AC5311">
        <v>0</v>
      </c>
      <c r="AF5311">
        <v>0</v>
      </c>
      <c r="AG5311">
        <v>1</v>
      </c>
      <c r="AH5311">
        <v>1</v>
      </c>
      <c r="AI5311">
        <v>0</v>
      </c>
      <c r="AL5311" t="s">
        <v>5011</v>
      </c>
      <c r="AM5311">
        <v>0</v>
      </c>
      <c r="AS5311">
        <v>287.9</v>
      </c>
      <c r="AT5311" t="s">
        <v>415</v>
      </c>
      <c r="AU5311" t="s">
        <v>25323</v>
      </c>
      <c r="AW5311" t="s">
        <v>11447</v>
      </c>
    </row>
    <row r="5312" spans="1:49">
      <c r="A5312" s="1">
        <f>HYPERLINK("https://lsnyc.legalserver.org/matter/dynamic-profile/view/0830049","17-0830049")</f>
        <v>0</v>
      </c>
      <c r="B5312" t="s">
        <v>249</v>
      </c>
      <c r="C5312" t="s">
        <v>965</v>
      </c>
      <c r="E5312" t="s">
        <v>3504</v>
      </c>
      <c r="F5312" t="s">
        <v>4150</v>
      </c>
      <c r="G5312" t="s">
        <v>10352</v>
      </c>
      <c r="H5312">
        <v>14</v>
      </c>
      <c r="I5312" t="s">
        <v>11386</v>
      </c>
      <c r="J5312">
        <v>10002</v>
      </c>
      <c r="K5312" t="s">
        <v>11447</v>
      </c>
      <c r="L5312" t="s">
        <v>14704</v>
      </c>
      <c r="M5312" t="s">
        <v>14743</v>
      </c>
      <c r="N5312" t="s">
        <v>14781</v>
      </c>
      <c r="P5312" t="s">
        <v>14811</v>
      </c>
      <c r="S5312" t="s">
        <v>14827</v>
      </c>
      <c r="V5312">
        <v>1200</v>
      </c>
      <c r="W5312" t="s">
        <v>14860</v>
      </c>
      <c r="X5312" t="s">
        <v>14865</v>
      </c>
      <c r="Z5312" t="s">
        <v>18840</v>
      </c>
      <c r="AB5312" t="s">
        <v>24480</v>
      </c>
      <c r="AC5312">
        <v>0</v>
      </c>
      <c r="AD5312" t="s">
        <v>11479</v>
      </c>
      <c r="AF5312">
        <v>24</v>
      </c>
      <c r="AG5312">
        <v>2</v>
      </c>
      <c r="AH5312">
        <v>0</v>
      </c>
      <c r="AI5312">
        <v>0</v>
      </c>
      <c r="AL5312" t="s">
        <v>24634</v>
      </c>
      <c r="AM5312">
        <v>0</v>
      </c>
      <c r="AS5312">
        <v>137.28</v>
      </c>
      <c r="AT5312" t="s">
        <v>25212</v>
      </c>
      <c r="AU5312" t="s">
        <v>25286</v>
      </c>
      <c r="AW5312" t="s">
        <v>11447</v>
      </c>
    </row>
    <row r="5313" spans="1:49">
      <c r="A5313" s="1">
        <f>HYPERLINK("https://lsnyc.legalserver.org/matter/dynamic-profile/view/0761857","14-0761857")</f>
        <v>0</v>
      </c>
      <c r="B5313" t="s">
        <v>208</v>
      </c>
      <c r="C5313" t="s">
        <v>966</v>
      </c>
      <c r="E5313" t="s">
        <v>3505</v>
      </c>
      <c r="F5313" t="s">
        <v>1374</v>
      </c>
      <c r="G5313" t="s">
        <v>9123</v>
      </c>
      <c r="H5313">
        <v>8</v>
      </c>
      <c r="I5313" t="s">
        <v>11386</v>
      </c>
      <c r="J5313">
        <v>10031</v>
      </c>
      <c r="K5313" t="s">
        <v>11447</v>
      </c>
      <c r="P5313" t="s">
        <v>14811</v>
      </c>
      <c r="R5313" t="s">
        <v>14825</v>
      </c>
      <c r="S5313" t="s">
        <v>14827</v>
      </c>
      <c r="V5313">
        <v>0</v>
      </c>
      <c r="W5313" t="s">
        <v>14860</v>
      </c>
      <c r="Z5313" t="s">
        <v>19222</v>
      </c>
      <c r="AB5313" t="s">
        <v>24481</v>
      </c>
      <c r="AC5313">
        <v>0</v>
      </c>
      <c r="AF5313">
        <v>0</v>
      </c>
      <c r="AG5313">
        <v>3</v>
      </c>
      <c r="AH5313">
        <v>5</v>
      </c>
      <c r="AI5313">
        <v>32.43</v>
      </c>
      <c r="AL5313" t="s">
        <v>24632</v>
      </c>
      <c r="AM5313">
        <v>13000</v>
      </c>
      <c r="AS5313">
        <v>1.25</v>
      </c>
      <c r="AT5313" t="s">
        <v>892</v>
      </c>
      <c r="AU5313" t="s">
        <v>25266</v>
      </c>
      <c r="AW5313" t="s">
        <v>11447</v>
      </c>
    </row>
    <row r="5314" spans="1:49">
      <c r="A5314" s="1">
        <f>HYPERLINK("https://lsnyc.legalserver.org/matter/dynamic-profile/view/0756322","14-0756322")</f>
        <v>0</v>
      </c>
      <c r="B5314" t="s">
        <v>208</v>
      </c>
      <c r="C5314" t="s">
        <v>967</v>
      </c>
      <c r="E5314" t="s">
        <v>1404</v>
      </c>
      <c r="F5314" t="s">
        <v>4749</v>
      </c>
      <c r="G5314" t="s">
        <v>10353</v>
      </c>
      <c r="H5314" t="s">
        <v>10452</v>
      </c>
      <c r="I5314" t="s">
        <v>11386</v>
      </c>
      <c r="J5314">
        <v>10024</v>
      </c>
      <c r="K5314" t="s">
        <v>11447</v>
      </c>
      <c r="N5314" t="s">
        <v>14781</v>
      </c>
      <c r="P5314" t="s">
        <v>14811</v>
      </c>
      <c r="S5314" t="s">
        <v>14827</v>
      </c>
      <c r="V5314">
        <v>0</v>
      </c>
      <c r="W5314" t="s">
        <v>14860</v>
      </c>
      <c r="Z5314" t="s">
        <v>19223</v>
      </c>
      <c r="AB5314" t="s">
        <v>24482</v>
      </c>
      <c r="AC5314">
        <v>0</v>
      </c>
      <c r="AF5314">
        <v>0</v>
      </c>
      <c r="AG5314">
        <v>1</v>
      </c>
      <c r="AH5314">
        <v>1</v>
      </c>
      <c r="AI5314">
        <v>33.06</v>
      </c>
      <c r="AL5314" t="s">
        <v>5011</v>
      </c>
      <c r="AM5314">
        <v>5200</v>
      </c>
      <c r="AS5314">
        <v>113.45</v>
      </c>
      <c r="AT5314" t="s">
        <v>632</v>
      </c>
      <c r="AU5314" t="s">
        <v>25266</v>
      </c>
      <c r="AW5314" t="s">
        <v>11447</v>
      </c>
    </row>
    <row r="5315" spans="1:49">
      <c r="A5315" s="1">
        <f>HYPERLINK("https://lsnyc.legalserver.org/matter/dynamic-profile/view/0822080","16-0822080")</f>
        <v>0</v>
      </c>
      <c r="B5315" t="s">
        <v>207</v>
      </c>
      <c r="C5315" t="s">
        <v>700</v>
      </c>
      <c r="E5315" t="s">
        <v>3506</v>
      </c>
      <c r="F5315" t="s">
        <v>6213</v>
      </c>
      <c r="G5315" t="s">
        <v>10354</v>
      </c>
      <c r="H5315" t="s">
        <v>10552</v>
      </c>
      <c r="I5315" t="s">
        <v>11386</v>
      </c>
      <c r="J5315">
        <v>10019</v>
      </c>
      <c r="K5315" t="s">
        <v>11447</v>
      </c>
      <c r="P5315" t="s">
        <v>14811</v>
      </c>
      <c r="S5315" t="s">
        <v>14827</v>
      </c>
      <c r="V5315">
        <v>0</v>
      </c>
      <c r="W5315" t="s">
        <v>14860</v>
      </c>
      <c r="Z5315" t="s">
        <v>19224</v>
      </c>
      <c r="AB5315" t="s">
        <v>24483</v>
      </c>
      <c r="AC5315">
        <v>0</v>
      </c>
      <c r="AF5315">
        <v>0</v>
      </c>
      <c r="AG5315">
        <v>1</v>
      </c>
      <c r="AH5315">
        <v>0</v>
      </c>
      <c r="AI5315">
        <v>36.2</v>
      </c>
      <c r="AL5315" t="s">
        <v>24650</v>
      </c>
      <c r="AM5315">
        <v>4300</v>
      </c>
      <c r="AS5315">
        <v>125.23</v>
      </c>
      <c r="AT5315" t="s">
        <v>476</v>
      </c>
      <c r="AU5315" t="s">
        <v>25286</v>
      </c>
      <c r="AW5315" t="s">
        <v>11447</v>
      </c>
    </row>
    <row r="5316" spans="1:49">
      <c r="A5316" s="1">
        <f>HYPERLINK("https://lsnyc.legalserver.org/matter/dynamic-profile/view/0775581","15-0775581")</f>
        <v>0</v>
      </c>
      <c r="B5316" t="s">
        <v>105</v>
      </c>
      <c r="C5316" t="s">
        <v>968</v>
      </c>
      <c r="E5316" t="s">
        <v>1536</v>
      </c>
      <c r="F5316" t="s">
        <v>3742</v>
      </c>
      <c r="G5316" t="s">
        <v>10355</v>
      </c>
      <c r="H5316" t="s">
        <v>10552</v>
      </c>
      <c r="I5316" t="s">
        <v>11386</v>
      </c>
      <c r="J5316">
        <v>10031</v>
      </c>
      <c r="K5316" t="s">
        <v>11447</v>
      </c>
      <c r="P5316" t="s">
        <v>14811</v>
      </c>
      <c r="R5316" t="s">
        <v>14825</v>
      </c>
      <c r="S5316" t="s">
        <v>14827</v>
      </c>
      <c r="V5316">
        <v>0</v>
      </c>
      <c r="W5316" t="s">
        <v>14860</v>
      </c>
      <c r="Z5316" t="s">
        <v>19225</v>
      </c>
      <c r="AC5316">
        <v>0</v>
      </c>
      <c r="AF5316">
        <v>0</v>
      </c>
      <c r="AG5316">
        <v>1</v>
      </c>
      <c r="AH5316">
        <v>0</v>
      </c>
      <c r="AI5316">
        <v>59.54</v>
      </c>
      <c r="AL5316" t="s">
        <v>24632</v>
      </c>
      <c r="AM5316">
        <v>7008</v>
      </c>
      <c r="AS5316">
        <v>79.18000000000001</v>
      </c>
      <c r="AT5316" t="s">
        <v>836</v>
      </c>
      <c r="AU5316" t="s">
        <v>118</v>
      </c>
      <c r="AW5316" t="s">
        <v>11447</v>
      </c>
    </row>
    <row r="5317" spans="1:49">
      <c r="A5317" s="1">
        <f>HYPERLINK("https://lsnyc.legalserver.org/matter/dynamic-profile/view/0769925","15-0769925")</f>
        <v>0</v>
      </c>
      <c r="B5317" t="s">
        <v>208</v>
      </c>
      <c r="C5317" t="s">
        <v>969</v>
      </c>
      <c r="E5317" t="s">
        <v>2719</v>
      </c>
      <c r="F5317" t="s">
        <v>3939</v>
      </c>
      <c r="G5317" t="s">
        <v>9123</v>
      </c>
      <c r="H5317">
        <v>6</v>
      </c>
      <c r="I5317" t="s">
        <v>11386</v>
      </c>
      <c r="J5317">
        <v>10031</v>
      </c>
      <c r="K5317" t="s">
        <v>11447</v>
      </c>
      <c r="P5317" t="s">
        <v>14811</v>
      </c>
      <c r="S5317" t="s">
        <v>14827</v>
      </c>
      <c r="V5317">
        <v>0</v>
      </c>
      <c r="W5317" t="s">
        <v>14860</v>
      </c>
      <c r="Z5317" t="s">
        <v>19226</v>
      </c>
      <c r="AC5317">
        <v>0</v>
      </c>
      <c r="AF5317">
        <v>0</v>
      </c>
      <c r="AG5317">
        <v>2</v>
      </c>
      <c r="AH5317">
        <v>0</v>
      </c>
      <c r="AI5317">
        <v>60.26</v>
      </c>
      <c r="AL5317" t="s">
        <v>24632</v>
      </c>
      <c r="AM5317">
        <v>9600</v>
      </c>
      <c r="AS5317">
        <v>0</v>
      </c>
      <c r="AU5317" t="s">
        <v>25266</v>
      </c>
      <c r="AW5317" t="s">
        <v>11447</v>
      </c>
    </row>
    <row r="5318" spans="1:49">
      <c r="A5318" s="1">
        <f>HYPERLINK("https://lsnyc.legalserver.org/matter/dynamic-profile/view/0761497","14-0761497")</f>
        <v>0</v>
      </c>
      <c r="B5318" t="s">
        <v>208</v>
      </c>
      <c r="C5318" t="s">
        <v>845</v>
      </c>
      <c r="E5318" t="s">
        <v>1244</v>
      </c>
      <c r="F5318" t="s">
        <v>5534</v>
      </c>
      <c r="G5318" t="s">
        <v>9123</v>
      </c>
      <c r="H5318">
        <v>18</v>
      </c>
      <c r="I5318" t="s">
        <v>11386</v>
      </c>
      <c r="J5318">
        <v>10031</v>
      </c>
      <c r="K5318" t="s">
        <v>11447</v>
      </c>
      <c r="P5318" t="s">
        <v>14811</v>
      </c>
      <c r="S5318" t="s">
        <v>14827</v>
      </c>
      <c r="V5318">
        <v>0</v>
      </c>
      <c r="W5318" t="s">
        <v>14860</v>
      </c>
      <c r="Z5318" t="s">
        <v>19227</v>
      </c>
      <c r="AB5318" t="s">
        <v>24484</v>
      </c>
      <c r="AC5318">
        <v>0</v>
      </c>
      <c r="AF5318">
        <v>0</v>
      </c>
      <c r="AG5318">
        <v>2</v>
      </c>
      <c r="AH5318">
        <v>0</v>
      </c>
      <c r="AI5318">
        <v>61.03</v>
      </c>
      <c r="AL5318" t="s">
        <v>5011</v>
      </c>
      <c r="AM5318">
        <v>9600</v>
      </c>
      <c r="AS5318">
        <v>0.8</v>
      </c>
      <c r="AT5318" t="s">
        <v>763</v>
      </c>
      <c r="AU5318" t="s">
        <v>25266</v>
      </c>
      <c r="AW5318" t="s">
        <v>11447</v>
      </c>
    </row>
    <row r="5319" spans="1:49">
      <c r="A5319" s="1">
        <f>HYPERLINK("https://lsnyc.legalserver.org/matter/dynamic-profile/view/0751470","14-0751470")</f>
        <v>0</v>
      </c>
      <c r="B5319" t="s">
        <v>208</v>
      </c>
      <c r="C5319" t="s">
        <v>970</v>
      </c>
      <c r="E5319" t="s">
        <v>1127</v>
      </c>
      <c r="F5319" t="s">
        <v>3623</v>
      </c>
      <c r="G5319" t="s">
        <v>10356</v>
      </c>
      <c r="H5319">
        <v>33</v>
      </c>
      <c r="I5319" t="s">
        <v>11386</v>
      </c>
      <c r="J5319">
        <v>10025</v>
      </c>
      <c r="K5319" t="s">
        <v>11447</v>
      </c>
      <c r="L5319" t="s">
        <v>14705</v>
      </c>
      <c r="P5319" t="s">
        <v>14811</v>
      </c>
      <c r="S5319" t="s">
        <v>14827</v>
      </c>
      <c r="V5319">
        <v>0</v>
      </c>
      <c r="W5319" t="s">
        <v>14860</v>
      </c>
      <c r="Z5319" t="s">
        <v>19228</v>
      </c>
      <c r="AB5319" t="s">
        <v>24485</v>
      </c>
      <c r="AC5319">
        <v>0</v>
      </c>
      <c r="AF5319">
        <v>0</v>
      </c>
      <c r="AG5319">
        <v>2</v>
      </c>
      <c r="AH5319">
        <v>0</v>
      </c>
      <c r="AI5319">
        <v>61.03</v>
      </c>
      <c r="AL5319" t="s">
        <v>24632</v>
      </c>
      <c r="AM5319">
        <v>9600</v>
      </c>
      <c r="AS5319">
        <v>144.25</v>
      </c>
      <c r="AT5319" t="s">
        <v>452</v>
      </c>
      <c r="AU5319" t="s">
        <v>25324</v>
      </c>
      <c r="AW5319" t="s">
        <v>11447</v>
      </c>
    </row>
    <row r="5320" spans="1:49">
      <c r="A5320" s="1">
        <f>HYPERLINK("https://lsnyc.legalserver.org/matter/dynamic-profile/view/0797704","16-0797704")</f>
        <v>0</v>
      </c>
      <c r="B5320" t="s">
        <v>242</v>
      </c>
      <c r="C5320" t="s">
        <v>971</v>
      </c>
      <c r="E5320" t="s">
        <v>1652</v>
      </c>
      <c r="F5320" t="s">
        <v>6214</v>
      </c>
      <c r="G5320" t="s">
        <v>10357</v>
      </c>
      <c r="H5320" t="s">
        <v>11352</v>
      </c>
      <c r="I5320" t="s">
        <v>11386</v>
      </c>
      <c r="J5320">
        <v>10012</v>
      </c>
      <c r="K5320" t="s">
        <v>11448</v>
      </c>
      <c r="N5320" t="s">
        <v>14781</v>
      </c>
      <c r="P5320" t="s">
        <v>14811</v>
      </c>
      <c r="S5320" t="s">
        <v>14827</v>
      </c>
      <c r="V5320">
        <v>0</v>
      </c>
      <c r="W5320" t="s">
        <v>14860</v>
      </c>
      <c r="Z5320" t="s">
        <v>19229</v>
      </c>
      <c r="AB5320" t="s">
        <v>24486</v>
      </c>
      <c r="AC5320">
        <v>0</v>
      </c>
      <c r="AF5320">
        <v>0</v>
      </c>
      <c r="AG5320">
        <v>1</v>
      </c>
      <c r="AH5320">
        <v>0</v>
      </c>
      <c r="AI5320">
        <v>70.70999999999999</v>
      </c>
      <c r="AL5320" t="s">
        <v>5011</v>
      </c>
      <c r="AM5320">
        <v>8400</v>
      </c>
      <c r="AS5320">
        <v>43.85</v>
      </c>
      <c r="AT5320" t="s">
        <v>521</v>
      </c>
      <c r="AU5320" t="s">
        <v>25325</v>
      </c>
      <c r="AW5320" t="s">
        <v>11447</v>
      </c>
    </row>
    <row r="5321" spans="1:49">
      <c r="A5321" s="1">
        <f>HYPERLINK("https://lsnyc.legalserver.org/matter/dynamic-profile/view/0830896","17-0830896")</f>
        <v>0</v>
      </c>
      <c r="B5321" t="s">
        <v>207</v>
      </c>
      <c r="C5321" t="s">
        <v>947</v>
      </c>
      <c r="E5321" t="s">
        <v>3507</v>
      </c>
      <c r="F5321" t="s">
        <v>3581</v>
      </c>
      <c r="G5321" t="s">
        <v>10358</v>
      </c>
      <c r="H5321" t="s">
        <v>11353</v>
      </c>
      <c r="I5321" t="s">
        <v>11386</v>
      </c>
      <c r="J5321">
        <v>10002</v>
      </c>
      <c r="K5321" t="s">
        <v>11447</v>
      </c>
      <c r="N5321" t="s">
        <v>14781</v>
      </c>
      <c r="P5321" t="s">
        <v>14811</v>
      </c>
      <c r="S5321" t="s">
        <v>14827</v>
      </c>
      <c r="V5321">
        <v>0</v>
      </c>
      <c r="W5321" t="s">
        <v>14860</v>
      </c>
      <c r="Z5321" t="s">
        <v>19230</v>
      </c>
      <c r="AB5321" t="s">
        <v>24487</v>
      </c>
      <c r="AC5321">
        <v>0</v>
      </c>
      <c r="AF5321">
        <v>0</v>
      </c>
      <c r="AG5321">
        <v>1</v>
      </c>
      <c r="AH5321">
        <v>0</v>
      </c>
      <c r="AI5321">
        <v>75.22</v>
      </c>
      <c r="AL5321" t="s">
        <v>24650</v>
      </c>
      <c r="AM5321">
        <v>9072</v>
      </c>
      <c r="AS5321">
        <v>0.5</v>
      </c>
      <c r="AT5321" t="s">
        <v>537</v>
      </c>
      <c r="AU5321" t="s">
        <v>25286</v>
      </c>
      <c r="AW5321" t="s">
        <v>11447</v>
      </c>
    </row>
    <row r="5322" spans="1:49">
      <c r="A5322" s="1">
        <f>HYPERLINK("https://lsnyc.legalserver.org/matter/dynamic-profile/view/1838173","17-1838173")</f>
        <v>0</v>
      </c>
      <c r="B5322" t="s">
        <v>161</v>
      </c>
      <c r="C5322" t="s">
        <v>972</v>
      </c>
      <c r="E5322" t="s">
        <v>3369</v>
      </c>
      <c r="F5322" t="s">
        <v>4973</v>
      </c>
      <c r="G5322" t="s">
        <v>10359</v>
      </c>
      <c r="H5322" t="s">
        <v>11354</v>
      </c>
      <c r="I5322" t="s">
        <v>11386</v>
      </c>
      <c r="J5322">
        <v>10021</v>
      </c>
      <c r="K5322" t="s">
        <v>11447</v>
      </c>
      <c r="M5322" t="s">
        <v>14743</v>
      </c>
      <c r="N5322" t="s">
        <v>14781</v>
      </c>
      <c r="P5322" t="s">
        <v>14811</v>
      </c>
      <c r="S5322" t="s">
        <v>14827</v>
      </c>
      <c r="T5322" t="s">
        <v>14832</v>
      </c>
      <c r="V5322">
        <v>711.11</v>
      </c>
      <c r="W5322" t="s">
        <v>14860</v>
      </c>
      <c r="Z5322" t="s">
        <v>19231</v>
      </c>
      <c r="AB5322" t="s">
        <v>24488</v>
      </c>
      <c r="AC5322">
        <v>0</v>
      </c>
      <c r="AF5322">
        <v>3</v>
      </c>
      <c r="AG5322">
        <v>1</v>
      </c>
      <c r="AH5322">
        <v>0</v>
      </c>
      <c r="AI5322">
        <v>75.62</v>
      </c>
      <c r="AL5322" t="s">
        <v>5011</v>
      </c>
      <c r="AM5322">
        <v>9120</v>
      </c>
      <c r="AS5322">
        <v>293.54</v>
      </c>
      <c r="AT5322" t="s">
        <v>533</v>
      </c>
      <c r="AU5322" t="s">
        <v>25278</v>
      </c>
      <c r="AW5322" t="s">
        <v>11447</v>
      </c>
    </row>
    <row r="5323" spans="1:49">
      <c r="A5323" s="1">
        <f>HYPERLINK("https://lsnyc.legalserver.org/matter/dynamic-profile/view/0761463","14-0761463")</f>
        <v>0</v>
      </c>
      <c r="B5323" t="s">
        <v>208</v>
      </c>
      <c r="C5323" t="s">
        <v>845</v>
      </c>
      <c r="E5323" t="s">
        <v>3508</v>
      </c>
      <c r="F5323" t="s">
        <v>6215</v>
      </c>
      <c r="G5323" t="s">
        <v>9123</v>
      </c>
      <c r="H5323">
        <v>15</v>
      </c>
      <c r="I5323" t="s">
        <v>11386</v>
      </c>
      <c r="J5323">
        <v>10031</v>
      </c>
      <c r="K5323" t="s">
        <v>11447</v>
      </c>
      <c r="P5323" t="s">
        <v>14811</v>
      </c>
      <c r="S5323" t="s">
        <v>14827</v>
      </c>
      <c r="V5323">
        <v>0</v>
      </c>
      <c r="W5323" t="s">
        <v>14860</v>
      </c>
      <c r="Z5323" t="s">
        <v>19232</v>
      </c>
      <c r="AB5323" t="s">
        <v>24489</v>
      </c>
      <c r="AC5323">
        <v>0</v>
      </c>
      <c r="AF5323">
        <v>0</v>
      </c>
      <c r="AG5323">
        <v>1</v>
      </c>
      <c r="AH5323">
        <v>0</v>
      </c>
      <c r="AI5323">
        <v>77.53</v>
      </c>
      <c r="AL5323" t="s">
        <v>24632</v>
      </c>
      <c r="AM5323">
        <v>9048</v>
      </c>
      <c r="AS5323">
        <v>2.1</v>
      </c>
      <c r="AT5323" t="s">
        <v>884</v>
      </c>
      <c r="AU5323" t="s">
        <v>25266</v>
      </c>
      <c r="AW5323" t="s">
        <v>11447</v>
      </c>
    </row>
    <row r="5324" spans="1:49">
      <c r="A5324" s="1">
        <f>HYPERLINK("https://lsnyc.legalserver.org/matter/dynamic-profile/view/0827661","17-0827661")</f>
        <v>0</v>
      </c>
      <c r="B5324" t="s">
        <v>182</v>
      </c>
      <c r="C5324" t="s">
        <v>950</v>
      </c>
      <c r="E5324" t="s">
        <v>1375</v>
      </c>
      <c r="F5324" t="s">
        <v>6216</v>
      </c>
      <c r="G5324" t="s">
        <v>10354</v>
      </c>
      <c r="H5324" t="s">
        <v>10542</v>
      </c>
      <c r="I5324" t="s">
        <v>11386</v>
      </c>
      <c r="J5324">
        <v>10019</v>
      </c>
      <c r="K5324" t="s">
        <v>11447</v>
      </c>
      <c r="N5324" t="s">
        <v>14782</v>
      </c>
      <c r="P5324" t="s">
        <v>14811</v>
      </c>
      <c r="S5324" t="s">
        <v>14827</v>
      </c>
      <c r="V5324">
        <v>711.5700000000001</v>
      </c>
      <c r="W5324" t="s">
        <v>14860</v>
      </c>
      <c r="Z5324" t="s">
        <v>19233</v>
      </c>
      <c r="AB5324" t="s">
        <v>24490</v>
      </c>
      <c r="AC5324">
        <v>0</v>
      </c>
      <c r="AD5324" t="s">
        <v>24595</v>
      </c>
      <c r="AF5324">
        <v>40</v>
      </c>
      <c r="AG5324">
        <v>1</v>
      </c>
      <c r="AH5324">
        <v>0</v>
      </c>
      <c r="AI5324">
        <v>79.59999999999999</v>
      </c>
      <c r="AL5324" t="s">
        <v>5011</v>
      </c>
      <c r="AM5324">
        <v>9600</v>
      </c>
      <c r="AS5324">
        <v>0</v>
      </c>
      <c r="AU5324" t="s">
        <v>25286</v>
      </c>
      <c r="AW5324" t="s">
        <v>11447</v>
      </c>
    </row>
    <row r="5325" spans="1:49">
      <c r="A5325" s="1">
        <f>HYPERLINK("https://lsnyc.legalserver.org/matter/dynamic-profile/view/1835980","17-1835980")</f>
        <v>0</v>
      </c>
      <c r="B5325" t="s">
        <v>253</v>
      </c>
      <c r="C5325" t="s">
        <v>973</v>
      </c>
      <c r="E5325" t="s">
        <v>1747</v>
      </c>
      <c r="F5325" t="s">
        <v>6217</v>
      </c>
      <c r="G5325" t="s">
        <v>10360</v>
      </c>
      <c r="H5325" t="s">
        <v>10954</v>
      </c>
      <c r="I5325" t="s">
        <v>11386</v>
      </c>
      <c r="J5325">
        <v>10035</v>
      </c>
      <c r="K5325" t="s">
        <v>11446</v>
      </c>
      <c r="M5325" t="s">
        <v>11601</v>
      </c>
      <c r="N5325" t="s">
        <v>14782</v>
      </c>
      <c r="P5325" t="s">
        <v>14811</v>
      </c>
      <c r="S5325" t="s">
        <v>14828</v>
      </c>
      <c r="V5325">
        <v>0</v>
      </c>
      <c r="W5325" t="s">
        <v>14860</v>
      </c>
      <c r="Z5325" t="s">
        <v>19234</v>
      </c>
      <c r="AB5325" t="s">
        <v>24491</v>
      </c>
      <c r="AC5325">
        <v>0</v>
      </c>
      <c r="AF5325">
        <v>21</v>
      </c>
      <c r="AG5325">
        <v>1</v>
      </c>
      <c r="AH5325">
        <v>0</v>
      </c>
      <c r="AI5325">
        <v>81.59</v>
      </c>
      <c r="AL5325" t="s">
        <v>5011</v>
      </c>
      <c r="AM5325">
        <v>9840</v>
      </c>
      <c r="AS5325">
        <v>0.35</v>
      </c>
      <c r="AT5325" t="s">
        <v>521</v>
      </c>
      <c r="AU5325" t="s">
        <v>25286</v>
      </c>
      <c r="AW5325" t="s">
        <v>11447</v>
      </c>
    </row>
    <row r="5326" spans="1:49">
      <c r="A5326" s="1">
        <f>HYPERLINK("https://lsnyc.legalserver.org/matter/dynamic-profile/view/0815207","16-0815207")</f>
        <v>0</v>
      </c>
      <c r="B5326" t="s">
        <v>215</v>
      </c>
      <c r="C5326" t="s">
        <v>974</v>
      </c>
      <c r="E5326" t="s">
        <v>1025</v>
      </c>
      <c r="F5326" t="s">
        <v>3627</v>
      </c>
      <c r="G5326" t="s">
        <v>6291</v>
      </c>
      <c r="H5326" t="s">
        <v>10689</v>
      </c>
      <c r="I5326" t="s">
        <v>11386</v>
      </c>
      <c r="J5326">
        <v>10029</v>
      </c>
      <c r="K5326" t="s">
        <v>11447</v>
      </c>
      <c r="L5326">
        <v>10713</v>
      </c>
      <c r="M5326" t="s">
        <v>14744</v>
      </c>
      <c r="N5326" t="s">
        <v>14783</v>
      </c>
      <c r="P5326" t="s">
        <v>14811</v>
      </c>
      <c r="S5326" t="s">
        <v>14828</v>
      </c>
      <c r="V5326">
        <v>200</v>
      </c>
      <c r="W5326" t="s">
        <v>14860</v>
      </c>
      <c r="X5326" t="s">
        <v>14870</v>
      </c>
      <c r="Z5326" t="s">
        <v>19235</v>
      </c>
      <c r="AB5326" t="s">
        <v>24492</v>
      </c>
      <c r="AC5326">
        <v>0</v>
      </c>
      <c r="AF5326">
        <v>41</v>
      </c>
      <c r="AG5326">
        <v>1</v>
      </c>
      <c r="AH5326">
        <v>0</v>
      </c>
      <c r="AI5326">
        <v>82.02</v>
      </c>
      <c r="AL5326" t="s">
        <v>5011</v>
      </c>
      <c r="AM5326">
        <v>9744</v>
      </c>
      <c r="AS5326">
        <v>58.62</v>
      </c>
      <c r="AT5326" t="s">
        <v>644</v>
      </c>
      <c r="AU5326" t="s">
        <v>25278</v>
      </c>
      <c r="AW5326" t="s">
        <v>11447</v>
      </c>
    </row>
    <row r="5327" spans="1:49">
      <c r="A5327" s="1">
        <f>HYPERLINK("https://lsnyc.legalserver.org/matter/dynamic-profile/view/1837064","17-1837064")</f>
        <v>0</v>
      </c>
      <c r="B5327" t="s">
        <v>242</v>
      </c>
      <c r="C5327" t="s">
        <v>838</v>
      </c>
      <c r="E5327" t="s">
        <v>3509</v>
      </c>
      <c r="F5327" t="s">
        <v>6218</v>
      </c>
      <c r="G5327" t="s">
        <v>10361</v>
      </c>
      <c r="H5327">
        <v>36</v>
      </c>
      <c r="I5327" t="s">
        <v>11386</v>
      </c>
      <c r="J5327">
        <v>10032</v>
      </c>
      <c r="K5327" t="s">
        <v>11447</v>
      </c>
      <c r="N5327" t="s">
        <v>14782</v>
      </c>
      <c r="P5327" t="s">
        <v>14811</v>
      </c>
      <c r="S5327" t="s">
        <v>14827</v>
      </c>
      <c r="V5327">
        <v>0</v>
      </c>
      <c r="W5327" t="s">
        <v>14860</v>
      </c>
      <c r="Z5327" t="s">
        <v>19236</v>
      </c>
      <c r="AB5327" t="s">
        <v>24493</v>
      </c>
      <c r="AC5327">
        <v>0</v>
      </c>
      <c r="AF5327">
        <v>33</v>
      </c>
      <c r="AG5327">
        <v>1</v>
      </c>
      <c r="AH5327">
        <v>0</v>
      </c>
      <c r="AI5327">
        <v>82.69</v>
      </c>
      <c r="AL5327" t="s">
        <v>5011</v>
      </c>
      <c r="AM5327">
        <v>9972</v>
      </c>
      <c r="AS5327">
        <v>47.4</v>
      </c>
      <c r="AT5327" t="s">
        <v>683</v>
      </c>
      <c r="AU5327" t="s">
        <v>25286</v>
      </c>
      <c r="AW5327" t="s">
        <v>11447</v>
      </c>
    </row>
    <row r="5328" spans="1:49">
      <c r="A5328" s="1">
        <f>HYPERLINK("https://lsnyc.legalserver.org/matter/dynamic-profile/view/0795681","16-0795681")</f>
        <v>0</v>
      </c>
      <c r="B5328" t="s">
        <v>242</v>
      </c>
      <c r="C5328" t="s">
        <v>975</v>
      </c>
      <c r="E5328" t="s">
        <v>1328</v>
      </c>
      <c r="F5328" t="s">
        <v>6219</v>
      </c>
      <c r="G5328" t="s">
        <v>10362</v>
      </c>
      <c r="H5328">
        <v>31</v>
      </c>
      <c r="I5328" t="s">
        <v>11386</v>
      </c>
      <c r="J5328">
        <v>10032</v>
      </c>
      <c r="K5328" t="s">
        <v>11447</v>
      </c>
      <c r="N5328" t="s">
        <v>14781</v>
      </c>
      <c r="P5328" t="s">
        <v>14811</v>
      </c>
      <c r="S5328" t="s">
        <v>14827</v>
      </c>
      <c r="V5328">
        <v>0</v>
      </c>
      <c r="W5328" t="s">
        <v>14860</v>
      </c>
      <c r="Z5328" t="s">
        <v>19237</v>
      </c>
      <c r="AB5328" t="s">
        <v>24494</v>
      </c>
      <c r="AC5328">
        <v>0</v>
      </c>
      <c r="AF5328">
        <v>0</v>
      </c>
      <c r="AG5328">
        <v>3</v>
      </c>
      <c r="AH5328">
        <v>0</v>
      </c>
      <c r="AI5328">
        <v>86.26000000000001</v>
      </c>
      <c r="AL5328" t="s">
        <v>24632</v>
      </c>
      <c r="AM5328">
        <v>17329.44</v>
      </c>
      <c r="AS5328">
        <v>98.40000000000001</v>
      </c>
      <c r="AT5328" t="s">
        <v>530</v>
      </c>
      <c r="AU5328" t="s">
        <v>25286</v>
      </c>
      <c r="AW5328" t="s">
        <v>11447</v>
      </c>
    </row>
    <row r="5329" spans="1:49">
      <c r="A5329" s="1">
        <f>HYPERLINK("https://lsnyc.legalserver.org/matter/dynamic-profile/view/0831144","17-0831144")</f>
        <v>0</v>
      </c>
      <c r="B5329" t="s">
        <v>218</v>
      </c>
      <c r="C5329" t="s">
        <v>531</v>
      </c>
      <c r="E5329" t="s">
        <v>3510</v>
      </c>
      <c r="F5329" t="s">
        <v>6220</v>
      </c>
      <c r="G5329" t="s">
        <v>10363</v>
      </c>
      <c r="H5329" t="s">
        <v>11355</v>
      </c>
      <c r="I5329" t="s">
        <v>11386</v>
      </c>
      <c r="J5329">
        <v>10009</v>
      </c>
      <c r="K5329" t="s">
        <v>11447</v>
      </c>
      <c r="N5329" t="s">
        <v>14783</v>
      </c>
      <c r="P5329" t="s">
        <v>14811</v>
      </c>
      <c r="S5329" t="s">
        <v>14828</v>
      </c>
      <c r="V5329">
        <v>0</v>
      </c>
      <c r="W5329" t="s">
        <v>14860</v>
      </c>
      <c r="Z5329" t="s">
        <v>19238</v>
      </c>
      <c r="AB5329" t="s">
        <v>24495</v>
      </c>
      <c r="AC5329">
        <v>0</v>
      </c>
      <c r="AF5329">
        <v>0</v>
      </c>
      <c r="AG5329">
        <v>2</v>
      </c>
      <c r="AH5329">
        <v>0</v>
      </c>
      <c r="AI5329">
        <v>87.19</v>
      </c>
      <c r="AL5329" t="s">
        <v>24632</v>
      </c>
      <c r="AM5329">
        <v>14160</v>
      </c>
      <c r="AS5329">
        <v>35.5</v>
      </c>
      <c r="AT5329" t="s">
        <v>509</v>
      </c>
      <c r="AU5329" t="s">
        <v>25286</v>
      </c>
      <c r="AW5329" t="s">
        <v>11447</v>
      </c>
    </row>
    <row r="5330" spans="1:49">
      <c r="A5330" s="1">
        <f>HYPERLINK("https://lsnyc.legalserver.org/matter/dynamic-profile/view/0784289","15-0784289")</f>
        <v>0</v>
      </c>
      <c r="B5330" t="s">
        <v>242</v>
      </c>
      <c r="C5330" t="s">
        <v>976</v>
      </c>
      <c r="E5330" t="s">
        <v>1272</v>
      </c>
      <c r="F5330" t="s">
        <v>6221</v>
      </c>
      <c r="G5330" t="s">
        <v>10364</v>
      </c>
      <c r="H5330" t="s">
        <v>11356</v>
      </c>
      <c r="I5330" t="s">
        <v>11386</v>
      </c>
      <c r="J5330">
        <v>10039</v>
      </c>
      <c r="K5330" t="s">
        <v>11447</v>
      </c>
      <c r="M5330" t="s">
        <v>14744</v>
      </c>
      <c r="N5330" t="s">
        <v>14781</v>
      </c>
      <c r="P5330" t="s">
        <v>14811</v>
      </c>
      <c r="R5330" t="s">
        <v>14822</v>
      </c>
      <c r="S5330" t="s">
        <v>14830</v>
      </c>
      <c r="V5330">
        <v>717</v>
      </c>
      <c r="W5330" t="s">
        <v>14860</v>
      </c>
      <c r="Z5330" t="s">
        <v>19239</v>
      </c>
      <c r="AB5330" t="s">
        <v>24496</v>
      </c>
      <c r="AC5330">
        <v>0</v>
      </c>
      <c r="AD5330" t="s">
        <v>24601</v>
      </c>
      <c r="AF5330">
        <v>16</v>
      </c>
      <c r="AG5330">
        <v>1</v>
      </c>
      <c r="AH5330">
        <v>1</v>
      </c>
      <c r="AI5330">
        <v>97.93000000000001</v>
      </c>
      <c r="AL5330" t="s">
        <v>5011</v>
      </c>
      <c r="AM5330">
        <v>15600</v>
      </c>
      <c r="AS5330">
        <v>21.9</v>
      </c>
      <c r="AT5330" t="s">
        <v>445</v>
      </c>
      <c r="AU5330" t="s">
        <v>25267</v>
      </c>
      <c r="AW5330" t="s">
        <v>11447</v>
      </c>
    </row>
    <row r="5331" spans="1:49">
      <c r="A5331" s="1">
        <f>HYPERLINK("https://lsnyc.legalserver.org/matter/dynamic-profile/view/0829238","17-0829238")</f>
        <v>0</v>
      </c>
      <c r="B5331" t="s">
        <v>253</v>
      </c>
      <c r="C5331" t="s">
        <v>949</v>
      </c>
      <c r="E5331" t="s">
        <v>1307</v>
      </c>
      <c r="F5331" t="s">
        <v>3547</v>
      </c>
      <c r="G5331" t="s">
        <v>7477</v>
      </c>
      <c r="H5331" t="s">
        <v>10635</v>
      </c>
      <c r="I5331" t="s">
        <v>11386</v>
      </c>
      <c r="J5331">
        <v>10034</v>
      </c>
      <c r="K5331" t="s">
        <v>11447</v>
      </c>
      <c r="N5331" t="s">
        <v>14781</v>
      </c>
      <c r="P5331" t="s">
        <v>14811</v>
      </c>
      <c r="S5331" t="s">
        <v>14828</v>
      </c>
      <c r="V5331">
        <v>0</v>
      </c>
      <c r="W5331" t="s">
        <v>14860</v>
      </c>
      <c r="Z5331" t="s">
        <v>19240</v>
      </c>
      <c r="AB5331" t="s">
        <v>24497</v>
      </c>
      <c r="AC5331">
        <v>0</v>
      </c>
      <c r="AF5331">
        <v>0</v>
      </c>
      <c r="AG5331">
        <v>2</v>
      </c>
      <c r="AH5331">
        <v>0</v>
      </c>
      <c r="AI5331">
        <v>99.23999999999999</v>
      </c>
      <c r="AL5331" t="s">
        <v>24632</v>
      </c>
      <c r="AM5331">
        <v>16116</v>
      </c>
      <c r="AS5331">
        <v>19.7</v>
      </c>
      <c r="AT5331" t="s">
        <v>25213</v>
      </c>
      <c r="AU5331" t="s">
        <v>25286</v>
      </c>
      <c r="AW5331" t="s">
        <v>11447</v>
      </c>
    </row>
    <row r="5332" spans="1:49">
      <c r="A5332" s="1">
        <f>HYPERLINK("https://lsnyc.legalserver.org/matter/dynamic-profile/view/0812884","16-0812884")</f>
        <v>0</v>
      </c>
      <c r="B5332" t="s">
        <v>207</v>
      </c>
      <c r="C5332" t="s">
        <v>879</v>
      </c>
      <c r="E5332" t="s">
        <v>3511</v>
      </c>
      <c r="F5332" t="s">
        <v>6222</v>
      </c>
      <c r="G5332" t="s">
        <v>10358</v>
      </c>
      <c r="H5332">
        <v>3</v>
      </c>
      <c r="I5332" t="s">
        <v>11386</v>
      </c>
      <c r="J5332">
        <v>10002</v>
      </c>
      <c r="K5332" t="s">
        <v>11447</v>
      </c>
      <c r="N5332" t="s">
        <v>14781</v>
      </c>
      <c r="P5332" t="s">
        <v>14811</v>
      </c>
      <c r="S5332" t="s">
        <v>14827</v>
      </c>
      <c r="V5332">
        <v>0</v>
      </c>
      <c r="W5332" t="s">
        <v>14860</v>
      </c>
      <c r="Z5332" t="s">
        <v>19241</v>
      </c>
      <c r="AB5332" t="s">
        <v>24498</v>
      </c>
      <c r="AC5332">
        <v>0</v>
      </c>
      <c r="AF5332">
        <v>0</v>
      </c>
      <c r="AG5332">
        <v>2</v>
      </c>
      <c r="AH5332">
        <v>0</v>
      </c>
      <c r="AI5332">
        <v>99.88</v>
      </c>
      <c r="AL5332" t="s">
        <v>24634</v>
      </c>
      <c r="AM5332">
        <v>16000</v>
      </c>
      <c r="AS5332">
        <v>1.1</v>
      </c>
      <c r="AT5332" t="s">
        <v>537</v>
      </c>
      <c r="AU5332" t="s">
        <v>25286</v>
      </c>
      <c r="AW5332" t="s">
        <v>11447</v>
      </c>
    </row>
    <row r="5333" spans="1:49">
      <c r="A5333" s="1">
        <f>HYPERLINK("https://lsnyc.legalserver.org/matter/dynamic-profile/view/0769921","15-0769921")</f>
        <v>0</v>
      </c>
      <c r="B5333" t="s">
        <v>208</v>
      </c>
      <c r="C5333" t="s">
        <v>969</v>
      </c>
      <c r="E5333" t="s">
        <v>1025</v>
      </c>
      <c r="F5333" t="s">
        <v>6223</v>
      </c>
      <c r="G5333" t="s">
        <v>9123</v>
      </c>
      <c r="I5333" t="s">
        <v>11386</v>
      </c>
      <c r="J5333">
        <v>10031</v>
      </c>
      <c r="K5333" t="s">
        <v>11447</v>
      </c>
      <c r="P5333" t="s">
        <v>14811</v>
      </c>
      <c r="S5333" t="s">
        <v>14827</v>
      </c>
      <c r="V5333">
        <v>0</v>
      </c>
      <c r="W5333" t="s">
        <v>14860</v>
      </c>
      <c r="Z5333" t="s">
        <v>19242</v>
      </c>
      <c r="AB5333" t="s">
        <v>24499</v>
      </c>
      <c r="AC5333">
        <v>0</v>
      </c>
      <c r="AF5333">
        <v>0</v>
      </c>
      <c r="AG5333">
        <v>1</v>
      </c>
      <c r="AH5333">
        <v>0</v>
      </c>
      <c r="AI5333">
        <v>122.82</v>
      </c>
      <c r="AL5333" t="s">
        <v>24632</v>
      </c>
      <c r="AM5333">
        <v>14456</v>
      </c>
      <c r="AS5333">
        <v>0</v>
      </c>
      <c r="AT5333" t="s">
        <v>763</v>
      </c>
      <c r="AU5333" t="s">
        <v>25266</v>
      </c>
      <c r="AW5333" t="s">
        <v>11447</v>
      </c>
    </row>
    <row r="5334" spans="1:49">
      <c r="A5334" s="1">
        <f>HYPERLINK("https://lsnyc.legalserver.org/matter/dynamic-profile/view/0783181","15-0783181")</f>
        <v>0</v>
      </c>
      <c r="B5334" t="s">
        <v>208</v>
      </c>
      <c r="C5334" t="s">
        <v>926</v>
      </c>
      <c r="E5334" t="s">
        <v>1249</v>
      </c>
      <c r="F5334" t="s">
        <v>3730</v>
      </c>
      <c r="G5334" t="s">
        <v>9123</v>
      </c>
      <c r="H5334">
        <v>19</v>
      </c>
      <c r="I5334" t="s">
        <v>11386</v>
      </c>
      <c r="J5334">
        <v>10031</v>
      </c>
      <c r="K5334" t="s">
        <v>11447</v>
      </c>
      <c r="P5334" t="s">
        <v>14811</v>
      </c>
      <c r="S5334" t="s">
        <v>14827</v>
      </c>
      <c r="V5334">
        <v>0</v>
      </c>
      <c r="W5334" t="s">
        <v>14860</v>
      </c>
      <c r="Z5334" t="s">
        <v>19243</v>
      </c>
      <c r="AB5334" t="s">
        <v>24500</v>
      </c>
      <c r="AC5334">
        <v>0</v>
      </c>
      <c r="AF5334">
        <v>0</v>
      </c>
      <c r="AG5334">
        <v>3</v>
      </c>
      <c r="AH5334">
        <v>0</v>
      </c>
      <c r="AI5334">
        <v>124.9</v>
      </c>
      <c r="AL5334" t="s">
        <v>24632</v>
      </c>
      <c r="AM5334">
        <v>25092</v>
      </c>
      <c r="AS5334">
        <v>0</v>
      </c>
      <c r="AU5334" t="s">
        <v>25313</v>
      </c>
      <c r="AW5334" t="s">
        <v>11447</v>
      </c>
    </row>
    <row r="5335" spans="1:49">
      <c r="A5335" s="1">
        <f>HYPERLINK("https://lsnyc.legalserver.org/matter/dynamic-profile/view/0769990","15-0769990")</f>
        <v>0</v>
      </c>
      <c r="B5335" t="s">
        <v>182</v>
      </c>
      <c r="C5335" t="s">
        <v>969</v>
      </c>
      <c r="E5335" t="s">
        <v>1080</v>
      </c>
      <c r="F5335" t="s">
        <v>4644</v>
      </c>
      <c r="G5335" t="s">
        <v>9806</v>
      </c>
      <c r="H5335" t="s">
        <v>10589</v>
      </c>
      <c r="I5335" t="s">
        <v>11386</v>
      </c>
      <c r="J5335">
        <v>10026</v>
      </c>
      <c r="K5335" t="s">
        <v>11447</v>
      </c>
      <c r="P5335" t="s">
        <v>14811</v>
      </c>
      <c r="S5335" t="s">
        <v>14827</v>
      </c>
      <c r="V5335">
        <v>0</v>
      </c>
      <c r="W5335" t="s">
        <v>14860</v>
      </c>
      <c r="Z5335" t="s">
        <v>15340</v>
      </c>
      <c r="AB5335" t="s">
        <v>23885</v>
      </c>
      <c r="AC5335">
        <v>0</v>
      </c>
      <c r="AF5335">
        <v>0</v>
      </c>
      <c r="AG5335">
        <v>2</v>
      </c>
      <c r="AH5335">
        <v>1</v>
      </c>
      <c r="AI5335">
        <v>135.82</v>
      </c>
      <c r="AL5335" t="s">
        <v>5011</v>
      </c>
      <c r="AM5335">
        <v>27286</v>
      </c>
      <c r="AS5335">
        <v>13.5</v>
      </c>
      <c r="AT5335" t="s">
        <v>25214</v>
      </c>
      <c r="AU5335" t="s">
        <v>25266</v>
      </c>
      <c r="AW5335" t="s">
        <v>11447</v>
      </c>
    </row>
    <row r="5336" spans="1:49">
      <c r="A5336" s="1">
        <f>HYPERLINK("https://lsnyc.legalserver.org/matter/dynamic-profile/view/0773085","15-0773085")</f>
        <v>0</v>
      </c>
      <c r="B5336" t="s">
        <v>208</v>
      </c>
      <c r="C5336" t="s">
        <v>977</v>
      </c>
      <c r="E5336" t="s">
        <v>3512</v>
      </c>
      <c r="F5336" t="s">
        <v>6224</v>
      </c>
      <c r="G5336" t="s">
        <v>10365</v>
      </c>
      <c r="H5336">
        <v>31</v>
      </c>
      <c r="I5336" t="s">
        <v>11386</v>
      </c>
      <c r="J5336">
        <v>10031</v>
      </c>
      <c r="K5336" t="s">
        <v>11447</v>
      </c>
      <c r="P5336" t="s">
        <v>14811</v>
      </c>
      <c r="R5336" t="s">
        <v>14825</v>
      </c>
      <c r="S5336" t="s">
        <v>14827</v>
      </c>
      <c r="V5336">
        <v>603.33</v>
      </c>
      <c r="W5336" t="s">
        <v>14860</v>
      </c>
      <c r="Z5336" t="s">
        <v>16769</v>
      </c>
      <c r="AB5336" t="s">
        <v>24501</v>
      </c>
      <c r="AC5336">
        <v>0</v>
      </c>
      <c r="AF5336">
        <v>0</v>
      </c>
      <c r="AG5336">
        <v>2</v>
      </c>
      <c r="AH5336">
        <v>0</v>
      </c>
      <c r="AI5336">
        <v>136.35</v>
      </c>
      <c r="AL5336" t="s">
        <v>24632</v>
      </c>
      <c r="AM5336">
        <v>21720</v>
      </c>
      <c r="AS5336">
        <v>7.8</v>
      </c>
      <c r="AT5336" t="s">
        <v>631</v>
      </c>
      <c r="AU5336" t="s">
        <v>208</v>
      </c>
      <c r="AW5336" t="s">
        <v>11447</v>
      </c>
    </row>
    <row r="5337" spans="1:49">
      <c r="A5337" s="1">
        <f>HYPERLINK("https://lsnyc.legalserver.org/matter/dynamic-profile/view/0751461","14-0751461")</f>
        <v>0</v>
      </c>
      <c r="B5337" t="s">
        <v>208</v>
      </c>
      <c r="C5337" t="s">
        <v>970</v>
      </c>
      <c r="E5337" t="s">
        <v>3022</v>
      </c>
      <c r="F5337" t="s">
        <v>6225</v>
      </c>
      <c r="G5337" t="s">
        <v>10366</v>
      </c>
      <c r="H5337" t="s">
        <v>11357</v>
      </c>
      <c r="I5337" t="s">
        <v>11386</v>
      </c>
      <c r="J5337">
        <v>10031</v>
      </c>
      <c r="K5337" t="s">
        <v>11447</v>
      </c>
      <c r="L5337" t="s">
        <v>14706</v>
      </c>
      <c r="P5337" t="s">
        <v>14811</v>
      </c>
      <c r="S5337" t="s">
        <v>14827</v>
      </c>
      <c r="V5337">
        <v>0</v>
      </c>
      <c r="W5337" t="s">
        <v>14860</v>
      </c>
      <c r="Z5337" t="s">
        <v>19244</v>
      </c>
      <c r="AB5337" t="s">
        <v>24502</v>
      </c>
      <c r="AC5337">
        <v>0</v>
      </c>
      <c r="AF5337">
        <v>0</v>
      </c>
      <c r="AG5337">
        <v>2</v>
      </c>
      <c r="AH5337">
        <v>0</v>
      </c>
      <c r="AI5337">
        <v>137.62</v>
      </c>
      <c r="AL5337" t="s">
        <v>5011</v>
      </c>
      <c r="AM5337">
        <v>21648</v>
      </c>
      <c r="AS5337">
        <v>103.4</v>
      </c>
      <c r="AT5337" t="s">
        <v>25215</v>
      </c>
      <c r="AU5337" t="s">
        <v>25326</v>
      </c>
      <c r="AW5337" t="s">
        <v>11447</v>
      </c>
    </row>
    <row r="5338" spans="1:49">
      <c r="A5338" s="1">
        <f>HYPERLINK("https://lsnyc.legalserver.org/matter/dynamic-profile/view/0769954","15-0769954")</f>
        <v>0</v>
      </c>
      <c r="B5338" t="s">
        <v>208</v>
      </c>
      <c r="C5338" t="s">
        <v>969</v>
      </c>
      <c r="E5338" t="s">
        <v>3513</v>
      </c>
      <c r="F5338" t="s">
        <v>3769</v>
      </c>
      <c r="G5338" t="s">
        <v>9123</v>
      </c>
      <c r="I5338" t="s">
        <v>11386</v>
      </c>
      <c r="J5338">
        <v>10031</v>
      </c>
      <c r="K5338" t="s">
        <v>11447</v>
      </c>
      <c r="P5338" t="s">
        <v>14811</v>
      </c>
      <c r="S5338" t="s">
        <v>14827</v>
      </c>
      <c r="V5338">
        <v>0</v>
      </c>
      <c r="W5338" t="s">
        <v>14860</v>
      </c>
      <c r="Z5338" t="s">
        <v>18097</v>
      </c>
      <c r="AB5338" t="s">
        <v>24503</v>
      </c>
      <c r="AC5338">
        <v>0</v>
      </c>
      <c r="AF5338">
        <v>0</v>
      </c>
      <c r="AG5338">
        <v>4</v>
      </c>
      <c r="AH5338">
        <v>0</v>
      </c>
      <c r="AI5338">
        <v>138.56</v>
      </c>
      <c r="AL5338" t="s">
        <v>24632</v>
      </c>
      <c r="AM5338">
        <v>33600</v>
      </c>
      <c r="AS5338">
        <v>0</v>
      </c>
      <c r="AT5338" t="s">
        <v>763</v>
      </c>
      <c r="AU5338" t="s">
        <v>25266</v>
      </c>
      <c r="AW5338" t="s">
        <v>11447</v>
      </c>
    </row>
    <row r="5339" spans="1:49">
      <c r="A5339" s="1">
        <f>HYPERLINK("https://lsnyc.legalserver.org/matter/dynamic-profile/view/0813932","16-0813932")</f>
        <v>0</v>
      </c>
      <c r="B5339" t="s">
        <v>253</v>
      </c>
      <c r="C5339" t="s">
        <v>978</v>
      </c>
      <c r="E5339" t="s">
        <v>1506</v>
      </c>
      <c r="F5339" t="s">
        <v>2906</v>
      </c>
      <c r="G5339" t="s">
        <v>10367</v>
      </c>
      <c r="H5339" t="s">
        <v>10569</v>
      </c>
      <c r="I5339" t="s">
        <v>11386</v>
      </c>
      <c r="J5339">
        <v>10027</v>
      </c>
      <c r="K5339" t="s">
        <v>11447</v>
      </c>
      <c r="L5339" t="s">
        <v>14707</v>
      </c>
      <c r="M5339" t="s">
        <v>14744</v>
      </c>
      <c r="N5339" t="s">
        <v>14781</v>
      </c>
      <c r="P5339" t="s">
        <v>14811</v>
      </c>
      <c r="S5339" t="s">
        <v>14827</v>
      </c>
      <c r="V5339">
        <v>1039</v>
      </c>
      <c r="W5339" t="s">
        <v>14860</v>
      </c>
      <c r="X5339" t="s">
        <v>14882</v>
      </c>
      <c r="Z5339" t="s">
        <v>19245</v>
      </c>
      <c r="AB5339" t="s">
        <v>24504</v>
      </c>
      <c r="AC5339">
        <v>0</v>
      </c>
      <c r="AF5339">
        <v>4</v>
      </c>
      <c r="AG5339">
        <v>1</v>
      </c>
      <c r="AH5339">
        <v>3</v>
      </c>
      <c r="AI5339">
        <v>164.61</v>
      </c>
      <c r="AL5339" t="s">
        <v>5011</v>
      </c>
      <c r="AM5339">
        <v>40000</v>
      </c>
      <c r="AS5339">
        <v>127.05</v>
      </c>
      <c r="AT5339" t="s">
        <v>831</v>
      </c>
      <c r="AU5339" t="s">
        <v>25286</v>
      </c>
      <c r="AW5339" t="s">
        <v>11447</v>
      </c>
    </row>
    <row r="5340" spans="1:49">
      <c r="A5340" s="1">
        <f>HYPERLINK("https://lsnyc.legalserver.org/matter/dynamic-profile/view/0828800","17-0828800")</f>
        <v>0</v>
      </c>
      <c r="B5340" t="s">
        <v>156</v>
      </c>
      <c r="C5340" t="s">
        <v>494</v>
      </c>
      <c r="E5340" t="s">
        <v>2204</v>
      </c>
      <c r="F5340" t="s">
        <v>4755</v>
      </c>
      <c r="G5340" t="s">
        <v>7811</v>
      </c>
      <c r="H5340" t="s">
        <v>10502</v>
      </c>
      <c r="I5340" t="s">
        <v>11386</v>
      </c>
      <c r="J5340">
        <v>10002</v>
      </c>
      <c r="K5340" t="s">
        <v>11447</v>
      </c>
      <c r="N5340" t="s">
        <v>14781</v>
      </c>
      <c r="P5340" t="s">
        <v>14811</v>
      </c>
      <c r="S5340" t="s">
        <v>14827</v>
      </c>
      <c r="V5340">
        <v>0</v>
      </c>
      <c r="W5340" t="s">
        <v>14860</v>
      </c>
      <c r="Z5340" t="s">
        <v>16729</v>
      </c>
      <c r="AB5340" t="s">
        <v>21759</v>
      </c>
      <c r="AC5340">
        <v>0</v>
      </c>
      <c r="AF5340">
        <v>0</v>
      </c>
      <c r="AG5340">
        <v>8</v>
      </c>
      <c r="AH5340">
        <v>0</v>
      </c>
      <c r="AI5340">
        <v>173.18</v>
      </c>
      <c r="AL5340" t="s">
        <v>24633</v>
      </c>
      <c r="AM5340">
        <v>71560</v>
      </c>
      <c r="AS5340">
        <v>48.75</v>
      </c>
      <c r="AT5340" t="s">
        <v>410</v>
      </c>
      <c r="AU5340" t="s">
        <v>25286</v>
      </c>
      <c r="AW5340" t="s">
        <v>11447</v>
      </c>
    </row>
    <row r="5341" spans="1:49">
      <c r="A5341" s="1">
        <f>HYPERLINK("https://lsnyc.legalserver.org/matter/dynamic-profile/view/0812854","16-0812854")</f>
        <v>0</v>
      </c>
      <c r="B5341" t="s">
        <v>207</v>
      </c>
      <c r="C5341" t="s">
        <v>879</v>
      </c>
      <c r="E5341" t="s">
        <v>3514</v>
      </c>
      <c r="F5341" t="s">
        <v>2569</v>
      </c>
      <c r="G5341" t="s">
        <v>10368</v>
      </c>
      <c r="H5341">
        <v>6</v>
      </c>
      <c r="I5341" t="s">
        <v>11386</v>
      </c>
      <c r="J5341">
        <v>10002</v>
      </c>
      <c r="K5341" t="s">
        <v>11447</v>
      </c>
      <c r="N5341" t="s">
        <v>14781</v>
      </c>
      <c r="P5341" t="s">
        <v>14811</v>
      </c>
      <c r="S5341" t="s">
        <v>14827</v>
      </c>
      <c r="V5341">
        <v>0</v>
      </c>
      <c r="W5341" t="s">
        <v>14860</v>
      </c>
      <c r="Z5341" t="s">
        <v>19246</v>
      </c>
      <c r="AB5341" t="s">
        <v>24505</v>
      </c>
      <c r="AC5341">
        <v>0</v>
      </c>
      <c r="AF5341">
        <v>0</v>
      </c>
      <c r="AG5341">
        <v>1</v>
      </c>
      <c r="AH5341">
        <v>0</v>
      </c>
      <c r="AI5341">
        <v>186.03</v>
      </c>
      <c r="AL5341" t="s">
        <v>5011</v>
      </c>
      <c r="AM5341">
        <v>22100.04</v>
      </c>
      <c r="AS5341">
        <v>61.3</v>
      </c>
      <c r="AT5341" t="s">
        <v>537</v>
      </c>
      <c r="AU5341" t="s">
        <v>25286</v>
      </c>
      <c r="AW5341" t="s">
        <v>11447</v>
      </c>
    </row>
    <row r="5342" spans="1:49">
      <c r="A5342" s="1">
        <f>HYPERLINK("https://lsnyc.legalserver.org/matter/dynamic-profile/view/0780649","15-0780649")</f>
        <v>0</v>
      </c>
      <c r="B5342" t="s">
        <v>322</v>
      </c>
      <c r="C5342" t="s">
        <v>979</v>
      </c>
      <c r="E5342" t="s">
        <v>3515</v>
      </c>
      <c r="F5342" t="s">
        <v>4150</v>
      </c>
      <c r="G5342" t="s">
        <v>10369</v>
      </c>
      <c r="H5342" t="s">
        <v>10598</v>
      </c>
      <c r="I5342" t="s">
        <v>11386</v>
      </c>
      <c r="J5342">
        <v>10009</v>
      </c>
      <c r="K5342" t="s">
        <v>11447</v>
      </c>
      <c r="P5342" t="s">
        <v>14811</v>
      </c>
      <c r="S5342" t="s">
        <v>14828</v>
      </c>
      <c r="V5342">
        <v>0</v>
      </c>
      <c r="W5342" t="s">
        <v>14860</v>
      </c>
      <c r="Z5342" t="s">
        <v>19247</v>
      </c>
      <c r="AC5342">
        <v>0</v>
      </c>
      <c r="AF5342">
        <v>0</v>
      </c>
      <c r="AG5342">
        <v>2</v>
      </c>
      <c r="AH5342">
        <v>1</v>
      </c>
      <c r="AI5342">
        <v>199.1</v>
      </c>
      <c r="AL5342" t="s">
        <v>24634</v>
      </c>
      <c r="AM5342">
        <v>48000</v>
      </c>
      <c r="AS5342">
        <v>181.52</v>
      </c>
      <c r="AT5342" t="s">
        <v>503</v>
      </c>
      <c r="AU5342" t="s">
        <v>25266</v>
      </c>
      <c r="AW5342" t="s">
        <v>11447</v>
      </c>
    </row>
    <row r="5343" spans="1:49">
      <c r="A5343" s="1">
        <f>HYPERLINK("https://lsnyc.legalserver.org/matter/dynamic-profile/view/0767364","14-0767364")</f>
        <v>0</v>
      </c>
      <c r="B5343" t="s">
        <v>208</v>
      </c>
      <c r="C5343" t="s">
        <v>980</v>
      </c>
      <c r="E5343" t="s">
        <v>1092</v>
      </c>
      <c r="F5343" t="s">
        <v>6226</v>
      </c>
      <c r="G5343" t="s">
        <v>10370</v>
      </c>
      <c r="H5343" t="s">
        <v>10464</v>
      </c>
      <c r="I5343" t="s">
        <v>11386</v>
      </c>
      <c r="J5343">
        <v>10023</v>
      </c>
      <c r="K5343" t="s">
        <v>11447</v>
      </c>
      <c r="P5343" t="s">
        <v>14811</v>
      </c>
      <c r="S5343" t="s">
        <v>14827</v>
      </c>
      <c r="V5343">
        <v>11475</v>
      </c>
      <c r="W5343" t="s">
        <v>14860</v>
      </c>
      <c r="Z5343" t="s">
        <v>19248</v>
      </c>
      <c r="AB5343" t="s">
        <v>24506</v>
      </c>
      <c r="AC5343">
        <v>0</v>
      </c>
      <c r="AF5343">
        <v>0</v>
      </c>
      <c r="AG5343">
        <v>1</v>
      </c>
      <c r="AH5343">
        <v>0</v>
      </c>
      <c r="AI5343">
        <v>214.22</v>
      </c>
      <c r="AL5343" t="s">
        <v>5011</v>
      </c>
      <c r="AM5343">
        <v>25000</v>
      </c>
      <c r="AS5343">
        <v>200.9</v>
      </c>
      <c r="AT5343" t="s">
        <v>833</v>
      </c>
      <c r="AU5343" t="s">
        <v>25266</v>
      </c>
      <c r="AW5343" t="s">
        <v>11447</v>
      </c>
    </row>
    <row r="5344" spans="1:49">
      <c r="A5344" s="1">
        <f>HYPERLINK("https://lsnyc.legalserver.org/matter/dynamic-profile/view/1835850","17-1835850")</f>
        <v>0</v>
      </c>
      <c r="B5344" t="s">
        <v>252</v>
      </c>
      <c r="C5344" t="s">
        <v>933</v>
      </c>
      <c r="E5344" t="s">
        <v>1330</v>
      </c>
      <c r="F5344" t="s">
        <v>3768</v>
      </c>
      <c r="G5344" t="s">
        <v>10371</v>
      </c>
      <c r="H5344">
        <v>1</v>
      </c>
      <c r="I5344" t="s">
        <v>11386</v>
      </c>
      <c r="J5344">
        <v>10031</v>
      </c>
      <c r="K5344" t="s">
        <v>11447</v>
      </c>
      <c r="L5344" t="s">
        <v>14708</v>
      </c>
      <c r="M5344" t="s">
        <v>14743</v>
      </c>
      <c r="N5344" t="s">
        <v>14781</v>
      </c>
      <c r="P5344" t="s">
        <v>14811</v>
      </c>
      <c r="S5344" t="s">
        <v>14827</v>
      </c>
      <c r="V5344">
        <v>267.28</v>
      </c>
      <c r="W5344" t="s">
        <v>14860</v>
      </c>
      <c r="X5344" t="s">
        <v>14865</v>
      </c>
      <c r="Z5344" t="s">
        <v>19249</v>
      </c>
      <c r="AB5344" t="s">
        <v>24507</v>
      </c>
      <c r="AC5344">
        <v>0</v>
      </c>
      <c r="AD5344" t="s">
        <v>11479</v>
      </c>
      <c r="AF5344">
        <v>0</v>
      </c>
      <c r="AG5344">
        <v>1</v>
      </c>
      <c r="AH5344">
        <v>0</v>
      </c>
      <c r="AI5344">
        <v>218.44</v>
      </c>
      <c r="AL5344" t="s">
        <v>5011</v>
      </c>
      <c r="AM5344">
        <v>26344</v>
      </c>
      <c r="AS5344">
        <v>196.6</v>
      </c>
      <c r="AT5344" t="s">
        <v>516</v>
      </c>
      <c r="AU5344" t="s">
        <v>25286</v>
      </c>
      <c r="AW5344" t="s">
        <v>11447</v>
      </c>
    </row>
    <row r="5345" spans="1:49">
      <c r="A5345" s="1">
        <f>HYPERLINK("https://lsnyc.legalserver.org/matter/dynamic-profile/view/1848571","17-1848571")</f>
        <v>0</v>
      </c>
      <c r="B5345" t="s">
        <v>253</v>
      </c>
      <c r="C5345" t="s">
        <v>981</v>
      </c>
      <c r="E5345" t="s">
        <v>1675</v>
      </c>
      <c r="F5345" t="s">
        <v>3685</v>
      </c>
      <c r="G5345" t="s">
        <v>10372</v>
      </c>
      <c r="H5345" t="s">
        <v>10559</v>
      </c>
      <c r="I5345" t="s">
        <v>11386</v>
      </c>
      <c r="J5345">
        <v>10026</v>
      </c>
      <c r="K5345" t="s">
        <v>11446</v>
      </c>
      <c r="L5345" t="s">
        <v>14709</v>
      </c>
      <c r="N5345" t="s">
        <v>14782</v>
      </c>
      <c r="P5345" t="s">
        <v>14811</v>
      </c>
      <c r="S5345" t="s">
        <v>14828</v>
      </c>
      <c r="V5345">
        <v>1018</v>
      </c>
      <c r="W5345" t="s">
        <v>14860</v>
      </c>
      <c r="X5345" t="s">
        <v>14867</v>
      </c>
      <c r="Z5345" t="s">
        <v>15043</v>
      </c>
      <c r="AB5345" t="s">
        <v>24508</v>
      </c>
      <c r="AC5345">
        <v>0</v>
      </c>
      <c r="AD5345" t="s">
        <v>24602</v>
      </c>
      <c r="AE5345" t="s">
        <v>11459</v>
      </c>
      <c r="AF5345">
        <v>22</v>
      </c>
      <c r="AG5345">
        <v>3</v>
      </c>
      <c r="AH5345">
        <v>0</v>
      </c>
      <c r="AI5345">
        <v>250.59</v>
      </c>
      <c r="AL5345" t="s">
        <v>5011</v>
      </c>
      <c r="AM5345">
        <v>51171</v>
      </c>
      <c r="AS5345">
        <v>0</v>
      </c>
      <c r="AU5345" t="s">
        <v>153</v>
      </c>
      <c r="AW5345" t="s">
        <v>11447</v>
      </c>
    </row>
    <row r="5346" spans="1:49">
      <c r="A5346" s="1">
        <f>HYPERLINK("https://lsnyc.legalserver.org/matter/dynamic-profile/view/0828856","17-0828856")</f>
        <v>0</v>
      </c>
      <c r="B5346" t="s">
        <v>253</v>
      </c>
      <c r="C5346" t="s">
        <v>494</v>
      </c>
      <c r="E5346" t="s">
        <v>3516</v>
      </c>
      <c r="F5346" t="s">
        <v>4252</v>
      </c>
      <c r="G5346" t="s">
        <v>10373</v>
      </c>
      <c r="H5346" t="s">
        <v>10509</v>
      </c>
      <c r="I5346" t="s">
        <v>11386</v>
      </c>
      <c r="J5346">
        <v>10032</v>
      </c>
      <c r="K5346" t="s">
        <v>11447</v>
      </c>
      <c r="P5346" t="s">
        <v>14811</v>
      </c>
      <c r="S5346" t="s">
        <v>14827</v>
      </c>
      <c r="V5346">
        <v>0</v>
      </c>
      <c r="W5346" t="s">
        <v>14860</v>
      </c>
      <c r="Z5346" t="s">
        <v>19250</v>
      </c>
      <c r="AB5346" t="s">
        <v>24509</v>
      </c>
      <c r="AC5346">
        <v>0</v>
      </c>
      <c r="AF5346">
        <v>0</v>
      </c>
      <c r="AG5346">
        <v>1</v>
      </c>
      <c r="AH5346">
        <v>0</v>
      </c>
      <c r="AI5346">
        <v>258.71</v>
      </c>
      <c r="AL5346" t="s">
        <v>5011</v>
      </c>
      <c r="AM5346">
        <v>31200</v>
      </c>
      <c r="AS5346">
        <v>40.35</v>
      </c>
      <c r="AT5346" t="s">
        <v>537</v>
      </c>
      <c r="AU5346" t="s">
        <v>25286</v>
      </c>
      <c r="AW5346" t="s">
        <v>11447</v>
      </c>
    </row>
    <row r="5347" spans="1:49">
      <c r="A5347" s="1">
        <f>HYPERLINK("https://lsnyc.legalserver.org/matter/dynamic-profile/view/1838684","17-1838684")</f>
        <v>0</v>
      </c>
      <c r="B5347" t="s">
        <v>218</v>
      </c>
      <c r="C5347" t="s">
        <v>982</v>
      </c>
      <c r="E5347" t="s">
        <v>1209</v>
      </c>
      <c r="F5347" t="s">
        <v>4542</v>
      </c>
      <c r="G5347" t="s">
        <v>10374</v>
      </c>
      <c r="H5347">
        <v>26</v>
      </c>
      <c r="I5347" t="s">
        <v>11386</v>
      </c>
      <c r="J5347">
        <v>10033</v>
      </c>
      <c r="K5347" t="s">
        <v>11447</v>
      </c>
      <c r="N5347" t="s">
        <v>14781</v>
      </c>
      <c r="P5347" t="s">
        <v>14811</v>
      </c>
      <c r="S5347" t="s">
        <v>14827</v>
      </c>
      <c r="V5347">
        <v>0</v>
      </c>
      <c r="W5347" t="s">
        <v>14860</v>
      </c>
      <c r="Z5347" t="s">
        <v>19251</v>
      </c>
      <c r="AB5347" t="s">
        <v>24510</v>
      </c>
      <c r="AC5347">
        <v>0</v>
      </c>
      <c r="AF5347">
        <v>0</v>
      </c>
      <c r="AG5347">
        <v>2</v>
      </c>
      <c r="AH5347">
        <v>2</v>
      </c>
      <c r="AI5347">
        <v>288.62</v>
      </c>
      <c r="AL5347" t="s">
        <v>5011</v>
      </c>
      <c r="AM5347">
        <v>71000</v>
      </c>
      <c r="AS5347">
        <v>72.15000000000001</v>
      </c>
      <c r="AT5347" t="s">
        <v>533</v>
      </c>
      <c r="AU5347" t="s">
        <v>218</v>
      </c>
      <c r="AW5347" t="s">
        <v>11447</v>
      </c>
    </row>
    <row r="5348" spans="1:49">
      <c r="A5348" s="1">
        <f>HYPERLINK("https://lsnyc.legalserver.org/matter/dynamic-profile/view/0819360","16-0819360")</f>
        <v>0</v>
      </c>
      <c r="B5348" t="s">
        <v>313</v>
      </c>
      <c r="C5348" t="s">
        <v>983</v>
      </c>
      <c r="E5348" t="s">
        <v>3517</v>
      </c>
      <c r="F5348" t="s">
        <v>6227</v>
      </c>
      <c r="G5348" t="s">
        <v>10375</v>
      </c>
      <c r="H5348">
        <v>2</v>
      </c>
      <c r="I5348" t="s">
        <v>11386</v>
      </c>
      <c r="J5348">
        <v>10002</v>
      </c>
      <c r="K5348" t="s">
        <v>11447</v>
      </c>
      <c r="L5348" t="s">
        <v>14710</v>
      </c>
      <c r="M5348" t="s">
        <v>14743</v>
      </c>
      <c r="N5348" t="s">
        <v>14781</v>
      </c>
      <c r="P5348" t="s">
        <v>14811</v>
      </c>
      <c r="Q5348" t="s">
        <v>11448</v>
      </c>
      <c r="S5348" t="s">
        <v>14827</v>
      </c>
      <c r="T5348" t="s">
        <v>14832</v>
      </c>
      <c r="V5348">
        <v>997</v>
      </c>
      <c r="W5348" t="s">
        <v>14860</v>
      </c>
      <c r="X5348" t="s">
        <v>14864</v>
      </c>
      <c r="Z5348" t="s">
        <v>19252</v>
      </c>
      <c r="AB5348" t="s">
        <v>24511</v>
      </c>
      <c r="AC5348">
        <v>0</v>
      </c>
      <c r="AD5348" t="s">
        <v>24595</v>
      </c>
      <c r="AF5348">
        <v>22</v>
      </c>
      <c r="AG5348">
        <v>2</v>
      </c>
      <c r="AH5348">
        <v>0</v>
      </c>
      <c r="AI5348">
        <v>291.91</v>
      </c>
      <c r="AL5348" t="s">
        <v>24650</v>
      </c>
      <c r="AM5348">
        <v>46764</v>
      </c>
      <c r="AS5348">
        <v>55.5</v>
      </c>
      <c r="AT5348" t="s">
        <v>571</v>
      </c>
      <c r="AU5348" t="s">
        <v>25327</v>
      </c>
      <c r="AW5348" t="s">
        <v>11447</v>
      </c>
    </row>
    <row r="5349" spans="1:49">
      <c r="A5349" s="1">
        <f>HYPERLINK("https://lsnyc.legalserver.org/matter/dynamic-profile/view/0804127","16-0804127")</f>
        <v>0</v>
      </c>
      <c r="B5349" t="s">
        <v>323</v>
      </c>
      <c r="C5349" t="s">
        <v>884</v>
      </c>
      <c r="E5349" t="s">
        <v>1316</v>
      </c>
      <c r="F5349" t="s">
        <v>2002</v>
      </c>
      <c r="G5349" t="s">
        <v>6785</v>
      </c>
      <c r="H5349" t="s">
        <v>10575</v>
      </c>
      <c r="I5349" t="s">
        <v>11386</v>
      </c>
      <c r="J5349">
        <v>10035</v>
      </c>
      <c r="K5349" t="s">
        <v>11447</v>
      </c>
      <c r="M5349" t="s">
        <v>14746</v>
      </c>
      <c r="N5349" t="s">
        <v>14781</v>
      </c>
      <c r="P5349" t="s">
        <v>14811</v>
      </c>
      <c r="Q5349" t="s">
        <v>11446</v>
      </c>
      <c r="S5349" t="s">
        <v>14827</v>
      </c>
      <c r="V5349">
        <v>0</v>
      </c>
      <c r="W5349" t="s">
        <v>14860</v>
      </c>
      <c r="Z5349" t="s">
        <v>19253</v>
      </c>
      <c r="AC5349">
        <v>0</v>
      </c>
      <c r="AF5349">
        <v>0</v>
      </c>
      <c r="AG5349">
        <v>3</v>
      </c>
      <c r="AH5349">
        <v>0</v>
      </c>
      <c r="AI5349">
        <v>309.52</v>
      </c>
      <c r="AL5349" t="s">
        <v>24632</v>
      </c>
      <c r="AM5349">
        <v>62400</v>
      </c>
      <c r="AS5349">
        <v>0.25</v>
      </c>
      <c r="AT5349" t="s">
        <v>330</v>
      </c>
      <c r="AU5349" t="s">
        <v>25266</v>
      </c>
      <c r="AW5349" t="s">
        <v>11447</v>
      </c>
    </row>
    <row r="5350" spans="1:49">
      <c r="A5350" s="1">
        <f>HYPERLINK("https://lsnyc.legalserver.org/matter/dynamic-profile/view/0804879","16-0804879")</f>
        <v>0</v>
      </c>
      <c r="B5350" t="s">
        <v>242</v>
      </c>
      <c r="C5350" t="s">
        <v>984</v>
      </c>
      <c r="E5350" t="s">
        <v>2547</v>
      </c>
      <c r="F5350" t="s">
        <v>6228</v>
      </c>
      <c r="G5350" t="s">
        <v>10376</v>
      </c>
      <c r="H5350" t="s">
        <v>11358</v>
      </c>
      <c r="I5350" t="s">
        <v>11386</v>
      </c>
      <c r="J5350">
        <v>10002</v>
      </c>
      <c r="K5350" t="s">
        <v>11447</v>
      </c>
      <c r="M5350" t="s">
        <v>14744</v>
      </c>
      <c r="N5350" t="s">
        <v>14781</v>
      </c>
      <c r="P5350" t="s">
        <v>14811</v>
      </c>
      <c r="S5350" t="s">
        <v>14827</v>
      </c>
      <c r="V5350">
        <v>1083.41</v>
      </c>
      <c r="W5350" t="s">
        <v>14860</v>
      </c>
      <c r="X5350" t="s">
        <v>14872</v>
      </c>
      <c r="Z5350" t="s">
        <v>19254</v>
      </c>
      <c r="AB5350" t="s">
        <v>24512</v>
      </c>
      <c r="AC5350">
        <v>96</v>
      </c>
      <c r="AD5350" t="s">
        <v>24598</v>
      </c>
      <c r="AF5350">
        <v>23</v>
      </c>
      <c r="AG5350">
        <v>1</v>
      </c>
      <c r="AH5350">
        <v>0</v>
      </c>
      <c r="AI5350">
        <v>502.27</v>
      </c>
      <c r="AL5350" t="s">
        <v>5011</v>
      </c>
      <c r="AM5350">
        <v>59670</v>
      </c>
      <c r="AS5350">
        <v>18.48</v>
      </c>
      <c r="AT5350" t="s">
        <v>942</v>
      </c>
      <c r="AU5350" t="s">
        <v>156</v>
      </c>
      <c r="AW5350" t="s">
        <v>11447</v>
      </c>
    </row>
    <row r="5351" spans="1:49">
      <c r="A5351" s="1">
        <f>HYPERLINK("https://lsnyc.legalserver.org/matter/dynamic-profile/view/0802032","16-0802032")</f>
        <v>0</v>
      </c>
      <c r="B5351" t="s">
        <v>293</v>
      </c>
      <c r="C5351" t="s">
        <v>985</v>
      </c>
      <c r="E5351" t="s">
        <v>2028</v>
      </c>
      <c r="F5351" t="s">
        <v>3572</v>
      </c>
      <c r="G5351" t="s">
        <v>10377</v>
      </c>
      <c r="H5351" t="s">
        <v>11359</v>
      </c>
      <c r="I5351" t="s">
        <v>11386</v>
      </c>
      <c r="J5351">
        <v>10025</v>
      </c>
      <c r="K5351" t="s">
        <v>11447</v>
      </c>
      <c r="P5351" t="s">
        <v>14811</v>
      </c>
      <c r="R5351" t="s">
        <v>14822</v>
      </c>
      <c r="S5351" t="s">
        <v>14827</v>
      </c>
      <c r="V5351">
        <v>0</v>
      </c>
      <c r="W5351" t="s">
        <v>14860</v>
      </c>
      <c r="Z5351" t="s">
        <v>19255</v>
      </c>
      <c r="AB5351" t="s">
        <v>24513</v>
      </c>
      <c r="AC5351">
        <v>0</v>
      </c>
      <c r="AF5351">
        <v>0</v>
      </c>
      <c r="AG5351">
        <v>1</v>
      </c>
      <c r="AH5351">
        <v>0</v>
      </c>
      <c r="AI5351">
        <v>505.05</v>
      </c>
      <c r="AL5351" t="s">
        <v>5011</v>
      </c>
      <c r="AM5351">
        <v>60000</v>
      </c>
      <c r="AS5351">
        <v>0</v>
      </c>
      <c r="AU5351" t="s">
        <v>25288</v>
      </c>
      <c r="AW5351" t="s">
        <v>11447</v>
      </c>
    </row>
    <row r="5352" spans="1:49">
      <c r="A5352" s="1">
        <f>HYPERLINK("https://lsnyc.legalserver.org/matter/dynamic-profile/view/3001539","M11E-63001539")</f>
        <v>0</v>
      </c>
      <c r="B5352" t="s">
        <v>182</v>
      </c>
      <c r="C5352" t="s">
        <v>986</v>
      </c>
      <c r="E5352" t="s">
        <v>2911</v>
      </c>
      <c r="F5352" t="s">
        <v>3843</v>
      </c>
      <c r="G5352" t="s">
        <v>10378</v>
      </c>
      <c r="I5352" t="s">
        <v>11386</v>
      </c>
      <c r="J5352">
        <v>10032</v>
      </c>
      <c r="K5352" t="s">
        <v>11447</v>
      </c>
      <c r="P5352" t="s">
        <v>14811</v>
      </c>
      <c r="S5352" t="s">
        <v>14827</v>
      </c>
      <c r="V5352">
        <v>0</v>
      </c>
      <c r="W5352" t="s">
        <v>14860</v>
      </c>
      <c r="Y5352" t="s">
        <v>14896</v>
      </c>
      <c r="Z5352" t="s">
        <v>19256</v>
      </c>
      <c r="AC5352">
        <v>0</v>
      </c>
      <c r="AF5352">
        <v>0</v>
      </c>
      <c r="AG5352">
        <v>1</v>
      </c>
      <c r="AH5352">
        <v>0</v>
      </c>
      <c r="AI5352">
        <v>0</v>
      </c>
      <c r="AL5352" t="s">
        <v>5011</v>
      </c>
      <c r="AM5352">
        <v>0</v>
      </c>
      <c r="AS5352">
        <v>18.25</v>
      </c>
      <c r="AT5352" t="s">
        <v>574</v>
      </c>
      <c r="AU5352" t="s">
        <v>118</v>
      </c>
      <c r="AW5352" t="s">
        <v>11447</v>
      </c>
    </row>
    <row r="5353" spans="1:49">
      <c r="A5353" s="1">
        <f>HYPERLINK("https://lsnyc.legalserver.org/matter/dynamic-profile/view/3001540","M11E-63001540")</f>
        <v>0</v>
      </c>
      <c r="B5353" t="s">
        <v>182</v>
      </c>
      <c r="C5353" t="s">
        <v>986</v>
      </c>
      <c r="E5353" t="s">
        <v>2911</v>
      </c>
      <c r="F5353" t="s">
        <v>3843</v>
      </c>
      <c r="G5353" t="s">
        <v>10378</v>
      </c>
      <c r="I5353" t="s">
        <v>11386</v>
      </c>
      <c r="J5353">
        <v>10032</v>
      </c>
      <c r="K5353" t="s">
        <v>11447</v>
      </c>
      <c r="P5353" t="s">
        <v>14811</v>
      </c>
      <c r="S5353" t="s">
        <v>14827</v>
      </c>
      <c r="V5353">
        <v>0</v>
      </c>
      <c r="W5353" t="s">
        <v>14860</v>
      </c>
      <c r="Y5353" t="s">
        <v>14896</v>
      </c>
      <c r="Z5353" t="s">
        <v>19256</v>
      </c>
      <c r="AC5353">
        <v>0</v>
      </c>
      <c r="AF5353">
        <v>0</v>
      </c>
      <c r="AG5353">
        <v>1</v>
      </c>
      <c r="AH5353">
        <v>0</v>
      </c>
      <c r="AI5353">
        <v>0</v>
      </c>
      <c r="AL5353" t="s">
        <v>5011</v>
      </c>
      <c r="AM5353">
        <v>0</v>
      </c>
      <c r="AS5353">
        <v>46.95</v>
      </c>
      <c r="AT5353" t="s">
        <v>25216</v>
      </c>
      <c r="AU5353" t="s">
        <v>118</v>
      </c>
      <c r="AW5353" t="s">
        <v>11447</v>
      </c>
    </row>
    <row r="5354" spans="1:49">
      <c r="A5354" s="1">
        <f>HYPERLINK("https://lsnyc.legalserver.org/matter/dynamic-profile/view/0820250","16-0820250")</f>
        <v>0</v>
      </c>
      <c r="B5354" t="s">
        <v>253</v>
      </c>
      <c r="C5354" t="s">
        <v>987</v>
      </c>
      <c r="E5354" t="s">
        <v>3518</v>
      </c>
      <c r="F5354" t="s">
        <v>6229</v>
      </c>
      <c r="G5354" t="s">
        <v>10379</v>
      </c>
      <c r="I5354" t="s">
        <v>11386</v>
      </c>
      <c r="J5354">
        <v>10028</v>
      </c>
      <c r="K5354" t="s">
        <v>11447</v>
      </c>
      <c r="M5354" t="s">
        <v>14744</v>
      </c>
      <c r="N5354" t="s">
        <v>14778</v>
      </c>
      <c r="P5354" t="s">
        <v>14811</v>
      </c>
      <c r="S5354" t="s">
        <v>14827</v>
      </c>
      <c r="V5354">
        <v>698.9</v>
      </c>
      <c r="W5354" t="s">
        <v>14860</v>
      </c>
      <c r="X5354" t="s">
        <v>14755</v>
      </c>
      <c r="Z5354" t="s">
        <v>19253</v>
      </c>
      <c r="AB5354" t="s">
        <v>24514</v>
      </c>
      <c r="AC5354">
        <v>20</v>
      </c>
      <c r="AD5354" t="s">
        <v>24595</v>
      </c>
      <c r="AE5354" t="s">
        <v>11459</v>
      </c>
      <c r="AF5354">
        <v>28</v>
      </c>
      <c r="AG5354">
        <v>0</v>
      </c>
      <c r="AH5354">
        <v>0</v>
      </c>
      <c r="AI5354">
        <v>0</v>
      </c>
      <c r="AL5354" t="s">
        <v>24634</v>
      </c>
      <c r="AM5354">
        <v>16800</v>
      </c>
      <c r="AS5354">
        <v>63.25</v>
      </c>
      <c r="AT5354" t="s">
        <v>25164</v>
      </c>
      <c r="AU5354" t="s">
        <v>274</v>
      </c>
      <c r="AW5354" t="s">
        <v>11447</v>
      </c>
    </row>
    <row r="5355" spans="1:49">
      <c r="A5355" s="1">
        <f>HYPERLINK("https://lsnyc.legalserver.org/matter/dynamic-profile/view/0810409","16-0810409")</f>
        <v>0</v>
      </c>
      <c r="B5355" t="s">
        <v>191</v>
      </c>
      <c r="C5355" t="s">
        <v>988</v>
      </c>
      <c r="D5355" t="s">
        <v>332</v>
      </c>
      <c r="E5355" t="s">
        <v>3519</v>
      </c>
      <c r="F5355" t="s">
        <v>6230</v>
      </c>
      <c r="G5355" t="s">
        <v>10380</v>
      </c>
      <c r="H5355" t="s">
        <v>10484</v>
      </c>
      <c r="I5355" t="s">
        <v>11385</v>
      </c>
      <c r="J5355">
        <v>11225</v>
      </c>
      <c r="K5355" t="s">
        <v>11446</v>
      </c>
      <c r="L5355" t="s">
        <v>14711</v>
      </c>
      <c r="M5355" t="s">
        <v>14743</v>
      </c>
      <c r="N5355" t="s">
        <v>14781</v>
      </c>
      <c r="O5355" t="s">
        <v>14792</v>
      </c>
      <c r="P5355" t="s">
        <v>14812</v>
      </c>
      <c r="S5355" t="s">
        <v>14827</v>
      </c>
      <c r="V5355">
        <v>1500</v>
      </c>
      <c r="W5355" t="s">
        <v>14859</v>
      </c>
      <c r="X5355" t="s">
        <v>14864</v>
      </c>
      <c r="Y5355" t="s">
        <v>14887</v>
      </c>
      <c r="Z5355" t="s">
        <v>17542</v>
      </c>
      <c r="AB5355" t="s">
        <v>24515</v>
      </c>
      <c r="AC5355">
        <v>7</v>
      </c>
      <c r="AD5355" t="s">
        <v>24595</v>
      </c>
      <c r="AF5355">
        <v>6</v>
      </c>
      <c r="AG5355">
        <v>3</v>
      </c>
      <c r="AH5355">
        <v>0</v>
      </c>
      <c r="AI5355">
        <v>322.42</v>
      </c>
      <c r="AL5355" t="s">
        <v>5011</v>
      </c>
      <c r="AM5355">
        <v>65000</v>
      </c>
      <c r="AS5355">
        <v>99.45</v>
      </c>
      <c r="AT5355" t="s">
        <v>357</v>
      </c>
      <c r="AU5355" t="s">
        <v>25230</v>
      </c>
      <c r="AW5355" t="s">
        <v>11447</v>
      </c>
    </row>
    <row r="5356" spans="1:49">
      <c r="A5356" s="1">
        <f>HYPERLINK("https://lsnyc.legalserver.org/matter/dynamic-profile/view/1893908","19-1893908")</f>
        <v>0</v>
      </c>
      <c r="B5356" t="s">
        <v>139</v>
      </c>
      <c r="C5356" t="s">
        <v>691</v>
      </c>
      <c r="D5356" t="s">
        <v>377</v>
      </c>
      <c r="E5356" t="s">
        <v>1496</v>
      </c>
      <c r="F5356" t="s">
        <v>6231</v>
      </c>
      <c r="G5356" t="s">
        <v>10381</v>
      </c>
      <c r="H5356" t="s">
        <v>10460</v>
      </c>
      <c r="I5356" t="s">
        <v>11385</v>
      </c>
      <c r="J5356">
        <v>11235</v>
      </c>
      <c r="K5356" t="s">
        <v>11447</v>
      </c>
      <c r="N5356" t="s">
        <v>14779</v>
      </c>
      <c r="O5356" t="s">
        <v>14787</v>
      </c>
      <c r="P5356" t="s">
        <v>14812</v>
      </c>
      <c r="S5356" t="s">
        <v>14829</v>
      </c>
      <c r="V5356">
        <v>0</v>
      </c>
      <c r="W5356" t="s">
        <v>14859</v>
      </c>
      <c r="Y5356" t="s">
        <v>14885</v>
      </c>
      <c r="Z5356" t="s">
        <v>19257</v>
      </c>
      <c r="AB5356" t="s">
        <v>24516</v>
      </c>
      <c r="AC5356">
        <v>0</v>
      </c>
      <c r="AF5356">
        <v>0</v>
      </c>
      <c r="AG5356">
        <v>1</v>
      </c>
      <c r="AH5356">
        <v>0</v>
      </c>
      <c r="AI5356">
        <v>81.76000000000001</v>
      </c>
      <c r="AL5356" t="s">
        <v>24636</v>
      </c>
      <c r="AM5356">
        <v>10212</v>
      </c>
      <c r="AS5356">
        <v>8</v>
      </c>
      <c r="AT5356" t="s">
        <v>377</v>
      </c>
      <c r="AU5356" t="s">
        <v>139</v>
      </c>
      <c r="AW5356" t="s">
        <v>11447</v>
      </c>
    </row>
    <row r="5357" spans="1:49">
      <c r="A5357" s="1">
        <f>HYPERLINK("https://lsnyc.legalserver.org/matter/dynamic-profile/view/0771429","15-0771429")</f>
        <v>0</v>
      </c>
      <c r="B5357" t="s">
        <v>262</v>
      </c>
      <c r="C5357" t="s">
        <v>989</v>
      </c>
      <c r="D5357" t="s">
        <v>578</v>
      </c>
      <c r="E5357" t="s">
        <v>1526</v>
      </c>
      <c r="F5357" t="s">
        <v>4089</v>
      </c>
      <c r="G5357" t="s">
        <v>7921</v>
      </c>
      <c r="H5357">
        <v>3</v>
      </c>
      <c r="I5357" t="s">
        <v>11385</v>
      </c>
      <c r="J5357">
        <v>11216</v>
      </c>
      <c r="K5357" t="s">
        <v>11448</v>
      </c>
      <c r="L5357" t="s">
        <v>14712</v>
      </c>
      <c r="M5357" t="s">
        <v>14746</v>
      </c>
      <c r="N5357" t="s">
        <v>14781</v>
      </c>
      <c r="O5357" t="s">
        <v>14788</v>
      </c>
      <c r="P5357" t="s">
        <v>14812</v>
      </c>
      <c r="S5357" t="s">
        <v>14827</v>
      </c>
      <c r="V5357">
        <v>0</v>
      </c>
      <c r="W5357" t="s">
        <v>14859</v>
      </c>
      <c r="Y5357" t="s">
        <v>14887</v>
      </c>
      <c r="Z5357" t="s">
        <v>16883</v>
      </c>
      <c r="AB5357" t="s">
        <v>21903</v>
      </c>
      <c r="AC5357">
        <v>0</v>
      </c>
      <c r="AF5357">
        <v>0</v>
      </c>
      <c r="AG5357">
        <v>2</v>
      </c>
      <c r="AH5357">
        <v>1</v>
      </c>
      <c r="AI5357">
        <v>273.77</v>
      </c>
      <c r="AL5357" t="s">
        <v>5011</v>
      </c>
      <c r="AM5357">
        <v>55000</v>
      </c>
      <c r="AN5357" t="s">
        <v>24922</v>
      </c>
      <c r="AS5357">
        <v>142</v>
      </c>
      <c r="AT5357" t="s">
        <v>619</v>
      </c>
      <c r="AU5357" t="s">
        <v>25230</v>
      </c>
      <c r="AW5357" t="s">
        <v>11447</v>
      </c>
    </row>
    <row r="5358" spans="1:49">
      <c r="A5358" s="1">
        <f>HYPERLINK("https://lsnyc.legalserver.org/matter/dynamic-profile/view/0784633","15-0784633")</f>
        <v>0</v>
      </c>
      <c r="B5358" t="s">
        <v>200</v>
      </c>
      <c r="C5358" t="s">
        <v>990</v>
      </c>
      <c r="D5358" t="s">
        <v>1017</v>
      </c>
      <c r="E5358" t="s">
        <v>3520</v>
      </c>
      <c r="F5358" t="s">
        <v>4762</v>
      </c>
      <c r="G5358" t="s">
        <v>10382</v>
      </c>
      <c r="H5358" t="s">
        <v>10464</v>
      </c>
      <c r="I5358" t="s">
        <v>11385</v>
      </c>
      <c r="J5358">
        <v>11213</v>
      </c>
      <c r="K5358" t="s">
        <v>11446</v>
      </c>
      <c r="M5358" t="s">
        <v>14744</v>
      </c>
      <c r="N5358" t="s">
        <v>14781</v>
      </c>
      <c r="O5358" t="s">
        <v>14788</v>
      </c>
      <c r="P5358" t="s">
        <v>14812</v>
      </c>
      <c r="S5358" t="s">
        <v>14827</v>
      </c>
      <c r="V5358">
        <v>634.95</v>
      </c>
      <c r="W5358" t="s">
        <v>14859</v>
      </c>
      <c r="Y5358" t="s">
        <v>14887</v>
      </c>
      <c r="Z5358" t="s">
        <v>19258</v>
      </c>
      <c r="AB5358" t="s">
        <v>24517</v>
      </c>
      <c r="AC5358">
        <v>0</v>
      </c>
      <c r="AD5358" t="s">
        <v>24595</v>
      </c>
      <c r="AF5358">
        <v>15</v>
      </c>
      <c r="AG5358">
        <v>3</v>
      </c>
      <c r="AH5358">
        <v>1</v>
      </c>
      <c r="AI5358">
        <v>64.33</v>
      </c>
      <c r="AL5358" t="s">
        <v>5011</v>
      </c>
      <c r="AM5358">
        <v>15600</v>
      </c>
      <c r="AS5358">
        <v>36.75</v>
      </c>
      <c r="AT5358" t="s">
        <v>750</v>
      </c>
      <c r="AU5358" t="s">
        <v>200</v>
      </c>
      <c r="AW5358" t="s">
        <v>11447</v>
      </c>
    </row>
    <row r="5359" spans="1:49">
      <c r="A5359" s="1">
        <f>HYPERLINK("https://lsnyc.legalserver.org/matter/dynamic-profile/view/1913425","19-1913425")</f>
        <v>0</v>
      </c>
      <c r="B5359" t="s">
        <v>139</v>
      </c>
      <c r="C5359" t="s">
        <v>574</v>
      </c>
      <c r="D5359" t="s">
        <v>491</v>
      </c>
      <c r="E5359" t="s">
        <v>2433</v>
      </c>
      <c r="F5359" t="s">
        <v>6232</v>
      </c>
      <c r="G5359" t="s">
        <v>10383</v>
      </c>
      <c r="H5359">
        <v>5</v>
      </c>
      <c r="I5359" t="s">
        <v>11385</v>
      </c>
      <c r="J5359">
        <v>11229</v>
      </c>
      <c r="K5359" t="s">
        <v>11447</v>
      </c>
      <c r="M5359" t="s">
        <v>11601</v>
      </c>
      <c r="N5359" t="s">
        <v>14778</v>
      </c>
      <c r="O5359" t="s">
        <v>14787</v>
      </c>
      <c r="P5359" t="s">
        <v>14812</v>
      </c>
      <c r="S5359" t="s">
        <v>14830</v>
      </c>
      <c r="V5359">
        <v>0</v>
      </c>
      <c r="W5359" t="s">
        <v>14859</v>
      </c>
      <c r="Y5359" t="s">
        <v>14883</v>
      </c>
      <c r="Z5359" t="s">
        <v>19259</v>
      </c>
      <c r="AC5359">
        <v>0</v>
      </c>
      <c r="AD5359" t="s">
        <v>24595</v>
      </c>
      <c r="AE5359" t="s">
        <v>24610</v>
      </c>
      <c r="AF5359">
        <v>0</v>
      </c>
      <c r="AG5359">
        <v>1</v>
      </c>
      <c r="AH5359">
        <v>1</v>
      </c>
      <c r="AI5359">
        <v>78.63</v>
      </c>
      <c r="AL5359" t="s">
        <v>5011</v>
      </c>
      <c r="AM5359">
        <v>13296</v>
      </c>
      <c r="AS5359">
        <v>2</v>
      </c>
      <c r="AT5359" t="s">
        <v>491</v>
      </c>
      <c r="AU5359" t="s">
        <v>139</v>
      </c>
      <c r="AW5359" t="s">
        <v>11447</v>
      </c>
    </row>
    <row r="5360" spans="1:49">
      <c r="A5360" s="1">
        <f>HYPERLINK("https://lsnyc.legalserver.org/matter/dynamic-profile/view/0797493","16-0797493")</f>
        <v>0</v>
      </c>
      <c r="B5360" t="s">
        <v>76</v>
      </c>
      <c r="C5360" t="s">
        <v>892</v>
      </c>
      <c r="D5360" t="s">
        <v>537</v>
      </c>
      <c r="E5360" t="s">
        <v>1487</v>
      </c>
      <c r="F5360" t="s">
        <v>6233</v>
      </c>
      <c r="G5360" t="s">
        <v>10384</v>
      </c>
      <c r="H5360" t="s">
        <v>10496</v>
      </c>
      <c r="I5360" t="s">
        <v>11385</v>
      </c>
      <c r="J5360">
        <v>11207</v>
      </c>
      <c r="K5360" t="s">
        <v>11446</v>
      </c>
      <c r="L5360" t="s">
        <v>14713</v>
      </c>
      <c r="M5360" t="s">
        <v>14744</v>
      </c>
      <c r="N5360" t="s">
        <v>14781</v>
      </c>
      <c r="O5360" t="s">
        <v>14788</v>
      </c>
      <c r="P5360" t="s">
        <v>14812</v>
      </c>
      <c r="S5360" t="s">
        <v>14827</v>
      </c>
      <c r="V5360">
        <v>1175.15</v>
      </c>
      <c r="W5360" t="s">
        <v>14859</v>
      </c>
      <c r="X5360" t="s">
        <v>14874</v>
      </c>
      <c r="Y5360" t="s">
        <v>14887</v>
      </c>
      <c r="Z5360" t="s">
        <v>19260</v>
      </c>
      <c r="AB5360" t="s">
        <v>24518</v>
      </c>
      <c r="AC5360">
        <v>6</v>
      </c>
      <c r="AD5360" t="s">
        <v>24595</v>
      </c>
      <c r="AE5360" t="s">
        <v>11459</v>
      </c>
      <c r="AF5360">
        <v>18</v>
      </c>
      <c r="AG5360">
        <v>2</v>
      </c>
      <c r="AH5360">
        <v>0</v>
      </c>
      <c r="AI5360">
        <v>210.99</v>
      </c>
      <c r="AL5360" t="s">
        <v>5011</v>
      </c>
      <c r="AM5360">
        <v>33800</v>
      </c>
      <c r="AN5360" t="s">
        <v>24923</v>
      </c>
      <c r="AS5360">
        <v>11.3</v>
      </c>
      <c r="AT5360" t="s">
        <v>25217</v>
      </c>
      <c r="AU5360" t="s">
        <v>107</v>
      </c>
      <c r="AW5360" t="s">
        <v>11447</v>
      </c>
    </row>
    <row r="5361" spans="1:49">
      <c r="A5361" s="1">
        <f>HYPERLINK("https://lsnyc.legalserver.org/matter/dynamic-profile/view/0790485","15-0790485")</f>
        <v>0</v>
      </c>
      <c r="B5361" t="s">
        <v>265</v>
      </c>
      <c r="C5361" t="s">
        <v>991</v>
      </c>
      <c r="E5361" t="s">
        <v>1241</v>
      </c>
      <c r="F5361" t="s">
        <v>3561</v>
      </c>
      <c r="G5361" t="s">
        <v>7939</v>
      </c>
      <c r="H5361" t="s">
        <v>10910</v>
      </c>
      <c r="I5361" t="s">
        <v>11385</v>
      </c>
      <c r="J5361">
        <v>11207</v>
      </c>
      <c r="K5361" t="s">
        <v>11448</v>
      </c>
      <c r="M5361" t="s">
        <v>14750</v>
      </c>
      <c r="N5361" t="s">
        <v>14783</v>
      </c>
      <c r="P5361" t="s">
        <v>14812</v>
      </c>
      <c r="S5361" t="s">
        <v>14828</v>
      </c>
      <c r="V5361">
        <v>216</v>
      </c>
      <c r="W5361" t="s">
        <v>14859</v>
      </c>
      <c r="X5361" t="s">
        <v>14867</v>
      </c>
      <c r="Z5361" t="s">
        <v>16885</v>
      </c>
      <c r="AB5361" t="s">
        <v>21921</v>
      </c>
      <c r="AC5361">
        <v>0</v>
      </c>
      <c r="AD5361" t="s">
        <v>24602</v>
      </c>
      <c r="AF5361">
        <v>15</v>
      </c>
      <c r="AG5361">
        <v>1</v>
      </c>
      <c r="AH5361">
        <v>0</v>
      </c>
      <c r="AI5361">
        <v>0</v>
      </c>
      <c r="AL5361" t="s">
        <v>5011</v>
      </c>
      <c r="AM5361">
        <v>0</v>
      </c>
      <c r="AS5361">
        <v>46.5</v>
      </c>
      <c r="AT5361" t="s">
        <v>451</v>
      </c>
      <c r="AU5361" t="s">
        <v>25328</v>
      </c>
      <c r="AW5361" t="s">
        <v>11447</v>
      </c>
    </row>
    <row r="5362" spans="1:49">
      <c r="A5362" s="1">
        <f>HYPERLINK("https://lsnyc.legalserver.org/matter/dynamic-profile/view/0801347","16-0801347")</f>
        <v>0</v>
      </c>
      <c r="B5362" t="s">
        <v>280</v>
      </c>
      <c r="C5362" t="s">
        <v>992</v>
      </c>
      <c r="E5362" t="s">
        <v>3521</v>
      </c>
      <c r="F5362" t="s">
        <v>6234</v>
      </c>
      <c r="I5362" t="s">
        <v>11385</v>
      </c>
      <c r="J5362">
        <v>11203</v>
      </c>
      <c r="K5362" t="s">
        <v>11448</v>
      </c>
      <c r="M5362" t="s">
        <v>14743</v>
      </c>
      <c r="N5362" t="s">
        <v>14781</v>
      </c>
      <c r="P5362" t="s">
        <v>14812</v>
      </c>
      <c r="S5362" t="s">
        <v>14827</v>
      </c>
      <c r="V5362">
        <v>0</v>
      </c>
      <c r="W5362" t="s">
        <v>14859</v>
      </c>
      <c r="Z5362" t="s">
        <v>19261</v>
      </c>
      <c r="AC5362">
        <v>0</v>
      </c>
      <c r="AF5362">
        <v>0</v>
      </c>
      <c r="AG5362">
        <v>1</v>
      </c>
      <c r="AH5362">
        <v>2</v>
      </c>
      <c r="AI5362">
        <v>0</v>
      </c>
      <c r="AL5362" t="s">
        <v>5011</v>
      </c>
      <c r="AM5362">
        <v>0</v>
      </c>
      <c r="AS5362">
        <v>0.8</v>
      </c>
      <c r="AT5362" t="s">
        <v>25218</v>
      </c>
      <c r="AU5362" t="s">
        <v>109</v>
      </c>
      <c r="AW5362" t="s">
        <v>11447</v>
      </c>
    </row>
    <row r="5363" spans="1:49">
      <c r="A5363" s="1">
        <f>HYPERLINK("https://lsnyc.legalserver.org/matter/dynamic-profile/view/1893118","19-1893118")</f>
        <v>0</v>
      </c>
      <c r="B5363" t="s">
        <v>139</v>
      </c>
      <c r="C5363" t="s">
        <v>751</v>
      </c>
      <c r="E5363" t="s">
        <v>2777</v>
      </c>
      <c r="F5363" t="s">
        <v>6235</v>
      </c>
      <c r="G5363" t="s">
        <v>10385</v>
      </c>
      <c r="I5363" t="s">
        <v>11385</v>
      </c>
      <c r="J5363">
        <v>11229</v>
      </c>
      <c r="K5363" t="s">
        <v>11447</v>
      </c>
      <c r="M5363" t="s">
        <v>11601</v>
      </c>
      <c r="N5363" t="s">
        <v>14778</v>
      </c>
      <c r="P5363" t="s">
        <v>14812</v>
      </c>
      <c r="S5363" t="s">
        <v>14827</v>
      </c>
      <c r="V5363">
        <v>0</v>
      </c>
      <c r="W5363" t="s">
        <v>14859</v>
      </c>
      <c r="Z5363" t="s">
        <v>19262</v>
      </c>
      <c r="AB5363" t="s">
        <v>24519</v>
      </c>
      <c r="AC5363">
        <v>0</v>
      </c>
      <c r="AD5363" t="s">
        <v>24595</v>
      </c>
      <c r="AE5363" t="s">
        <v>24616</v>
      </c>
      <c r="AF5363">
        <v>1</v>
      </c>
      <c r="AG5363">
        <v>2</v>
      </c>
      <c r="AH5363">
        <v>1</v>
      </c>
      <c r="AI5363">
        <v>22.5</v>
      </c>
      <c r="AL5363" t="s">
        <v>24636</v>
      </c>
      <c r="AM5363">
        <v>4800</v>
      </c>
      <c r="AS5363">
        <v>2.75</v>
      </c>
      <c r="AT5363" t="s">
        <v>756</v>
      </c>
      <c r="AU5363" t="s">
        <v>139</v>
      </c>
      <c r="AW5363" t="s">
        <v>11447</v>
      </c>
    </row>
    <row r="5364" spans="1:49">
      <c r="A5364" s="1">
        <f>HYPERLINK("https://lsnyc.legalserver.org/matter/dynamic-profile/view/0801229","16-0801229")</f>
        <v>0</v>
      </c>
      <c r="B5364" t="s">
        <v>280</v>
      </c>
      <c r="C5364" t="s">
        <v>993</v>
      </c>
      <c r="E5364" t="s">
        <v>3522</v>
      </c>
      <c r="F5364" t="s">
        <v>4788</v>
      </c>
      <c r="I5364" t="s">
        <v>11385</v>
      </c>
      <c r="J5364">
        <v>11203</v>
      </c>
      <c r="K5364" t="s">
        <v>11448</v>
      </c>
      <c r="M5364" t="s">
        <v>14743</v>
      </c>
      <c r="N5364" t="s">
        <v>14781</v>
      </c>
      <c r="P5364" t="s">
        <v>14812</v>
      </c>
      <c r="S5364" t="s">
        <v>14827</v>
      </c>
      <c r="V5364">
        <v>0</v>
      </c>
      <c r="W5364" t="s">
        <v>14859</v>
      </c>
      <c r="X5364" t="s">
        <v>14867</v>
      </c>
      <c r="Z5364" t="s">
        <v>19263</v>
      </c>
      <c r="AC5364">
        <v>0</v>
      </c>
      <c r="AD5364" t="s">
        <v>24595</v>
      </c>
      <c r="AF5364">
        <v>0</v>
      </c>
      <c r="AG5364">
        <v>1</v>
      </c>
      <c r="AH5364">
        <v>0</v>
      </c>
      <c r="AI5364">
        <v>70.8</v>
      </c>
      <c r="AL5364" t="s">
        <v>5011</v>
      </c>
      <c r="AM5364">
        <v>8411</v>
      </c>
      <c r="AS5364">
        <v>1.75</v>
      </c>
      <c r="AT5364" t="s">
        <v>418</v>
      </c>
      <c r="AU5364" t="s">
        <v>109</v>
      </c>
      <c r="AW5364" t="s">
        <v>11447</v>
      </c>
    </row>
    <row r="5365" spans="1:49">
      <c r="A5365" s="1">
        <f>HYPERLINK("https://lsnyc.legalserver.org/matter/dynamic-profile/view/0782866","15-0782866")</f>
        <v>0</v>
      </c>
      <c r="B5365" t="s">
        <v>200</v>
      </c>
      <c r="C5365" t="s">
        <v>994</v>
      </c>
      <c r="E5365" t="s">
        <v>1084</v>
      </c>
      <c r="F5365" t="s">
        <v>5204</v>
      </c>
      <c r="G5365" t="s">
        <v>10386</v>
      </c>
      <c r="H5365">
        <v>3</v>
      </c>
      <c r="I5365" t="s">
        <v>11385</v>
      </c>
      <c r="J5365">
        <v>11238</v>
      </c>
      <c r="K5365" t="s">
        <v>11448</v>
      </c>
      <c r="L5365" t="s">
        <v>14714</v>
      </c>
      <c r="M5365" t="s">
        <v>14744</v>
      </c>
      <c r="N5365" t="s">
        <v>14781</v>
      </c>
      <c r="P5365" t="s">
        <v>14812</v>
      </c>
      <c r="S5365" t="s">
        <v>14827</v>
      </c>
      <c r="V5365">
        <v>1534.04</v>
      </c>
      <c r="W5365" t="s">
        <v>14859</v>
      </c>
      <c r="Z5365" t="s">
        <v>19264</v>
      </c>
      <c r="AB5365" t="s">
        <v>24520</v>
      </c>
      <c r="AC5365">
        <v>0</v>
      </c>
      <c r="AD5365" t="s">
        <v>24595</v>
      </c>
      <c r="AF5365">
        <v>10</v>
      </c>
      <c r="AG5365">
        <v>1</v>
      </c>
      <c r="AH5365">
        <v>0</v>
      </c>
      <c r="AI5365">
        <v>76.98</v>
      </c>
      <c r="AL5365" t="s">
        <v>5011</v>
      </c>
      <c r="AM5365">
        <v>9060</v>
      </c>
      <c r="AS5365">
        <v>32.25</v>
      </c>
      <c r="AT5365" t="s">
        <v>750</v>
      </c>
      <c r="AU5365" t="s">
        <v>200</v>
      </c>
      <c r="AW5365" t="s">
        <v>11447</v>
      </c>
    </row>
    <row r="5366" spans="1:49">
      <c r="A5366" s="1">
        <f>HYPERLINK("https://lsnyc.legalserver.org/matter/dynamic-profile/view/0761783","14-0761783")</f>
        <v>0</v>
      </c>
      <c r="B5366" t="s">
        <v>135</v>
      </c>
      <c r="C5366" t="s">
        <v>995</v>
      </c>
      <c r="E5366" t="s">
        <v>3523</v>
      </c>
      <c r="F5366" t="s">
        <v>6236</v>
      </c>
      <c r="G5366" t="s">
        <v>10387</v>
      </c>
      <c r="H5366">
        <v>6</v>
      </c>
      <c r="I5366" t="s">
        <v>11385</v>
      </c>
      <c r="J5366">
        <v>11230</v>
      </c>
      <c r="K5366" t="s">
        <v>11448</v>
      </c>
      <c r="L5366" t="s">
        <v>14715</v>
      </c>
      <c r="M5366" t="s">
        <v>14744</v>
      </c>
      <c r="N5366" t="s">
        <v>14781</v>
      </c>
      <c r="P5366" t="s">
        <v>14812</v>
      </c>
      <c r="S5366" t="s">
        <v>14827</v>
      </c>
      <c r="V5366">
        <v>771</v>
      </c>
      <c r="W5366" t="s">
        <v>14859</v>
      </c>
      <c r="Z5366" t="s">
        <v>19265</v>
      </c>
      <c r="AB5366" t="s">
        <v>24521</v>
      </c>
      <c r="AC5366">
        <v>0</v>
      </c>
      <c r="AD5366" t="s">
        <v>24595</v>
      </c>
      <c r="AF5366">
        <v>20</v>
      </c>
      <c r="AG5366">
        <v>2</v>
      </c>
      <c r="AH5366">
        <v>0</v>
      </c>
      <c r="AI5366">
        <v>108.86</v>
      </c>
      <c r="AL5366" t="s">
        <v>24639</v>
      </c>
      <c r="AM5366">
        <v>17124</v>
      </c>
      <c r="AS5366">
        <v>132.05</v>
      </c>
      <c r="AT5366" t="s">
        <v>750</v>
      </c>
      <c r="AU5366" t="s">
        <v>88</v>
      </c>
      <c r="AW5366" t="s">
        <v>11447</v>
      </c>
    </row>
    <row r="5367" spans="1:49">
      <c r="A5367" s="1">
        <f>HYPERLINK("https://lsnyc.legalserver.org/matter/dynamic-profile/view/0771336","15-0771336")</f>
        <v>0</v>
      </c>
      <c r="B5367" t="s">
        <v>267</v>
      </c>
      <c r="C5367" t="s">
        <v>989</v>
      </c>
      <c r="E5367" t="s">
        <v>2116</v>
      </c>
      <c r="F5367" t="s">
        <v>3730</v>
      </c>
      <c r="G5367" t="s">
        <v>10388</v>
      </c>
      <c r="H5367" t="s">
        <v>11360</v>
      </c>
      <c r="I5367" t="s">
        <v>11385</v>
      </c>
      <c r="J5367">
        <v>11206</v>
      </c>
      <c r="K5367" t="s">
        <v>11448</v>
      </c>
      <c r="L5367" t="s">
        <v>14716</v>
      </c>
      <c r="M5367" t="s">
        <v>14749</v>
      </c>
      <c r="N5367" t="s">
        <v>14781</v>
      </c>
      <c r="P5367" t="s">
        <v>14812</v>
      </c>
      <c r="S5367" t="s">
        <v>14827</v>
      </c>
      <c r="V5367">
        <v>400</v>
      </c>
      <c r="W5367" t="s">
        <v>14859</v>
      </c>
      <c r="Z5367" t="s">
        <v>19266</v>
      </c>
      <c r="AB5367" t="s">
        <v>24522</v>
      </c>
      <c r="AC5367">
        <v>0</v>
      </c>
      <c r="AD5367" t="s">
        <v>24595</v>
      </c>
      <c r="AF5367">
        <v>11</v>
      </c>
      <c r="AG5367">
        <v>2</v>
      </c>
      <c r="AH5367">
        <v>0</v>
      </c>
      <c r="AI5367">
        <v>150.16</v>
      </c>
      <c r="AL5367" t="s">
        <v>24632</v>
      </c>
      <c r="AM5367">
        <v>23920</v>
      </c>
      <c r="AS5367">
        <v>0.3</v>
      </c>
      <c r="AT5367" t="s">
        <v>25219</v>
      </c>
      <c r="AU5367" t="s">
        <v>25230</v>
      </c>
      <c r="AW5367" t="s">
        <v>11447</v>
      </c>
    </row>
    <row r="5368" spans="1:49">
      <c r="A5368" s="1">
        <f>HYPERLINK("https://lsnyc.legalserver.org/matter/dynamic-profile/view/0782884","15-0782884")</f>
        <v>0</v>
      </c>
      <c r="B5368" t="s">
        <v>54</v>
      </c>
      <c r="C5368" t="s">
        <v>994</v>
      </c>
      <c r="E5368" t="s">
        <v>1057</v>
      </c>
      <c r="F5368" t="s">
        <v>4338</v>
      </c>
      <c r="G5368" t="s">
        <v>9397</v>
      </c>
      <c r="H5368" t="s">
        <v>10827</v>
      </c>
      <c r="I5368" t="s">
        <v>11385</v>
      </c>
      <c r="J5368">
        <v>11226</v>
      </c>
      <c r="K5368" t="s">
        <v>11446</v>
      </c>
      <c r="N5368" t="s">
        <v>14783</v>
      </c>
      <c r="P5368" t="s">
        <v>14812</v>
      </c>
      <c r="S5368" t="s">
        <v>14829</v>
      </c>
      <c r="V5368">
        <v>0</v>
      </c>
      <c r="W5368" t="s">
        <v>14859</v>
      </c>
      <c r="Z5368" t="s">
        <v>19267</v>
      </c>
      <c r="AB5368" t="s">
        <v>24523</v>
      </c>
      <c r="AC5368">
        <v>0</v>
      </c>
      <c r="AF5368">
        <v>0</v>
      </c>
      <c r="AG5368">
        <v>2</v>
      </c>
      <c r="AH5368">
        <v>0</v>
      </c>
      <c r="AI5368">
        <v>150.66</v>
      </c>
      <c r="AL5368" t="s">
        <v>5011</v>
      </c>
      <c r="AM5368">
        <v>24000</v>
      </c>
      <c r="AN5368" t="s">
        <v>24923</v>
      </c>
      <c r="AS5368">
        <v>46.5</v>
      </c>
      <c r="AT5368" t="s">
        <v>509</v>
      </c>
      <c r="AU5368" t="s">
        <v>109</v>
      </c>
      <c r="AW5368" t="s">
        <v>11447</v>
      </c>
    </row>
    <row r="5369" spans="1:49">
      <c r="A5369" s="1">
        <f>HYPERLINK("https://lsnyc.legalserver.org/matter/dynamic-profile/view/0750559","14-0750559")</f>
        <v>0</v>
      </c>
      <c r="B5369" t="s">
        <v>244</v>
      </c>
      <c r="C5369" t="s">
        <v>961</v>
      </c>
      <c r="E5369" t="s">
        <v>3524</v>
      </c>
      <c r="F5369" t="s">
        <v>6237</v>
      </c>
      <c r="G5369" t="s">
        <v>10389</v>
      </c>
      <c r="H5369" t="s">
        <v>10496</v>
      </c>
      <c r="I5369" t="s">
        <v>11385</v>
      </c>
      <c r="J5369">
        <v>11211</v>
      </c>
      <c r="K5369" t="s">
        <v>11446</v>
      </c>
      <c r="L5369" t="s">
        <v>14717</v>
      </c>
      <c r="N5369" t="s">
        <v>14781</v>
      </c>
      <c r="P5369" t="s">
        <v>14812</v>
      </c>
      <c r="S5369" t="s">
        <v>14827</v>
      </c>
      <c r="V5369">
        <v>0</v>
      </c>
      <c r="W5369" t="s">
        <v>14859</v>
      </c>
      <c r="Z5369" t="s">
        <v>19268</v>
      </c>
      <c r="AA5369" t="s">
        <v>20093</v>
      </c>
      <c r="AB5369" t="s">
        <v>24524</v>
      </c>
      <c r="AC5369">
        <v>0</v>
      </c>
      <c r="AF5369">
        <v>0</v>
      </c>
      <c r="AG5369">
        <v>4</v>
      </c>
      <c r="AH5369">
        <v>0</v>
      </c>
      <c r="AI5369">
        <v>173.58</v>
      </c>
      <c r="AL5369" t="s">
        <v>14755</v>
      </c>
      <c r="AM5369">
        <v>41400</v>
      </c>
      <c r="AN5369" t="s">
        <v>24924</v>
      </c>
      <c r="AS5369">
        <v>68.95</v>
      </c>
      <c r="AT5369" t="s">
        <v>513</v>
      </c>
      <c r="AU5369" t="s">
        <v>25329</v>
      </c>
      <c r="AW5369" t="s">
        <v>11447</v>
      </c>
    </row>
    <row r="5370" spans="1:49">
      <c r="A5370" s="1">
        <f>HYPERLINK("https://lsnyc.legalserver.org/matter/dynamic-profile/view/0811567","16-0811567")</f>
        <v>0</v>
      </c>
      <c r="B5370" t="s">
        <v>324</v>
      </c>
      <c r="C5370" t="s">
        <v>597</v>
      </c>
      <c r="E5370" t="s">
        <v>1248</v>
      </c>
      <c r="F5370" t="s">
        <v>6238</v>
      </c>
      <c r="G5370" t="s">
        <v>10390</v>
      </c>
      <c r="H5370" t="s">
        <v>11361</v>
      </c>
      <c r="I5370" t="s">
        <v>11385</v>
      </c>
      <c r="J5370">
        <v>11205</v>
      </c>
      <c r="K5370" t="s">
        <v>11448</v>
      </c>
      <c r="N5370" t="s">
        <v>14779</v>
      </c>
      <c r="P5370" t="s">
        <v>14812</v>
      </c>
      <c r="S5370" t="s">
        <v>14827</v>
      </c>
      <c r="V5370">
        <v>0</v>
      </c>
      <c r="W5370" t="s">
        <v>14859</v>
      </c>
      <c r="Z5370" t="s">
        <v>19269</v>
      </c>
      <c r="AB5370" t="s">
        <v>24525</v>
      </c>
      <c r="AC5370">
        <v>0</v>
      </c>
      <c r="AF5370">
        <v>0</v>
      </c>
      <c r="AG5370">
        <v>2</v>
      </c>
      <c r="AH5370">
        <v>1</v>
      </c>
      <c r="AI5370">
        <v>205.21</v>
      </c>
      <c r="AL5370" t="s">
        <v>5011</v>
      </c>
      <c r="AM5370">
        <v>41370</v>
      </c>
      <c r="AN5370" t="s">
        <v>24925</v>
      </c>
      <c r="AS5370">
        <v>15</v>
      </c>
      <c r="AT5370" t="s">
        <v>639</v>
      </c>
      <c r="AU5370" t="s">
        <v>287</v>
      </c>
      <c r="AW5370" t="s">
        <v>11447</v>
      </c>
    </row>
    <row r="5371" spans="1:49">
      <c r="A5371" s="1">
        <f>HYPERLINK("https://lsnyc.legalserver.org/matter/dynamic-profile/view/0787849","15-0787849")</f>
        <v>0</v>
      </c>
      <c r="B5371" t="s">
        <v>200</v>
      </c>
      <c r="C5371" t="s">
        <v>996</v>
      </c>
      <c r="E5371" t="s">
        <v>3525</v>
      </c>
      <c r="F5371" t="s">
        <v>3844</v>
      </c>
      <c r="G5371" t="s">
        <v>10391</v>
      </c>
      <c r="I5371" t="s">
        <v>11385</v>
      </c>
      <c r="J5371">
        <v>11216</v>
      </c>
      <c r="K5371" t="s">
        <v>11448</v>
      </c>
      <c r="M5371" t="s">
        <v>11601</v>
      </c>
      <c r="N5371" t="s">
        <v>14780</v>
      </c>
      <c r="P5371" t="s">
        <v>14812</v>
      </c>
      <c r="S5371" t="s">
        <v>14827</v>
      </c>
      <c r="V5371">
        <v>266.68</v>
      </c>
      <c r="W5371" t="s">
        <v>14859</v>
      </c>
      <c r="X5371" t="s">
        <v>14868</v>
      </c>
      <c r="Z5371" t="s">
        <v>19270</v>
      </c>
      <c r="AB5371" t="s">
        <v>24526</v>
      </c>
      <c r="AC5371">
        <v>0</v>
      </c>
      <c r="AD5371" t="s">
        <v>24604</v>
      </c>
      <c r="AF5371">
        <v>9</v>
      </c>
      <c r="AG5371">
        <v>2</v>
      </c>
      <c r="AH5371">
        <v>2</v>
      </c>
      <c r="AI5371">
        <v>208.68</v>
      </c>
      <c r="AL5371" t="s">
        <v>5011</v>
      </c>
      <c r="AM5371">
        <v>50604.72</v>
      </c>
      <c r="AN5371" t="s">
        <v>24922</v>
      </c>
      <c r="AS5371">
        <v>7.75</v>
      </c>
      <c r="AT5371" t="s">
        <v>25220</v>
      </c>
      <c r="AU5371" t="s">
        <v>200</v>
      </c>
      <c r="AW5371" t="s">
        <v>11447</v>
      </c>
    </row>
    <row r="5372" spans="1:49">
      <c r="A5372" s="1">
        <f>HYPERLINK("https://lsnyc.legalserver.org/matter/dynamic-profile/view/0801241","16-0801241")</f>
        <v>0</v>
      </c>
      <c r="B5372" t="s">
        <v>280</v>
      </c>
      <c r="C5372" t="s">
        <v>992</v>
      </c>
      <c r="E5372" t="s">
        <v>2354</v>
      </c>
      <c r="F5372" t="s">
        <v>6234</v>
      </c>
      <c r="I5372" t="s">
        <v>11385</v>
      </c>
      <c r="J5372">
        <v>11203</v>
      </c>
      <c r="K5372" t="s">
        <v>11448</v>
      </c>
      <c r="N5372" t="s">
        <v>14781</v>
      </c>
      <c r="P5372" t="s">
        <v>14812</v>
      </c>
      <c r="S5372" t="s">
        <v>14827</v>
      </c>
      <c r="V5372">
        <v>0</v>
      </c>
      <c r="W5372" t="s">
        <v>14859</v>
      </c>
      <c r="Z5372" t="s">
        <v>19271</v>
      </c>
      <c r="AC5372">
        <v>0</v>
      </c>
      <c r="AF5372">
        <v>0</v>
      </c>
      <c r="AG5372">
        <v>1</v>
      </c>
      <c r="AH5372">
        <v>0</v>
      </c>
      <c r="AI5372">
        <v>252.53</v>
      </c>
      <c r="AL5372" t="s">
        <v>5011</v>
      </c>
      <c r="AM5372">
        <v>30000</v>
      </c>
      <c r="AS5372">
        <v>3.1</v>
      </c>
      <c r="AT5372" t="s">
        <v>611</v>
      </c>
      <c r="AU5372" t="s">
        <v>109</v>
      </c>
      <c r="AW5372" t="s">
        <v>11447</v>
      </c>
    </row>
    <row r="5373" spans="1:49">
      <c r="A5373" s="1">
        <f>HYPERLINK("https://lsnyc.legalserver.org/matter/dynamic-profile/view/0797378","16-0797378")</f>
        <v>0</v>
      </c>
      <c r="B5373" t="s">
        <v>150</v>
      </c>
      <c r="C5373" t="s">
        <v>892</v>
      </c>
      <c r="E5373" t="s">
        <v>1550</v>
      </c>
      <c r="F5373" t="s">
        <v>6239</v>
      </c>
      <c r="G5373" t="s">
        <v>10392</v>
      </c>
      <c r="H5373" t="s">
        <v>11191</v>
      </c>
      <c r="I5373" t="s">
        <v>11385</v>
      </c>
      <c r="J5373">
        <v>11213</v>
      </c>
      <c r="K5373" t="s">
        <v>11446</v>
      </c>
      <c r="N5373" t="s">
        <v>14783</v>
      </c>
      <c r="P5373" t="s">
        <v>14812</v>
      </c>
      <c r="S5373" t="s">
        <v>14827</v>
      </c>
      <c r="V5373">
        <v>0</v>
      </c>
      <c r="W5373" t="s">
        <v>14859</v>
      </c>
      <c r="Z5373" t="s">
        <v>17361</v>
      </c>
      <c r="AB5373" t="s">
        <v>24527</v>
      </c>
      <c r="AC5373">
        <v>0</v>
      </c>
      <c r="AF5373">
        <v>0</v>
      </c>
      <c r="AG5373">
        <v>1</v>
      </c>
      <c r="AH5373">
        <v>0</v>
      </c>
      <c r="AI5373">
        <v>321.49</v>
      </c>
      <c r="AL5373" t="s">
        <v>5011</v>
      </c>
      <c r="AM5373">
        <v>38192.44</v>
      </c>
      <c r="AN5373" t="s">
        <v>24926</v>
      </c>
      <c r="AS5373">
        <v>94.56999999999999</v>
      </c>
      <c r="AT5373" t="s">
        <v>460</v>
      </c>
      <c r="AU5373" t="s">
        <v>25275</v>
      </c>
      <c r="AW5373" t="s">
        <v>11447</v>
      </c>
    </row>
    <row r="5374" spans="1:49">
      <c r="A5374" s="1">
        <f>HYPERLINK("https://lsnyc.legalserver.org/matter/dynamic-profile/view/1909637","19-1909637")</f>
        <v>0</v>
      </c>
      <c r="B5374" t="s">
        <v>139</v>
      </c>
      <c r="C5374" t="s">
        <v>463</v>
      </c>
      <c r="E5374" t="s">
        <v>3526</v>
      </c>
      <c r="F5374" t="s">
        <v>4951</v>
      </c>
      <c r="G5374" t="s">
        <v>10393</v>
      </c>
      <c r="H5374" t="s">
        <v>10581</v>
      </c>
      <c r="I5374" t="s">
        <v>11385</v>
      </c>
      <c r="J5374">
        <v>11229</v>
      </c>
      <c r="K5374" t="s">
        <v>11447</v>
      </c>
      <c r="M5374" t="s">
        <v>11601</v>
      </c>
      <c r="N5374" t="s">
        <v>14778</v>
      </c>
      <c r="P5374" t="s">
        <v>14812</v>
      </c>
      <c r="S5374" t="s">
        <v>14827</v>
      </c>
      <c r="V5374">
        <v>0</v>
      </c>
      <c r="W5374" t="s">
        <v>14859</v>
      </c>
      <c r="Z5374" t="s">
        <v>15639</v>
      </c>
      <c r="AC5374">
        <v>3</v>
      </c>
      <c r="AD5374" t="s">
        <v>24595</v>
      </c>
      <c r="AF5374">
        <v>0</v>
      </c>
      <c r="AG5374">
        <v>2</v>
      </c>
      <c r="AH5374">
        <v>1</v>
      </c>
      <c r="AI5374">
        <v>337.55</v>
      </c>
      <c r="AM5374">
        <v>72000</v>
      </c>
      <c r="AS5374">
        <v>1.5</v>
      </c>
      <c r="AT5374" t="s">
        <v>463</v>
      </c>
      <c r="AU5374" t="s">
        <v>139</v>
      </c>
      <c r="AW5374" t="s">
        <v>11447</v>
      </c>
    </row>
    <row r="5375" spans="1:49">
      <c r="A5375" s="1">
        <f>HYPERLINK("https://lsnyc.legalserver.org/matter/dynamic-profile/view/1902376","19-1902376")</f>
        <v>0</v>
      </c>
      <c r="B5375" t="s">
        <v>55</v>
      </c>
      <c r="C5375" t="s">
        <v>362</v>
      </c>
      <c r="D5375" t="s">
        <v>619</v>
      </c>
      <c r="E5375" t="s">
        <v>1364</v>
      </c>
      <c r="F5375" t="s">
        <v>1035</v>
      </c>
      <c r="G5375" t="s">
        <v>9943</v>
      </c>
      <c r="H5375">
        <v>41</v>
      </c>
      <c r="I5375" t="s">
        <v>11386</v>
      </c>
      <c r="J5375">
        <v>10031</v>
      </c>
      <c r="K5375" t="s">
        <v>11447</v>
      </c>
      <c r="O5375" t="s">
        <v>14786</v>
      </c>
      <c r="P5375" t="s">
        <v>14813</v>
      </c>
      <c r="S5375" t="s">
        <v>14827</v>
      </c>
      <c r="V5375">
        <v>618</v>
      </c>
      <c r="W5375" t="s">
        <v>14860</v>
      </c>
      <c r="X5375" t="s">
        <v>14868</v>
      </c>
      <c r="Y5375" t="s">
        <v>14883</v>
      </c>
      <c r="Z5375" t="s">
        <v>17403</v>
      </c>
      <c r="AB5375" t="s">
        <v>24528</v>
      </c>
      <c r="AC5375">
        <v>18</v>
      </c>
      <c r="AD5375" t="s">
        <v>24595</v>
      </c>
      <c r="AE5375" t="s">
        <v>11459</v>
      </c>
      <c r="AF5375">
        <v>33</v>
      </c>
      <c r="AG5375">
        <v>2</v>
      </c>
      <c r="AH5375">
        <v>0</v>
      </c>
      <c r="AI5375">
        <v>105.31</v>
      </c>
      <c r="AL5375" t="s">
        <v>5011</v>
      </c>
      <c r="AM5375">
        <v>17808</v>
      </c>
      <c r="AS5375">
        <v>1</v>
      </c>
      <c r="AT5375" t="s">
        <v>362</v>
      </c>
      <c r="AU5375" t="s">
        <v>25226</v>
      </c>
      <c r="AW5375" t="s">
        <v>11447</v>
      </c>
    </row>
    <row r="5376" spans="1:49">
      <c r="A5376" s="1">
        <f>HYPERLINK("https://lsnyc.legalserver.org/matter/dynamic-profile/view/1903384","19-1903384")</f>
        <v>0</v>
      </c>
      <c r="B5376" t="s">
        <v>55</v>
      </c>
      <c r="C5376" t="s">
        <v>608</v>
      </c>
      <c r="D5376" t="s">
        <v>619</v>
      </c>
      <c r="E5376" t="s">
        <v>1943</v>
      </c>
      <c r="F5376" t="s">
        <v>3769</v>
      </c>
      <c r="G5376" t="s">
        <v>10394</v>
      </c>
      <c r="H5376" t="s">
        <v>10527</v>
      </c>
      <c r="I5376" t="s">
        <v>11386</v>
      </c>
      <c r="J5376">
        <v>10029</v>
      </c>
      <c r="K5376" t="s">
        <v>11447</v>
      </c>
      <c r="O5376" t="s">
        <v>14786</v>
      </c>
      <c r="P5376" t="s">
        <v>14813</v>
      </c>
      <c r="S5376" t="s">
        <v>14827</v>
      </c>
      <c r="V5376">
        <v>1010</v>
      </c>
      <c r="W5376" t="s">
        <v>14860</v>
      </c>
      <c r="X5376" t="s">
        <v>14755</v>
      </c>
      <c r="Y5376" t="s">
        <v>14883</v>
      </c>
      <c r="Z5376" t="s">
        <v>19272</v>
      </c>
      <c r="AB5376" t="s">
        <v>24529</v>
      </c>
      <c r="AC5376">
        <v>55</v>
      </c>
      <c r="AD5376" t="s">
        <v>24603</v>
      </c>
      <c r="AE5376" t="s">
        <v>24610</v>
      </c>
      <c r="AF5376">
        <v>3</v>
      </c>
      <c r="AG5376">
        <v>1</v>
      </c>
      <c r="AH5376">
        <v>0</v>
      </c>
      <c r="AI5376">
        <v>266.45</v>
      </c>
      <c r="AL5376" t="s">
        <v>5011</v>
      </c>
      <c r="AM5376">
        <v>33280</v>
      </c>
      <c r="AS5376">
        <v>0.7</v>
      </c>
      <c r="AT5376" t="s">
        <v>608</v>
      </c>
      <c r="AU5376" t="s">
        <v>25244</v>
      </c>
      <c r="AW5376" t="s">
        <v>11447</v>
      </c>
    </row>
    <row r="5377" spans="1:49">
      <c r="A5377" s="1">
        <f>HYPERLINK("https://lsnyc.legalserver.org/matter/dynamic-profile/view/1903045","19-1903045")</f>
        <v>0</v>
      </c>
      <c r="B5377" t="s">
        <v>156</v>
      </c>
      <c r="C5377" t="s">
        <v>659</v>
      </c>
      <c r="D5377" t="s">
        <v>496</v>
      </c>
      <c r="E5377" t="s">
        <v>1579</v>
      </c>
      <c r="F5377" t="s">
        <v>5462</v>
      </c>
      <c r="G5377" t="s">
        <v>10395</v>
      </c>
      <c r="H5377" t="s">
        <v>10760</v>
      </c>
      <c r="I5377" t="s">
        <v>11386</v>
      </c>
      <c r="J5377">
        <v>10037</v>
      </c>
      <c r="K5377" t="s">
        <v>11447</v>
      </c>
      <c r="O5377" t="s">
        <v>14786</v>
      </c>
      <c r="P5377" t="s">
        <v>14813</v>
      </c>
      <c r="S5377" t="s">
        <v>14831</v>
      </c>
      <c r="V5377">
        <v>0</v>
      </c>
      <c r="W5377" t="s">
        <v>14860</v>
      </c>
      <c r="Y5377" t="s">
        <v>14883</v>
      </c>
      <c r="Z5377" t="s">
        <v>19273</v>
      </c>
      <c r="AC5377">
        <v>0</v>
      </c>
      <c r="AF5377">
        <v>0</v>
      </c>
      <c r="AG5377">
        <v>1</v>
      </c>
      <c r="AH5377">
        <v>1</v>
      </c>
      <c r="AI5377">
        <v>252.99</v>
      </c>
      <c r="AL5377" t="s">
        <v>5011</v>
      </c>
      <c r="AM5377">
        <v>42780</v>
      </c>
      <c r="AS5377">
        <v>1.9</v>
      </c>
      <c r="AT5377" t="s">
        <v>496</v>
      </c>
      <c r="AU5377" t="s">
        <v>25225</v>
      </c>
      <c r="AW5377" t="s">
        <v>11447</v>
      </c>
    </row>
    <row r="5378" spans="1:49">
      <c r="A5378" s="1">
        <f>HYPERLINK("https://lsnyc.legalserver.org/matter/dynamic-profile/view/1910615","19-1910615")</f>
        <v>0</v>
      </c>
      <c r="B5378" t="s">
        <v>206</v>
      </c>
      <c r="C5378" t="s">
        <v>644</v>
      </c>
      <c r="D5378" t="s">
        <v>551</v>
      </c>
      <c r="E5378" t="s">
        <v>1194</v>
      </c>
      <c r="F5378" t="s">
        <v>6240</v>
      </c>
      <c r="G5378" t="s">
        <v>7412</v>
      </c>
      <c r="H5378" t="s">
        <v>10451</v>
      </c>
      <c r="I5378" t="s">
        <v>11386</v>
      </c>
      <c r="J5378">
        <v>10034</v>
      </c>
      <c r="K5378" t="s">
        <v>11447</v>
      </c>
      <c r="L5378" t="s">
        <v>14718</v>
      </c>
      <c r="M5378" t="s">
        <v>14744</v>
      </c>
      <c r="O5378" t="s">
        <v>14786</v>
      </c>
      <c r="P5378" t="s">
        <v>14813</v>
      </c>
      <c r="S5378" t="s">
        <v>14827</v>
      </c>
      <c r="T5378" t="s">
        <v>14832</v>
      </c>
      <c r="V5378">
        <v>1174</v>
      </c>
      <c r="W5378" t="s">
        <v>14860</v>
      </c>
      <c r="X5378" t="s">
        <v>14866</v>
      </c>
      <c r="Y5378" t="s">
        <v>14883</v>
      </c>
      <c r="Z5378" t="s">
        <v>19274</v>
      </c>
      <c r="AB5378" t="s">
        <v>24530</v>
      </c>
      <c r="AC5378">
        <v>48</v>
      </c>
      <c r="AF5378">
        <v>1</v>
      </c>
      <c r="AG5378">
        <v>1</v>
      </c>
      <c r="AH5378">
        <v>0</v>
      </c>
      <c r="AI5378">
        <v>37.47</v>
      </c>
      <c r="AL5378" t="s">
        <v>5011</v>
      </c>
      <c r="AM5378">
        <v>4680</v>
      </c>
      <c r="AS5378">
        <v>1.1</v>
      </c>
      <c r="AT5378" t="s">
        <v>551</v>
      </c>
      <c r="AU5378" t="s">
        <v>25241</v>
      </c>
      <c r="AW5378" t="s">
        <v>11447</v>
      </c>
    </row>
    <row r="5379" spans="1:49">
      <c r="A5379" s="1">
        <f>HYPERLINK("https://lsnyc.legalserver.org/matter/dynamic-profile/view/1902855","19-1902855")</f>
        <v>0</v>
      </c>
      <c r="B5379" t="s">
        <v>325</v>
      </c>
      <c r="C5379" t="s">
        <v>343</v>
      </c>
      <c r="D5379" t="s">
        <v>483</v>
      </c>
      <c r="E5379" t="s">
        <v>1044</v>
      </c>
      <c r="F5379" t="s">
        <v>6241</v>
      </c>
      <c r="G5379" t="s">
        <v>10396</v>
      </c>
      <c r="H5379" t="s">
        <v>10575</v>
      </c>
      <c r="I5379" t="s">
        <v>11386</v>
      </c>
      <c r="J5379">
        <v>10065</v>
      </c>
      <c r="K5379" t="s">
        <v>11447</v>
      </c>
      <c r="N5379" t="s">
        <v>14780</v>
      </c>
      <c r="O5379" t="s">
        <v>14787</v>
      </c>
      <c r="P5379" t="s">
        <v>14813</v>
      </c>
      <c r="S5379" t="s">
        <v>14827</v>
      </c>
      <c r="U5379" t="s">
        <v>14857</v>
      </c>
      <c r="V5379">
        <v>0</v>
      </c>
      <c r="W5379" t="s">
        <v>14860</v>
      </c>
      <c r="Y5379" t="s">
        <v>14883</v>
      </c>
      <c r="Z5379" t="s">
        <v>19275</v>
      </c>
      <c r="AB5379" t="s">
        <v>24531</v>
      </c>
      <c r="AC5379">
        <v>24</v>
      </c>
      <c r="AF5379">
        <v>0</v>
      </c>
      <c r="AG5379">
        <v>1</v>
      </c>
      <c r="AH5379">
        <v>0</v>
      </c>
      <c r="AI5379">
        <v>0</v>
      </c>
      <c r="AL5379" t="s">
        <v>5011</v>
      </c>
      <c r="AM5379">
        <v>0</v>
      </c>
      <c r="AR5379" t="s">
        <v>25004</v>
      </c>
      <c r="AS5379">
        <v>4.7</v>
      </c>
      <c r="AT5379" t="s">
        <v>505</v>
      </c>
      <c r="AU5379" t="s">
        <v>25238</v>
      </c>
      <c r="AW5379" t="s">
        <v>11447</v>
      </c>
    </row>
    <row r="5380" spans="1:49">
      <c r="A5380" s="1">
        <f>HYPERLINK("https://lsnyc.legalserver.org/matter/dynamic-profile/view/1891886","19-1891886")</f>
        <v>0</v>
      </c>
      <c r="B5380" t="s">
        <v>121</v>
      </c>
      <c r="C5380" t="s">
        <v>708</v>
      </c>
      <c r="D5380" t="s">
        <v>478</v>
      </c>
      <c r="E5380" t="s">
        <v>1216</v>
      </c>
      <c r="F5380" t="s">
        <v>6242</v>
      </c>
      <c r="G5380" t="s">
        <v>9118</v>
      </c>
      <c r="H5380" t="s">
        <v>11362</v>
      </c>
      <c r="I5380" t="s">
        <v>11386</v>
      </c>
      <c r="J5380">
        <v>10037</v>
      </c>
      <c r="K5380" t="s">
        <v>11447</v>
      </c>
      <c r="L5380" t="s">
        <v>14719</v>
      </c>
      <c r="M5380" t="s">
        <v>14744</v>
      </c>
      <c r="N5380" t="s">
        <v>14778</v>
      </c>
      <c r="O5380" t="s">
        <v>14786</v>
      </c>
      <c r="P5380" t="s">
        <v>14813</v>
      </c>
      <c r="S5380" t="s">
        <v>14827</v>
      </c>
      <c r="V5380">
        <v>2300</v>
      </c>
      <c r="W5380" t="s">
        <v>14860</v>
      </c>
      <c r="Y5380" t="s">
        <v>14883</v>
      </c>
      <c r="Z5380" t="s">
        <v>19276</v>
      </c>
      <c r="AB5380" t="s">
        <v>24532</v>
      </c>
      <c r="AC5380">
        <v>286</v>
      </c>
      <c r="AF5380">
        <v>3</v>
      </c>
      <c r="AG5380">
        <v>1</v>
      </c>
      <c r="AH5380">
        <v>0</v>
      </c>
      <c r="AI5380">
        <v>317.05</v>
      </c>
      <c r="AL5380" t="s">
        <v>5011</v>
      </c>
      <c r="AM5380">
        <v>39600</v>
      </c>
      <c r="AS5380">
        <v>2.1</v>
      </c>
      <c r="AT5380" t="s">
        <v>478</v>
      </c>
      <c r="AU5380" t="s">
        <v>25238</v>
      </c>
      <c r="AW5380" t="s">
        <v>11447</v>
      </c>
    </row>
    <row r="5381" spans="1:49">
      <c r="A5381" s="1">
        <f>HYPERLINK("https://lsnyc.legalserver.org/matter/dynamic-profile/view/1913457","19-1913457")</f>
        <v>0</v>
      </c>
      <c r="B5381" t="s">
        <v>320</v>
      </c>
      <c r="C5381" t="s">
        <v>478</v>
      </c>
      <c r="D5381" t="s">
        <v>491</v>
      </c>
      <c r="E5381" t="s">
        <v>1025</v>
      </c>
      <c r="F5381" t="s">
        <v>6243</v>
      </c>
      <c r="G5381" t="s">
        <v>10397</v>
      </c>
      <c r="H5381" t="s">
        <v>11363</v>
      </c>
      <c r="I5381" t="s">
        <v>11386</v>
      </c>
      <c r="J5381">
        <v>10019</v>
      </c>
      <c r="K5381" t="s">
        <v>11446</v>
      </c>
      <c r="L5381" t="s">
        <v>14720</v>
      </c>
      <c r="M5381" t="s">
        <v>14743</v>
      </c>
      <c r="N5381" t="s">
        <v>14778</v>
      </c>
      <c r="O5381" t="s">
        <v>14786</v>
      </c>
      <c r="P5381" t="s">
        <v>14813</v>
      </c>
      <c r="Q5381" t="s">
        <v>11448</v>
      </c>
      <c r="S5381" t="s">
        <v>14827</v>
      </c>
      <c r="U5381" t="s">
        <v>478</v>
      </c>
      <c r="V5381">
        <v>3600</v>
      </c>
      <c r="W5381" t="s">
        <v>14860</v>
      </c>
      <c r="X5381" t="s">
        <v>14871</v>
      </c>
      <c r="Y5381" t="s">
        <v>14883</v>
      </c>
      <c r="Z5381" t="s">
        <v>19277</v>
      </c>
      <c r="AB5381" t="s">
        <v>24533</v>
      </c>
      <c r="AC5381">
        <v>406</v>
      </c>
      <c r="AD5381" t="s">
        <v>11479</v>
      </c>
      <c r="AF5381">
        <v>37</v>
      </c>
      <c r="AG5381">
        <v>1</v>
      </c>
      <c r="AH5381">
        <v>0</v>
      </c>
      <c r="AI5381">
        <v>800.64</v>
      </c>
      <c r="AL5381" t="s">
        <v>5011</v>
      </c>
      <c r="AM5381">
        <v>100000</v>
      </c>
      <c r="AS5381">
        <v>1</v>
      </c>
      <c r="AT5381" t="s">
        <v>478</v>
      </c>
      <c r="AU5381" t="s">
        <v>25266</v>
      </c>
      <c r="AV5381" t="s">
        <v>25335</v>
      </c>
      <c r="AW5381" t="s">
        <v>11447</v>
      </c>
    </row>
    <row r="5382" spans="1:49">
      <c r="A5382" s="1">
        <f>HYPERLINK("https://lsnyc.legalserver.org/matter/dynamic-profile/view/1911126","19-1911126")</f>
        <v>0</v>
      </c>
      <c r="B5382" t="s">
        <v>104</v>
      </c>
      <c r="C5382" t="s">
        <v>475</v>
      </c>
      <c r="D5382" t="s">
        <v>537</v>
      </c>
      <c r="E5382" t="s">
        <v>1359</v>
      </c>
      <c r="F5382" t="s">
        <v>6244</v>
      </c>
      <c r="G5382" t="s">
        <v>10398</v>
      </c>
      <c r="I5382" t="s">
        <v>11386</v>
      </c>
      <c r="J5382">
        <v>10029</v>
      </c>
      <c r="K5382" t="s">
        <v>11446</v>
      </c>
      <c r="M5382" t="s">
        <v>11601</v>
      </c>
      <c r="N5382" t="s">
        <v>14778</v>
      </c>
      <c r="O5382" t="s">
        <v>14786</v>
      </c>
      <c r="P5382" t="s">
        <v>14813</v>
      </c>
      <c r="Q5382" t="s">
        <v>11448</v>
      </c>
      <c r="S5382" t="s">
        <v>14828</v>
      </c>
      <c r="T5382" t="s">
        <v>14832</v>
      </c>
      <c r="U5382" t="s">
        <v>475</v>
      </c>
      <c r="V5382">
        <v>534</v>
      </c>
      <c r="W5382" t="s">
        <v>14860</v>
      </c>
      <c r="X5382" t="s">
        <v>14876</v>
      </c>
      <c r="Y5382" t="s">
        <v>14883</v>
      </c>
      <c r="Z5382" t="s">
        <v>19278</v>
      </c>
      <c r="AC5382">
        <v>0</v>
      </c>
      <c r="AD5382" t="s">
        <v>24602</v>
      </c>
      <c r="AE5382" t="s">
        <v>11459</v>
      </c>
      <c r="AF5382">
        <v>2</v>
      </c>
      <c r="AG5382">
        <v>3</v>
      </c>
      <c r="AH5382">
        <v>0</v>
      </c>
      <c r="AI5382">
        <v>227.45</v>
      </c>
      <c r="AL5382" t="s">
        <v>24632</v>
      </c>
      <c r="AM5382">
        <v>48516</v>
      </c>
      <c r="AS5382">
        <v>0.5</v>
      </c>
      <c r="AT5382" t="s">
        <v>526</v>
      </c>
      <c r="AU5382" t="s">
        <v>25266</v>
      </c>
      <c r="AV5382" t="s">
        <v>25335</v>
      </c>
      <c r="AW5382" t="s">
        <v>11447</v>
      </c>
    </row>
    <row r="5383" spans="1:49">
      <c r="A5383" s="1">
        <f>HYPERLINK("https://lsnyc.legalserver.org/matter/dynamic-profile/view/1847332","17-1847332")</f>
        <v>0</v>
      </c>
      <c r="B5383" t="s">
        <v>64</v>
      </c>
      <c r="C5383" t="s">
        <v>997</v>
      </c>
      <c r="D5383" t="s">
        <v>521</v>
      </c>
      <c r="E5383" t="s">
        <v>3527</v>
      </c>
      <c r="F5383" t="s">
        <v>4006</v>
      </c>
      <c r="G5383" t="s">
        <v>10399</v>
      </c>
      <c r="H5383" t="s">
        <v>10541</v>
      </c>
      <c r="I5383" t="s">
        <v>11386</v>
      </c>
      <c r="J5383">
        <v>10030</v>
      </c>
      <c r="K5383" t="s">
        <v>11446</v>
      </c>
      <c r="N5383" t="s">
        <v>14782</v>
      </c>
      <c r="O5383" t="s">
        <v>14786</v>
      </c>
      <c r="P5383" t="s">
        <v>14813</v>
      </c>
      <c r="S5383" t="s">
        <v>14827</v>
      </c>
      <c r="V5383">
        <v>2600</v>
      </c>
      <c r="W5383" t="s">
        <v>14860</v>
      </c>
      <c r="Y5383" t="s">
        <v>14883</v>
      </c>
      <c r="Z5383" t="s">
        <v>19279</v>
      </c>
      <c r="AC5383">
        <v>0</v>
      </c>
      <c r="AF5383">
        <v>8</v>
      </c>
      <c r="AG5383">
        <v>5</v>
      </c>
      <c r="AH5383">
        <v>2</v>
      </c>
      <c r="AI5383">
        <v>243.4</v>
      </c>
      <c r="AL5383" t="s">
        <v>24632</v>
      </c>
      <c r="AM5383">
        <v>142400</v>
      </c>
      <c r="AS5383">
        <v>0.2</v>
      </c>
      <c r="AT5383" t="s">
        <v>981</v>
      </c>
      <c r="AU5383" t="s">
        <v>153</v>
      </c>
      <c r="AW5383" t="s">
        <v>11447</v>
      </c>
    </row>
    <row r="5384" spans="1:49">
      <c r="A5384" s="1">
        <f>HYPERLINK("https://lsnyc.legalserver.org/matter/dynamic-profile/view/1910129","19-1910129")</f>
        <v>0</v>
      </c>
      <c r="B5384" t="s">
        <v>172</v>
      </c>
      <c r="C5384" t="s">
        <v>471</v>
      </c>
      <c r="E5384" t="s">
        <v>2130</v>
      </c>
      <c r="F5384" t="s">
        <v>6245</v>
      </c>
      <c r="G5384" t="s">
        <v>7256</v>
      </c>
      <c r="I5384" t="s">
        <v>11386</v>
      </c>
      <c r="J5384">
        <v>10032</v>
      </c>
      <c r="K5384" t="s">
        <v>11446</v>
      </c>
      <c r="M5384" t="s">
        <v>14746</v>
      </c>
      <c r="N5384" t="s">
        <v>14781</v>
      </c>
      <c r="P5384" t="s">
        <v>14813</v>
      </c>
      <c r="Q5384" t="s">
        <v>11446</v>
      </c>
      <c r="S5384" t="s">
        <v>14827</v>
      </c>
      <c r="U5384" t="s">
        <v>471</v>
      </c>
      <c r="V5384">
        <v>2995</v>
      </c>
      <c r="W5384" t="s">
        <v>14860</v>
      </c>
      <c r="X5384" t="s">
        <v>14867</v>
      </c>
      <c r="Z5384" t="s">
        <v>19280</v>
      </c>
      <c r="AB5384" t="s">
        <v>24534</v>
      </c>
      <c r="AC5384">
        <v>47</v>
      </c>
      <c r="AD5384" t="s">
        <v>24595</v>
      </c>
      <c r="AE5384" t="s">
        <v>11459</v>
      </c>
      <c r="AF5384">
        <v>1</v>
      </c>
      <c r="AG5384">
        <v>2</v>
      </c>
      <c r="AH5384">
        <v>0</v>
      </c>
      <c r="AI5384">
        <v>1951.51</v>
      </c>
      <c r="AL5384" t="s">
        <v>5011</v>
      </c>
      <c r="AM5384">
        <v>330000</v>
      </c>
      <c r="AN5384" t="s">
        <v>24927</v>
      </c>
      <c r="AS5384">
        <v>0</v>
      </c>
      <c r="AU5384" t="s">
        <v>137</v>
      </c>
      <c r="AV5384" t="s">
        <v>25335</v>
      </c>
      <c r="AW5384" t="s">
        <v>11447</v>
      </c>
    </row>
    <row r="5385" spans="1:49">
      <c r="A5385" s="1">
        <f>HYPERLINK("https://lsnyc.legalserver.org/matter/dynamic-profile/view/1911824","19-1911824")</f>
        <v>0</v>
      </c>
      <c r="B5385" t="s">
        <v>217</v>
      </c>
      <c r="C5385" t="s">
        <v>645</v>
      </c>
      <c r="E5385" t="s">
        <v>1717</v>
      </c>
      <c r="F5385" t="s">
        <v>3575</v>
      </c>
      <c r="G5385" t="s">
        <v>10400</v>
      </c>
      <c r="H5385">
        <v>2</v>
      </c>
      <c r="I5385" t="s">
        <v>11386</v>
      </c>
      <c r="J5385">
        <v>10023</v>
      </c>
      <c r="K5385" t="s">
        <v>11446</v>
      </c>
      <c r="M5385" t="s">
        <v>11601</v>
      </c>
      <c r="N5385" t="s">
        <v>14778</v>
      </c>
      <c r="P5385" t="s">
        <v>14813</v>
      </c>
      <c r="Q5385" t="s">
        <v>11448</v>
      </c>
      <c r="S5385" t="s">
        <v>14827</v>
      </c>
      <c r="U5385" t="s">
        <v>645</v>
      </c>
      <c r="V5385">
        <v>800</v>
      </c>
      <c r="W5385" t="s">
        <v>14860</v>
      </c>
      <c r="X5385" t="s">
        <v>14864</v>
      </c>
      <c r="Z5385" t="s">
        <v>19281</v>
      </c>
      <c r="AB5385" t="s">
        <v>24535</v>
      </c>
      <c r="AC5385">
        <v>0</v>
      </c>
      <c r="AD5385" t="s">
        <v>24598</v>
      </c>
      <c r="AE5385" t="s">
        <v>11459</v>
      </c>
      <c r="AF5385">
        <v>22</v>
      </c>
      <c r="AG5385">
        <v>2</v>
      </c>
      <c r="AH5385">
        <v>0</v>
      </c>
      <c r="AI5385">
        <v>591.37</v>
      </c>
      <c r="AL5385" t="s">
        <v>5011</v>
      </c>
      <c r="AM5385">
        <v>100000</v>
      </c>
      <c r="AS5385">
        <v>0</v>
      </c>
      <c r="AU5385" t="s">
        <v>25276</v>
      </c>
      <c r="AV5385" t="s">
        <v>25335</v>
      </c>
      <c r="AW5385" t="s">
        <v>11447</v>
      </c>
    </row>
    <row r="5386" spans="1:49">
      <c r="A5386" s="1">
        <f>HYPERLINK("https://lsnyc.legalserver.org/matter/dynamic-profile/view/1912391","19-1912391")</f>
        <v>0</v>
      </c>
      <c r="B5386" t="s">
        <v>205</v>
      </c>
      <c r="C5386" t="s">
        <v>489</v>
      </c>
      <c r="E5386" t="s">
        <v>1032</v>
      </c>
      <c r="F5386" t="s">
        <v>6246</v>
      </c>
      <c r="G5386" t="s">
        <v>10401</v>
      </c>
      <c r="I5386" t="s">
        <v>11386</v>
      </c>
      <c r="J5386">
        <v>10035</v>
      </c>
      <c r="K5386" t="s">
        <v>11446</v>
      </c>
      <c r="M5386" t="s">
        <v>14746</v>
      </c>
      <c r="N5386" t="s">
        <v>14778</v>
      </c>
      <c r="P5386" t="s">
        <v>14813</v>
      </c>
      <c r="Q5386" t="s">
        <v>11448</v>
      </c>
      <c r="S5386" t="s">
        <v>14827</v>
      </c>
      <c r="T5386" t="s">
        <v>14832</v>
      </c>
      <c r="U5386" t="s">
        <v>551</v>
      </c>
      <c r="V5386">
        <v>1428</v>
      </c>
      <c r="W5386" t="s">
        <v>14860</v>
      </c>
      <c r="X5386" t="s">
        <v>14876</v>
      </c>
      <c r="Z5386" t="s">
        <v>19282</v>
      </c>
      <c r="AB5386" t="s">
        <v>24536</v>
      </c>
      <c r="AC5386">
        <v>19</v>
      </c>
      <c r="AD5386" t="s">
        <v>24595</v>
      </c>
      <c r="AE5386" t="s">
        <v>11459</v>
      </c>
      <c r="AF5386">
        <v>4</v>
      </c>
      <c r="AG5386">
        <v>1</v>
      </c>
      <c r="AH5386">
        <v>0</v>
      </c>
      <c r="AI5386">
        <v>416.33</v>
      </c>
      <c r="AL5386" t="s">
        <v>5011</v>
      </c>
      <c r="AM5386">
        <v>52000</v>
      </c>
      <c r="AS5386">
        <v>0</v>
      </c>
      <c r="AU5386" t="s">
        <v>25266</v>
      </c>
      <c r="AV5386" t="s">
        <v>25335</v>
      </c>
      <c r="AW5386" t="s">
        <v>11447</v>
      </c>
    </row>
    <row r="5387" spans="1:49">
      <c r="A5387" s="1">
        <f>HYPERLINK("https://lsnyc.legalserver.org/matter/dynamic-profile/view/1913443","19-1913443")</f>
        <v>0</v>
      </c>
      <c r="B5387" t="s">
        <v>223</v>
      </c>
      <c r="C5387" t="s">
        <v>484</v>
      </c>
      <c r="E5387" t="s">
        <v>3528</v>
      </c>
      <c r="F5387" t="s">
        <v>6247</v>
      </c>
      <c r="G5387" t="s">
        <v>10402</v>
      </c>
      <c r="H5387">
        <v>62</v>
      </c>
      <c r="I5387" t="s">
        <v>11386</v>
      </c>
      <c r="J5387">
        <v>10027</v>
      </c>
      <c r="K5387" t="s">
        <v>11446</v>
      </c>
      <c r="M5387" t="s">
        <v>11601</v>
      </c>
      <c r="N5387" t="s">
        <v>14778</v>
      </c>
      <c r="P5387" t="s">
        <v>14813</v>
      </c>
      <c r="Q5387" t="s">
        <v>11448</v>
      </c>
      <c r="S5387" t="s">
        <v>14827</v>
      </c>
      <c r="T5387" t="s">
        <v>14832</v>
      </c>
      <c r="U5387" t="s">
        <v>484</v>
      </c>
      <c r="V5387">
        <v>1527.08</v>
      </c>
      <c r="W5387" t="s">
        <v>14860</v>
      </c>
      <c r="X5387" t="s">
        <v>14755</v>
      </c>
      <c r="Z5387" t="s">
        <v>19283</v>
      </c>
      <c r="AB5387" t="s">
        <v>24537</v>
      </c>
      <c r="AC5387">
        <v>18</v>
      </c>
      <c r="AD5387" t="s">
        <v>24595</v>
      </c>
      <c r="AE5387" t="s">
        <v>11459</v>
      </c>
      <c r="AF5387">
        <v>23</v>
      </c>
      <c r="AG5387">
        <v>6</v>
      </c>
      <c r="AH5387">
        <v>1</v>
      </c>
      <c r="AI5387">
        <v>337.76</v>
      </c>
      <c r="AL5387" t="s">
        <v>5011</v>
      </c>
      <c r="AM5387">
        <v>131760</v>
      </c>
      <c r="AS5387">
        <v>0.4</v>
      </c>
      <c r="AT5387" t="s">
        <v>484</v>
      </c>
      <c r="AU5387" t="s">
        <v>25266</v>
      </c>
      <c r="AV5387" t="s">
        <v>25335</v>
      </c>
      <c r="AW5387" t="s">
        <v>11447</v>
      </c>
    </row>
    <row r="5388" spans="1:49">
      <c r="A5388" s="1">
        <f>HYPERLINK("https://lsnyc.legalserver.org/matter/dynamic-profile/view/1914943","19-1914943")</f>
        <v>0</v>
      </c>
      <c r="B5388" t="s">
        <v>253</v>
      </c>
      <c r="C5388" t="s">
        <v>537</v>
      </c>
      <c r="E5388" t="s">
        <v>3529</v>
      </c>
      <c r="F5388" t="s">
        <v>1706</v>
      </c>
      <c r="G5388" t="s">
        <v>10403</v>
      </c>
      <c r="H5388">
        <v>14</v>
      </c>
      <c r="I5388" t="s">
        <v>11386</v>
      </c>
      <c r="J5388">
        <v>10027</v>
      </c>
      <c r="K5388" t="s">
        <v>11446</v>
      </c>
      <c r="L5388" t="s">
        <v>14721</v>
      </c>
      <c r="M5388" t="s">
        <v>14744</v>
      </c>
      <c r="N5388" t="s">
        <v>14778</v>
      </c>
      <c r="P5388" t="s">
        <v>14813</v>
      </c>
      <c r="Q5388" t="s">
        <v>11448</v>
      </c>
      <c r="S5388" t="s">
        <v>14827</v>
      </c>
      <c r="U5388" t="s">
        <v>537</v>
      </c>
      <c r="V5388">
        <v>2724</v>
      </c>
      <c r="W5388" t="s">
        <v>14860</v>
      </c>
      <c r="X5388" t="s">
        <v>14863</v>
      </c>
      <c r="Z5388" t="s">
        <v>19024</v>
      </c>
      <c r="AB5388" t="s">
        <v>24538</v>
      </c>
      <c r="AC5388">
        <v>0</v>
      </c>
      <c r="AD5388" t="s">
        <v>24595</v>
      </c>
      <c r="AE5388" t="s">
        <v>11459</v>
      </c>
      <c r="AF5388">
        <v>8</v>
      </c>
      <c r="AG5388">
        <v>1</v>
      </c>
      <c r="AH5388">
        <v>0</v>
      </c>
      <c r="AI5388">
        <v>424.34</v>
      </c>
      <c r="AL5388" t="s">
        <v>5011</v>
      </c>
      <c r="AM5388">
        <v>53000</v>
      </c>
      <c r="AS5388">
        <v>0</v>
      </c>
      <c r="AU5388" t="s">
        <v>25276</v>
      </c>
      <c r="AV5388" t="s">
        <v>25335</v>
      </c>
      <c r="AW5388" t="s">
        <v>11447</v>
      </c>
    </row>
    <row r="5389" spans="1:49">
      <c r="A5389" s="1">
        <f>HYPERLINK("https://lsnyc.legalserver.org/matter/dynamic-profile/view/1896692","19-1896692")</f>
        <v>0</v>
      </c>
      <c r="B5389" t="s">
        <v>326</v>
      </c>
      <c r="C5389" t="s">
        <v>492</v>
      </c>
      <c r="E5389" t="s">
        <v>1241</v>
      </c>
      <c r="F5389" t="s">
        <v>3547</v>
      </c>
      <c r="G5389" t="s">
        <v>10404</v>
      </c>
      <c r="H5389" t="s">
        <v>10569</v>
      </c>
      <c r="I5389" t="s">
        <v>11386</v>
      </c>
      <c r="J5389">
        <v>10029</v>
      </c>
      <c r="K5389" t="s">
        <v>11447</v>
      </c>
      <c r="P5389" t="s">
        <v>14813</v>
      </c>
      <c r="S5389" t="s">
        <v>14827</v>
      </c>
      <c r="V5389">
        <v>0</v>
      </c>
      <c r="W5389" t="s">
        <v>14860</v>
      </c>
      <c r="Z5389" t="s">
        <v>19284</v>
      </c>
      <c r="AB5389" t="s">
        <v>24539</v>
      </c>
      <c r="AC5389">
        <v>0</v>
      </c>
      <c r="AF5389">
        <v>0</v>
      </c>
      <c r="AG5389">
        <v>1</v>
      </c>
      <c r="AH5389">
        <v>0</v>
      </c>
      <c r="AI5389">
        <v>0</v>
      </c>
      <c r="AL5389" t="s">
        <v>24632</v>
      </c>
      <c r="AM5389">
        <v>0</v>
      </c>
      <c r="AS5389">
        <v>1.35</v>
      </c>
      <c r="AT5389" t="s">
        <v>331</v>
      </c>
      <c r="AU5389" t="s">
        <v>25236</v>
      </c>
      <c r="AW5389" t="s">
        <v>11447</v>
      </c>
    </row>
    <row r="5390" spans="1:49">
      <c r="A5390" s="1">
        <f>HYPERLINK("https://lsnyc.legalserver.org/matter/dynamic-profile/view/1895939","19-1895939")</f>
        <v>0</v>
      </c>
      <c r="B5390" t="s">
        <v>121</v>
      </c>
      <c r="C5390" t="s">
        <v>415</v>
      </c>
      <c r="E5390" t="s">
        <v>1900</v>
      </c>
      <c r="F5390" t="s">
        <v>6248</v>
      </c>
      <c r="G5390" t="s">
        <v>10405</v>
      </c>
      <c r="H5390">
        <v>26</v>
      </c>
      <c r="I5390" t="s">
        <v>11386</v>
      </c>
      <c r="J5390">
        <v>10027</v>
      </c>
      <c r="K5390" t="s">
        <v>11447</v>
      </c>
      <c r="M5390" t="s">
        <v>11601</v>
      </c>
      <c r="N5390" t="s">
        <v>14778</v>
      </c>
      <c r="P5390" t="s">
        <v>14813</v>
      </c>
      <c r="Q5390" t="s">
        <v>11448</v>
      </c>
      <c r="S5390" t="s">
        <v>14827</v>
      </c>
      <c r="V5390">
        <v>700</v>
      </c>
      <c r="W5390" t="s">
        <v>14860</v>
      </c>
      <c r="X5390" t="s">
        <v>14755</v>
      </c>
      <c r="Z5390" t="s">
        <v>19285</v>
      </c>
      <c r="AB5390" t="s">
        <v>24540</v>
      </c>
      <c r="AC5390">
        <v>0</v>
      </c>
      <c r="AD5390" t="s">
        <v>24598</v>
      </c>
      <c r="AE5390" t="s">
        <v>11459</v>
      </c>
      <c r="AF5390">
        <v>14</v>
      </c>
      <c r="AG5390">
        <v>1</v>
      </c>
      <c r="AH5390">
        <v>4</v>
      </c>
      <c r="AI5390">
        <v>17.9</v>
      </c>
      <c r="AL5390" t="s">
        <v>5011</v>
      </c>
      <c r="AM5390">
        <v>5400</v>
      </c>
      <c r="AS5390">
        <v>0.6</v>
      </c>
      <c r="AT5390" t="s">
        <v>773</v>
      </c>
      <c r="AU5390" t="s">
        <v>25240</v>
      </c>
      <c r="AW5390" t="s">
        <v>11447</v>
      </c>
    </row>
    <row r="5391" spans="1:49">
      <c r="A5391" s="1">
        <f>HYPERLINK("https://lsnyc.legalserver.org/matter/dynamic-profile/view/1873711","18-1873711")</f>
        <v>0</v>
      </c>
      <c r="B5391" t="s">
        <v>208</v>
      </c>
      <c r="C5391" t="s">
        <v>998</v>
      </c>
      <c r="E5391" t="s">
        <v>1490</v>
      </c>
      <c r="F5391" t="s">
        <v>4162</v>
      </c>
      <c r="G5391" t="s">
        <v>10406</v>
      </c>
      <c r="H5391" t="s">
        <v>10464</v>
      </c>
      <c r="I5391" t="s">
        <v>11386</v>
      </c>
      <c r="J5391">
        <v>10027</v>
      </c>
      <c r="K5391" t="s">
        <v>11447</v>
      </c>
      <c r="M5391" t="s">
        <v>14743</v>
      </c>
      <c r="N5391" t="s">
        <v>14781</v>
      </c>
      <c r="P5391" t="s">
        <v>14813</v>
      </c>
      <c r="S5391" t="s">
        <v>14827</v>
      </c>
      <c r="V5391">
        <v>0</v>
      </c>
      <c r="W5391" t="s">
        <v>14860</v>
      </c>
      <c r="Z5391" t="s">
        <v>16138</v>
      </c>
      <c r="AB5391" t="s">
        <v>24541</v>
      </c>
      <c r="AC5391">
        <v>0</v>
      </c>
      <c r="AF5391">
        <v>0</v>
      </c>
      <c r="AG5391">
        <v>1</v>
      </c>
      <c r="AH5391">
        <v>2</v>
      </c>
      <c r="AI5391">
        <v>34.65</v>
      </c>
      <c r="AL5391" t="s">
        <v>5011</v>
      </c>
      <c r="AM5391">
        <v>7200</v>
      </c>
      <c r="AS5391">
        <v>12</v>
      </c>
      <c r="AT5391" t="s">
        <v>338</v>
      </c>
      <c r="AU5391" t="s">
        <v>208</v>
      </c>
      <c r="AW5391" t="s">
        <v>11447</v>
      </c>
    </row>
    <row r="5392" spans="1:49">
      <c r="A5392" s="1">
        <f>HYPERLINK("https://lsnyc.legalserver.org/matter/dynamic-profile/view/1873715","18-1873715")</f>
        <v>0</v>
      </c>
      <c r="B5392" t="s">
        <v>208</v>
      </c>
      <c r="C5392" t="s">
        <v>998</v>
      </c>
      <c r="E5392" t="s">
        <v>1490</v>
      </c>
      <c r="F5392" t="s">
        <v>4162</v>
      </c>
      <c r="G5392" t="s">
        <v>10406</v>
      </c>
      <c r="H5392" t="s">
        <v>10464</v>
      </c>
      <c r="I5392" t="s">
        <v>11386</v>
      </c>
      <c r="J5392">
        <v>10027</v>
      </c>
      <c r="K5392" t="s">
        <v>11447</v>
      </c>
      <c r="M5392" t="s">
        <v>14744</v>
      </c>
      <c r="N5392" t="s">
        <v>14781</v>
      </c>
      <c r="P5392" t="s">
        <v>14813</v>
      </c>
      <c r="S5392" t="s">
        <v>14827</v>
      </c>
      <c r="V5392">
        <v>0</v>
      </c>
      <c r="W5392" t="s">
        <v>14860</v>
      </c>
      <c r="Z5392" t="s">
        <v>16138</v>
      </c>
      <c r="AB5392" t="s">
        <v>24541</v>
      </c>
      <c r="AC5392">
        <v>0</v>
      </c>
      <c r="AF5392">
        <v>0</v>
      </c>
      <c r="AG5392">
        <v>1</v>
      </c>
      <c r="AH5392">
        <v>2</v>
      </c>
      <c r="AI5392">
        <v>34.65</v>
      </c>
      <c r="AL5392" t="s">
        <v>5011</v>
      </c>
      <c r="AM5392">
        <v>7200</v>
      </c>
      <c r="AS5392">
        <v>13.8</v>
      </c>
      <c r="AT5392" t="s">
        <v>626</v>
      </c>
      <c r="AU5392" t="s">
        <v>208</v>
      </c>
      <c r="AW5392" t="s">
        <v>11447</v>
      </c>
    </row>
    <row r="5393" spans="1:49">
      <c r="A5393" s="1">
        <f>HYPERLINK("https://lsnyc.legalserver.org/matter/dynamic-profile/view/1895028","19-1895028")</f>
        <v>0</v>
      </c>
      <c r="B5393" t="s">
        <v>121</v>
      </c>
      <c r="C5393" t="s">
        <v>756</v>
      </c>
      <c r="E5393" t="s">
        <v>3530</v>
      </c>
      <c r="F5393" t="s">
        <v>5091</v>
      </c>
      <c r="G5393" t="s">
        <v>10407</v>
      </c>
      <c r="H5393" t="s">
        <v>10667</v>
      </c>
      <c r="I5393" t="s">
        <v>11386</v>
      </c>
      <c r="J5393">
        <v>10029</v>
      </c>
      <c r="K5393" t="s">
        <v>11447</v>
      </c>
      <c r="N5393" t="s">
        <v>14782</v>
      </c>
      <c r="P5393" t="s">
        <v>14813</v>
      </c>
      <c r="S5393" t="s">
        <v>14827</v>
      </c>
      <c r="V5393">
        <v>225</v>
      </c>
      <c r="W5393" t="s">
        <v>14860</v>
      </c>
      <c r="X5393" t="s">
        <v>14870</v>
      </c>
      <c r="Z5393" t="s">
        <v>18988</v>
      </c>
      <c r="AB5393" t="s">
        <v>24542</v>
      </c>
      <c r="AC5393">
        <v>152</v>
      </c>
      <c r="AD5393" t="s">
        <v>24597</v>
      </c>
      <c r="AE5393" t="s">
        <v>11459</v>
      </c>
      <c r="AF5393">
        <v>0</v>
      </c>
      <c r="AG5393">
        <v>1</v>
      </c>
      <c r="AH5393">
        <v>0</v>
      </c>
      <c r="AI5393">
        <v>37.28</v>
      </c>
      <c r="AL5393" t="s">
        <v>5011</v>
      </c>
      <c r="AM5393">
        <v>4656</v>
      </c>
      <c r="AS5393">
        <v>1</v>
      </c>
      <c r="AT5393" t="s">
        <v>756</v>
      </c>
      <c r="AU5393" t="s">
        <v>25226</v>
      </c>
      <c r="AW5393" t="s">
        <v>11447</v>
      </c>
    </row>
    <row r="5394" spans="1:49">
      <c r="A5394" s="1">
        <f>HYPERLINK("https://lsnyc.legalserver.org/matter/dynamic-profile/view/1891781","19-1891781")</f>
        <v>0</v>
      </c>
      <c r="B5394" t="s">
        <v>121</v>
      </c>
      <c r="C5394" t="s">
        <v>769</v>
      </c>
      <c r="E5394" t="s">
        <v>1801</v>
      </c>
      <c r="F5394" t="s">
        <v>3614</v>
      </c>
      <c r="G5394" t="s">
        <v>9848</v>
      </c>
      <c r="H5394" t="s">
        <v>11364</v>
      </c>
      <c r="I5394" t="s">
        <v>11386</v>
      </c>
      <c r="J5394">
        <v>10025</v>
      </c>
      <c r="K5394" t="s">
        <v>11447</v>
      </c>
      <c r="N5394" t="s">
        <v>14782</v>
      </c>
      <c r="P5394" t="s">
        <v>14813</v>
      </c>
      <c r="S5394" t="s">
        <v>14827</v>
      </c>
      <c r="V5394">
        <v>1400</v>
      </c>
      <c r="W5394" t="s">
        <v>14860</v>
      </c>
      <c r="X5394" t="s">
        <v>14867</v>
      </c>
      <c r="Z5394" t="s">
        <v>19286</v>
      </c>
      <c r="AB5394" t="s">
        <v>24543</v>
      </c>
      <c r="AC5394">
        <v>140</v>
      </c>
      <c r="AE5394" t="s">
        <v>24610</v>
      </c>
      <c r="AF5394">
        <v>11</v>
      </c>
      <c r="AG5394">
        <v>1</v>
      </c>
      <c r="AH5394">
        <v>0</v>
      </c>
      <c r="AI5394">
        <v>72.63</v>
      </c>
      <c r="AL5394" t="s">
        <v>5011</v>
      </c>
      <c r="AM5394">
        <v>9072</v>
      </c>
      <c r="AS5394">
        <v>1</v>
      </c>
      <c r="AT5394" t="s">
        <v>769</v>
      </c>
      <c r="AU5394" t="s">
        <v>25226</v>
      </c>
      <c r="AW5394" t="s">
        <v>11447</v>
      </c>
    </row>
    <row r="5395" spans="1:49">
      <c r="A5395" s="1">
        <f>HYPERLINK("https://lsnyc.legalserver.org/matter/dynamic-profile/view/1893402","19-1893402")</f>
        <v>0</v>
      </c>
      <c r="B5395" t="s">
        <v>121</v>
      </c>
      <c r="C5395" t="s">
        <v>999</v>
      </c>
      <c r="E5395" t="s">
        <v>1634</v>
      </c>
      <c r="F5395" t="s">
        <v>5261</v>
      </c>
      <c r="G5395" t="s">
        <v>10408</v>
      </c>
      <c r="H5395">
        <v>118</v>
      </c>
      <c r="I5395" t="s">
        <v>11386</v>
      </c>
      <c r="J5395">
        <v>10036</v>
      </c>
      <c r="K5395" t="s">
        <v>11447</v>
      </c>
      <c r="L5395" t="s">
        <v>14722</v>
      </c>
      <c r="M5395" t="s">
        <v>14744</v>
      </c>
      <c r="N5395" t="s">
        <v>14782</v>
      </c>
      <c r="P5395" t="s">
        <v>14813</v>
      </c>
      <c r="S5395" t="s">
        <v>14827</v>
      </c>
      <c r="V5395">
        <v>230</v>
      </c>
      <c r="W5395" t="s">
        <v>14860</v>
      </c>
      <c r="Z5395" t="s">
        <v>18799</v>
      </c>
      <c r="AB5395" t="s">
        <v>24544</v>
      </c>
      <c r="AC5395">
        <v>0</v>
      </c>
      <c r="AD5395" t="s">
        <v>11479</v>
      </c>
      <c r="AE5395" t="s">
        <v>24610</v>
      </c>
      <c r="AF5395">
        <v>11</v>
      </c>
      <c r="AG5395">
        <v>1</v>
      </c>
      <c r="AH5395">
        <v>0</v>
      </c>
      <c r="AI5395">
        <v>78.59</v>
      </c>
      <c r="AL5395" t="s">
        <v>5011</v>
      </c>
      <c r="AM5395">
        <v>9816</v>
      </c>
      <c r="AS5395">
        <v>1</v>
      </c>
      <c r="AT5395" t="s">
        <v>999</v>
      </c>
      <c r="AU5395" t="s">
        <v>25231</v>
      </c>
      <c r="AW5395" t="s">
        <v>11447</v>
      </c>
    </row>
    <row r="5396" spans="1:49">
      <c r="A5396" s="1">
        <f>HYPERLINK("https://lsnyc.legalserver.org/matter/dynamic-profile/view/1874648","18-1874648")</f>
        <v>0</v>
      </c>
      <c r="B5396" t="s">
        <v>315</v>
      </c>
      <c r="C5396" t="s">
        <v>786</v>
      </c>
      <c r="E5396" t="s">
        <v>3531</v>
      </c>
      <c r="F5396" t="s">
        <v>5521</v>
      </c>
      <c r="G5396" t="s">
        <v>10408</v>
      </c>
      <c r="H5396">
        <v>523</v>
      </c>
      <c r="I5396" t="s">
        <v>11386</v>
      </c>
      <c r="J5396">
        <v>10036</v>
      </c>
      <c r="K5396" t="s">
        <v>11447</v>
      </c>
      <c r="L5396" t="s">
        <v>14723</v>
      </c>
      <c r="M5396" t="s">
        <v>14743</v>
      </c>
      <c r="N5396" t="s">
        <v>14781</v>
      </c>
      <c r="P5396" t="s">
        <v>14813</v>
      </c>
      <c r="S5396" t="s">
        <v>14827</v>
      </c>
      <c r="T5396" t="s">
        <v>14832</v>
      </c>
      <c r="V5396">
        <v>253.28</v>
      </c>
      <c r="W5396" t="s">
        <v>14860</v>
      </c>
      <c r="X5396" t="s">
        <v>14865</v>
      </c>
      <c r="Z5396" t="s">
        <v>19287</v>
      </c>
      <c r="AB5396" t="s">
        <v>24545</v>
      </c>
      <c r="AC5396">
        <v>0</v>
      </c>
      <c r="AF5396">
        <v>20</v>
      </c>
      <c r="AG5396">
        <v>1</v>
      </c>
      <c r="AH5396">
        <v>0</v>
      </c>
      <c r="AI5396">
        <v>79.08</v>
      </c>
      <c r="AL5396" t="s">
        <v>5011</v>
      </c>
      <c r="AM5396">
        <v>9600</v>
      </c>
      <c r="AS5396">
        <v>41.28</v>
      </c>
      <c r="AT5396" t="s">
        <v>467</v>
      </c>
      <c r="AU5396" t="s">
        <v>25278</v>
      </c>
      <c r="AW5396" t="s">
        <v>11447</v>
      </c>
    </row>
    <row r="5397" spans="1:49">
      <c r="A5397" s="1">
        <f>HYPERLINK("https://lsnyc.legalserver.org/matter/dynamic-profile/view/1910600","19-1910600")</f>
        <v>0</v>
      </c>
      <c r="B5397" t="s">
        <v>178</v>
      </c>
      <c r="C5397" t="s">
        <v>468</v>
      </c>
      <c r="E5397" t="s">
        <v>1024</v>
      </c>
      <c r="F5397" t="s">
        <v>6249</v>
      </c>
      <c r="G5397" t="s">
        <v>10409</v>
      </c>
      <c r="H5397" t="s">
        <v>10509</v>
      </c>
      <c r="I5397" t="s">
        <v>11386</v>
      </c>
      <c r="J5397">
        <v>10009</v>
      </c>
      <c r="K5397" t="s">
        <v>11447</v>
      </c>
      <c r="M5397" t="s">
        <v>11601</v>
      </c>
      <c r="P5397" t="s">
        <v>14813</v>
      </c>
      <c r="S5397" t="s">
        <v>14828</v>
      </c>
      <c r="V5397">
        <v>0</v>
      </c>
      <c r="W5397" t="s">
        <v>14860</v>
      </c>
      <c r="Z5397" t="s">
        <v>19288</v>
      </c>
      <c r="AC5397">
        <v>0</v>
      </c>
      <c r="AF5397">
        <v>0</v>
      </c>
      <c r="AG5397">
        <v>2</v>
      </c>
      <c r="AH5397">
        <v>0</v>
      </c>
      <c r="AI5397">
        <v>79.09999999999999</v>
      </c>
      <c r="AL5397" t="s">
        <v>5011</v>
      </c>
      <c r="AM5397">
        <v>13376</v>
      </c>
      <c r="AS5397">
        <v>1.7</v>
      </c>
      <c r="AT5397" t="s">
        <v>511</v>
      </c>
      <c r="AU5397" t="s">
        <v>25278</v>
      </c>
      <c r="AW5397" t="s">
        <v>11447</v>
      </c>
    </row>
    <row r="5398" spans="1:49">
      <c r="A5398" s="1">
        <f>HYPERLINK("https://lsnyc.legalserver.org/matter/dynamic-profile/view/1892001","19-1892001")</f>
        <v>0</v>
      </c>
      <c r="B5398" t="s">
        <v>121</v>
      </c>
      <c r="C5398" t="s">
        <v>708</v>
      </c>
      <c r="E5398" t="s">
        <v>1658</v>
      </c>
      <c r="F5398" t="s">
        <v>6250</v>
      </c>
      <c r="G5398" t="s">
        <v>10410</v>
      </c>
      <c r="H5398" t="s">
        <v>10537</v>
      </c>
      <c r="I5398" t="s">
        <v>11386</v>
      </c>
      <c r="J5398">
        <v>10037</v>
      </c>
      <c r="K5398" t="s">
        <v>11447</v>
      </c>
      <c r="L5398" t="s">
        <v>14724</v>
      </c>
      <c r="M5398" t="s">
        <v>14743</v>
      </c>
      <c r="P5398" t="s">
        <v>14813</v>
      </c>
      <c r="S5398" t="s">
        <v>14827</v>
      </c>
      <c r="V5398">
        <v>737</v>
      </c>
      <c r="W5398" t="s">
        <v>14860</v>
      </c>
      <c r="X5398" t="s">
        <v>14755</v>
      </c>
      <c r="Z5398" t="s">
        <v>19289</v>
      </c>
      <c r="AB5398" t="s">
        <v>24546</v>
      </c>
      <c r="AC5398">
        <v>176</v>
      </c>
      <c r="AD5398" t="s">
        <v>11479</v>
      </c>
      <c r="AE5398" t="s">
        <v>24610</v>
      </c>
      <c r="AF5398">
        <v>8</v>
      </c>
      <c r="AG5398">
        <v>4</v>
      </c>
      <c r="AH5398">
        <v>0</v>
      </c>
      <c r="AI5398">
        <v>122.61</v>
      </c>
      <c r="AL5398" t="s">
        <v>5011</v>
      </c>
      <c r="AM5398">
        <v>31572</v>
      </c>
      <c r="AS5398">
        <v>1</v>
      </c>
      <c r="AT5398" t="s">
        <v>708</v>
      </c>
      <c r="AU5398" t="s">
        <v>25233</v>
      </c>
      <c r="AW5398" t="s">
        <v>11447</v>
      </c>
    </row>
    <row r="5399" spans="1:49">
      <c r="A5399" s="1">
        <f>HYPERLINK("https://lsnyc.legalserver.org/matter/dynamic-profile/view/1896080","19-1896080")</f>
        <v>0</v>
      </c>
      <c r="B5399" t="s">
        <v>121</v>
      </c>
      <c r="C5399" t="s">
        <v>432</v>
      </c>
      <c r="E5399" t="s">
        <v>1487</v>
      </c>
      <c r="F5399" t="s">
        <v>3686</v>
      </c>
      <c r="G5399" t="s">
        <v>10411</v>
      </c>
      <c r="H5399" t="s">
        <v>11365</v>
      </c>
      <c r="I5399" t="s">
        <v>11386</v>
      </c>
      <c r="J5399">
        <v>10026</v>
      </c>
      <c r="K5399" t="s">
        <v>11447</v>
      </c>
      <c r="N5399" t="s">
        <v>14778</v>
      </c>
      <c r="P5399" t="s">
        <v>14813</v>
      </c>
      <c r="S5399" t="s">
        <v>14827</v>
      </c>
      <c r="V5399">
        <v>1279</v>
      </c>
      <c r="W5399" t="s">
        <v>14860</v>
      </c>
      <c r="X5399" t="s">
        <v>14755</v>
      </c>
      <c r="Z5399" t="s">
        <v>15263</v>
      </c>
      <c r="AB5399" t="s">
        <v>24547</v>
      </c>
      <c r="AC5399">
        <v>120</v>
      </c>
      <c r="AD5399" t="s">
        <v>11479</v>
      </c>
      <c r="AF5399">
        <v>4</v>
      </c>
      <c r="AG5399">
        <v>1</v>
      </c>
      <c r="AH5399">
        <v>0</v>
      </c>
      <c r="AI5399">
        <v>137.87</v>
      </c>
      <c r="AL5399" t="s">
        <v>5011</v>
      </c>
      <c r="AM5399">
        <v>17220</v>
      </c>
      <c r="AS5399">
        <v>0.4</v>
      </c>
      <c r="AT5399" t="s">
        <v>432</v>
      </c>
      <c r="AU5399" t="s">
        <v>25229</v>
      </c>
      <c r="AW5399" t="s">
        <v>11447</v>
      </c>
    </row>
    <row r="5400" spans="1:49">
      <c r="A5400" s="1">
        <f>HYPERLINK("https://lsnyc.legalserver.org/matter/dynamic-profile/view/1873196","18-1873196")</f>
        <v>0</v>
      </c>
      <c r="B5400" t="s">
        <v>242</v>
      </c>
      <c r="C5400" t="s">
        <v>1000</v>
      </c>
      <c r="E5400" t="s">
        <v>3532</v>
      </c>
      <c r="F5400" t="s">
        <v>5418</v>
      </c>
      <c r="G5400" t="s">
        <v>10412</v>
      </c>
      <c r="H5400" t="s">
        <v>11366</v>
      </c>
      <c r="I5400" t="s">
        <v>11386</v>
      </c>
      <c r="J5400">
        <v>10032</v>
      </c>
      <c r="K5400" t="s">
        <v>11447</v>
      </c>
      <c r="N5400" t="s">
        <v>14778</v>
      </c>
      <c r="P5400" t="s">
        <v>14813</v>
      </c>
      <c r="S5400" t="s">
        <v>14827</v>
      </c>
      <c r="V5400">
        <v>1550</v>
      </c>
      <c r="W5400" t="s">
        <v>14860</v>
      </c>
      <c r="X5400" t="s">
        <v>14868</v>
      </c>
      <c r="Z5400" t="s">
        <v>18225</v>
      </c>
      <c r="AB5400" t="s">
        <v>24548</v>
      </c>
      <c r="AC5400">
        <v>20</v>
      </c>
      <c r="AF5400">
        <v>3</v>
      </c>
      <c r="AG5400">
        <v>1</v>
      </c>
      <c r="AH5400">
        <v>0</v>
      </c>
      <c r="AI5400">
        <v>138.39</v>
      </c>
      <c r="AL5400" t="s">
        <v>5011</v>
      </c>
      <c r="AM5400">
        <v>16800</v>
      </c>
      <c r="AS5400">
        <v>2.8</v>
      </c>
      <c r="AT5400" t="s">
        <v>998</v>
      </c>
      <c r="AU5400" t="s">
        <v>25238</v>
      </c>
      <c r="AW5400" t="s">
        <v>11447</v>
      </c>
    </row>
    <row r="5401" spans="1:49">
      <c r="A5401" s="1">
        <f>HYPERLINK("https://lsnyc.legalserver.org/matter/dynamic-profile/view/1898428","19-1898428")</f>
        <v>0</v>
      </c>
      <c r="B5401" t="s">
        <v>156</v>
      </c>
      <c r="C5401" t="s">
        <v>360</v>
      </c>
      <c r="E5401" t="s">
        <v>2547</v>
      </c>
      <c r="F5401" t="s">
        <v>4299</v>
      </c>
      <c r="G5401" t="s">
        <v>10413</v>
      </c>
      <c r="H5401" t="s">
        <v>10498</v>
      </c>
      <c r="I5401" t="s">
        <v>11386</v>
      </c>
      <c r="J5401">
        <v>10026</v>
      </c>
      <c r="K5401" t="s">
        <v>11447</v>
      </c>
      <c r="M5401" t="s">
        <v>11601</v>
      </c>
      <c r="N5401" t="s">
        <v>14778</v>
      </c>
      <c r="P5401" t="s">
        <v>14813</v>
      </c>
      <c r="Q5401" t="s">
        <v>11448</v>
      </c>
      <c r="S5401" t="s">
        <v>14827</v>
      </c>
      <c r="V5401">
        <v>665</v>
      </c>
      <c r="W5401" t="s">
        <v>14860</v>
      </c>
      <c r="Y5401" t="s">
        <v>14883</v>
      </c>
      <c r="Z5401" t="s">
        <v>17787</v>
      </c>
      <c r="AB5401" t="s">
        <v>24549</v>
      </c>
      <c r="AC5401">
        <v>60</v>
      </c>
      <c r="AD5401" t="s">
        <v>24595</v>
      </c>
      <c r="AE5401" t="s">
        <v>24613</v>
      </c>
      <c r="AF5401">
        <v>27</v>
      </c>
      <c r="AG5401">
        <v>1</v>
      </c>
      <c r="AH5401">
        <v>0</v>
      </c>
      <c r="AI5401">
        <v>144.12</v>
      </c>
      <c r="AL5401" t="s">
        <v>5011</v>
      </c>
      <c r="AM5401">
        <v>18000</v>
      </c>
      <c r="AS5401">
        <v>5.06</v>
      </c>
      <c r="AT5401" t="s">
        <v>486</v>
      </c>
      <c r="AU5401" t="s">
        <v>25236</v>
      </c>
      <c r="AW5401" t="s">
        <v>11447</v>
      </c>
    </row>
    <row r="5402" spans="1:49">
      <c r="A5402" s="1">
        <f>HYPERLINK("https://lsnyc.legalserver.org/matter/dynamic-profile/view/1908144","19-1908144")</f>
        <v>0</v>
      </c>
      <c r="B5402" t="s">
        <v>252</v>
      </c>
      <c r="C5402" t="s">
        <v>372</v>
      </c>
      <c r="E5402" t="s">
        <v>3533</v>
      </c>
      <c r="F5402" t="s">
        <v>6251</v>
      </c>
      <c r="G5402" t="s">
        <v>10414</v>
      </c>
      <c r="H5402" t="s">
        <v>10581</v>
      </c>
      <c r="I5402" t="s">
        <v>11386</v>
      </c>
      <c r="J5402">
        <v>10031</v>
      </c>
      <c r="K5402" t="s">
        <v>11447</v>
      </c>
      <c r="L5402" t="s">
        <v>14725</v>
      </c>
      <c r="M5402" t="s">
        <v>14744</v>
      </c>
      <c r="N5402" t="s">
        <v>14781</v>
      </c>
      <c r="P5402" t="s">
        <v>14813</v>
      </c>
      <c r="Q5402" t="s">
        <v>11448</v>
      </c>
      <c r="S5402" t="s">
        <v>14827</v>
      </c>
      <c r="V5402">
        <v>450</v>
      </c>
      <c r="W5402" t="s">
        <v>14860</v>
      </c>
      <c r="Z5402" t="s">
        <v>19290</v>
      </c>
      <c r="AB5402" t="s">
        <v>24550</v>
      </c>
      <c r="AC5402">
        <v>0</v>
      </c>
      <c r="AF5402">
        <v>22</v>
      </c>
      <c r="AG5402">
        <v>1</v>
      </c>
      <c r="AH5402">
        <v>2</v>
      </c>
      <c r="AI5402">
        <v>170.65</v>
      </c>
      <c r="AL5402" t="s">
        <v>5011</v>
      </c>
      <c r="AM5402">
        <v>36400</v>
      </c>
      <c r="AS5402">
        <v>13.15</v>
      </c>
      <c r="AT5402" t="s">
        <v>506</v>
      </c>
      <c r="AU5402" t="s">
        <v>25278</v>
      </c>
      <c r="AW5402" t="s">
        <v>11447</v>
      </c>
    </row>
    <row r="5403" spans="1:49">
      <c r="A5403" s="1">
        <f>HYPERLINK("https://lsnyc.legalserver.org/matter/dynamic-profile/view/1889373","19-1889373")</f>
        <v>0</v>
      </c>
      <c r="B5403" t="s">
        <v>121</v>
      </c>
      <c r="C5403" t="s">
        <v>513</v>
      </c>
      <c r="E5403" t="s">
        <v>1241</v>
      </c>
      <c r="F5403" t="s">
        <v>6252</v>
      </c>
      <c r="G5403" t="s">
        <v>10415</v>
      </c>
      <c r="H5403" t="s">
        <v>10954</v>
      </c>
      <c r="I5403" t="s">
        <v>11386</v>
      </c>
      <c r="J5403">
        <v>10016</v>
      </c>
      <c r="K5403" t="s">
        <v>11447</v>
      </c>
      <c r="L5403" t="s">
        <v>14726</v>
      </c>
      <c r="M5403" t="s">
        <v>14744</v>
      </c>
      <c r="P5403" t="s">
        <v>14813</v>
      </c>
      <c r="Q5403" t="s">
        <v>11448</v>
      </c>
      <c r="S5403" t="s">
        <v>14827</v>
      </c>
      <c r="V5403">
        <v>1376</v>
      </c>
      <c r="W5403" t="s">
        <v>14860</v>
      </c>
      <c r="X5403" t="s">
        <v>14755</v>
      </c>
      <c r="Z5403" t="s">
        <v>15814</v>
      </c>
      <c r="AB5403" t="s">
        <v>24551</v>
      </c>
      <c r="AC5403">
        <v>70</v>
      </c>
      <c r="AD5403" t="s">
        <v>11479</v>
      </c>
      <c r="AE5403" t="s">
        <v>24614</v>
      </c>
      <c r="AF5403">
        <v>3</v>
      </c>
      <c r="AG5403">
        <v>1</v>
      </c>
      <c r="AH5403">
        <v>0</v>
      </c>
      <c r="AI5403">
        <v>175.15</v>
      </c>
      <c r="AL5403" t="s">
        <v>5011</v>
      </c>
      <c r="AM5403">
        <v>21876</v>
      </c>
      <c r="AS5403">
        <v>0.7</v>
      </c>
      <c r="AT5403" t="s">
        <v>513</v>
      </c>
      <c r="AU5403" t="s">
        <v>25244</v>
      </c>
      <c r="AW5403" t="s">
        <v>11447</v>
      </c>
    </row>
    <row r="5404" spans="1:49">
      <c r="A5404" s="1">
        <f>HYPERLINK("https://lsnyc.legalserver.org/matter/dynamic-profile/view/1897602","19-1897602")</f>
        <v>0</v>
      </c>
      <c r="B5404" t="s">
        <v>121</v>
      </c>
      <c r="C5404" t="s">
        <v>658</v>
      </c>
      <c r="E5404" t="s">
        <v>1462</v>
      </c>
      <c r="F5404" t="s">
        <v>3628</v>
      </c>
      <c r="G5404" t="s">
        <v>6993</v>
      </c>
      <c r="H5404" t="s">
        <v>11367</v>
      </c>
      <c r="I5404" t="s">
        <v>11386</v>
      </c>
      <c r="J5404">
        <v>10009</v>
      </c>
      <c r="K5404" t="s">
        <v>11447</v>
      </c>
      <c r="P5404" t="s">
        <v>14813</v>
      </c>
      <c r="S5404" t="s">
        <v>14827</v>
      </c>
      <c r="V5404">
        <v>750</v>
      </c>
      <c r="W5404" t="s">
        <v>14860</v>
      </c>
      <c r="X5404" t="s">
        <v>14867</v>
      </c>
      <c r="Z5404" t="s">
        <v>19291</v>
      </c>
      <c r="AB5404" t="s">
        <v>24552</v>
      </c>
      <c r="AC5404">
        <v>0</v>
      </c>
      <c r="AE5404" t="s">
        <v>14755</v>
      </c>
      <c r="AF5404">
        <v>23</v>
      </c>
      <c r="AG5404">
        <v>1</v>
      </c>
      <c r="AH5404">
        <v>0</v>
      </c>
      <c r="AI5404">
        <v>185.75</v>
      </c>
      <c r="AL5404" t="s">
        <v>5011</v>
      </c>
      <c r="AM5404">
        <v>23200</v>
      </c>
      <c r="AS5404">
        <v>1</v>
      </c>
      <c r="AT5404" t="s">
        <v>658</v>
      </c>
      <c r="AU5404" t="s">
        <v>25226</v>
      </c>
      <c r="AW5404" t="s">
        <v>11447</v>
      </c>
    </row>
    <row r="5405" spans="1:49">
      <c r="A5405" s="1">
        <f>HYPERLINK("https://lsnyc.legalserver.org/matter/dynamic-profile/view/1895698","19-1895698")</f>
        <v>0</v>
      </c>
      <c r="B5405" t="s">
        <v>121</v>
      </c>
      <c r="C5405" t="s">
        <v>859</v>
      </c>
      <c r="E5405" t="s">
        <v>1825</v>
      </c>
      <c r="F5405" t="s">
        <v>1254</v>
      </c>
      <c r="G5405" t="s">
        <v>10416</v>
      </c>
      <c r="H5405" t="s">
        <v>10589</v>
      </c>
      <c r="I5405" t="s">
        <v>11386</v>
      </c>
      <c r="J5405">
        <v>10010</v>
      </c>
      <c r="K5405" t="s">
        <v>11447</v>
      </c>
      <c r="P5405" t="s">
        <v>14813</v>
      </c>
      <c r="S5405" t="s">
        <v>14827</v>
      </c>
      <c r="V5405">
        <v>537.0700000000001</v>
      </c>
      <c r="W5405" t="s">
        <v>14860</v>
      </c>
      <c r="X5405" t="s">
        <v>14866</v>
      </c>
      <c r="Z5405" t="s">
        <v>19292</v>
      </c>
      <c r="AB5405" t="s">
        <v>24553</v>
      </c>
      <c r="AC5405">
        <v>9</v>
      </c>
      <c r="AD5405" t="s">
        <v>24599</v>
      </c>
      <c r="AE5405" t="s">
        <v>11459</v>
      </c>
      <c r="AF5405">
        <v>51</v>
      </c>
      <c r="AG5405">
        <v>2</v>
      </c>
      <c r="AH5405">
        <v>0</v>
      </c>
      <c r="AI5405">
        <v>254.19</v>
      </c>
      <c r="AL5405" t="s">
        <v>5011</v>
      </c>
      <c r="AM5405">
        <v>42984</v>
      </c>
      <c r="AS5405">
        <v>1</v>
      </c>
      <c r="AT5405" t="s">
        <v>859</v>
      </c>
      <c r="AU5405" t="s">
        <v>25233</v>
      </c>
      <c r="AW5405" t="s">
        <v>11447</v>
      </c>
    </row>
    <row r="5406" spans="1:49">
      <c r="A5406" s="1">
        <f>HYPERLINK("https://lsnyc.legalserver.org/matter/dynamic-profile/view/1897952","19-1897952")</f>
        <v>0</v>
      </c>
      <c r="B5406" t="s">
        <v>121</v>
      </c>
      <c r="C5406" t="s">
        <v>503</v>
      </c>
      <c r="E5406" t="s">
        <v>1165</v>
      </c>
      <c r="F5406" t="s">
        <v>6253</v>
      </c>
      <c r="G5406" t="s">
        <v>10417</v>
      </c>
      <c r="H5406">
        <v>932</v>
      </c>
      <c r="I5406" t="s">
        <v>11386</v>
      </c>
      <c r="J5406">
        <v>10016</v>
      </c>
      <c r="K5406" t="s">
        <v>11447</v>
      </c>
      <c r="L5406" t="s">
        <v>14727</v>
      </c>
      <c r="M5406" t="s">
        <v>14744</v>
      </c>
      <c r="P5406" t="s">
        <v>14813</v>
      </c>
      <c r="S5406" t="s">
        <v>14827</v>
      </c>
      <c r="V5406">
        <v>883</v>
      </c>
      <c r="W5406" t="s">
        <v>14860</v>
      </c>
      <c r="X5406" t="s">
        <v>14755</v>
      </c>
      <c r="Z5406" t="s">
        <v>15077</v>
      </c>
      <c r="AB5406" t="s">
        <v>24554</v>
      </c>
      <c r="AC5406">
        <v>409</v>
      </c>
      <c r="AE5406" t="s">
        <v>24610</v>
      </c>
      <c r="AF5406">
        <v>11</v>
      </c>
      <c r="AG5406">
        <v>1</v>
      </c>
      <c r="AH5406">
        <v>0</v>
      </c>
      <c r="AI5406">
        <v>290.63</v>
      </c>
      <c r="AL5406" t="s">
        <v>5011</v>
      </c>
      <c r="AM5406">
        <v>36300</v>
      </c>
      <c r="AS5406">
        <v>0.6</v>
      </c>
      <c r="AT5406" t="s">
        <v>503</v>
      </c>
      <c r="AU5406" t="s">
        <v>25225</v>
      </c>
      <c r="AW5406" t="s">
        <v>11447</v>
      </c>
    </row>
    <row r="5407" spans="1:49">
      <c r="A5407" s="1">
        <f>HYPERLINK("https://lsnyc.legalserver.org/matter/dynamic-profile/view/1902557","19-1902557")</f>
        <v>0</v>
      </c>
      <c r="B5407" t="s">
        <v>121</v>
      </c>
      <c r="C5407" t="s">
        <v>517</v>
      </c>
      <c r="E5407" t="s">
        <v>2514</v>
      </c>
      <c r="F5407" t="s">
        <v>6254</v>
      </c>
      <c r="G5407" t="s">
        <v>7447</v>
      </c>
      <c r="H5407" t="s">
        <v>10522</v>
      </c>
      <c r="I5407" t="s">
        <v>11386</v>
      </c>
      <c r="J5407">
        <v>10037</v>
      </c>
      <c r="K5407" t="s">
        <v>11447</v>
      </c>
      <c r="N5407" t="s">
        <v>14782</v>
      </c>
      <c r="P5407" t="s">
        <v>14813</v>
      </c>
      <c r="S5407" t="s">
        <v>14827</v>
      </c>
      <c r="V5407">
        <v>2000</v>
      </c>
      <c r="W5407" t="s">
        <v>14860</v>
      </c>
      <c r="Z5407" t="s">
        <v>19293</v>
      </c>
      <c r="AB5407" t="s">
        <v>24555</v>
      </c>
      <c r="AC5407">
        <v>120</v>
      </c>
      <c r="AF5407">
        <v>3</v>
      </c>
      <c r="AG5407">
        <v>1</v>
      </c>
      <c r="AH5407">
        <v>1</v>
      </c>
      <c r="AI5407">
        <v>359.55</v>
      </c>
      <c r="AL5407" t="s">
        <v>5011</v>
      </c>
      <c r="AM5407">
        <v>60800</v>
      </c>
      <c r="AS5407">
        <v>1</v>
      </c>
      <c r="AT5407" t="s">
        <v>517</v>
      </c>
      <c r="AU5407" t="s">
        <v>25227</v>
      </c>
      <c r="AW5407" t="s">
        <v>11447</v>
      </c>
    </row>
    <row r="5408" spans="1:49">
      <c r="A5408" s="1">
        <f>HYPERLINK("https://lsnyc.legalserver.org/matter/dynamic-profile/view/1869432","18-1869432")</f>
        <v>0</v>
      </c>
      <c r="B5408" t="s">
        <v>64</v>
      </c>
      <c r="C5408" t="s">
        <v>1001</v>
      </c>
      <c r="E5408" t="s">
        <v>1725</v>
      </c>
      <c r="F5408" t="s">
        <v>6255</v>
      </c>
      <c r="G5408" t="s">
        <v>10418</v>
      </c>
      <c r="I5408" t="s">
        <v>11386</v>
      </c>
      <c r="J5408">
        <v>10031</v>
      </c>
      <c r="K5408" t="s">
        <v>11446</v>
      </c>
      <c r="P5408" t="s">
        <v>14813</v>
      </c>
      <c r="S5408" t="s">
        <v>14827</v>
      </c>
      <c r="V5408">
        <v>1522</v>
      </c>
      <c r="W5408" t="s">
        <v>14860</v>
      </c>
      <c r="Z5408" t="s">
        <v>17575</v>
      </c>
      <c r="AB5408" t="s">
        <v>24556</v>
      </c>
      <c r="AC5408">
        <v>0</v>
      </c>
      <c r="AF5408">
        <v>19</v>
      </c>
      <c r="AG5408">
        <v>2</v>
      </c>
      <c r="AH5408">
        <v>0</v>
      </c>
      <c r="AI5408">
        <v>486.03</v>
      </c>
      <c r="AL5408" t="s">
        <v>5011</v>
      </c>
      <c r="AM5408">
        <v>80000</v>
      </c>
      <c r="AS5408">
        <v>1.8</v>
      </c>
      <c r="AT5408" t="s">
        <v>1000</v>
      </c>
      <c r="AU5408" t="s">
        <v>25330</v>
      </c>
      <c r="AW5408" t="s">
        <v>11447</v>
      </c>
    </row>
    <row r="5409" spans="1:49">
      <c r="A5409" s="1">
        <f>HYPERLINK("https://lsnyc.legalserver.org/matter/dynamic-profile/view/1884358","18-1884358")</f>
        <v>0</v>
      </c>
      <c r="B5409" t="s">
        <v>58</v>
      </c>
      <c r="C5409" t="s">
        <v>749</v>
      </c>
      <c r="D5409" t="s">
        <v>496</v>
      </c>
      <c r="E5409" t="s">
        <v>1031</v>
      </c>
      <c r="F5409" t="s">
        <v>5096</v>
      </c>
      <c r="G5409" t="s">
        <v>8343</v>
      </c>
      <c r="H5409" t="s">
        <v>11368</v>
      </c>
      <c r="I5409" t="s">
        <v>11393</v>
      </c>
      <c r="J5409">
        <v>11374</v>
      </c>
      <c r="K5409" t="s">
        <v>11447</v>
      </c>
      <c r="O5409" t="s">
        <v>14789</v>
      </c>
      <c r="P5409" t="s">
        <v>14814</v>
      </c>
      <c r="S5409" t="s">
        <v>14829</v>
      </c>
      <c r="V5409">
        <v>0</v>
      </c>
      <c r="W5409" t="s">
        <v>14861</v>
      </c>
      <c r="Y5409" t="s">
        <v>14885</v>
      </c>
      <c r="Z5409" t="s">
        <v>17307</v>
      </c>
      <c r="AB5409" t="s">
        <v>22343</v>
      </c>
      <c r="AC5409">
        <v>0</v>
      </c>
      <c r="AF5409">
        <v>0</v>
      </c>
      <c r="AG5409">
        <v>2</v>
      </c>
      <c r="AH5409">
        <v>0</v>
      </c>
      <c r="AI5409">
        <v>65.61</v>
      </c>
      <c r="AL5409" t="s">
        <v>5011</v>
      </c>
      <c r="AM5409">
        <v>10800</v>
      </c>
      <c r="AS5409">
        <v>9.25</v>
      </c>
      <c r="AT5409" t="s">
        <v>363</v>
      </c>
      <c r="AU5409" t="s">
        <v>25234</v>
      </c>
      <c r="AW5409" t="s">
        <v>11447</v>
      </c>
    </row>
    <row r="5410" spans="1:49">
      <c r="A5410" s="1">
        <f>HYPERLINK("https://lsnyc.legalserver.org/matter/dynamic-profile/view/0826509","17-0826509")</f>
        <v>0</v>
      </c>
      <c r="B5410" t="s">
        <v>62</v>
      </c>
      <c r="C5410" t="s">
        <v>561</v>
      </c>
      <c r="D5410" t="s">
        <v>380</v>
      </c>
      <c r="E5410" t="s">
        <v>1789</v>
      </c>
      <c r="F5410" t="s">
        <v>6256</v>
      </c>
      <c r="G5410" t="s">
        <v>10419</v>
      </c>
      <c r="H5410" t="s">
        <v>10799</v>
      </c>
      <c r="I5410" t="s">
        <v>11389</v>
      </c>
      <c r="J5410">
        <v>11355</v>
      </c>
      <c r="K5410" t="s">
        <v>11447</v>
      </c>
      <c r="O5410" t="s">
        <v>14791</v>
      </c>
      <c r="P5410" t="s">
        <v>14814</v>
      </c>
      <c r="R5410" t="s">
        <v>14826</v>
      </c>
      <c r="S5410" t="s">
        <v>14831</v>
      </c>
      <c r="V5410">
        <v>0</v>
      </c>
      <c r="W5410" t="s">
        <v>14861</v>
      </c>
      <c r="Y5410" t="s">
        <v>14884</v>
      </c>
      <c r="Z5410" t="s">
        <v>19294</v>
      </c>
      <c r="AB5410" t="s">
        <v>24557</v>
      </c>
      <c r="AC5410">
        <v>0</v>
      </c>
      <c r="AF5410">
        <v>0</v>
      </c>
      <c r="AG5410">
        <v>1</v>
      </c>
      <c r="AH5410">
        <v>0</v>
      </c>
      <c r="AI5410">
        <v>65.27</v>
      </c>
      <c r="AL5410" t="s">
        <v>5011</v>
      </c>
      <c r="AM5410">
        <v>7872</v>
      </c>
      <c r="AS5410">
        <v>46.2</v>
      </c>
      <c r="AT5410" t="s">
        <v>338</v>
      </c>
      <c r="AU5410" t="s">
        <v>62</v>
      </c>
      <c r="AW5410" t="s">
        <v>11447</v>
      </c>
    </row>
    <row r="5411" spans="1:49">
      <c r="A5411" s="1">
        <f>HYPERLINK("https://lsnyc.legalserver.org/matter/dynamic-profile/view/1907228","19-1907228")</f>
        <v>0</v>
      </c>
      <c r="B5411" t="s">
        <v>173</v>
      </c>
      <c r="C5411" t="s">
        <v>379</v>
      </c>
      <c r="D5411" t="s">
        <v>526</v>
      </c>
      <c r="E5411" t="s">
        <v>1054</v>
      </c>
      <c r="F5411" t="s">
        <v>3623</v>
      </c>
      <c r="G5411" t="s">
        <v>10420</v>
      </c>
      <c r="H5411" t="s">
        <v>11369</v>
      </c>
      <c r="I5411" t="s">
        <v>11386</v>
      </c>
      <c r="J5411">
        <v>10019</v>
      </c>
      <c r="K5411" t="s">
        <v>11447</v>
      </c>
      <c r="O5411" t="s">
        <v>14786</v>
      </c>
      <c r="P5411" t="s">
        <v>14814</v>
      </c>
      <c r="S5411" t="s">
        <v>14827</v>
      </c>
      <c r="V5411">
        <v>0</v>
      </c>
      <c r="W5411" t="s">
        <v>14860</v>
      </c>
      <c r="Y5411" t="s">
        <v>14883</v>
      </c>
      <c r="Z5411" t="s">
        <v>16189</v>
      </c>
      <c r="AB5411" t="s">
        <v>24558</v>
      </c>
      <c r="AC5411">
        <v>0</v>
      </c>
      <c r="AF5411">
        <v>0</v>
      </c>
      <c r="AG5411">
        <v>1</v>
      </c>
      <c r="AH5411">
        <v>0</v>
      </c>
      <c r="AI5411">
        <v>197.76</v>
      </c>
      <c r="AM5411">
        <v>24700</v>
      </c>
      <c r="AS5411">
        <v>1.7</v>
      </c>
      <c r="AT5411" t="s">
        <v>410</v>
      </c>
      <c r="AU5411" t="s">
        <v>258</v>
      </c>
      <c r="AW5411" t="s">
        <v>11447</v>
      </c>
    </row>
    <row r="5412" spans="1:49">
      <c r="A5412" s="1">
        <f>HYPERLINK("https://lsnyc.legalserver.org/matter/dynamic-profile/view/1912224","19-1912224")</f>
        <v>0</v>
      </c>
      <c r="B5412" t="s">
        <v>175</v>
      </c>
      <c r="C5412" t="s">
        <v>559</v>
      </c>
      <c r="D5412" t="s">
        <v>559</v>
      </c>
      <c r="E5412" t="s">
        <v>1372</v>
      </c>
      <c r="F5412" t="s">
        <v>4046</v>
      </c>
      <c r="G5412" t="s">
        <v>10421</v>
      </c>
      <c r="H5412" t="s">
        <v>11181</v>
      </c>
      <c r="I5412" t="s">
        <v>11386</v>
      </c>
      <c r="J5412">
        <v>10002</v>
      </c>
      <c r="K5412" t="s">
        <v>11446</v>
      </c>
      <c r="N5412" t="s">
        <v>14778</v>
      </c>
      <c r="O5412" t="s">
        <v>14786</v>
      </c>
      <c r="P5412" t="s">
        <v>14814</v>
      </c>
      <c r="Q5412" t="s">
        <v>11448</v>
      </c>
      <c r="S5412" t="s">
        <v>14827</v>
      </c>
      <c r="U5412" t="s">
        <v>559</v>
      </c>
      <c r="V5412">
        <v>250.6</v>
      </c>
      <c r="W5412" t="s">
        <v>14860</v>
      </c>
      <c r="X5412" t="s">
        <v>14876</v>
      </c>
      <c r="Y5412" t="s">
        <v>14883</v>
      </c>
      <c r="Z5412" t="s">
        <v>19295</v>
      </c>
      <c r="AB5412" t="s">
        <v>24559</v>
      </c>
      <c r="AC5412">
        <v>0</v>
      </c>
      <c r="AD5412" t="s">
        <v>24595</v>
      </c>
      <c r="AE5412" t="s">
        <v>11459</v>
      </c>
      <c r="AF5412">
        <v>38</v>
      </c>
      <c r="AG5412">
        <v>2</v>
      </c>
      <c r="AH5412">
        <v>0</v>
      </c>
      <c r="AI5412">
        <v>56.56</v>
      </c>
      <c r="AL5412" t="s">
        <v>5011</v>
      </c>
      <c r="AM5412">
        <v>9564</v>
      </c>
      <c r="AS5412">
        <v>1</v>
      </c>
      <c r="AT5412" t="s">
        <v>551</v>
      </c>
      <c r="AU5412" t="s">
        <v>137</v>
      </c>
      <c r="AV5412" t="s">
        <v>25335</v>
      </c>
      <c r="AW5412" t="s">
        <v>11447</v>
      </c>
    </row>
    <row r="5413" spans="1:49">
      <c r="A5413" s="1">
        <f>HYPERLINK("https://lsnyc.legalserver.org/matter/dynamic-profile/view/1895694","19-1895694")</f>
        <v>0</v>
      </c>
      <c r="B5413" t="s">
        <v>327</v>
      </c>
      <c r="C5413" t="s">
        <v>660</v>
      </c>
      <c r="D5413" t="s">
        <v>477</v>
      </c>
      <c r="E5413" t="s">
        <v>1324</v>
      </c>
      <c r="F5413" t="s">
        <v>6257</v>
      </c>
      <c r="G5413" t="s">
        <v>10422</v>
      </c>
      <c r="I5413" t="s">
        <v>11383</v>
      </c>
      <c r="J5413">
        <v>10461</v>
      </c>
      <c r="K5413" t="s">
        <v>11447</v>
      </c>
      <c r="O5413" t="s">
        <v>14790</v>
      </c>
      <c r="P5413" t="s">
        <v>14814</v>
      </c>
      <c r="S5413" t="s">
        <v>14829</v>
      </c>
      <c r="V5413">
        <v>0</v>
      </c>
      <c r="W5413" t="s">
        <v>14858</v>
      </c>
      <c r="Y5413" t="s">
        <v>14899</v>
      </c>
      <c r="Z5413" t="s">
        <v>19296</v>
      </c>
      <c r="AA5413" t="s">
        <v>20094</v>
      </c>
      <c r="AB5413" t="s">
        <v>24560</v>
      </c>
      <c r="AC5413">
        <v>0</v>
      </c>
      <c r="AF5413">
        <v>0</v>
      </c>
      <c r="AG5413">
        <v>1</v>
      </c>
      <c r="AH5413">
        <v>1</v>
      </c>
      <c r="AI5413">
        <v>0</v>
      </c>
      <c r="AL5413" t="s">
        <v>5011</v>
      </c>
      <c r="AM5413">
        <v>0</v>
      </c>
      <c r="AS5413">
        <v>28.45</v>
      </c>
      <c r="AT5413" t="s">
        <v>489</v>
      </c>
      <c r="AU5413" t="s">
        <v>327</v>
      </c>
      <c r="AW5413" t="s">
        <v>11447</v>
      </c>
    </row>
    <row r="5414" spans="1:49">
      <c r="A5414" s="1">
        <f>HYPERLINK("https://lsnyc.legalserver.org/matter/dynamic-profile/view/1912201","19-1912201")</f>
        <v>0</v>
      </c>
      <c r="B5414" t="s">
        <v>175</v>
      </c>
      <c r="C5414" t="s">
        <v>559</v>
      </c>
      <c r="D5414" t="s">
        <v>506</v>
      </c>
      <c r="E5414" t="s">
        <v>1325</v>
      </c>
      <c r="F5414" t="s">
        <v>6258</v>
      </c>
      <c r="G5414" t="s">
        <v>10423</v>
      </c>
      <c r="H5414" t="s">
        <v>10617</v>
      </c>
      <c r="I5414" t="s">
        <v>11386</v>
      </c>
      <c r="J5414">
        <v>10009</v>
      </c>
      <c r="K5414" t="s">
        <v>11446</v>
      </c>
      <c r="N5414" t="s">
        <v>14778</v>
      </c>
      <c r="O5414" t="s">
        <v>14786</v>
      </c>
      <c r="P5414" t="s">
        <v>14814</v>
      </c>
      <c r="Q5414" t="s">
        <v>11448</v>
      </c>
      <c r="S5414" t="s">
        <v>14827</v>
      </c>
      <c r="U5414" t="s">
        <v>559</v>
      </c>
      <c r="V5414">
        <v>0</v>
      </c>
      <c r="W5414" t="s">
        <v>14860</v>
      </c>
      <c r="X5414" t="s">
        <v>14876</v>
      </c>
      <c r="Y5414" t="s">
        <v>14883</v>
      </c>
      <c r="AB5414" t="s">
        <v>24561</v>
      </c>
      <c r="AC5414">
        <v>0</v>
      </c>
      <c r="AD5414" t="s">
        <v>24595</v>
      </c>
      <c r="AE5414" t="s">
        <v>11459</v>
      </c>
      <c r="AF5414">
        <v>21</v>
      </c>
      <c r="AG5414">
        <v>1</v>
      </c>
      <c r="AH5414">
        <v>0</v>
      </c>
      <c r="AI5414">
        <v>0</v>
      </c>
      <c r="AL5414" t="s">
        <v>5011</v>
      </c>
      <c r="AM5414">
        <v>0</v>
      </c>
      <c r="AS5414">
        <v>1.5</v>
      </c>
      <c r="AT5414" t="s">
        <v>551</v>
      </c>
      <c r="AU5414" t="s">
        <v>137</v>
      </c>
      <c r="AV5414" t="s">
        <v>25335</v>
      </c>
      <c r="AW5414" t="s">
        <v>11447</v>
      </c>
    </row>
    <row r="5415" spans="1:49">
      <c r="A5415" s="1">
        <f>HYPERLINK("https://lsnyc.legalserver.org/matter/dynamic-profile/view/1912244","19-1912244")</f>
        <v>0</v>
      </c>
      <c r="B5415" t="s">
        <v>175</v>
      </c>
      <c r="C5415" t="s">
        <v>559</v>
      </c>
      <c r="D5415" t="s">
        <v>506</v>
      </c>
      <c r="E5415" t="s">
        <v>2433</v>
      </c>
      <c r="F5415" t="s">
        <v>5091</v>
      </c>
      <c r="G5415" t="s">
        <v>10421</v>
      </c>
      <c r="H5415" t="s">
        <v>10845</v>
      </c>
      <c r="I5415" t="s">
        <v>11386</v>
      </c>
      <c r="J5415">
        <v>10002</v>
      </c>
      <c r="K5415" t="s">
        <v>11446</v>
      </c>
      <c r="N5415" t="s">
        <v>14778</v>
      </c>
      <c r="O5415" t="s">
        <v>14786</v>
      </c>
      <c r="P5415" t="s">
        <v>14814</v>
      </c>
      <c r="Q5415" t="s">
        <v>11448</v>
      </c>
      <c r="S5415" t="s">
        <v>14827</v>
      </c>
      <c r="U5415" t="s">
        <v>559</v>
      </c>
      <c r="V5415">
        <v>0</v>
      </c>
      <c r="W5415" t="s">
        <v>14860</v>
      </c>
      <c r="X5415" t="s">
        <v>14876</v>
      </c>
      <c r="Y5415" t="s">
        <v>14883</v>
      </c>
      <c r="Z5415" t="s">
        <v>19297</v>
      </c>
      <c r="AB5415" t="s">
        <v>24562</v>
      </c>
      <c r="AC5415">
        <v>0</v>
      </c>
      <c r="AD5415" t="s">
        <v>24595</v>
      </c>
      <c r="AE5415" t="s">
        <v>24610</v>
      </c>
      <c r="AF5415">
        <v>39</v>
      </c>
      <c r="AG5415">
        <v>2</v>
      </c>
      <c r="AH5415">
        <v>0</v>
      </c>
      <c r="AI5415">
        <v>56.56</v>
      </c>
      <c r="AL5415" t="s">
        <v>24632</v>
      </c>
      <c r="AM5415">
        <v>9564</v>
      </c>
      <c r="AS5415">
        <v>1</v>
      </c>
      <c r="AT5415" t="s">
        <v>551</v>
      </c>
      <c r="AU5415" t="s">
        <v>137</v>
      </c>
      <c r="AV5415" t="s">
        <v>25335</v>
      </c>
      <c r="AW5415" t="s">
        <v>11447</v>
      </c>
    </row>
    <row r="5416" spans="1:49">
      <c r="A5416" s="1">
        <f>HYPERLINK("https://lsnyc.legalserver.org/matter/dynamic-profile/view/1902432","19-1902432")</f>
        <v>0</v>
      </c>
      <c r="B5416" t="s">
        <v>64</v>
      </c>
      <c r="C5416" t="s">
        <v>538</v>
      </c>
      <c r="D5416" t="s">
        <v>537</v>
      </c>
      <c r="E5416" t="s">
        <v>1639</v>
      </c>
      <c r="F5416" t="s">
        <v>6259</v>
      </c>
      <c r="G5416" t="s">
        <v>10424</v>
      </c>
      <c r="H5416" t="s">
        <v>10468</v>
      </c>
      <c r="I5416" t="s">
        <v>11386</v>
      </c>
      <c r="J5416">
        <v>10040</v>
      </c>
      <c r="K5416" t="s">
        <v>11447</v>
      </c>
      <c r="O5416" t="s">
        <v>14787</v>
      </c>
      <c r="P5416" t="s">
        <v>14814</v>
      </c>
      <c r="S5416" t="s">
        <v>14827</v>
      </c>
      <c r="V5416">
        <v>0</v>
      </c>
      <c r="W5416" t="s">
        <v>14860</v>
      </c>
      <c r="Y5416" t="s">
        <v>14886</v>
      </c>
      <c r="Z5416" t="s">
        <v>19298</v>
      </c>
      <c r="AB5416" t="s">
        <v>24563</v>
      </c>
      <c r="AC5416">
        <v>0</v>
      </c>
      <c r="AF5416">
        <v>0</v>
      </c>
      <c r="AG5416">
        <v>1</v>
      </c>
      <c r="AH5416">
        <v>0</v>
      </c>
      <c r="AI5416">
        <v>0</v>
      </c>
      <c r="AM5416">
        <v>0</v>
      </c>
      <c r="AS5416">
        <v>9.35</v>
      </c>
      <c r="AT5416" t="s">
        <v>511</v>
      </c>
      <c r="AU5416" t="s">
        <v>118</v>
      </c>
      <c r="AW5416" t="s">
        <v>11447</v>
      </c>
    </row>
    <row r="5417" spans="1:49">
      <c r="A5417" s="1">
        <f>HYPERLINK("https://lsnyc.legalserver.org/matter/dynamic-profile/view/1907399","19-1907399")</f>
        <v>0</v>
      </c>
      <c r="B5417" t="s">
        <v>215</v>
      </c>
      <c r="C5417" t="s">
        <v>368</v>
      </c>
      <c r="E5417" t="s">
        <v>1033</v>
      </c>
      <c r="F5417" t="s">
        <v>6260</v>
      </c>
      <c r="G5417" t="s">
        <v>10425</v>
      </c>
      <c r="H5417" t="s">
        <v>10848</v>
      </c>
      <c r="I5417" t="s">
        <v>11386</v>
      </c>
      <c r="J5417">
        <v>10032</v>
      </c>
      <c r="K5417" t="s">
        <v>11446</v>
      </c>
      <c r="M5417" t="s">
        <v>14748</v>
      </c>
      <c r="N5417" t="s">
        <v>14780</v>
      </c>
      <c r="P5417" t="s">
        <v>14814</v>
      </c>
      <c r="Q5417" t="s">
        <v>11448</v>
      </c>
      <c r="S5417" t="s">
        <v>14827</v>
      </c>
      <c r="T5417" t="s">
        <v>14832</v>
      </c>
      <c r="U5417" t="s">
        <v>368</v>
      </c>
      <c r="V5417">
        <v>0</v>
      </c>
      <c r="W5417" t="s">
        <v>14860</v>
      </c>
      <c r="X5417" t="s">
        <v>14872</v>
      </c>
      <c r="Z5417" t="s">
        <v>19299</v>
      </c>
      <c r="AB5417" t="s">
        <v>24564</v>
      </c>
      <c r="AC5417">
        <v>0</v>
      </c>
      <c r="AD5417" t="s">
        <v>24595</v>
      </c>
      <c r="AE5417" t="s">
        <v>11459</v>
      </c>
      <c r="AF5417">
        <v>0</v>
      </c>
      <c r="AG5417">
        <v>1</v>
      </c>
      <c r="AH5417">
        <v>0</v>
      </c>
      <c r="AI5417">
        <v>112.89</v>
      </c>
      <c r="AL5417" t="s">
        <v>5011</v>
      </c>
      <c r="AM5417">
        <v>14100</v>
      </c>
      <c r="AS5417">
        <v>4</v>
      </c>
      <c r="AT5417" t="s">
        <v>368</v>
      </c>
      <c r="AU5417" t="s">
        <v>25266</v>
      </c>
      <c r="AV5417" t="s">
        <v>25335</v>
      </c>
      <c r="AW5417" t="s">
        <v>11447</v>
      </c>
    </row>
    <row r="5418" spans="1:49">
      <c r="A5418" s="1">
        <f>HYPERLINK("https://lsnyc.legalserver.org/matter/dynamic-profile/view/1874658","18-1874658")</f>
        <v>0</v>
      </c>
      <c r="B5418" t="s">
        <v>99</v>
      </c>
      <c r="C5418" t="s">
        <v>786</v>
      </c>
      <c r="E5418" t="s">
        <v>2228</v>
      </c>
      <c r="F5418" t="s">
        <v>4293</v>
      </c>
      <c r="G5418" t="s">
        <v>10426</v>
      </c>
      <c r="I5418" t="s">
        <v>11413</v>
      </c>
      <c r="J5418">
        <v>11413</v>
      </c>
      <c r="K5418" t="s">
        <v>11447</v>
      </c>
      <c r="N5418" t="s">
        <v>14778</v>
      </c>
      <c r="P5418" t="s">
        <v>14814</v>
      </c>
      <c r="S5418" t="s">
        <v>14827</v>
      </c>
      <c r="V5418">
        <v>0</v>
      </c>
      <c r="W5418" t="s">
        <v>14861</v>
      </c>
      <c r="Z5418" t="s">
        <v>19300</v>
      </c>
      <c r="AB5418" t="s">
        <v>24565</v>
      </c>
      <c r="AC5418">
        <v>0</v>
      </c>
      <c r="AF5418">
        <v>0</v>
      </c>
      <c r="AG5418">
        <v>1</v>
      </c>
      <c r="AH5418">
        <v>0</v>
      </c>
      <c r="AI5418">
        <v>0</v>
      </c>
      <c r="AL5418" t="s">
        <v>5011</v>
      </c>
      <c r="AM5418">
        <v>0</v>
      </c>
      <c r="AS5418">
        <v>0</v>
      </c>
      <c r="AU5418" t="s">
        <v>99</v>
      </c>
      <c r="AW5418" t="s">
        <v>11447</v>
      </c>
    </row>
    <row r="5419" spans="1:49">
      <c r="A5419" s="1">
        <f>HYPERLINK("https://lsnyc.legalserver.org/matter/dynamic-profile/view/1913902","19-1913902")</f>
        <v>0</v>
      </c>
      <c r="B5419" t="s">
        <v>302</v>
      </c>
      <c r="C5419" t="s">
        <v>533</v>
      </c>
      <c r="E5419" t="s">
        <v>2743</v>
      </c>
      <c r="F5419" t="s">
        <v>5367</v>
      </c>
      <c r="G5419" t="s">
        <v>8774</v>
      </c>
      <c r="H5419">
        <v>2</v>
      </c>
      <c r="I5419" t="s">
        <v>11383</v>
      </c>
      <c r="J5419">
        <v>10459</v>
      </c>
      <c r="K5419" t="s">
        <v>11447</v>
      </c>
      <c r="M5419" t="s">
        <v>14746</v>
      </c>
      <c r="N5419" t="s">
        <v>14782</v>
      </c>
      <c r="P5419" t="s">
        <v>14814</v>
      </c>
      <c r="Q5419" t="s">
        <v>11448</v>
      </c>
      <c r="S5419" t="s">
        <v>14827</v>
      </c>
      <c r="V5419">
        <v>1100</v>
      </c>
      <c r="W5419" t="s">
        <v>14858</v>
      </c>
      <c r="X5419" t="s">
        <v>14873</v>
      </c>
      <c r="Z5419" t="s">
        <v>17692</v>
      </c>
      <c r="AB5419" t="s">
        <v>22763</v>
      </c>
      <c r="AC5419">
        <v>4</v>
      </c>
      <c r="AF5419">
        <v>14</v>
      </c>
      <c r="AG5419">
        <v>1</v>
      </c>
      <c r="AH5419">
        <v>1</v>
      </c>
      <c r="AI5419">
        <v>0</v>
      </c>
      <c r="AL5419" t="s">
        <v>5011</v>
      </c>
      <c r="AM5419">
        <v>0</v>
      </c>
      <c r="AS5419">
        <v>13.25</v>
      </c>
      <c r="AT5419" t="s">
        <v>521</v>
      </c>
      <c r="AU5419" t="s">
        <v>25311</v>
      </c>
      <c r="AV5419" t="s">
        <v>25335</v>
      </c>
      <c r="AW5419" t="s">
        <v>11447</v>
      </c>
    </row>
    <row r="5420" spans="1:49">
      <c r="A5420" s="1">
        <f>HYPERLINK("https://lsnyc.legalserver.org/matter/dynamic-profile/view/1889456","19-1889456")</f>
        <v>0</v>
      </c>
      <c r="B5420" t="s">
        <v>89</v>
      </c>
      <c r="C5420" t="s">
        <v>832</v>
      </c>
      <c r="E5420" t="s">
        <v>1144</v>
      </c>
      <c r="F5420" t="s">
        <v>4850</v>
      </c>
      <c r="G5420" t="s">
        <v>7944</v>
      </c>
      <c r="H5420" t="s">
        <v>10579</v>
      </c>
      <c r="I5420" t="s">
        <v>11383</v>
      </c>
      <c r="J5420">
        <v>10453</v>
      </c>
      <c r="K5420" t="s">
        <v>11446</v>
      </c>
      <c r="L5420" t="s">
        <v>11465</v>
      </c>
      <c r="M5420" t="s">
        <v>14776</v>
      </c>
      <c r="N5420" t="s">
        <v>14784</v>
      </c>
      <c r="P5420" t="s">
        <v>14814</v>
      </c>
      <c r="Q5420" t="s">
        <v>11448</v>
      </c>
      <c r="S5420" t="s">
        <v>14827</v>
      </c>
      <c r="T5420" t="s">
        <v>14837</v>
      </c>
      <c r="V5420">
        <v>1297.3</v>
      </c>
      <c r="W5420" t="s">
        <v>14858</v>
      </c>
      <c r="X5420" t="s">
        <v>14867</v>
      </c>
      <c r="Z5420" t="s">
        <v>16907</v>
      </c>
      <c r="AA5420" t="s">
        <v>20095</v>
      </c>
      <c r="AC5420">
        <v>48</v>
      </c>
      <c r="AD5420" t="s">
        <v>24595</v>
      </c>
      <c r="AE5420" t="s">
        <v>24610</v>
      </c>
      <c r="AF5420">
        <v>20</v>
      </c>
      <c r="AG5420">
        <v>1</v>
      </c>
      <c r="AH5420">
        <v>0</v>
      </c>
      <c r="AI5420">
        <v>0</v>
      </c>
      <c r="AL5420" t="s">
        <v>5011</v>
      </c>
      <c r="AM5420">
        <v>0</v>
      </c>
      <c r="AS5420">
        <v>40.1</v>
      </c>
      <c r="AT5420" t="s">
        <v>491</v>
      </c>
      <c r="AU5420" t="s">
        <v>25239</v>
      </c>
      <c r="AV5420" t="s">
        <v>25334</v>
      </c>
      <c r="AW5420" t="s">
        <v>11446</v>
      </c>
    </row>
    <row r="5421" spans="1:49">
      <c r="A5421" s="1">
        <f>HYPERLINK("https://lsnyc.legalserver.org/matter/dynamic-profile/view/0805274","16-0805274")</f>
        <v>0</v>
      </c>
      <c r="B5421" t="s">
        <v>102</v>
      </c>
      <c r="C5421" t="s">
        <v>1002</v>
      </c>
      <c r="E5421" t="s">
        <v>1025</v>
      </c>
      <c r="F5421" t="s">
        <v>3552</v>
      </c>
      <c r="G5421" t="s">
        <v>6642</v>
      </c>
      <c r="H5421" t="s">
        <v>10559</v>
      </c>
      <c r="I5421" t="s">
        <v>11383</v>
      </c>
      <c r="J5421">
        <v>10452</v>
      </c>
      <c r="K5421" t="s">
        <v>11448</v>
      </c>
      <c r="L5421" t="s">
        <v>11553</v>
      </c>
      <c r="M5421" t="s">
        <v>14756</v>
      </c>
      <c r="N5421" t="s">
        <v>14783</v>
      </c>
      <c r="P5421" t="s">
        <v>14814</v>
      </c>
      <c r="Q5421" t="s">
        <v>11446</v>
      </c>
      <c r="S5421" t="s">
        <v>14827</v>
      </c>
      <c r="V5421">
        <v>1815.58</v>
      </c>
      <c r="W5421" t="s">
        <v>14858</v>
      </c>
      <c r="X5421" t="s">
        <v>14864</v>
      </c>
      <c r="Z5421" t="s">
        <v>19301</v>
      </c>
      <c r="AB5421" t="s">
        <v>24566</v>
      </c>
      <c r="AC5421">
        <v>61</v>
      </c>
      <c r="AD5421" t="s">
        <v>24595</v>
      </c>
      <c r="AE5421" t="s">
        <v>24610</v>
      </c>
      <c r="AF5421">
        <v>14</v>
      </c>
      <c r="AG5421">
        <v>4</v>
      </c>
      <c r="AH5421">
        <v>2</v>
      </c>
      <c r="AI5421">
        <v>2.76</v>
      </c>
      <c r="AL5421" t="s">
        <v>24632</v>
      </c>
      <c r="AM5421">
        <v>900</v>
      </c>
      <c r="AS5421">
        <v>0.5</v>
      </c>
      <c r="AT5421" t="s">
        <v>753</v>
      </c>
      <c r="AU5421" t="s">
        <v>186</v>
      </c>
      <c r="AW5421" t="s">
        <v>11447</v>
      </c>
    </row>
    <row r="5422" spans="1:49">
      <c r="A5422" s="1">
        <f>HYPERLINK("https://lsnyc.legalserver.org/matter/dynamic-profile/view/1870031","18-1870031")</f>
        <v>0</v>
      </c>
      <c r="B5422" t="s">
        <v>128</v>
      </c>
      <c r="C5422" t="s">
        <v>637</v>
      </c>
      <c r="E5422" t="s">
        <v>3534</v>
      </c>
      <c r="F5422" t="s">
        <v>5549</v>
      </c>
      <c r="G5422" t="s">
        <v>10427</v>
      </c>
      <c r="H5422">
        <v>508</v>
      </c>
      <c r="I5422" t="s">
        <v>11383</v>
      </c>
      <c r="J5422">
        <v>10454</v>
      </c>
      <c r="K5422" t="s">
        <v>11447</v>
      </c>
      <c r="N5422" t="s">
        <v>14780</v>
      </c>
      <c r="P5422" t="s">
        <v>14814</v>
      </c>
      <c r="S5422" t="s">
        <v>14828</v>
      </c>
      <c r="V5422">
        <v>0</v>
      </c>
      <c r="W5422" t="s">
        <v>14858</v>
      </c>
      <c r="Z5422" t="s">
        <v>19302</v>
      </c>
      <c r="AB5422" t="s">
        <v>24567</v>
      </c>
      <c r="AC5422">
        <v>0</v>
      </c>
      <c r="AF5422">
        <v>0</v>
      </c>
      <c r="AG5422">
        <v>1</v>
      </c>
      <c r="AH5422">
        <v>1</v>
      </c>
      <c r="AI5422">
        <v>13.35</v>
      </c>
      <c r="AL5422" t="s">
        <v>24632</v>
      </c>
      <c r="AM5422">
        <v>2197.2</v>
      </c>
      <c r="AS5422">
        <v>3.67</v>
      </c>
      <c r="AT5422" t="s">
        <v>629</v>
      </c>
      <c r="AU5422" t="s">
        <v>25331</v>
      </c>
      <c r="AW5422" t="s">
        <v>11447</v>
      </c>
    </row>
    <row r="5423" spans="1:49">
      <c r="A5423" s="1">
        <f>HYPERLINK("https://lsnyc.legalserver.org/matter/dynamic-profile/view/1899040","19-1899040")</f>
        <v>0</v>
      </c>
      <c r="B5423" t="s">
        <v>79</v>
      </c>
      <c r="C5423" t="s">
        <v>512</v>
      </c>
      <c r="E5423" t="s">
        <v>3355</v>
      </c>
      <c r="F5423" t="s">
        <v>5944</v>
      </c>
      <c r="G5423" t="s">
        <v>10428</v>
      </c>
      <c r="H5423" t="s">
        <v>10482</v>
      </c>
      <c r="I5423" t="s">
        <v>11383</v>
      </c>
      <c r="J5423">
        <v>10451</v>
      </c>
      <c r="K5423" t="s">
        <v>11447</v>
      </c>
      <c r="L5423" t="s">
        <v>14728</v>
      </c>
      <c r="M5423" t="s">
        <v>14746</v>
      </c>
      <c r="N5423" t="s">
        <v>14781</v>
      </c>
      <c r="P5423" t="s">
        <v>14814</v>
      </c>
      <c r="S5423" t="s">
        <v>14827</v>
      </c>
      <c r="V5423">
        <v>400</v>
      </c>
      <c r="W5423" t="s">
        <v>14858</v>
      </c>
      <c r="X5423" t="s">
        <v>14868</v>
      </c>
      <c r="Z5423" t="s">
        <v>19303</v>
      </c>
      <c r="AA5423" t="s">
        <v>20096</v>
      </c>
      <c r="AB5423" t="s">
        <v>24568</v>
      </c>
      <c r="AC5423">
        <v>0</v>
      </c>
      <c r="AD5423" t="s">
        <v>24597</v>
      </c>
      <c r="AF5423">
        <v>16</v>
      </c>
      <c r="AG5423">
        <v>3</v>
      </c>
      <c r="AH5423">
        <v>1</v>
      </c>
      <c r="AI5423">
        <v>14.45</v>
      </c>
      <c r="AL5423" t="s">
        <v>5011</v>
      </c>
      <c r="AM5423">
        <v>3720</v>
      </c>
      <c r="AS5423">
        <v>2.2</v>
      </c>
      <c r="AT5423" t="s">
        <v>602</v>
      </c>
      <c r="AU5423" t="s">
        <v>25251</v>
      </c>
      <c r="AW5423" t="s">
        <v>11447</v>
      </c>
    </row>
    <row r="5424" spans="1:49">
      <c r="A5424" s="1">
        <f>HYPERLINK("https://lsnyc.legalserver.org/matter/dynamic-profile/view/0782632","15-0782632")</f>
        <v>0</v>
      </c>
      <c r="B5424" t="s">
        <v>276</v>
      </c>
      <c r="C5424" t="s">
        <v>1003</v>
      </c>
      <c r="E5424" t="s">
        <v>1856</v>
      </c>
      <c r="F5424" t="s">
        <v>3555</v>
      </c>
      <c r="G5424" t="s">
        <v>10429</v>
      </c>
      <c r="H5424" t="s">
        <v>11370</v>
      </c>
      <c r="I5424" t="s">
        <v>11383</v>
      </c>
      <c r="J5424">
        <v>10456</v>
      </c>
      <c r="K5424" t="s">
        <v>11446</v>
      </c>
      <c r="L5424" t="s">
        <v>14729</v>
      </c>
      <c r="M5424" t="s">
        <v>14743</v>
      </c>
      <c r="N5424" t="s">
        <v>14781</v>
      </c>
      <c r="P5424" t="s">
        <v>14814</v>
      </c>
      <c r="S5424" t="s">
        <v>14827</v>
      </c>
      <c r="V5424">
        <v>0</v>
      </c>
      <c r="W5424" t="s">
        <v>14858</v>
      </c>
      <c r="X5424" t="s">
        <v>14872</v>
      </c>
      <c r="Z5424" t="s">
        <v>18460</v>
      </c>
      <c r="AB5424" t="s">
        <v>24569</v>
      </c>
      <c r="AC5424">
        <v>33</v>
      </c>
      <c r="AD5424" t="s">
        <v>11479</v>
      </c>
      <c r="AE5424" t="s">
        <v>11459</v>
      </c>
      <c r="AF5424">
        <v>2</v>
      </c>
      <c r="AG5424">
        <v>2</v>
      </c>
      <c r="AH5424">
        <v>4</v>
      </c>
      <c r="AI5424">
        <v>29.47</v>
      </c>
      <c r="AL5424" t="s">
        <v>5011</v>
      </c>
      <c r="AM5424">
        <v>9600</v>
      </c>
      <c r="AS5424">
        <v>45.75</v>
      </c>
      <c r="AT5424" t="s">
        <v>412</v>
      </c>
      <c r="AU5424" t="s">
        <v>25244</v>
      </c>
      <c r="AW5424" t="s">
        <v>11447</v>
      </c>
    </row>
    <row r="5425" spans="1:49">
      <c r="A5425" s="1">
        <f>HYPERLINK("https://lsnyc.legalserver.org/matter/dynamic-profile/view/0799043","16-0799043")</f>
        <v>0</v>
      </c>
      <c r="B5425" t="s">
        <v>102</v>
      </c>
      <c r="C5425" t="s">
        <v>566</v>
      </c>
      <c r="E5425" t="s">
        <v>1879</v>
      </c>
      <c r="F5425" t="s">
        <v>6261</v>
      </c>
      <c r="G5425" t="s">
        <v>6642</v>
      </c>
      <c r="H5425" t="s">
        <v>10574</v>
      </c>
      <c r="I5425" t="s">
        <v>11383</v>
      </c>
      <c r="J5425">
        <v>10452</v>
      </c>
      <c r="K5425" t="s">
        <v>11448</v>
      </c>
      <c r="L5425" t="s">
        <v>11553</v>
      </c>
      <c r="M5425" t="s">
        <v>14756</v>
      </c>
      <c r="N5425" t="s">
        <v>14783</v>
      </c>
      <c r="P5425" t="s">
        <v>14814</v>
      </c>
      <c r="Q5425" t="s">
        <v>11446</v>
      </c>
      <c r="S5425" t="s">
        <v>14827</v>
      </c>
      <c r="V5425">
        <v>1175.46</v>
      </c>
      <c r="W5425" t="s">
        <v>14858</v>
      </c>
      <c r="X5425" t="s">
        <v>14864</v>
      </c>
      <c r="Z5425" t="s">
        <v>19304</v>
      </c>
      <c r="AB5425" t="s">
        <v>24570</v>
      </c>
      <c r="AC5425">
        <v>61</v>
      </c>
      <c r="AD5425" t="s">
        <v>24595</v>
      </c>
      <c r="AE5425" t="s">
        <v>14755</v>
      </c>
      <c r="AF5425">
        <v>4</v>
      </c>
      <c r="AG5425">
        <v>1</v>
      </c>
      <c r="AH5425">
        <v>0</v>
      </c>
      <c r="AI5425">
        <v>30.3</v>
      </c>
      <c r="AL5425" t="s">
        <v>5011</v>
      </c>
      <c r="AM5425">
        <v>3600</v>
      </c>
      <c r="AS5425">
        <v>0.6</v>
      </c>
      <c r="AT5425" t="s">
        <v>25221</v>
      </c>
      <c r="AU5425" t="s">
        <v>186</v>
      </c>
      <c r="AW5425" t="s">
        <v>11447</v>
      </c>
    </row>
    <row r="5426" spans="1:49">
      <c r="A5426" s="1">
        <f>HYPERLINK("https://lsnyc.legalserver.org/matter/dynamic-profile/view/1900369","19-1900369")</f>
        <v>0</v>
      </c>
      <c r="B5426" t="s">
        <v>99</v>
      </c>
      <c r="C5426" t="s">
        <v>421</v>
      </c>
      <c r="E5426" t="s">
        <v>1259</v>
      </c>
      <c r="F5426" t="s">
        <v>6262</v>
      </c>
      <c r="G5426" t="s">
        <v>10430</v>
      </c>
      <c r="H5426" t="s">
        <v>10552</v>
      </c>
      <c r="I5426" t="s">
        <v>11387</v>
      </c>
      <c r="J5426">
        <v>11435</v>
      </c>
      <c r="K5426" t="s">
        <v>11447</v>
      </c>
      <c r="M5426" t="s">
        <v>14744</v>
      </c>
      <c r="N5426" t="s">
        <v>14781</v>
      </c>
      <c r="P5426" t="s">
        <v>14814</v>
      </c>
      <c r="S5426" t="s">
        <v>14827</v>
      </c>
      <c r="V5426">
        <v>1025</v>
      </c>
      <c r="W5426" t="s">
        <v>14861</v>
      </c>
      <c r="X5426" t="s">
        <v>14871</v>
      </c>
      <c r="Z5426" t="s">
        <v>19305</v>
      </c>
      <c r="AB5426" t="s">
        <v>24571</v>
      </c>
      <c r="AC5426">
        <v>60</v>
      </c>
      <c r="AD5426" t="s">
        <v>24595</v>
      </c>
      <c r="AF5426">
        <v>25</v>
      </c>
      <c r="AG5426">
        <v>1</v>
      </c>
      <c r="AH5426">
        <v>0</v>
      </c>
      <c r="AI5426">
        <v>32.03</v>
      </c>
      <c r="AL5426" t="s">
        <v>24632</v>
      </c>
      <c r="AM5426">
        <v>4000</v>
      </c>
      <c r="AS5426">
        <v>26</v>
      </c>
      <c r="AT5426" t="s">
        <v>504</v>
      </c>
      <c r="AU5426" t="s">
        <v>99</v>
      </c>
      <c r="AW5426" t="s">
        <v>11447</v>
      </c>
    </row>
    <row r="5427" spans="1:49">
      <c r="A5427" s="1">
        <f>HYPERLINK("https://lsnyc.legalserver.org/matter/dynamic-profile/view/0766520","14-0766520")</f>
        <v>0</v>
      </c>
      <c r="B5427" t="s">
        <v>80</v>
      </c>
      <c r="C5427" t="s">
        <v>1004</v>
      </c>
      <c r="E5427" t="s">
        <v>3535</v>
      </c>
      <c r="F5427" t="s">
        <v>3682</v>
      </c>
      <c r="G5427" t="s">
        <v>10431</v>
      </c>
      <c r="H5427" t="s">
        <v>10552</v>
      </c>
      <c r="I5427" t="s">
        <v>11383</v>
      </c>
      <c r="J5427">
        <v>10456</v>
      </c>
      <c r="K5427" t="s">
        <v>11447</v>
      </c>
      <c r="M5427" t="s">
        <v>14746</v>
      </c>
      <c r="N5427" t="s">
        <v>14781</v>
      </c>
      <c r="P5427" t="s">
        <v>14814</v>
      </c>
      <c r="S5427" t="s">
        <v>14827</v>
      </c>
      <c r="V5427">
        <v>0</v>
      </c>
      <c r="W5427" t="s">
        <v>14858</v>
      </c>
      <c r="Z5427" t="s">
        <v>19306</v>
      </c>
      <c r="AB5427" t="s">
        <v>24572</v>
      </c>
      <c r="AC5427">
        <v>0</v>
      </c>
      <c r="AF5427">
        <v>0</v>
      </c>
      <c r="AG5427">
        <v>2</v>
      </c>
      <c r="AH5427">
        <v>4</v>
      </c>
      <c r="AI5427">
        <v>45.15</v>
      </c>
      <c r="AL5427" t="s">
        <v>5011</v>
      </c>
      <c r="AM5427">
        <v>14436</v>
      </c>
      <c r="AN5427" t="s">
        <v>24928</v>
      </c>
      <c r="AS5427">
        <v>37</v>
      </c>
      <c r="AT5427" t="s">
        <v>506</v>
      </c>
      <c r="AU5427" t="s">
        <v>25332</v>
      </c>
      <c r="AW5427" t="s">
        <v>11447</v>
      </c>
    </row>
    <row r="5428" spans="1:49">
      <c r="A5428" s="1">
        <f>HYPERLINK("https://lsnyc.legalserver.org/matter/dynamic-profile/view/1900141","19-1900141")</f>
        <v>0</v>
      </c>
      <c r="B5428" t="s">
        <v>74</v>
      </c>
      <c r="C5428" t="s">
        <v>835</v>
      </c>
      <c r="E5428" t="s">
        <v>1236</v>
      </c>
      <c r="F5428" t="s">
        <v>6263</v>
      </c>
      <c r="G5428" t="s">
        <v>10084</v>
      </c>
      <c r="H5428" t="s">
        <v>11371</v>
      </c>
      <c r="I5428" t="s">
        <v>11395</v>
      </c>
      <c r="J5428">
        <v>11373</v>
      </c>
      <c r="K5428" t="s">
        <v>11447</v>
      </c>
      <c r="M5428" t="s">
        <v>14757</v>
      </c>
      <c r="N5428" t="s">
        <v>14780</v>
      </c>
      <c r="P5428" t="s">
        <v>14814</v>
      </c>
      <c r="Q5428" t="s">
        <v>11448</v>
      </c>
      <c r="S5428" t="s">
        <v>14827</v>
      </c>
      <c r="T5428" t="s">
        <v>14834</v>
      </c>
      <c r="V5428">
        <v>0</v>
      </c>
      <c r="W5428" t="s">
        <v>14861</v>
      </c>
      <c r="Z5428" t="s">
        <v>19307</v>
      </c>
      <c r="AB5428" t="s">
        <v>24573</v>
      </c>
      <c r="AC5428">
        <v>0</v>
      </c>
      <c r="AF5428">
        <v>0</v>
      </c>
      <c r="AG5428">
        <v>2</v>
      </c>
      <c r="AH5428">
        <v>0</v>
      </c>
      <c r="AI5428">
        <v>49.67</v>
      </c>
      <c r="AL5428" t="s">
        <v>5011</v>
      </c>
      <c r="AM5428">
        <v>8400</v>
      </c>
      <c r="AS5428">
        <v>4.2</v>
      </c>
      <c r="AT5428" t="s">
        <v>467</v>
      </c>
      <c r="AU5428" t="s">
        <v>99</v>
      </c>
      <c r="AW5428" t="s">
        <v>11447</v>
      </c>
    </row>
    <row r="5429" spans="1:49">
      <c r="A5429" s="1">
        <f>HYPERLINK("https://lsnyc.legalserver.org/matter/dynamic-profile/view/1904141","19-1904141")</f>
        <v>0</v>
      </c>
      <c r="B5429" t="s">
        <v>139</v>
      </c>
      <c r="C5429" t="s">
        <v>621</v>
      </c>
      <c r="E5429" t="s">
        <v>3536</v>
      </c>
      <c r="F5429" t="s">
        <v>6264</v>
      </c>
      <c r="G5429" t="s">
        <v>10432</v>
      </c>
      <c r="H5429" t="s">
        <v>11372</v>
      </c>
      <c r="I5429" t="s">
        <v>11385</v>
      </c>
      <c r="J5429">
        <v>11214</v>
      </c>
      <c r="K5429" t="s">
        <v>11447</v>
      </c>
      <c r="M5429" t="s">
        <v>14743</v>
      </c>
      <c r="N5429" t="s">
        <v>14778</v>
      </c>
      <c r="P5429" t="s">
        <v>14814</v>
      </c>
      <c r="Q5429" t="s">
        <v>11448</v>
      </c>
      <c r="S5429" t="s">
        <v>14827</v>
      </c>
      <c r="V5429">
        <v>0</v>
      </c>
      <c r="W5429" t="s">
        <v>14859</v>
      </c>
      <c r="Z5429" t="s">
        <v>16486</v>
      </c>
      <c r="AC5429">
        <v>0</v>
      </c>
      <c r="AD5429" t="s">
        <v>24600</v>
      </c>
      <c r="AE5429" t="s">
        <v>11459</v>
      </c>
      <c r="AF5429">
        <v>0</v>
      </c>
      <c r="AG5429">
        <v>1</v>
      </c>
      <c r="AH5429">
        <v>0</v>
      </c>
      <c r="AI5429">
        <v>52.04</v>
      </c>
      <c r="AL5429" t="s">
        <v>24636</v>
      </c>
      <c r="AM5429">
        <v>6500</v>
      </c>
      <c r="AS5429">
        <v>2.25</v>
      </c>
      <c r="AT5429" t="s">
        <v>553</v>
      </c>
      <c r="AU5429" t="s">
        <v>139</v>
      </c>
      <c r="AW5429" t="s">
        <v>11447</v>
      </c>
    </row>
    <row r="5430" spans="1:49">
      <c r="A5430" s="1">
        <f>HYPERLINK("https://lsnyc.legalserver.org/matter/dynamic-profile/view/1913462","19-1913462")</f>
        <v>0</v>
      </c>
      <c r="B5430" t="s">
        <v>302</v>
      </c>
      <c r="C5430" t="s">
        <v>484</v>
      </c>
      <c r="E5430" t="s">
        <v>1930</v>
      </c>
      <c r="F5430" t="s">
        <v>5418</v>
      </c>
      <c r="G5430" t="s">
        <v>6527</v>
      </c>
      <c r="H5430" t="s">
        <v>11140</v>
      </c>
      <c r="I5430" t="s">
        <v>11383</v>
      </c>
      <c r="J5430">
        <v>10453</v>
      </c>
      <c r="K5430" t="s">
        <v>11447</v>
      </c>
      <c r="M5430" t="s">
        <v>14744</v>
      </c>
      <c r="N5430" t="s">
        <v>14783</v>
      </c>
      <c r="P5430" t="s">
        <v>14814</v>
      </c>
      <c r="Q5430" t="s">
        <v>11446</v>
      </c>
      <c r="S5430" t="s">
        <v>14830</v>
      </c>
      <c r="V5430">
        <v>1665</v>
      </c>
      <c r="W5430" t="s">
        <v>14858</v>
      </c>
      <c r="X5430" t="s">
        <v>14863</v>
      </c>
      <c r="Z5430" t="s">
        <v>17802</v>
      </c>
      <c r="AA5430" t="s">
        <v>19749</v>
      </c>
      <c r="AB5430" t="s">
        <v>19344</v>
      </c>
      <c r="AC5430">
        <v>439</v>
      </c>
      <c r="AD5430" t="s">
        <v>24601</v>
      </c>
      <c r="AE5430" t="s">
        <v>14755</v>
      </c>
      <c r="AF5430">
        <v>3</v>
      </c>
      <c r="AG5430">
        <v>1</v>
      </c>
      <c r="AH5430">
        <v>3</v>
      </c>
      <c r="AI5430">
        <v>53.87</v>
      </c>
      <c r="AL5430" t="s">
        <v>5011</v>
      </c>
      <c r="AM5430">
        <v>13872</v>
      </c>
      <c r="AS5430">
        <v>2.25</v>
      </c>
      <c r="AT5430" t="s">
        <v>516</v>
      </c>
      <c r="AU5430" t="s">
        <v>25311</v>
      </c>
      <c r="AV5430" t="s">
        <v>25335</v>
      </c>
      <c r="AW5430" t="s">
        <v>11447</v>
      </c>
    </row>
    <row r="5431" spans="1:49">
      <c r="A5431" s="1">
        <f>HYPERLINK("https://lsnyc.legalserver.org/matter/dynamic-profile/view/0798104","16-0798104")</f>
        <v>0</v>
      </c>
      <c r="B5431" t="s">
        <v>102</v>
      </c>
      <c r="C5431" t="s">
        <v>507</v>
      </c>
      <c r="E5431" t="s">
        <v>1747</v>
      </c>
      <c r="F5431" t="s">
        <v>4134</v>
      </c>
      <c r="G5431" t="s">
        <v>6456</v>
      </c>
      <c r="H5431" t="s">
        <v>11373</v>
      </c>
      <c r="I5431" t="s">
        <v>11383</v>
      </c>
      <c r="J5431">
        <v>10453</v>
      </c>
      <c r="K5431" t="s">
        <v>11448</v>
      </c>
      <c r="L5431" t="s">
        <v>14730</v>
      </c>
      <c r="M5431" t="s">
        <v>14746</v>
      </c>
      <c r="N5431" t="s">
        <v>14781</v>
      </c>
      <c r="P5431" t="s">
        <v>14814</v>
      </c>
      <c r="Q5431" t="s">
        <v>11446</v>
      </c>
      <c r="S5431" t="s">
        <v>14827</v>
      </c>
      <c r="V5431">
        <v>1044</v>
      </c>
      <c r="W5431" t="s">
        <v>14858</v>
      </c>
      <c r="X5431" t="s">
        <v>14867</v>
      </c>
      <c r="Z5431" t="s">
        <v>19308</v>
      </c>
      <c r="AB5431" t="s">
        <v>24574</v>
      </c>
      <c r="AC5431">
        <v>0</v>
      </c>
      <c r="AF5431">
        <v>22</v>
      </c>
      <c r="AG5431">
        <v>2</v>
      </c>
      <c r="AH5431">
        <v>2</v>
      </c>
      <c r="AI5431">
        <v>56.95</v>
      </c>
      <c r="AL5431" t="s">
        <v>24632</v>
      </c>
      <c r="AM5431">
        <v>14680</v>
      </c>
      <c r="AS5431">
        <v>0.25</v>
      </c>
      <c r="AT5431" t="s">
        <v>25222</v>
      </c>
      <c r="AU5431" t="s">
        <v>186</v>
      </c>
      <c r="AW5431" t="s">
        <v>11447</v>
      </c>
    </row>
    <row r="5432" spans="1:49">
      <c r="A5432" s="1">
        <f>HYPERLINK("https://lsnyc.legalserver.org/matter/dynamic-profile/view/1907990","19-1907990")</f>
        <v>0</v>
      </c>
      <c r="B5432" t="s">
        <v>99</v>
      </c>
      <c r="C5432" t="s">
        <v>461</v>
      </c>
      <c r="E5432" t="s">
        <v>3537</v>
      </c>
      <c r="F5432" t="s">
        <v>6265</v>
      </c>
      <c r="G5432" t="s">
        <v>10433</v>
      </c>
      <c r="I5432" t="s">
        <v>11401</v>
      </c>
      <c r="J5432">
        <v>11375</v>
      </c>
      <c r="K5432" t="s">
        <v>11447</v>
      </c>
      <c r="L5432" t="s">
        <v>14731</v>
      </c>
      <c r="M5432" t="s">
        <v>14744</v>
      </c>
      <c r="N5432" t="s">
        <v>14779</v>
      </c>
      <c r="P5432" t="s">
        <v>14814</v>
      </c>
      <c r="S5432" t="s">
        <v>14827</v>
      </c>
      <c r="V5432">
        <v>1511.49</v>
      </c>
      <c r="W5432" t="s">
        <v>14861</v>
      </c>
      <c r="Z5432" t="s">
        <v>19309</v>
      </c>
      <c r="AA5432" t="s">
        <v>20097</v>
      </c>
      <c r="AB5432" t="s">
        <v>24575</v>
      </c>
      <c r="AC5432">
        <v>0</v>
      </c>
      <c r="AD5432" t="s">
        <v>24595</v>
      </c>
      <c r="AF5432">
        <v>10</v>
      </c>
      <c r="AG5432">
        <v>1</v>
      </c>
      <c r="AH5432">
        <v>2</v>
      </c>
      <c r="AI5432">
        <v>65.04000000000001</v>
      </c>
      <c r="AL5432" t="s">
        <v>5011</v>
      </c>
      <c r="AM5432">
        <v>13872</v>
      </c>
      <c r="AS5432">
        <v>24.75</v>
      </c>
      <c r="AT5432" t="s">
        <v>495</v>
      </c>
      <c r="AU5432" t="s">
        <v>99</v>
      </c>
      <c r="AW5432" t="s">
        <v>11447</v>
      </c>
    </row>
    <row r="5433" spans="1:49">
      <c r="A5433" s="1">
        <f>HYPERLINK("https://lsnyc.legalserver.org/matter/dynamic-profile/view/0799059","16-0799059")</f>
        <v>0</v>
      </c>
      <c r="B5433" t="s">
        <v>102</v>
      </c>
      <c r="C5433" t="s">
        <v>566</v>
      </c>
      <c r="E5433" t="s">
        <v>1025</v>
      </c>
      <c r="F5433" t="s">
        <v>6093</v>
      </c>
      <c r="G5433" t="s">
        <v>6642</v>
      </c>
      <c r="H5433" t="s">
        <v>10523</v>
      </c>
      <c r="I5433" t="s">
        <v>11383</v>
      </c>
      <c r="J5433">
        <v>10452</v>
      </c>
      <c r="K5433" t="s">
        <v>11448</v>
      </c>
      <c r="L5433" t="s">
        <v>11553</v>
      </c>
      <c r="M5433" t="s">
        <v>14756</v>
      </c>
      <c r="N5433" t="s">
        <v>14783</v>
      </c>
      <c r="P5433" t="s">
        <v>14814</v>
      </c>
      <c r="Q5433" t="s">
        <v>11446</v>
      </c>
      <c r="S5433" t="s">
        <v>14827</v>
      </c>
      <c r="V5433">
        <v>670</v>
      </c>
      <c r="W5433" t="s">
        <v>14858</v>
      </c>
      <c r="X5433" t="s">
        <v>14864</v>
      </c>
      <c r="Z5433" t="s">
        <v>19310</v>
      </c>
      <c r="AC5433">
        <v>61</v>
      </c>
      <c r="AD5433" t="s">
        <v>24595</v>
      </c>
      <c r="AF5433">
        <v>39</v>
      </c>
      <c r="AG5433">
        <v>1</v>
      </c>
      <c r="AH5433">
        <v>0</v>
      </c>
      <c r="AI5433">
        <v>71.31</v>
      </c>
      <c r="AL5433" t="s">
        <v>5011</v>
      </c>
      <c r="AM5433">
        <v>8472</v>
      </c>
      <c r="AS5433">
        <v>0.75</v>
      </c>
      <c r="AT5433" t="s">
        <v>546</v>
      </c>
      <c r="AU5433" t="s">
        <v>186</v>
      </c>
      <c r="AW5433" t="s">
        <v>11447</v>
      </c>
    </row>
    <row r="5434" spans="1:49">
      <c r="A5434" s="1">
        <f>HYPERLINK("https://lsnyc.legalserver.org/matter/dynamic-profile/view/1901043","19-1901043")</f>
        <v>0</v>
      </c>
      <c r="B5434" t="s">
        <v>99</v>
      </c>
      <c r="C5434" t="s">
        <v>530</v>
      </c>
      <c r="E5434" t="s">
        <v>1043</v>
      </c>
      <c r="F5434" t="s">
        <v>5643</v>
      </c>
      <c r="G5434" t="s">
        <v>10434</v>
      </c>
      <c r="H5434" t="s">
        <v>10448</v>
      </c>
      <c r="I5434" t="s">
        <v>11389</v>
      </c>
      <c r="J5434">
        <v>11355</v>
      </c>
      <c r="K5434" t="s">
        <v>11447</v>
      </c>
      <c r="L5434" t="s">
        <v>14732</v>
      </c>
      <c r="M5434" t="s">
        <v>14744</v>
      </c>
      <c r="N5434" t="s">
        <v>14779</v>
      </c>
      <c r="P5434" t="s">
        <v>14814</v>
      </c>
      <c r="S5434" t="s">
        <v>14827</v>
      </c>
      <c r="V5434">
        <v>1085.21</v>
      </c>
      <c r="W5434" t="s">
        <v>14861</v>
      </c>
      <c r="X5434" t="s">
        <v>14871</v>
      </c>
      <c r="Z5434" t="s">
        <v>19311</v>
      </c>
      <c r="AB5434" t="s">
        <v>24576</v>
      </c>
      <c r="AC5434">
        <v>0</v>
      </c>
      <c r="AD5434" t="s">
        <v>24595</v>
      </c>
      <c r="AF5434">
        <v>0</v>
      </c>
      <c r="AG5434">
        <v>3</v>
      </c>
      <c r="AH5434">
        <v>1</v>
      </c>
      <c r="AI5434">
        <v>72.11</v>
      </c>
      <c r="AL5434" t="s">
        <v>5011</v>
      </c>
      <c r="AM5434">
        <v>18567.6</v>
      </c>
      <c r="AS5434">
        <v>41.65</v>
      </c>
      <c r="AT5434" t="s">
        <v>644</v>
      </c>
      <c r="AU5434" t="s">
        <v>99</v>
      </c>
      <c r="AW5434" t="s">
        <v>11447</v>
      </c>
    </row>
    <row r="5435" spans="1:49">
      <c r="A5435" s="1">
        <f>HYPERLINK("https://lsnyc.legalserver.org/matter/dynamic-profile/view/0799836","16-0799836")</f>
        <v>0</v>
      </c>
      <c r="B5435" t="s">
        <v>84</v>
      </c>
      <c r="C5435" t="s">
        <v>886</v>
      </c>
      <c r="E5435" t="s">
        <v>1607</v>
      </c>
      <c r="F5435" t="s">
        <v>3694</v>
      </c>
      <c r="G5435" t="s">
        <v>7593</v>
      </c>
      <c r="H5435" t="s">
        <v>11374</v>
      </c>
      <c r="I5435" t="s">
        <v>11383</v>
      </c>
      <c r="J5435">
        <v>10457</v>
      </c>
      <c r="K5435" t="s">
        <v>11448</v>
      </c>
      <c r="M5435" t="s">
        <v>14756</v>
      </c>
      <c r="N5435" t="s">
        <v>14783</v>
      </c>
      <c r="P5435" t="s">
        <v>14814</v>
      </c>
      <c r="Q5435" t="s">
        <v>11446</v>
      </c>
      <c r="S5435" t="s">
        <v>14827</v>
      </c>
      <c r="V5435">
        <v>1350</v>
      </c>
      <c r="W5435" t="s">
        <v>14858</v>
      </c>
      <c r="X5435" t="s">
        <v>14867</v>
      </c>
      <c r="Z5435" t="s">
        <v>19312</v>
      </c>
      <c r="AB5435" t="s">
        <v>24577</v>
      </c>
      <c r="AC5435">
        <v>0</v>
      </c>
      <c r="AF5435">
        <v>9</v>
      </c>
      <c r="AG5435">
        <v>1</v>
      </c>
      <c r="AH5435">
        <v>0</v>
      </c>
      <c r="AI5435">
        <v>74.04000000000001</v>
      </c>
      <c r="AL5435" t="s">
        <v>24632</v>
      </c>
      <c r="AM5435">
        <v>8796</v>
      </c>
      <c r="AS5435">
        <v>0.1</v>
      </c>
      <c r="AT5435" t="s">
        <v>886</v>
      </c>
      <c r="AU5435" t="s">
        <v>186</v>
      </c>
      <c r="AW5435" t="s">
        <v>11447</v>
      </c>
    </row>
    <row r="5436" spans="1:49">
      <c r="A5436" s="1">
        <f>HYPERLINK("https://lsnyc.legalserver.org/matter/dynamic-profile/view/0796357","16-0796357")</f>
        <v>0</v>
      </c>
      <c r="B5436" t="s">
        <v>84</v>
      </c>
      <c r="C5436" t="s">
        <v>939</v>
      </c>
      <c r="E5436" t="s">
        <v>1607</v>
      </c>
      <c r="F5436" t="s">
        <v>3694</v>
      </c>
      <c r="G5436" t="s">
        <v>7593</v>
      </c>
      <c r="H5436" t="s">
        <v>11374</v>
      </c>
      <c r="I5436" t="s">
        <v>11383</v>
      </c>
      <c r="J5436">
        <v>10457</v>
      </c>
      <c r="K5436" t="s">
        <v>11448</v>
      </c>
      <c r="L5436" t="s">
        <v>14733</v>
      </c>
      <c r="M5436" t="s">
        <v>14773</v>
      </c>
      <c r="N5436" t="s">
        <v>14781</v>
      </c>
      <c r="P5436" t="s">
        <v>14814</v>
      </c>
      <c r="Q5436" t="s">
        <v>11446</v>
      </c>
      <c r="S5436" t="s">
        <v>14827</v>
      </c>
      <c r="V5436">
        <v>1350</v>
      </c>
      <c r="W5436" t="s">
        <v>14858</v>
      </c>
      <c r="X5436" t="s">
        <v>14867</v>
      </c>
      <c r="Z5436" t="s">
        <v>19312</v>
      </c>
      <c r="AB5436" t="s">
        <v>24577</v>
      </c>
      <c r="AC5436">
        <v>0</v>
      </c>
      <c r="AF5436">
        <v>9</v>
      </c>
      <c r="AG5436">
        <v>1</v>
      </c>
      <c r="AH5436">
        <v>0</v>
      </c>
      <c r="AI5436">
        <v>74.73</v>
      </c>
      <c r="AL5436" t="s">
        <v>24632</v>
      </c>
      <c r="AM5436">
        <v>8796</v>
      </c>
      <c r="AS5436">
        <v>0.25</v>
      </c>
      <c r="AT5436" t="s">
        <v>936</v>
      </c>
      <c r="AU5436" t="s">
        <v>186</v>
      </c>
      <c r="AW5436" t="s">
        <v>11447</v>
      </c>
    </row>
    <row r="5437" spans="1:49">
      <c r="A5437" s="1">
        <f>HYPERLINK("https://lsnyc.legalserver.org/matter/dynamic-profile/view/0759252","14-0759252")</f>
        <v>0</v>
      </c>
      <c r="B5437" t="s">
        <v>246</v>
      </c>
      <c r="C5437" t="s">
        <v>1005</v>
      </c>
      <c r="E5437" t="s">
        <v>2142</v>
      </c>
      <c r="F5437" t="s">
        <v>4688</v>
      </c>
      <c r="G5437" t="s">
        <v>10435</v>
      </c>
      <c r="H5437" t="s">
        <v>11375</v>
      </c>
      <c r="I5437" t="s">
        <v>11385</v>
      </c>
      <c r="J5437">
        <v>11209</v>
      </c>
      <c r="K5437" t="s">
        <v>11447</v>
      </c>
      <c r="N5437" t="s">
        <v>14783</v>
      </c>
      <c r="P5437" t="s">
        <v>14814</v>
      </c>
      <c r="S5437" t="s">
        <v>14827</v>
      </c>
      <c r="V5437">
        <v>0</v>
      </c>
      <c r="W5437" t="s">
        <v>14859</v>
      </c>
      <c r="Z5437" t="s">
        <v>16619</v>
      </c>
      <c r="AC5437">
        <v>0</v>
      </c>
      <c r="AF5437">
        <v>0</v>
      </c>
      <c r="AG5437">
        <v>1</v>
      </c>
      <c r="AH5437">
        <v>0</v>
      </c>
      <c r="AI5437">
        <v>80.31</v>
      </c>
      <c r="AM5437">
        <v>9372</v>
      </c>
      <c r="AS5437">
        <v>6.75</v>
      </c>
      <c r="AT5437" t="s">
        <v>669</v>
      </c>
      <c r="AU5437" t="s">
        <v>25293</v>
      </c>
      <c r="AW5437" t="s">
        <v>11447</v>
      </c>
    </row>
    <row r="5438" spans="1:49">
      <c r="A5438" s="1">
        <f>HYPERLINK("https://lsnyc.legalserver.org/matter/dynamic-profile/view/0743898","13-0743898")</f>
        <v>0</v>
      </c>
      <c r="B5438" t="s">
        <v>198</v>
      </c>
      <c r="C5438" t="s">
        <v>1006</v>
      </c>
      <c r="E5438" t="s">
        <v>1127</v>
      </c>
      <c r="F5438" t="s">
        <v>1925</v>
      </c>
      <c r="G5438" t="s">
        <v>10436</v>
      </c>
      <c r="I5438" t="s">
        <v>11385</v>
      </c>
      <c r="J5438">
        <v>11237</v>
      </c>
      <c r="K5438" t="s">
        <v>11447</v>
      </c>
      <c r="P5438" t="s">
        <v>14814</v>
      </c>
      <c r="S5438" t="s">
        <v>14830</v>
      </c>
      <c r="V5438">
        <v>0</v>
      </c>
      <c r="W5438" t="s">
        <v>14859</v>
      </c>
      <c r="Z5438" t="s">
        <v>19313</v>
      </c>
      <c r="AB5438" t="s">
        <v>24578</v>
      </c>
      <c r="AC5438">
        <v>0</v>
      </c>
      <c r="AF5438">
        <v>0</v>
      </c>
      <c r="AG5438">
        <v>1</v>
      </c>
      <c r="AH5438">
        <v>2</v>
      </c>
      <c r="AI5438">
        <v>82.81</v>
      </c>
      <c r="AL5438" t="s">
        <v>5011</v>
      </c>
      <c r="AM5438">
        <v>16172</v>
      </c>
      <c r="AS5438">
        <v>21.7</v>
      </c>
      <c r="AT5438" t="s">
        <v>368</v>
      </c>
      <c r="AU5438" t="s">
        <v>25289</v>
      </c>
      <c r="AW5438" t="s">
        <v>11447</v>
      </c>
    </row>
    <row r="5439" spans="1:49">
      <c r="A5439" s="1">
        <f>HYPERLINK("https://lsnyc.legalserver.org/matter/dynamic-profile/view/0799035","16-0799035")</f>
        <v>0</v>
      </c>
      <c r="B5439" t="s">
        <v>102</v>
      </c>
      <c r="C5439" t="s">
        <v>566</v>
      </c>
      <c r="E5439" t="s">
        <v>1330</v>
      </c>
      <c r="F5439" t="s">
        <v>6096</v>
      </c>
      <c r="G5439" t="s">
        <v>6642</v>
      </c>
      <c r="H5439" t="s">
        <v>10527</v>
      </c>
      <c r="I5439" t="s">
        <v>11383</v>
      </c>
      <c r="J5439">
        <v>10452</v>
      </c>
      <c r="K5439" t="s">
        <v>11448</v>
      </c>
      <c r="L5439" t="s">
        <v>11553</v>
      </c>
      <c r="M5439" t="s">
        <v>14756</v>
      </c>
      <c r="N5439" t="s">
        <v>14783</v>
      </c>
      <c r="P5439" t="s">
        <v>14814</v>
      </c>
      <c r="Q5439" t="s">
        <v>11446</v>
      </c>
      <c r="S5439" t="s">
        <v>14827</v>
      </c>
      <c r="V5439">
        <v>1098</v>
      </c>
      <c r="W5439" t="s">
        <v>14858</v>
      </c>
      <c r="X5439" t="s">
        <v>14864</v>
      </c>
      <c r="Z5439" t="s">
        <v>17160</v>
      </c>
      <c r="AC5439">
        <v>61</v>
      </c>
      <c r="AD5439" t="s">
        <v>24595</v>
      </c>
      <c r="AF5439">
        <v>10</v>
      </c>
      <c r="AG5439">
        <v>2</v>
      </c>
      <c r="AH5439">
        <v>2</v>
      </c>
      <c r="AI5439">
        <v>85.59999999999999</v>
      </c>
      <c r="AL5439" t="s">
        <v>5011</v>
      </c>
      <c r="AM5439">
        <v>20800</v>
      </c>
      <c r="AN5439" t="s">
        <v>24929</v>
      </c>
      <c r="AS5439">
        <v>0.65</v>
      </c>
      <c r="AT5439" t="s">
        <v>753</v>
      </c>
      <c r="AU5439" t="s">
        <v>186</v>
      </c>
      <c r="AW5439" t="s">
        <v>11447</v>
      </c>
    </row>
    <row r="5440" spans="1:49">
      <c r="A5440" s="1">
        <f>HYPERLINK("https://lsnyc.legalserver.org/matter/dynamic-profile/view/0793288","15-0793288")</f>
        <v>0</v>
      </c>
      <c r="B5440" t="s">
        <v>116</v>
      </c>
      <c r="C5440" t="s">
        <v>1007</v>
      </c>
      <c r="E5440" t="s">
        <v>3538</v>
      </c>
      <c r="F5440" t="s">
        <v>6266</v>
      </c>
      <c r="G5440" t="s">
        <v>10437</v>
      </c>
      <c r="H5440" t="s">
        <v>10460</v>
      </c>
      <c r="I5440" t="s">
        <v>11383</v>
      </c>
      <c r="J5440">
        <v>10463</v>
      </c>
      <c r="K5440" t="s">
        <v>11446</v>
      </c>
      <c r="L5440" t="s">
        <v>14734</v>
      </c>
      <c r="M5440" t="s">
        <v>14746</v>
      </c>
      <c r="N5440" t="s">
        <v>14781</v>
      </c>
      <c r="P5440" t="s">
        <v>14814</v>
      </c>
      <c r="Q5440" t="s">
        <v>11448</v>
      </c>
      <c r="S5440" t="s">
        <v>14827</v>
      </c>
      <c r="V5440">
        <v>0</v>
      </c>
      <c r="W5440" t="s">
        <v>14858</v>
      </c>
      <c r="X5440" t="s">
        <v>14868</v>
      </c>
      <c r="Z5440" t="s">
        <v>19314</v>
      </c>
      <c r="AB5440" t="s">
        <v>24579</v>
      </c>
      <c r="AC5440">
        <v>0</v>
      </c>
      <c r="AD5440" t="s">
        <v>24595</v>
      </c>
      <c r="AF5440">
        <v>21</v>
      </c>
      <c r="AG5440">
        <v>2</v>
      </c>
      <c r="AH5440">
        <v>2</v>
      </c>
      <c r="AI5440">
        <v>92.95999999999999</v>
      </c>
      <c r="AL5440" t="s">
        <v>5011</v>
      </c>
      <c r="AM5440">
        <v>22542</v>
      </c>
      <c r="AS5440">
        <v>64.59999999999999</v>
      </c>
      <c r="AT5440" t="s">
        <v>25223</v>
      </c>
      <c r="AU5440" t="s">
        <v>25322</v>
      </c>
      <c r="AW5440" t="s">
        <v>11447</v>
      </c>
    </row>
    <row r="5441" spans="1:49">
      <c r="A5441" s="1">
        <f>HYPERLINK("https://lsnyc.legalserver.org/matter/dynamic-profile/view/0799016","16-0799016")</f>
        <v>0</v>
      </c>
      <c r="B5441" t="s">
        <v>102</v>
      </c>
      <c r="C5441" t="s">
        <v>566</v>
      </c>
      <c r="E5441" t="s">
        <v>3539</v>
      </c>
      <c r="F5441" t="s">
        <v>6267</v>
      </c>
      <c r="G5441" t="s">
        <v>6642</v>
      </c>
      <c r="H5441" t="s">
        <v>10509</v>
      </c>
      <c r="I5441" t="s">
        <v>11383</v>
      </c>
      <c r="J5441">
        <v>10452</v>
      </c>
      <c r="K5441" t="s">
        <v>11448</v>
      </c>
      <c r="L5441" t="s">
        <v>11553</v>
      </c>
      <c r="M5441" t="s">
        <v>14756</v>
      </c>
      <c r="N5441" t="s">
        <v>14783</v>
      </c>
      <c r="P5441" t="s">
        <v>14814</v>
      </c>
      <c r="Q5441" t="s">
        <v>11446</v>
      </c>
      <c r="S5441" t="s">
        <v>14827</v>
      </c>
      <c r="V5441">
        <v>1250.66</v>
      </c>
      <c r="W5441" t="s">
        <v>14858</v>
      </c>
      <c r="X5441" t="s">
        <v>14864</v>
      </c>
      <c r="Z5441" t="s">
        <v>19315</v>
      </c>
      <c r="AA5441">
        <v>5207176</v>
      </c>
      <c r="AB5441" t="s">
        <v>24580</v>
      </c>
      <c r="AC5441">
        <v>61</v>
      </c>
      <c r="AD5441" t="s">
        <v>24595</v>
      </c>
      <c r="AE5441" t="s">
        <v>24615</v>
      </c>
      <c r="AF5441">
        <v>11</v>
      </c>
      <c r="AG5441">
        <v>3</v>
      </c>
      <c r="AH5441">
        <v>2</v>
      </c>
      <c r="AI5441">
        <v>93.33</v>
      </c>
      <c r="AL5441" t="s">
        <v>5011</v>
      </c>
      <c r="AM5441">
        <v>26542.04</v>
      </c>
      <c r="AS5441">
        <v>0.5</v>
      </c>
      <c r="AT5441" t="s">
        <v>753</v>
      </c>
      <c r="AU5441" t="s">
        <v>186</v>
      </c>
      <c r="AW5441" t="s">
        <v>11447</v>
      </c>
    </row>
    <row r="5442" spans="1:49">
      <c r="A5442" s="1">
        <f>HYPERLINK("https://lsnyc.legalserver.org/matter/dynamic-profile/view/1913375","19-1913375")</f>
        <v>0</v>
      </c>
      <c r="B5442" t="s">
        <v>302</v>
      </c>
      <c r="C5442" t="s">
        <v>483</v>
      </c>
      <c r="E5442" t="s">
        <v>1319</v>
      </c>
      <c r="F5442" t="s">
        <v>3561</v>
      </c>
      <c r="G5442" t="s">
        <v>9747</v>
      </c>
      <c r="H5442" t="s">
        <v>11275</v>
      </c>
      <c r="I5442" t="s">
        <v>11383</v>
      </c>
      <c r="J5442">
        <v>10467</v>
      </c>
      <c r="K5442" t="s">
        <v>11447</v>
      </c>
      <c r="P5442" t="s">
        <v>14814</v>
      </c>
      <c r="S5442" t="s">
        <v>14830</v>
      </c>
      <c r="V5442">
        <v>0</v>
      </c>
      <c r="W5442" t="s">
        <v>14858</v>
      </c>
      <c r="Z5442" t="s">
        <v>17919</v>
      </c>
      <c r="AB5442" t="s">
        <v>23813</v>
      </c>
      <c r="AC5442">
        <v>0</v>
      </c>
      <c r="AF5442">
        <v>0</v>
      </c>
      <c r="AG5442">
        <v>2</v>
      </c>
      <c r="AH5442">
        <v>0</v>
      </c>
      <c r="AI5442">
        <v>106.45</v>
      </c>
      <c r="AL5442" t="s">
        <v>24632</v>
      </c>
      <c r="AM5442">
        <v>18000</v>
      </c>
      <c r="AS5442">
        <v>0.25</v>
      </c>
      <c r="AT5442" t="s">
        <v>477</v>
      </c>
      <c r="AU5442" t="s">
        <v>25311</v>
      </c>
      <c r="AW5442" t="s">
        <v>11447</v>
      </c>
    </row>
    <row r="5443" spans="1:49">
      <c r="A5443" s="1">
        <f>HYPERLINK("https://lsnyc.legalserver.org/matter/dynamic-profile/view/0799230","16-0799230")</f>
        <v>0</v>
      </c>
      <c r="B5443" t="s">
        <v>102</v>
      </c>
      <c r="C5443" t="s">
        <v>566</v>
      </c>
      <c r="E5443" t="s">
        <v>1607</v>
      </c>
      <c r="F5443" t="s">
        <v>4518</v>
      </c>
      <c r="G5443" t="s">
        <v>6642</v>
      </c>
      <c r="H5443" t="s">
        <v>10484</v>
      </c>
      <c r="I5443" t="s">
        <v>11383</v>
      </c>
      <c r="J5443">
        <v>10452</v>
      </c>
      <c r="K5443" t="s">
        <v>11448</v>
      </c>
      <c r="L5443" t="s">
        <v>11553</v>
      </c>
      <c r="M5443" t="s">
        <v>14756</v>
      </c>
      <c r="N5443" t="s">
        <v>14783</v>
      </c>
      <c r="P5443" t="s">
        <v>14814</v>
      </c>
      <c r="Q5443" t="s">
        <v>11446</v>
      </c>
      <c r="S5443" t="s">
        <v>14827</v>
      </c>
      <c r="V5443">
        <v>1050</v>
      </c>
      <c r="W5443" t="s">
        <v>14858</v>
      </c>
      <c r="X5443" t="s">
        <v>14864</v>
      </c>
      <c r="Z5443" t="s">
        <v>18997</v>
      </c>
      <c r="AB5443" t="s">
        <v>24581</v>
      </c>
      <c r="AC5443">
        <v>61</v>
      </c>
      <c r="AD5443" t="s">
        <v>24595</v>
      </c>
      <c r="AF5443">
        <v>5</v>
      </c>
      <c r="AG5443">
        <v>1</v>
      </c>
      <c r="AH5443">
        <v>2</v>
      </c>
      <c r="AI5443">
        <v>119.3</v>
      </c>
      <c r="AL5443" t="s">
        <v>24632</v>
      </c>
      <c r="AM5443">
        <v>24050</v>
      </c>
      <c r="AN5443" t="s">
        <v>24929</v>
      </c>
      <c r="AS5443">
        <v>0.5</v>
      </c>
      <c r="AT5443" t="s">
        <v>546</v>
      </c>
      <c r="AU5443" t="s">
        <v>186</v>
      </c>
      <c r="AW5443" t="s">
        <v>11447</v>
      </c>
    </row>
    <row r="5444" spans="1:49">
      <c r="A5444" s="1">
        <f>HYPERLINK("https://lsnyc.legalserver.org/matter/dynamic-profile/view/1910602","19-1910602")</f>
        <v>0</v>
      </c>
      <c r="B5444" t="s">
        <v>302</v>
      </c>
      <c r="C5444" t="s">
        <v>644</v>
      </c>
      <c r="E5444" t="s">
        <v>1245</v>
      </c>
      <c r="F5444" t="s">
        <v>5409</v>
      </c>
      <c r="G5444" t="s">
        <v>8869</v>
      </c>
      <c r="H5444" t="s">
        <v>10598</v>
      </c>
      <c r="I5444" t="s">
        <v>11383</v>
      </c>
      <c r="J5444">
        <v>10466</v>
      </c>
      <c r="K5444" t="s">
        <v>11447</v>
      </c>
      <c r="N5444" t="s">
        <v>14780</v>
      </c>
      <c r="P5444" t="s">
        <v>14814</v>
      </c>
      <c r="Q5444" t="s">
        <v>11448</v>
      </c>
      <c r="S5444" t="s">
        <v>14829</v>
      </c>
      <c r="V5444">
        <v>836.61</v>
      </c>
      <c r="W5444" t="s">
        <v>14858</v>
      </c>
      <c r="Z5444" t="s">
        <v>17785</v>
      </c>
      <c r="AB5444" t="s">
        <v>22856</v>
      </c>
      <c r="AC5444">
        <v>0</v>
      </c>
      <c r="AD5444" t="s">
        <v>24595</v>
      </c>
      <c r="AE5444" t="s">
        <v>24613</v>
      </c>
      <c r="AF5444">
        <v>44</v>
      </c>
      <c r="AG5444">
        <v>1</v>
      </c>
      <c r="AH5444">
        <v>0</v>
      </c>
      <c r="AI5444">
        <v>126.82</v>
      </c>
      <c r="AL5444" t="s">
        <v>5011</v>
      </c>
      <c r="AM5444">
        <v>15840</v>
      </c>
      <c r="AS5444">
        <v>21</v>
      </c>
      <c r="AT5444" t="s">
        <v>537</v>
      </c>
      <c r="AU5444" t="s">
        <v>114</v>
      </c>
      <c r="AW5444" t="s">
        <v>11447</v>
      </c>
    </row>
    <row r="5445" spans="1:49">
      <c r="A5445" s="1">
        <f>HYPERLINK("https://lsnyc.legalserver.org/matter/dynamic-profile/view/1900971","19-1900971")</f>
        <v>0</v>
      </c>
      <c r="B5445" t="s">
        <v>99</v>
      </c>
      <c r="C5445" t="s">
        <v>530</v>
      </c>
      <c r="E5445" t="s">
        <v>1650</v>
      </c>
      <c r="F5445" t="s">
        <v>3828</v>
      </c>
      <c r="G5445" t="s">
        <v>10044</v>
      </c>
      <c r="H5445" t="s">
        <v>10734</v>
      </c>
      <c r="I5445" t="s">
        <v>11395</v>
      </c>
      <c r="J5445">
        <v>11373</v>
      </c>
      <c r="K5445" t="s">
        <v>11447</v>
      </c>
      <c r="L5445" t="s">
        <v>14735</v>
      </c>
      <c r="M5445" t="s">
        <v>14744</v>
      </c>
      <c r="N5445" t="s">
        <v>14779</v>
      </c>
      <c r="P5445" t="s">
        <v>14814</v>
      </c>
      <c r="S5445" t="s">
        <v>14827</v>
      </c>
      <c r="V5445">
        <v>1525</v>
      </c>
      <c r="W5445" t="s">
        <v>14861</v>
      </c>
      <c r="X5445" t="s">
        <v>14865</v>
      </c>
      <c r="Z5445" t="s">
        <v>15076</v>
      </c>
      <c r="AA5445" t="s">
        <v>20098</v>
      </c>
      <c r="AB5445" t="s">
        <v>24582</v>
      </c>
      <c r="AC5445">
        <v>75</v>
      </c>
      <c r="AD5445" t="s">
        <v>24595</v>
      </c>
      <c r="AF5445">
        <v>7</v>
      </c>
      <c r="AG5445">
        <v>2</v>
      </c>
      <c r="AH5445">
        <v>0</v>
      </c>
      <c r="AI5445">
        <v>132.77</v>
      </c>
      <c r="AL5445" t="s">
        <v>24632</v>
      </c>
      <c r="AM5445">
        <v>22452</v>
      </c>
      <c r="AS5445">
        <v>19.7</v>
      </c>
      <c r="AT5445" t="s">
        <v>489</v>
      </c>
      <c r="AU5445" t="s">
        <v>99</v>
      </c>
      <c r="AW5445" t="s">
        <v>11447</v>
      </c>
    </row>
    <row r="5446" spans="1:49">
      <c r="A5446" s="1">
        <f>HYPERLINK("https://lsnyc.legalserver.org/matter/dynamic-profile/view/1902099","19-1902099")</f>
        <v>0</v>
      </c>
      <c r="B5446" t="s">
        <v>326</v>
      </c>
      <c r="C5446" t="s">
        <v>347</v>
      </c>
      <c r="E5446" t="s">
        <v>2373</v>
      </c>
      <c r="F5446" t="s">
        <v>6268</v>
      </c>
      <c r="G5446" t="s">
        <v>10438</v>
      </c>
      <c r="H5446" t="s">
        <v>11376</v>
      </c>
      <c r="I5446" t="s">
        <v>11386</v>
      </c>
      <c r="J5446">
        <v>10014</v>
      </c>
      <c r="K5446" t="s">
        <v>11447</v>
      </c>
      <c r="M5446" t="s">
        <v>11601</v>
      </c>
      <c r="P5446" t="s">
        <v>14814</v>
      </c>
      <c r="S5446" t="s">
        <v>14829</v>
      </c>
      <c r="V5446">
        <v>0</v>
      </c>
      <c r="W5446" t="s">
        <v>14860</v>
      </c>
      <c r="Z5446" t="s">
        <v>19284</v>
      </c>
      <c r="AC5446">
        <v>0</v>
      </c>
      <c r="AF5446">
        <v>0</v>
      </c>
      <c r="AG5446">
        <v>1</v>
      </c>
      <c r="AH5446">
        <v>0</v>
      </c>
      <c r="AI5446">
        <v>136.91</v>
      </c>
      <c r="AL5446" t="s">
        <v>5011</v>
      </c>
      <c r="AM5446">
        <v>17100</v>
      </c>
      <c r="AS5446">
        <v>7.2</v>
      </c>
      <c r="AT5446" t="s">
        <v>509</v>
      </c>
      <c r="AU5446" t="s">
        <v>25278</v>
      </c>
      <c r="AW5446" t="s">
        <v>11447</v>
      </c>
    </row>
    <row r="5447" spans="1:49">
      <c r="A5447" s="1">
        <f>HYPERLINK("https://lsnyc.legalserver.org/matter/dynamic-profile/view/1907088","19-1907088")</f>
        <v>0</v>
      </c>
      <c r="B5447" t="s">
        <v>99</v>
      </c>
      <c r="C5447" t="s">
        <v>626</v>
      </c>
      <c r="E5447" t="s">
        <v>2451</v>
      </c>
      <c r="F5447" t="s">
        <v>6002</v>
      </c>
      <c r="G5447" t="s">
        <v>9997</v>
      </c>
      <c r="H5447" t="s">
        <v>11305</v>
      </c>
      <c r="I5447" t="s">
        <v>11387</v>
      </c>
      <c r="J5447">
        <v>11434</v>
      </c>
      <c r="K5447" t="s">
        <v>11447</v>
      </c>
      <c r="L5447" t="s">
        <v>14736</v>
      </c>
      <c r="M5447" t="s">
        <v>14744</v>
      </c>
      <c r="P5447" t="s">
        <v>14814</v>
      </c>
      <c r="S5447" t="s">
        <v>14830</v>
      </c>
      <c r="V5447">
        <v>1460</v>
      </c>
      <c r="W5447" t="s">
        <v>14861</v>
      </c>
      <c r="X5447" t="s">
        <v>14869</v>
      </c>
      <c r="Z5447" t="s">
        <v>18889</v>
      </c>
      <c r="AB5447" t="s">
        <v>24097</v>
      </c>
      <c r="AC5447">
        <v>100</v>
      </c>
      <c r="AE5447" t="s">
        <v>24613</v>
      </c>
      <c r="AF5447">
        <v>20</v>
      </c>
      <c r="AG5447">
        <v>1</v>
      </c>
      <c r="AH5447">
        <v>0</v>
      </c>
      <c r="AI5447">
        <v>158.62</v>
      </c>
      <c r="AL5447" t="s">
        <v>5011</v>
      </c>
      <c r="AM5447">
        <v>19812</v>
      </c>
      <c r="AS5447">
        <v>5.95</v>
      </c>
      <c r="AT5447" t="s">
        <v>483</v>
      </c>
      <c r="AU5447" t="s">
        <v>99</v>
      </c>
      <c r="AW5447" t="s">
        <v>11447</v>
      </c>
    </row>
    <row r="5448" spans="1:49">
      <c r="A5448" s="1">
        <f>HYPERLINK("https://lsnyc.legalserver.org/matter/dynamic-profile/view/0791452","15-0791452")</f>
        <v>0</v>
      </c>
      <c r="B5448" t="s">
        <v>102</v>
      </c>
      <c r="C5448" t="s">
        <v>507</v>
      </c>
      <c r="E5448" t="s">
        <v>3540</v>
      </c>
      <c r="F5448" t="s">
        <v>6269</v>
      </c>
      <c r="G5448" t="s">
        <v>6456</v>
      </c>
      <c r="H5448" t="s">
        <v>11377</v>
      </c>
      <c r="I5448" t="s">
        <v>11383</v>
      </c>
      <c r="J5448">
        <v>10453</v>
      </c>
      <c r="K5448" t="s">
        <v>11446</v>
      </c>
      <c r="L5448" t="s">
        <v>11504</v>
      </c>
      <c r="M5448" t="s">
        <v>14773</v>
      </c>
      <c r="N5448" t="s">
        <v>14781</v>
      </c>
      <c r="P5448" t="s">
        <v>14814</v>
      </c>
      <c r="Q5448" t="s">
        <v>11446</v>
      </c>
      <c r="S5448" t="s">
        <v>14827</v>
      </c>
      <c r="V5448">
        <v>1104.56</v>
      </c>
      <c r="W5448" t="s">
        <v>14858</v>
      </c>
      <c r="X5448" t="s">
        <v>14867</v>
      </c>
      <c r="Z5448" t="s">
        <v>19316</v>
      </c>
      <c r="AB5448" t="s">
        <v>24583</v>
      </c>
      <c r="AC5448">
        <v>0</v>
      </c>
      <c r="AD5448" t="s">
        <v>24595</v>
      </c>
      <c r="AE5448" t="s">
        <v>24615</v>
      </c>
      <c r="AF5448">
        <v>3</v>
      </c>
      <c r="AG5448">
        <v>1</v>
      </c>
      <c r="AH5448">
        <v>0</v>
      </c>
      <c r="AI5448">
        <v>183.52</v>
      </c>
      <c r="AL5448" t="s">
        <v>24632</v>
      </c>
      <c r="AM5448">
        <v>21600</v>
      </c>
      <c r="AS5448">
        <v>0.05</v>
      </c>
      <c r="AT5448" t="s">
        <v>892</v>
      </c>
      <c r="AU5448" t="s">
        <v>186</v>
      </c>
      <c r="AW5448" t="s">
        <v>11447</v>
      </c>
    </row>
    <row r="5449" spans="1:49">
      <c r="A5449" s="1">
        <f>HYPERLINK("https://lsnyc.legalserver.org/matter/dynamic-profile/view/1896361","19-1896361")</f>
        <v>0</v>
      </c>
      <c r="B5449" t="s">
        <v>195</v>
      </c>
      <c r="C5449" t="s">
        <v>416</v>
      </c>
      <c r="D5449" t="s">
        <v>474</v>
      </c>
      <c r="E5449" t="s">
        <v>1374</v>
      </c>
      <c r="F5449" t="s">
        <v>5826</v>
      </c>
      <c r="G5449" t="s">
        <v>10439</v>
      </c>
      <c r="H5449" t="s">
        <v>11173</v>
      </c>
      <c r="I5449" t="s">
        <v>11386</v>
      </c>
      <c r="J5449">
        <v>10002</v>
      </c>
      <c r="K5449" t="s">
        <v>11446</v>
      </c>
      <c r="M5449" t="s">
        <v>11601</v>
      </c>
      <c r="N5449" t="s">
        <v>14778</v>
      </c>
      <c r="O5449" t="s">
        <v>14786</v>
      </c>
      <c r="P5449" t="s">
        <v>14815</v>
      </c>
      <c r="Q5449" t="s">
        <v>11448</v>
      </c>
      <c r="S5449" t="s">
        <v>14828</v>
      </c>
      <c r="V5449">
        <v>500</v>
      </c>
      <c r="W5449" t="s">
        <v>14860</v>
      </c>
      <c r="X5449" t="s">
        <v>14876</v>
      </c>
      <c r="Y5449" t="s">
        <v>14883</v>
      </c>
      <c r="Z5449" t="s">
        <v>19317</v>
      </c>
      <c r="AC5449">
        <v>0</v>
      </c>
      <c r="AD5449" t="s">
        <v>24597</v>
      </c>
      <c r="AE5449" t="s">
        <v>11459</v>
      </c>
      <c r="AF5449">
        <v>3</v>
      </c>
      <c r="AG5449">
        <v>1</v>
      </c>
      <c r="AH5449">
        <v>0</v>
      </c>
      <c r="AI5449">
        <v>101.46</v>
      </c>
      <c r="AL5449" t="s">
        <v>24632</v>
      </c>
      <c r="AM5449">
        <v>12672</v>
      </c>
      <c r="AS5449">
        <v>1.75</v>
      </c>
      <c r="AT5449" t="s">
        <v>474</v>
      </c>
      <c r="AU5449" t="s">
        <v>153</v>
      </c>
      <c r="AW5449" t="s">
        <v>11446</v>
      </c>
    </row>
    <row r="5450" spans="1:49">
      <c r="A5450" s="1">
        <f>HYPERLINK("https://lsnyc.legalserver.org/matter/dynamic-profile/view/0813772","16-0813772")</f>
        <v>0</v>
      </c>
      <c r="B5450" t="s">
        <v>62</v>
      </c>
      <c r="C5450" t="s">
        <v>723</v>
      </c>
      <c r="D5450" t="s">
        <v>520</v>
      </c>
      <c r="E5450" t="s">
        <v>3417</v>
      </c>
      <c r="F5450" t="s">
        <v>6270</v>
      </c>
      <c r="G5450" t="s">
        <v>7859</v>
      </c>
      <c r="H5450" t="s">
        <v>10510</v>
      </c>
      <c r="I5450" t="s">
        <v>11392</v>
      </c>
      <c r="J5450">
        <v>11372</v>
      </c>
      <c r="K5450" t="s">
        <v>11447</v>
      </c>
      <c r="O5450" t="s">
        <v>14788</v>
      </c>
      <c r="P5450" t="s">
        <v>14815</v>
      </c>
      <c r="S5450" t="s">
        <v>14827</v>
      </c>
      <c r="V5450">
        <v>0</v>
      </c>
      <c r="W5450" t="s">
        <v>14861</v>
      </c>
      <c r="Y5450" t="s">
        <v>14888</v>
      </c>
      <c r="Z5450" t="s">
        <v>19318</v>
      </c>
      <c r="AB5450" t="s">
        <v>19344</v>
      </c>
      <c r="AC5450">
        <v>0</v>
      </c>
      <c r="AF5450">
        <v>0</v>
      </c>
      <c r="AG5450">
        <v>1</v>
      </c>
      <c r="AH5450">
        <v>0</v>
      </c>
      <c r="AI5450">
        <v>18.74</v>
      </c>
      <c r="AL5450" t="s">
        <v>5011</v>
      </c>
      <c r="AM5450">
        <v>2226.6</v>
      </c>
      <c r="AP5450" t="s">
        <v>24985</v>
      </c>
      <c r="AQ5450" t="s">
        <v>24986</v>
      </c>
      <c r="AR5450" t="s">
        <v>25116</v>
      </c>
      <c r="AS5450">
        <v>4</v>
      </c>
      <c r="AT5450" t="s">
        <v>619</v>
      </c>
      <c r="AU5450" t="s">
        <v>99</v>
      </c>
      <c r="AW5450" t="s">
        <v>11447</v>
      </c>
    </row>
    <row r="5451" spans="1:49">
      <c r="A5451" s="1">
        <f>HYPERLINK("https://lsnyc.legalserver.org/matter/dynamic-profile/view/0814221","16-0814221")</f>
        <v>0</v>
      </c>
      <c r="B5451" t="s">
        <v>62</v>
      </c>
      <c r="C5451" t="s">
        <v>1008</v>
      </c>
      <c r="D5451" t="s">
        <v>520</v>
      </c>
      <c r="E5451" t="s">
        <v>3541</v>
      </c>
      <c r="F5451" t="s">
        <v>4623</v>
      </c>
      <c r="G5451" t="s">
        <v>7859</v>
      </c>
      <c r="H5451" t="s">
        <v>11378</v>
      </c>
      <c r="I5451" t="s">
        <v>11392</v>
      </c>
      <c r="J5451">
        <v>11372</v>
      </c>
      <c r="K5451" t="s">
        <v>11447</v>
      </c>
      <c r="L5451" t="s">
        <v>14737</v>
      </c>
      <c r="M5451" t="s">
        <v>14743</v>
      </c>
      <c r="N5451" t="s">
        <v>14781</v>
      </c>
      <c r="O5451" t="s">
        <v>14788</v>
      </c>
      <c r="P5451" t="s">
        <v>14815</v>
      </c>
      <c r="Q5451" t="s">
        <v>11446</v>
      </c>
      <c r="S5451" t="s">
        <v>14827</v>
      </c>
      <c r="V5451">
        <v>0</v>
      </c>
      <c r="W5451" t="s">
        <v>14861</v>
      </c>
      <c r="X5451" t="s">
        <v>14864</v>
      </c>
      <c r="Y5451" t="s">
        <v>14897</v>
      </c>
      <c r="Z5451" t="s">
        <v>19319</v>
      </c>
      <c r="AB5451" t="s">
        <v>24584</v>
      </c>
      <c r="AC5451">
        <v>72</v>
      </c>
      <c r="AD5451" t="s">
        <v>24595</v>
      </c>
      <c r="AE5451" t="s">
        <v>14755</v>
      </c>
      <c r="AF5451">
        <v>4</v>
      </c>
      <c r="AG5451">
        <v>1</v>
      </c>
      <c r="AH5451">
        <v>0</v>
      </c>
      <c r="AI5451">
        <v>82.12</v>
      </c>
      <c r="AL5451" t="s">
        <v>5011</v>
      </c>
      <c r="AM5451">
        <v>9756</v>
      </c>
      <c r="AP5451" t="s">
        <v>24958</v>
      </c>
      <c r="AQ5451" t="s">
        <v>24986</v>
      </c>
      <c r="AR5451" t="s">
        <v>25117</v>
      </c>
      <c r="AS5451">
        <v>2.6</v>
      </c>
      <c r="AT5451" t="s">
        <v>619</v>
      </c>
      <c r="AU5451" t="s">
        <v>62</v>
      </c>
      <c r="AW5451" t="s">
        <v>11447</v>
      </c>
    </row>
    <row r="5452" spans="1:49">
      <c r="A5452" s="1">
        <f>HYPERLINK("https://lsnyc.legalserver.org/matter/dynamic-profile/view/0814217","16-0814217")</f>
        <v>0</v>
      </c>
      <c r="B5452" t="s">
        <v>62</v>
      </c>
      <c r="C5452" t="s">
        <v>1008</v>
      </c>
      <c r="D5452" t="s">
        <v>520</v>
      </c>
      <c r="E5452" t="s">
        <v>1425</v>
      </c>
      <c r="F5452" t="s">
        <v>3845</v>
      </c>
      <c r="G5452" t="s">
        <v>10440</v>
      </c>
      <c r="H5452" t="s">
        <v>11379</v>
      </c>
      <c r="I5452" t="s">
        <v>11424</v>
      </c>
      <c r="J5452">
        <v>11372</v>
      </c>
      <c r="K5452" t="s">
        <v>11447</v>
      </c>
      <c r="L5452" t="s">
        <v>14738</v>
      </c>
      <c r="M5452" t="s">
        <v>14743</v>
      </c>
      <c r="N5452" t="s">
        <v>14781</v>
      </c>
      <c r="O5452" t="s">
        <v>14788</v>
      </c>
      <c r="P5452" t="s">
        <v>14815</v>
      </c>
      <c r="Q5452" t="s">
        <v>11446</v>
      </c>
      <c r="S5452" t="s">
        <v>14827</v>
      </c>
      <c r="V5452">
        <v>0</v>
      </c>
      <c r="W5452" t="s">
        <v>14861</v>
      </c>
      <c r="X5452" t="s">
        <v>14873</v>
      </c>
      <c r="Y5452" t="s">
        <v>14897</v>
      </c>
      <c r="Z5452" t="s">
        <v>19320</v>
      </c>
      <c r="AB5452" t="s">
        <v>24585</v>
      </c>
      <c r="AC5452">
        <v>72</v>
      </c>
      <c r="AD5452" t="s">
        <v>24595</v>
      </c>
      <c r="AE5452" t="s">
        <v>14755</v>
      </c>
      <c r="AF5452">
        <v>10</v>
      </c>
      <c r="AG5452">
        <v>1</v>
      </c>
      <c r="AH5452">
        <v>0</v>
      </c>
      <c r="AI5452">
        <v>82.83</v>
      </c>
      <c r="AL5452" t="s">
        <v>5011</v>
      </c>
      <c r="AM5452">
        <v>9840</v>
      </c>
      <c r="AP5452" t="s">
        <v>24958</v>
      </c>
      <c r="AQ5452" t="s">
        <v>24986</v>
      </c>
      <c r="AR5452" t="s">
        <v>25117</v>
      </c>
      <c r="AS5452">
        <v>25.4</v>
      </c>
      <c r="AT5452" t="s">
        <v>619</v>
      </c>
      <c r="AU5452" t="s">
        <v>62</v>
      </c>
      <c r="AW5452" t="s">
        <v>11447</v>
      </c>
    </row>
    <row r="5453" spans="1:49">
      <c r="A5453" s="1">
        <f>HYPERLINK("https://lsnyc.legalserver.org/matter/dynamic-profile/view/1905281","19-1905281")</f>
        <v>0</v>
      </c>
      <c r="B5453" t="s">
        <v>274</v>
      </c>
      <c r="C5453" t="s">
        <v>480</v>
      </c>
      <c r="D5453" t="s">
        <v>626</v>
      </c>
      <c r="E5453" t="s">
        <v>1233</v>
      </c>
      <c r="F5453" t="s">
        <v>4623</v>
      </c>
      <c r="G5453" t="s">
        <v>10441</v>
      </c>
      <c r="I5453" t="s">
        <v>11384</v>
      </c>
      <c r="J5453">
        <v>10304</v>
      </c>
      <c r="K5453" t="s">
        <v>11446</v>
      </c>
      <c r="M5453" t="s">
        <v>11601</v>
      </c>
      <c r="N5453" t="s">
        <v>14778</v>
      </c>
      <c r="O5453" t="s">
        <v>14786</v>
      </c>
      <c r="P5453" t="s">
        <v>14815</v>
      </c>
      <c r="S5453" t="s">
        <v>14828</v>
      </c>
      <c r="V5453">
        <v>350</v>
      </c>
      <c r="W5453" t="s">
        <v>14860</v>
      </c>
      <c r="Y5453" t="s">
        <v>14883</v>
      </c>
      <c r="Z5453" t="s">
        <v>19321</v>
      </c>
      <c r="AB5453" t="s">
        <v>24586</v>
      </c>
      <c r="AC5453">
        <v>0</v>
      </c>
      <c r="AD5453" t="s">
        <v>24597</v>
      </c>
      <c r="AE5453" t="s">
        <v>14755</v>
      </c>
      <c r="AF5453">
        <v>2</v>
      </c>
      <c r="AG5453">
        <v>3</v>
      </c>
      <c r="AH5453">
        <v>4</v>
      </c>
      <c r="AI5453">
        <v>85.52</v>
      </c>
      <c r="AL5453" t="s">
        <v>5011</v>
      </c>
      <c r="AM5453">
        <v>33362</v>
      </c>
      <c r="AS5453">
        <v>2</v>
      </c>
      <c r="AT5453" t="s">
        <v>626</v>
      </c>
      <c r="AU5453" t="s">
        <v>25288</v>
      </c>
      <c r="AV5453" t="s">
        <v>25335</v>
      </c>
      <c r="AW5453" t="s">
        <v>11447</v>
      </c>
    </row>
    <row r="5454" spans="1:49">
      <c r="A5454" s="1">
        <f>HYPERLINK("https://lsnyc.legalserver.org/matter/dynamic-profile/view/0813776","16-0813776")</f>
        <v>0</v>
      </c>
      <c r="B5454" t="s">
        <v>62</v>
      </c>
      <c r="C5454" t="s">
        <v>1009</v>
      </c>
      <c r="D5454" t="s">
        <v>640</v>
      </c>
      <c r="E5454" t="s">
        <v>1650</v>
      </c>
      <c r="F5454" t="s">
        <v>6271</v>
      </c>
      <c r="G5454" t="s">
        <v>7859</v>
      </c>
      <c r="H5454" t="s">
        <v>11380</v>
      </c>
      <c r="I5454" t="s">
        <v>11392</v>
      </c>
      <c r="J5454">
        <v>11372</v>
      </c>
      <c r="K5454" t="s">
        <v>11447</v>
      </c>
      <c r="L5454" t="s">
        <v>14739</v>
      </c>
      <c r="M5454" t="s">
        <v>14743</v>
      </c>
      <c r="N5454" t="s">
        <v>14781</v>
      </c>
      <c r="O5454" t="s">
        <v>14788</v>
      </c>
      <c r="P5454" t="s">
        <v>14815</v>
      </c>
      <c r="Q5454" t="s">
        <v>11446</v>
      </c>
      <c r="S5454" t="s">
        <v>14827</v>
      </c>
      <c r="V5454">
        <v>0</v>
      </c>
      <c r="W5454" t="s">
        <v>14861</v>
      </c>
      <c r="Y5454" t="s">
        <v>14897</v>
      </c>
      <c r="Z5454" t="s">
        <v>19322</v>
      </c>
      <c r="AB5454" t="s">
        <v>24587</v>
      </c>
      <c r="AC5454">
        <v>0</v>
      </c>
      <c r="AE5454" t="s">
        <v>14755</v>
      </c>
      <c r="AF5454">
        <v>0</v>
      </c>
      <c r="AG5454">
        <v>1</v>
      </c>
      <c r="AH5454">
        <v>0</v>
      </c>
      <c r="AI5454">
        <v>7.98</v>
      </c>
      <c r="AL5454" t="s">
        <v>24632</v>
      </c>
      <c r="AM5454">
        <v>948</v>
      </c>
      <c r="AP5454" t="s">
        <v>24958</v>
      </c>
      <c r="AQ5454" t="s">
        <v>24986</v>
      </c>
      <c r="AR5454" t="s">
        <v>25118</v>
      </c>
      <c r="AS5454">
        <v>2.6</v>
      </c>
      <c r="AT5454" t="s">
        <v>585</v>
      </c>
      <c r="AU5454" t="s">
        <v>99</v>
      </c>
      <c r="AW5454" t="s">
        <v>11447</v>
      </c>
    </row>
    <row r="5455" spans="1:49">
      <c r="A5455" s="1">
        <f>HYPERLINK("https://lsnyc.legalserver.org/matter/dynamic-profile/view/0815741","16-0815741")</f>
        <v>0</v>
      </c>
      <c r="B5455" t="s">
        <v>62</v>
      </c>
      <c r="C5455" t="s">
        <v>1010</v>
      </c>
      <c r="D5455" t="s">
        <v>640</v>
      </c>
      <c r="E5455" t="s">
        <v>1228</v>
      </c>
      <c r="F5455" t="s">
        <v>4048</v>
      </c>
      <c r="G5455" t="s">
        <v>10442</v>
      </c>
      <c r="H5455" t="s">
        <v>10719</v>
      </c>
      <c r="I5455" t="s">
        <v>11392</v>
      </c>
      <c r="J5455">
        <v>11372</v>
      </c>
      <c r="K5455" t="s">
        <v>11447</v>
      </c>
      <c r="L5455" t="s">
        <v>14740</v>
      </c>
      <c r="M5455" t="s">
        <v>14743</v>
      </c>
      <c r="N5455" t="s">
        <v>14781</v>
      </c>
      <c r="O5455" t="s">
        <v>14789</v>
      </c>
      <c r="P5455" t="s">
        <v>14815</v>
      </c>
      <c r="Q5455" t="s">
        <v>11446</v>
      </c>
      <c r="S5455" t="s">
        <v>14827</v>
      </c>
      <c r="T5455" t="s">
        <v>14832</v>
      </c>
      <c r="V5455">
        <v>0</v>
      </c>
      <c r="W5455" t="s">
        <v>14861</v>
      </c>
      <c r="X5455" t="s">
        <v>14873</v>
      </c>
      <c r="Y5455" t="s">
        <v>14887</v>
      </c>
      <c r="Z5455" t="s">
        <v>19323</v>
      </c>
      <c r="AB5455" t="s">
        <v>24588</v>
      </c>
      <c r="AC5455">
        <v>72</v>
      </c>
      <c r="AD5455" t="s">
        <v>24595</v>
      </c>
      <c r="AE5455" t="s">
        <v>14755</v>
      </c>
      <c r="AF5455">
        <v>13</v>
      </c>
      <c r="AG5455">
        <v>1</v>
      </c>
      <c r="AH5455">
        <v>0</v>
      </c>
      <c r="AI5455">
        <v>82.83</v>
      </c>
      <c r="AL5455" t="s">
        <v>5011</v>
      </c>
      <c r="AM5455">
        <v>9840</v>
      </c>
      <c r="AP5455" t="s">
        <v>24943</v>
      </c>
      <c r="AQ5455" t="s">
        <v>24986</v>
      </c>
      <c r="AR5455" t="s">
        <v>25119</v>
      </c>
      <c r="AS5455">
        <v>1.4</v>
      </c>
      <c r="AT5455" t="s">
        <v>410</v>
      </c>
      <c r="AU5455" t="s">
        <v>62</v>
      </c>
      <c r="AW5455" t="s">
        <v>11447</v>
      </c>
    </row>
    <row r="5456" spans="1:49">
      <c r="A5456" s="1">
        <f>HYPERLINK("https://lsnyc.legalserver.org/matter/dynamic-profile/view/1909039","19-1909039")</f>
        <v>0</v>
      </c>
      <c r="B5456" t="s">
        <v>139</v>
      </c>
      <c r="C5456" t="s">
        <v>641</v>
      </c>
      <c r="D5456" t="s">
        <v>486</v>
      </c>
      <c r="E5456" t="s">
        <v>2101</v>
      </c>
      <c r="F5456" t="s">
        <v>4998</v>
      </c>
      <c r="G5456" t="s">
        <v>10443</v>
      </c>
      <c r="I5456" t="s">
        <v>11385</v>
      </c>
      <c r="J5456">
        <v>11234</v>
      </c>
      <c r="K5456" t="s">
        <v>11447</v>
      </c>
      <c r="M5456" t="s">
        <v>11601</v>
      </c>
      <c r="N5456" t="s">
        <v>14778</v>
      </c>
      <c r="O5456" t="s">
        <v>14786</v>
      </c>
      <c r="P5456" t="s">
        <v>14815</v>
      </c>
      <c r="S5456" t="s">
        <v>14829</v>
      </c>
      <c r="V5456">
        <v>0</v>
      </c>
      <c r="W5456" t="s">
        <v>14859</v>
      </c>
      <c r="Y5456" t="s">
        <v>14883</v>
      </c>
      <c r="Z5456" t="s">
        <v>15265</v>
      </c>
      <c r="AC5456">
        <v>0</v>
      </c>
      <c r="AF5456">
        <v>0</v>
      </c>
      <c r="AG5456">
        <v>1</v>
      </c>
      <c r="AH5456">
        <v>0</v>
      </c>
      <c r="AI5456">
        <v>43.23</v>
      </c>
      <c r="AL5456" t="s">
        <v>5011</v>
      </c>
      <c r="AM5456">
        <v>5400</v>
      </c>
      <c r="AS5456">
        <v>1.5</v>
      </c>
      <c r="AT5456" t="s">
        <v>486</v>
      </c>
      <c r="AU5456" t="s">
        <v>139</v>
      </c>
      <c r="AW5456" t="s">
        <v>11447</v>
      </c>
    </row>
    <row r="5457" spans="1:49">
      <c r="A5457" s="1">
        <f>HYPERLINK("https://lsnyc.legalserver.org/matter/dynamic-profile/view/0781300","15-0781300")</f>
        <v>0</v>
      </c>
      <c r="B5457" t="s">
        <v>208</v>
      </c>
      <c r="C5457" t="s">
        <v>709</v>
      </c>
      <c r="D5457" t="s">
        <v>521</v>
      </c>
      <c r="E5457" t="s">
        <v>1181</v>
      </c>
      <c r="F5457" t="s">
        <v>6272</v>
      </c>
      <c r="G5457" t="s">
        <v>10444</v>
      </c>
      <c r="H5457" t="s">
        <v>11381</v>
      </c>
      <c r="I5457" t="s">
        <v>11386</v>
      </c>
      <c r="J5457">
        <v>10038</v>
      </c>
      <c r="K5457" t="s">
        <v>11447</v>
      </c>
      <c r="O5457" t="s">
        <v>14787</v>
      </c>
      <c r="P5457" t="s">
        <v>14815</v>
      </c>
      <c r="S5457" t="s">
        <v>14827</v>
      </c>
      <c r="V5457">
        <v>0</v>
      </c>
      <c r="W5457" t="s">
        <v>14860</v>
      </c>
      <c r="Y5457" t="s">
        <v>14890</v>
      </c>
      <c r="Z5457" t="s">
        <v>17095</v>
      </c>
      <c r="AB5457" t="s">
        <v>24589</v>
      </c>
      <c r="AC5457">
        <v>0</v>
      </c>
      <c r="AF5457">
        <v>0</v>
      </c>
      <c r="AG5457">
        <v>1</v>
      </c>
      <c r="AH5457">
        <v>0</v>
      </c>
      <c r="AI5457">
        <v>82.06999999999999</v>
      </c>
      <c r="AL5457" t="s">
        <v>5011</v>
      </c>
      <c r="AM5457">
        <v>9660</v>
      </c>
      <c r="AS5457">
        <v>6.25</v>
      </c>
      <c r="AT5457" t="s">
        <v>755</v>
      </c>
      <c r="AU5457" t="s">
        <v>25288</v>
      </c>
      <c r="AW5457" t="s">
        <v>11447</v>
      </c>
    </row>
    <row r="5458" spans="1:49">
      <c r="A5458" s="1">
        <f>HYPERLINK("https://lsnyc.legalserver.org/matter/dynamic-profile/view/1911819","19-1911819")</f>
        <v>0</v>
      </c>
      <c r="B5458" t="s">
        <v>219</v>
      </c>
      <c r="C5458" t="s">
        <v>645</v>
      </c>
      <c r="E5458" t="s">
        <v>3327</v>
      </c>
      <c r="F5458" t="s">
        <v>3683</v>
      </c>
      <c r="G5458" t="s">
        <v>6734</v>
      </c>
      <c r="H5458" t="s">
        <v>10464</v>
      </c>
      <c r="I5458" t="s">
        <v>11386</v>
      </c>
      <c r="J5458">
        <v>10037</v>
      </c>
      <c r="K5458" t="s">
        <v>11446</v>
      </c>
      <c r="M5458" t="s">
        <v>11601</v>
      </c>
      <c r="N5458" t="s">
        <v>14782</v>
      </c>
      <c r="P5458" t="s">
        <v>14815</v>
      </c>
      <c r="Q5458" t="s">
        <v>11448</v>
      </c>
      <c r="S5458" t="s">
        <v>14828</v>
      </c>
      <c r="U5458" t="s">
        <v>645</v>
      </c>
      <c r="V5458">
        <v>195</v>
      </c>
      <c r="W5458" t="s">
        <v>14860</v>
      </c>
      <c r="X5458" t="s">
        <v>14864</v>
      </c>
      <c r="Z5458" t="s">
        <v>19324</v>
      </c>
      <c r="AB5458" t="s">
        <v>24590</v>
      </c>
      <c r="AC5458">
        <v>0</v>
      </c>
      <c r="AD5458" t="s">
        <v>24602</v>
      </c>
      <c r="AF5458">
        <v>-1</v>
      </c>
      <c r="AG5458">
        <v>1</v>
      </c>
      <c r="AH5458">
        <v>2</v>
      </c>
      <c r="AI5458">
        <v>87.76000000000001</v>
      </c>
      <c r="AL5458" t="s">
        <v>24632</v>
      </c>
      <c r="AM5458">
        <v>18720</v>
      </c>
      <c r="AS5458">
        <v>1.9</v>
      </c>
      <c r="AT5458" t="s">
        <v>592</v>
      </c>
      <c r="AU5458" t="s">
        <v>25286</v>
      </c>
      <c r="AW5458" t="s">
        <v>11447</v>
      </c>
    </row>
    <row r="5459" spans="1:49">
      <c r="A5459" s="1">
        <f>HYPERLINK("https://lsnyc.legalserver.org/matter/dynamic-profile/view/0750994","14-0750994")</f>
        <v>0</v>
      </c>
      <c r="B5459" t="s">
        <v>270</v>
      </c>
      <c r="C5459" t="s">
        <v>1011</v>
      </c>
      <c r="G5459" t="s">
        <v>10445</v>
      </c>
      <c r="I5459" t="s">
        <v>11386</v>
      </c>
      <c r="J5459">
        <v>10004</v>
      </c>
      <c r="K5459" t="s">
        <v>11447</v>
      </c>
      <c r="P5459" t="s">
        <v>14815</v>
      </c>
      <c r="S5459" t="s">
        <v>14829</v>
      </c>
      <c r="V5459">
        <v>0</v>
      </c>
      <c r="W5459" t="s">
        <v>14859</v>
      </c>
      <c r="AC5459">
        <v>0</v>
      </c>
      <c r="AF5459">
        <v>0</v>
      </c>
      <c r="AG5459">
        <v>0</v>
      </c>
      <c r="AH5459">
        <v>0</v>
      </c>
      <c r="AI5459">
        <v>0</v>
      </c>
      <c r="AM5459">
        <v>0</v>
      </c>
      <c r="AS5459">
        <v>12.7</v>
      </c>
      <c r="AT5459" t="s">
        <v>655</v>
      </c>
      <c r="AU5459" t="s">
        <v>270</v>
      </c>
      <c r="AW5459" t="s">
        <v>11447</v>
      </c>
    </row>
    <row r="5460" spans="1:49">
      <c r="A5460" s="1">
        <f>HYPERLINK("https://lsnyc.legalserver.org/matter/dynamic-profile/view/1889295","19-1889295")</f>
        <v>0</v>
      </c>
      <c r="B5460" t="s">
        <v>192</v>
      </c>
      <c r="C5460" t="s">
        <v>513</v>
      </c>
      <c r="E5460" t="s">
        <v>2034</v>
      </c>
      <c r="F5460" t="s">
        <v>3843</v>
      </c>
      <c r="G5460" t="s">
        <v>10446</v>
      </c>
      <c r="H5460" t="s">
        <v>11382</v>
      </c>
      <c r="I5460" t="s">
        <v>11385</v>
      </c>
      <c r="J5460">
        <v>11208</v>
      </c>
      <c r="K5460" t="s">
        <v>11447</v>
      </c>
      <c r="L5460" t="s">
        <v>14741</v>
      </c>
      <c r="M5460" t="s">
        <v>14743</v>
      </c>
      <c r="N5460" t="s">
        <v>14781</v>
      </c>
      <c r="P5460" t="s">
        <v>14815</v>
      </c>
      <c r="S5460" t="s">
        <v>14827</v>
      </c>
      <c r="V5460">
        <v>0</v>
      </c>
      <c r="W5460" t="s">
        <v>14859</v>
      </c>
      <c r="Z5460" t="s">
        <v>19325</v>
      </c>
      <c r="AB5460" t="s">
        <v>24591</v>
      </c>
      <c r="AC5460">
        <v>0</v>
      </c>
      <c r="AF5460">
        <v>0</v>
      </c>
      <c r="AG5460">
        <v>1</v>
      </c>
      <c r="AH5460">
        <v>0</v>
      </c>
      <c r="AI5460">
        <v>16.65</v>
      </c>
      <c r="AL5460" t="s">
        <v>24632</v>
      </c>
      <c r="AM5460">
        <v>2080</v>
      </c>
      <c r="AS5460">
        <v>139.1</v>
      </c>
      <c r="AT5460" t="s">
        <v>509</v>
      </c>
      <c r="AU5460" t="s">
        <v>192</v>
      </c>
      <c r="AW5460" t="s">
        <v>11447</v>
      </c>
    </row>
    <row r="5461" spans="1:49">
      <c r="A5461" s="1">
        <f>HYPERLINK("https://lsnyc.legalserver.org/matter/dynamic-profile/view/0813780","16-0813780")</f>
        <v>0</v>
      </c>
      <c r="B5461" t="s">
        <v>62</v>
      </c>
      <c r="C5461" t="s">
        <v>1012</v>
      </c>
      <c r="E5461" t="s">
        <v>3542</v>
      </c>
      <c r="F5461" t="s">
        <v>4310</v>
      </c>
      <c r="G5461" t="s">
        <v>7859</v>
      </c>
      <c r="H5461" t="s">
        <v>11179</v>
      </c>
      <c r="I5461" t="s">
        <v>11392</v>
      </c>
      <c r="J5461">
        <v>11372</v>
      </c>
      <c r="K5461" t="s">
        <v>11447</v>
      </c>
      <c r="L5461" t="s">
        <v>14742</v>
      </c>
      <c r="M5461" t="s">
        <v>14743</v>
      </c>
      <c r="N5461" t="s">
        <v>14781</v>
      </c>
      <c r="P5461" t="s">
        <v>14815</v>
      </c>
      <c r="Q5461" t="s">
        <v>11446</v>
      </c>
      <c r="S5461" t="s">
        <v>14827</v>
      </c>
      <c r="V5461">
        <v>0</v>
      </c>
      <c r="W5461" t="s">
        <v>14861</v>
      </c>
      <c r="Z5461" t="s">
        <v>18799</v>
      </c>
      <c r="AB5461" t="s">
        <v>24592</v>
      </c>
      <c r="AC5461">
        <v>0</v>
      </c>
      <c r="AE5461" t="s">
        <v>14755</v>
      </c>
      <c r="AF5461">
        <v>0</v>
      </c>
      <c r="AG5461">
        <v>2</v>
      </c>
      <c r="AH5461">
        <v>2</v>
      </c>
      <c r="AI5461">
        <v>38.32</v>
      </c>
      <c r="AL5461" t="s">
        <v>5011</v>
      </c>
      <c r="AM5461">
        <v>9312</v>
      </c>
      <c r="AS5461">
        <v>102.8</v>
      </c>
      <c r="AT5461" t="s">
        <v>477</v>
      </c>
      <c r="AU5461" t="s">
        <v>99</v>
      </c>
      <c r="AW5461" t="s">
        <v>11447</v>
      </c>
    </row>
    <row r="5462" spans="1:49">
      <c r="A5462" s="1">
        <f>HYPERLINK("https://lsnyc.legalserver.org/matter/dynamic-profile/view/1874644","18-1874644")</f>
        <v>0</v>
      </c>
      <c r="B5462" t="s">
        <v>208</v>
      </c>
      <c r="C5462" t="s">
        <v>786</v>
      </c>
      <c r="E5462" t="s">
        <v>3543</v>
      </c>
      <c r="F5462" t="s">
        <v>1227</v>
      </c>
      <c r="G5462" t="s">
        <v>9811</v>
      </c>
      <c r="H5462" t="s">
        <v>10760</v>
      </c>
      <c r="I5462" t="s">
        <v>11386</v>
      </c>
      <c r="J5462">
        <v>10027</v>
      </c>
      <c r="K5462" t="s">
        <v>11447</v>
      </c>
      <c r="L5462">
        <v>16226</v>
      </c>
      <c r="M5462" t="s">
        <v>14744</v>
      </c>
      <c r="P5462" t="s">
        <v>14815</v>
      </c>
      <c r="S5462" t="s">
        <v>14828</v>
      </c>
      <c r="V5462">
        <v>360</v>
      </c>
      <c r="W5462" t="s">
        <v>14860</v>
      </c>
      <c r="X5462" t="s">
        <v>14868</v>
      </c>
      <c r="Z5462" t="s">
        <v>19326</v>
      </c>
      <c r="AB5462" t="s">
        <v>24593</v>
      </c>
      <c r="AC5462">
        <v>0</v>
      </c>
      <c r="AF5462">
        <v>15</v>
      </c>
      <c r="AG5462">
        <v>1</v>
      </c>
      <c r="AH5462">
        <v>1</v>
      </c>
      <c r="AI5462">
        <v>65.61</v>
      </c>
      <c r="AL5462" t="s">
        <v>5011</v>
      </c>
      <c r="AM5462">
        <v>10800</v>
      </c>
      <c r="AS5462">
        <v>3</v>
      </c>
      <c r="AT5462" t="s">
        <v>25224</v>
      </c>
      <c r="AU5462" t="s">
        <v>25278</v>
      </c>
      <c r="AW5462" t="s">
        <v>11447</v>
      </c>
    </row>
    <row r="5463" spans="1:49">
      <c r="A5463" s="1">
        <f>HYPERLINK("https://lsnyc.legalserver.org/matter/dynamic-profile/view/1833546","17-1833546")</f>
        <v>0</v>
      </c>
      <c r="B5463" t="s">
        <v>328</v>
      </c>
      <c r="C5463" t="s">
        <v>802</v>
      </c>
      <c r="E5463" t="s">
        <v>3544</v>
      </c>
      <c r="F5463" t="s">
        <v>6273</v>
      </c>
      <c r="G5463" t="s">
        <v>10447</v>
      </c>
      <c r="I5463" t="s">
        <v>11411</v>
      </c>
      <c r="J5463">
        <v>11418</v>
      </c>
      <c r="K5463" t="s">
        <v>11447</v>
      </c>
      <c r="N5463" t="s">
        <v>14779</v>
      </c>
      <c r="P5463" t="s">
        <v>14815</v>
      </c>
      <c r="S5463" t="s">
        <v>14829</v>
      </c>
      <c r="V5463">
        <v>0</v>
      </c>
      <c r="W5463" t="s">
        <v>14861</v>
      </c>
      <c r="Z5463" t="s">
        <v>19327</v>
      </c>
      <c r="AB5463" t="s">
        <v>24594</v>
      </c>
      <c r="AC5463">
        <v>0</v>
      </c>
      <c r="AF5463">
        <v>0</v>
      </c>
      <c r="AG5463">
        <v>1</v>
      </c>
      <c r="AH5463">
        <v>0</v>
      </c>
      <c r="AI5463">
        <v>81.59</v>
      </c>
      <c r="AL5463" t="s">
        <v>5011</v>
      </c>
      <c r="AM5463">
        <v>9840</v>
      </c>
      <c r="AS5463">
        <v>42.95</v>
      </c>
      <c r="AT5463" t="s">
        <v>533</v>
      </c>
      <c r="AU5463" t="s">
        <v>25333</v>
      </c>
      <c r="AW5463" t="s">
        <v>11447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TRC Raw Case Data Report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2019-11-27T20:09:29Z</dcterms:created>
  <dcterms:modified xsi:type="dcterms:W3CDTF">2019-11-27T20:09:29Z</dcterms:modified>
</cp:coreProperties>
</file>